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4F9E0E2-9BD4-4613-90D4-97ECDF18E5CC}" xr6:coauthVersionLast="47" xr6:coauthVersionMax="47" xr10:uidLastSave="{00000000-0000-0000-0000-000000000000}"/>
  <bookViews>
    <workbookView xWindow="25490" yWindow="-110" windowWidth="29020" windowHeight="157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 a="1"/>
  <c r="O7" i="1" l="1"/>
  <c r="O6" i="1" a="1"/>
  <c r="O6" i="1" l="1"/>
  <c r="O5" i="1" a="1"/>
  <c r="O5" i="1" l="1"/>
  <c r="O4" i="1" a="1"/>
  <c r="O4" i="1" l="1"/>
  <c r="O3" i="1" a="1"/>
  <c r="O3" i="1" l="1"/>
  <c r="O12" i="1" a="1"/>
  <c r="O12" i="1" l="1"/>
  <c r="O11" i="1" a="1"/>
  <c r="O11" i="1" l="1"/>
  <c r="O10" i="1" a="1"/>
  <c r="O10" i="1" l="1"/>
  <c r="O9" i="1" a="1"/>
  <c r="O9" i="1" l="1"/>
  <c r="D23" i="1" a="1"/>
  <c r="D23" i="1" l="1"/>
  <c r="O15" i="1" a="1"/>
  <c r="O15" i="1" l="1"/>
  <c r="O14" i="1" a="1"/>
  <c r="G8" i="57" a="1"/>
  <c r="G13" i="57" a="1"/>
  <c r="D12" i="57" a="1"/>
  <c r="D10" i="57" a="1"/>
  <c r="D9" i="57" a="1"/>
  <c r="G9" i="57" a="1"/>
  <c r="G7" i="57" a="1"/>
  <c r="G6" i="57" a="1"/>
  <c r="D8" i="57" a="1"/>
  <c r="G11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17" i="57" a="1"/>
  <c r="D14" i="57" a="1"/>
  <c r="G14" i="57" a="1"/>
  <c r="D13" i="57" a="1"/>
  <c r="G12" i="57" a="1"/>
  <c r="D11" i="57" a="1"/>
  <c r="G10" i="57" a="1"/>
  <c r="D7" i="57" a="1"/>
  <c r="D6" i="57" a="1"/>
  <c r="O14" i="1" l="1"/>
  <c r="D6" i="57"/>
  <c r="D7" i="57"/>
  <c r="G10" i="57"/>
  <c r="D11" i="57"/>
  <c r="G12" i="57"/>
  <c r="D13" i="57"/>
  <c r="G14" i="57"/>
  <c r="D14" i="57"/>
  <c r="G17" i="57"/>
  <c r="D17" i="57"/>
  <c r="E17" i="57"/>
  <c r="B17" i="57"/>
  <c r="G2" i="57"/>
  <c r="D2" i="57"/>
  <c r="G3" i="57"/>
  <c r="D3" i="57"/>
  <c r="G4" i="57"/>
  <c r="D4" i="57"/>
  <c r="G5" i="57"/>
  <c r="D5" i="57"/>
  <c r="G11" i="57"/>
  <c r="D8" i="57"/>
  <c r="G6" i="57"/>
  <c r="G7" i="57"/>
  <c r="G9" i="57"/>
  <c r="D9" i="57"/>
  <c r="D10" i="57"/>
  <c r="D12" i="57"/>
  <c r="G13" i="57"/>
  <c r="G8" i="57"/>
  <c r="M16" i="48" a="1"/>
  <c r="M12" i="48" a="1"/>
  <c r="M10" i="48" a="1"/>
  <c r="M8" i="48" a="1"/>
  <c r="M5" i="48" a="1"/>
  <c r="M14" i="48" a="1"/>
  <c r="M6" i="48" a="1"/>
  <c r="M7" i="48" a="1"/>
  <c r="M13" i="48" a="1"/>
  <c r="M4" i="48" a="1"/>
  <c r="M9" i="48" a="1"/>
  <c r="M11" i="48" a="1"/>
  <c r="M11" i="48" l="1"/>
  <c r="M9" i="48"/>
  <c r="M4" i="48"/>
  <c r="M13" i="48"/>
  <c r="M7" i="48"/>
  <c r="M6" i="48"/>
  <c r="M14" i="48"/>
  <c r="M5" i="48"/>
  <c r="M8" i="48"/>
  <c r="M10" i="48"/>
  <c r="M12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14" i="39" a="1"/>
  <c r="C5" i="39" a="1"/>
  <c r="L6" i="28" a="1"/>
  <c r="D11" i="28" a="1"/>
  <c r="J20" i="1" a="1"/>
  <c r="I8" i="1" a="1"/>
  <c r="L3" i="1" a="1"/>
  <c r="H11" i="60" a="1"/>
  <c r="H3" i="60" a="1"/>
  <c r="F6" i="39" a="1"/>
  <c r="M5" i="28" a="1"/>
  <c r="I10" i="1" a="1"/>
  <c r="J20" i="48" a="1"/>
  <c r="M2" i="38" a="1"/>
  <c r="AK4" i="9" a="1"/>
  <c r="U4" i="9" a="1"/>
  <c r="E4" i="9" a="1"/>
  <c r="J7" i="52" a="1"/>
  <c r="V7" i="56" a="1"/>
  <c r="N18" i="12" a="1"/>
  <c r="E14" i="12" a="1"/>
  <c r="F3" i="12" a="1"/>
  <c r="L11" i="28" a="1"/>
  <c r="G3" i="60" a="1"/>
  <c r="K20" i="12" a="1"/>
  <c r="M18" i="12" a="1"/>
  <c r="O14" i="12" a="1"/>
  <c r="F8" i="12" a="1"/>
  <c r="D10" i="28" a="1"/>
  <c r="K12" i="1" a="1"/>
  <c r="H3" i="28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5" i="52" a="1"/>
  <c r="J3" i="52" a="1"/>
  <c r="V15" i="56" a="1"/>
  <c r="V11" i="56" a="1"/>
  <c r="J16" i="56" a="1"/>
  <c r="J12" i="56" a="1"/>
  <c r="J8" i="56" a="1"/>
  <c r="C26" i="56" a="1"/>
  <c r="B5" i="56" a="1"/>
  <c r="Q23" i="12" a="1"/>
  <c r="S21" i="12" a="1"/>
  <c r="L20" i="12" a="1"/>
  <c r="P14" i="12" a="1"/>
  <c r="R12" i="12" a="1"/>
  <c r="K11" i="12" a="1"/>
  <c r="M9" i="12" a="1"/>
  <c r="O7" i="12" a="1"/>
  <c r="Q5" i="12" a="1"/>
  <c r="S3" i="12" a="1"/>
  <c r="F21" i="12" a="1"/>
  <c r="G8" i="12" a="1"/>
  <c r="J13" i="39" a="1"/>
  <c r="H10" i="39" a="1"/>
  <c r="F7" i="39" a="1"/>
  <c r="C4" i="39" a="1"/>
  <c r="K6" i="28" a="1"/>
  <c r="H12" i="28" a="1"/>
  <c r="H4" i="28" a="1"/>
  <c r="E10" i="28" a="1"/>
  <c r="I20" i="1" a="1"/>
  <c r="G15" i="1" a="1"/>
  <c r="L12" i="1" a="1"/>
  <c r="J10" i="1" a="1"/>
  <c r="H8" i="1" a="1"/>
  <c r="F6" i="1" a="1"/>
  <c r="K3" i="1" a="1"/>
  <c r="C6" i="1" a="1"/>
  <c r="D4" i="49" a="1"/>
  <c r="C16" i="40" a="1"/>
  <c r="G11" i="60" a="1"/>
  <c r="G7" i="60" a="1"/>
  <c r="R21" i="12" a="1"/>
  <c r="S10" i="12" a="1"/>
  <c r="N7" i="12" a="1"/>
  <c r="P5" i="12" a="1"/>
  <c r="R3" i="12" a="1"/>
  <c r="G13" i="12" a="1"/>
  <c r="G4" i="28" a="1"/>
  <c r="C5" i="1" a="1"/>
  <c r="C21" i="55" a="1"/>
  <c r="J19" i="48" a="1"/>
  <c r="L2" i="38" a="1"/>
  <c r="AJ4" i="9" a="1"/>
  <c r="T4" i="9" a="1"/>
  <c r="D4" i="9" a="1"/>
  <c r="I9" i="52" a="1"/>
  <c r="I12" i="56" a="1"/>
  <c r="I8" i="56" a="1"/>
  <c r="C25" i="56" a="1"/>
  <c r="C16" i="13" a="1"/>
  <c r="P23" i="12" a="1"/>
  <c r="Q12" i="12" a="1"/>
  <c r="L9" i="12" a="1"/>
  <c r="E21" i="12" a="1"/>
  <c r="E3" i="12" a="1"/>
  <c r="H9" i="39" a="1"/>
  <c r="C3" i="39" a="1"/>
  <c r="K11" i="28" a="1"/>
  <c r="G12" i="28" a="1"/>
  <c r="L5" i="1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7" i="52" a="1"/>
  <c r="I5" i="52" a="1"/>
  <c r="I3" i="52" a="1"/>
  <c r="U15" i="56" a="1"/>
  <c r="U11" i="56" a="1"/>
  <c r="U7" i="56" a="1"/>
  <c r="I16" i="56" a="1"/>
  <c r="J3" i="1" a="1"/>
  <c r="F11" i="60" a="1"/>
  <c r="F7" i="60" a="1"/>
  <c r="F3" i="60" a="1"/>
  <c r="H11" i="28" a="1"/>
  <c r="J16" i="48" a="1"/>
  <c r="K2" i="38" a="1"/>
  <c r="AI4" i="9" a="1"/>
  <c r="S4" i="9" a="1"/>
  <c r="C4" i="9" a="1"/>
  <c r="T15" i="56" a="1"/>
  <c r="T11" i="56" a="1"/>
  <c r="T7" i="56" a="1"/>
  <c r="H16" i="56" a="1"/>
  <c r="S19" i="12" a="1"/>
  <c r="N14" i="12" a="1"/>
  <c r="R10" i="12" a="1"/>
  <c r="E8" i="12" a="1"/>
  <c r="J11" i="39" a="1"/>
  <c r="F5" i="39" a="1"/>
  <c r="C2" i="39" a="1"/>
  <c r="M10" i="28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H3" i="52" a="1"/>
  <c r="H12" i="56" a="1"/>
  <c r="H8" i="56" a="1"/>
  <c r="C24" i="56" a="1"/>
  <c r="C15" i="13" a="1"/>
  <c r="O23" i="12" a="1"/>
  <c r="Q21" i="12" a="1"/>
  <c r="L18" i="12" a="1"/>
  <c r="P12" i="12" a="1"/>
  <c r="K9" i="12" a="1"/>
  <c r="M7" i="12" a="1"/>
  <c r="O5" i="12" a="1"/>
  <c r="Q3" i="12" a="1"/>
  <c r="G20" i="12" a="1"/>
  <c r="F13" i="12" a="1"/>
  <c r="B15" i="12" a="1"/>
  <c r="H8" i="39" a="1"/>
  <c r="J15" i="48" a="1"/>
  <c r="J2" i="38" a="1"/>
  <c r="AH4" i="9" a="1"/>
  <c r="R4" i="9" a="1"/>
  <c r="B4" i="9" a="1"/>
  <c r="S15" i="56" a="1"/>
  <c r="S7" i="56" a="1"/>
  <c r="G16" i="56" a="1"/>
  <c r="G12" i="56" a="1"/>
  <c r="G8" i="56" a="1"/>
  <c r="N23" i="12" a="1"/>
  <c r="M14" i="12" a="1"/>
  <c r="O12" i="12" a="1"/>
  <c r="Q10" i="12" a="1"/>
  <c r="F20" i="12" a="1"/>
  <c r="H7" i="39" a="1"/>
  <c r="F4" i="39" a="1"/>
  <c r="M15" i="28" a="1"/>
  <c r="L10" i="28" a="1"/>
  <c r="K5" i="28" a="1"/>
  <c r="G11" i="28" a="1"/>
  <c r="D9" i="28" a="1"/>
  <c r="G10" i="1" a="1"/>
  <c r="J5" i="1" a="1"/>
  <c r="H3" i="1" a="1"/>
  <c r="C19" i="55" a="1"/>
  <c r="C13" i="40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G2" i="47" a="1"/>
  <c r="E2" i="46" a="1"/>
  <c r="G11" i="52" a="1"/>
  <c r="G9" i="52" a="1"/>
  <c r="G7" i="52" a="1"/>
  <c r="G5" i="52" a="1"/>
  <c r="G3" i="52" a="1"/>
  <c r="S11" i="56" a="1"/>
  <c r="C23" i="56" a="1"/>
  <c r="C14" i="13" a="1"/>
  <c r="P21" i="12" a="1"/>
  <c r="R19" i="12" a="1"/>
  <c r="K18" i="12" a="1"/>
  <c r="S8" i="12" a="1"/>
  <c r="L7" i="12" a="1"/>
  <c r="N5" i="12" a="1"/>
  <c r="P3" i="12" a="1"/>
  <c r="E13" i="12" a="1"/>
  <c r="G7" i="12" a="1"/>
  <c r="B14" i="12" a="1"/>
  <c r="J10" i="39" a="1"/>
  <c r="G3" i="28" a="1"/>
  <c r="F20" i="1" a="1"/>
  <c r="K14" i="1" a="1"/>
  <c r="I12" i="1" a="1"/>
  <c r="L7" i="1" a="1"/>
  <c r="C3" i="1" a="1"/>
  <c r="H10" i="60" a="1"/>
  <c r="H6" i="60" a="1"/>
  <c r="J14" i="48" a="1"/>
  <c r="I2" i="38" a="1"/>
  <c r="AG4" i="9" a="1"/>
  <c r="Q4" i="9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F11" i="52" a="1"/>
  <c r="J13" i="48" a="1"/>
  <c r="H2" i="38" a="1"/>
  <c r="AF4" i="9" a="1"/>
  <c r="P4" i="9" a="1"/>
  <c r="H9" i="43" a="1"/>
  <c r="C9" i="43" a="1"/>
  <c r="I14" i="42" a="1"/>
  <c r="I10" i="42" a="1"/>
  <c r="I8" i="42" a="1"/>
  <c r="I6" i="42" a="1"/>
  <c r="I4" i="42" a="1"/>
  <c r="I2" i="5" a="1"/>
  <c r="G2" i="7" a="1"/>
  <c r="I12" i="42" a="1"/>
  <c r="M2" i="18" a="1"/>
  <c r="K2" i="15" a="1"/>
  <c r="E2" i="47" a="1"/>
  <c r="C2" i="46" a="1"/>
  <c r="E11" i="52" a="1"/>
  <c r="E9" i="52" a="1"/>
  <c r="E7" i="52" a="1"/>
  <c r="E5" i="52" a="1"/>
  <c r="E3" i="52" a="1"/>
  <c r="J12" i="48" a="1"/>
  <c r="G2" i="38" a="1"/>
  <c r="AE4" i="9" a="1"/>
  <c r="O4" i="9" a="1"/>
  <c r="J2" i="15" a="1"/>
  <c r="H2" i="5" a="1"/>
  <c r="F2" i="7" a="1"/>
  <c r="D2" i="47" a="1"/>
  <c r="D5" i="52" a="1"/>
  <c r="T10" i="56" a="1"/>
  <c r="C11" i="13" a="1"/>
  <c r="M21" i="12" a="1"/>
  <c r="O19" i="12" a="1"/>
  <c r="Q15" i="12" a="1"/>
  <c r="S13" i="12" a="1"/>
  <c r="N10" i="12" a="1"/>
  <c r="P8" i="12" a="1"/>
  <c r="E12" i="12" a="1"/>
  <c r="G6" i="12" a="1"/>
  <c r="B11" i="12" a="1"/>
  <c r="J7" i="39" a="1"/>
  <c r="G9" i="43" a="1"/>
  <c r="C8" i="43" a="1"/>
  <c r="H14" i="42" a="1"/>
  <c r="H12" i="42" a="1"/>
  <c r="H10" i="42" a="1"/>
  <c r="H8" i="42" a="1"/>
  <c r="H6" i="42" a="1"/>
  <c r="H4" i="42" a="1"/>
  <c r="L2" i="18" a="1"/>
  <c r="B2" i="46" a="1"/>
  <c r="D11" i="52" a="1"/>
  <c r="D9" i="52" a="1"/>
  <c r="D7" i="52" a="1"/>
  <c r="D3" i="52" a="1"/>
  <c r="T14" i="56" a="1"/>
  <c r="T6" i="56" a="1"/>
  <c r="H15" i="56" a="1"/>
  <c r="H11" i="56" a="1"/>
  <c r="H7" i="56" a="1"/>
  <c r="B15" i="56" a="1"/>
  <c r="K23" i="12" a="1"/>
  <c r="L12" i="12" a="1"/>
  <c r="R6" i="12" a="1"/>
  <c r="K5" i="12" a="1"/>
  <c r="M3" i="12" a="1"/>
  <c r="F19" i="12" a="1"/>
  <c r="H4" i="39" a="1"/>
  <c r="J11" i="48" a="1"/>
  <c r="F2" i="38" a="1"/>
  <c r="AD4" i="9" a="1"/>
  <c r="N4" i="9" a="1"/>
  <c r="G14" i="42" a="1"/>
  <c r="G10" i="42" a="1"/>
  <c r="G8" i="42" a="1"/>
  <c r="G6" i="42" a="1"/>
  <c r="G4" i="42" a="1"/>
  <c r="C7" i="52" a="1"/>
  <c r="C3" i="52" a="1"/>
  <c r="S14" i="56" a="1"/>
  <c r="S10" i="56" a="1"/>
  <c r="S6" i="56" a="1"/>
  <c r="G15" i="56" a="1"/>
  <c r="G7" i="56" a="1"/>
  <c r="B14" i="56" a="1"/>
  <c r="C10" i="13" a="1"/>
  <c r="N19" i="12" a="1"/>
  <c r="P15" i="12" a="1"/>
  <c r="O8" i="12" a="1"/>
  <c r="H8" i="43" a="1"/>
  <c r="C7" i="43" a="1"/>
  <c r="G12" i="42" a="1"/>
  <c r="K2" i="18" a="1"/>
  <c r="I2" i="15" a="1"/>
  <c r="G2" i="5" a="1"/>
  <c r="E2" i="7" a="1"/>
  <c r="C2" i="47" a="1"/>
  <c r="A2" i="46" a="1"/>
  <c r="C11" i="52" a="1"/>
  <c r="C9" i="52" a="1"/>
  <c r="C5" i="52" a="1"/>
  <c r="G11" i="56" a="1"/>
  <c r="S22" i="12" a="1"/>
  <c r="L21" i="12" a="1"/>
  <c r="R13" i="12" a="1"/>
  <c r="K12" i="12" a="1"/>
  <c r="M10" i="12" a="1"/>
  <c r="Q6" i="12" a="1"/>
  <c r="S4" i="12" a="1"/>
  <c r="L3" i="12" a="1"/>
  <c r="E19" i="12" a="1"/>
  <c r="G11" i="12" a="1"/>
  <c r="F6" i="12" a="1"/>
  <c r="J10" i="48" a="1"/>
  <c r="E2" i="38" a="1"/>
  <c r="AC4" i="9" a="1"/>
  <c r="M4" i="9" a="1"/>
  <c r="A4" i="9" a="1"/>
  <c r="C6" i="43" a="1"/>
  <c r="F12" i="42" a="1"/>
  <c r="F8" i="42" a="1"/>
  <c r="F6" i="42" a="1"/>
  <c r="B2" i="47" a="1"/>
  <c r="G8" i="43" a="1"/>
  <c r="F14" i="42" a="1"/>
  <c r="F10" i="42" a="1"/>
  <c r="F4" i="42" a="1"/>
  <c r="J2" i="18" a="1"/>
  <c r="H2" i="15" a="1"/>
  <c r="F2" i="5" a="1"/>
  <c r="D2" i="7" a="1"/>
  <c r="J12" i="52" a="1"/>
  <c r="J10" i="52" a="1"/>
  <c r="J8" i="52" a="1"/>
  <c r="J6" i="52" a="1"/>
  <c r="J4" i="52" a="1"/>
  <c r="V17" i="56" a="1"/>
  <c r="V13" i="56" a="1"/>
  <c r="V9" i="56" a="1"/>
  <c r="V5" i="56" a="1"/>
  <c r="J14" i="56" a="1"/>
  <c r="J10" i="56" a="1"/>
  <c r="J6" i="56" a="1"/>
  <c r="B13" i="56" a="1"/>
  <c r="C9" i="13" a="1"/>
  <c r="R22" i="12" a="1"/>
  <c r="K21" i="12" a="1"/>
  <c r="M19" i="12" a="1"/>
  <c r="J9" i="48" a="1"/>
  <c r="D2" i="38" a="1"/>
  <c r="AB4" i="9" a="1"/>
  <c r="L4" i="9" a="1"/>
  <c r="E4" i="42" a="1"/>
  <c r="G2" i="15" a="1"/>
  <c r="E2" i="5" a="1"/>
  <c r="I10" i="52" a="1"/>
  <c r="I4" i="52" a="1"/>
  <c r="I14" i="56" a="1"/>
  <c r="C8" i="13" a="1"/>
  <c r="Q22" i="12" a="1"/>
  <c r="S20" i="12" a="1"/>
  <c r="L19" i="12" a="1"/>
  <c r="N15" i="12" a="1"/>
  <c r="P13" i="12" a="1"/>
  <c r="R11" i="12" a="1"/>
  <c r="K10" i="12" a="1"/>
  <c r="M8" i="12" a="1"/>
  <c r="O6" i="12" a="1"/>
  <c r="Q4" i="12" a="1"/>
  <c r="G23" i="12" a="1"/>
  <c r="F18" i="12" a="1"/>
  <c r="E11" i="12" a="1"/>
  <c r="G5" i="12" a="1"/>
  <c r="B8" i="12" a="1"/>
  <c r="J4" i="39" a="1"/>
  <c r="C11" i="39" a="1"/>
  <c r="H15" i="43" a="1"/>
  <c r="H7" i="43" a="1"/>
  <c r="C5" i="43" a="1"/>
  <c r="E14" i="42" a="1"/>
  <c r="E12" i="42" a="1"/>
  <c r="E10" i="42" a="1"/>
  <c r="E8" i="42" a="1"/>
  <c r="E6" i="42" a="1"/>
  <c r="I2" i="18" a="1"/>
  <c r="C2" i="7" a="1"/>
  <c r="A2" i="47" a="1"/>
  <c r="I12" i="52" a="1"/>
  <c r="I8" i="52" a="1"/>
  <c r="I6" i="52" a="1"/>
  <c r="U17" i="56" a="1"/>
  <c r="U13" i="56" a="1"/>
  <c r="U9" i="56" a="1"/>
  <c r="U5" i="56" a="1"/>
  <c r="I10" i="56" a="1"/>
  <c r="I6" i="56" a="1"/>
  <c r="B12" i="56" a="1"/>
  <c r="F14" i="39" a="1"/>
  <c r="M13" i="28" a="1"/>
  <c r="J8" i="48" a="1"/>
  <c r="C2" i="38" a="1"/>
  <c r="AA4" i="9" a="1"/>
  <c r="K4" i="9" a="1"/>
  <c r="H8" i="52" a="1"/>
  <c r="T9" i="56" a="1"/>
  <c r="H14" i="56" a="1"/>
  <c r="H6" i="56" a="1"/>
  <c r="C7" i="13" a="1"/>
  <c r="P22" i="12" a="1"/>
  <c r="M15" i="12" a="1"/>
  <c r="O13" i="12" a="1"/>
  <c r="N6" i="12" a="1"/>
  <c r="E18" i="12" a="1"/>
  <c r="G10" i="12" a="1"/>
  <c r="F5" i="12" a="1"/>
  <c r="B7" i="12" a="1"/>
  <c r="J3" i="39" a="1"/>
  <c r="F13" i="39" a="1"/>
  <c r="C10" i="39" a="1"/>
  <c r="L13" i="28" a="1"/>
  <c r="K8" i="28" a="1"/>
  <c r="H15" i="28" a="1"/>
  <c r="H7" i="28" a="1"/>
  <c r="G15" i="43" a="1"/>
  <c r="G7" i="43" a="1"/>
  <c r="C4" i="43" a="1"/>
  <c r="D14" i="42" a="1"/>
  <c r="D12" i="42" a="1"/>
  <c r="D10" i="42" a="1"/>
  <c r="D8" i="42" a="1"/>
  <c r="D6" i="42" a="1"/>
  <c r="D4" i="42" a="1"/>
  <c r="H2" i="18" a="1"/>
  <c r="F2" i="15" a="1"/>
  <c r="D2" i="5" a="1"/>
  <c r="B2" i="7" a="1"/>
  <c r="N2" i="46" a="1"/>
  <c r="H12" i="52" a="1"/>
  <c r="H10" i="52" a="1"/>
  <c r="H6" i="52" a="1"/>
  <c r="H4" i="52" a="1"/>
  <c r="T17" i="56" a="1"/>
  <c r="T13" i="56" a="1"/>
  <c r="T5" i="56" a="1"/>
  <c r="H10" i="56" a="1"/>
  <c r="B11" i="56" a="1"/>
  <c r="R20" i="12" a="1"/>
  <c r="K19" i="12" a="1"/>
  <c r="Q11" i="12" a="1"/>
  <c r="S9" i="12" a="1"/>
  <c r="L8" i="12" a="1"/>
  <c r="P4" i="12" a="1"/>
  <c r="F23" i="12" a="1"/>
  <c r="J7" i="48" a="1"/>
  <c r="B2" i="38" a="1"/>
  <c r="Z4" i="9" a="1"/>
  <c r="J4" i="9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A2" i="7" a="1"/>
  <c r="M2" i="46" a="1"/>
  <c r="G12" i="52" a="1"/>
  <c r="G10" i="52" a="1"/>
  <c r="G8" i="52" a="1"/>
  <c r="G6" i="52" a="1"/>
  <c r="G4" i="52" a="1"/>
  <c r="S17" i="56" a="1"/>
  <c r="S13" i="56" a="1"/>
  <c r="J6" i="48" a="1"/>
  <c r="A2" i="38" a="1"/>
  <c r="Y4" i="9" a="1"/>
  <c r="I4" i="9" a="1"/>
  <c r="G14" i="43" a="1"/>
  <c r="G6" i="43" a="1"/>
  <c r="J15" i="42" a="1"/>
  <c r="J13" i="42" a="1"/>
  <c r="J11" i="42" a="1"/>
  <c r="J9" i="42" a="1"/>
  <c r="J7" i="42" a="1"/>
  <c r="J5" i="42" a="1"/>
  <c r="J3" i="42" a="1"/>
  <c r="F2" i="18" a="1"/>
  <c r="D2" i="15" a="1"/>
  <c r="B2" i="5" a="1"/>
  <c r="N2" i="47" a="1"/>
  <c r="L2" i="46" a="1"/>
  <c r="F12" i="52" a="1"/>
  <c r="F10" i="52" a="1"/>
  <c r="F8" i="52" a="1"/>
  <c r="F6" i="52" a="1"/>
  <c r="F4" i="52" a="1"/>
  <c r="V16" i="56" a="1"/>
  <c r="V12" i="56" a="1"/>
  <c r="V8" i="56" a="1"/>
  <c r="J17" i="56" a="1"/>
  <c r="J13" i="56" a="1"/>
  <c r="J9" i="56" a="1"/>
  <c r="J5" i="56" a="1"/>
  <c r="B9" i="56" a="1"/>
  <c r="C5" i="13" a="1"/>
  <c r="N22" i="12" a="1"/>
  <c r="P20" i="12" a="1"/>
  <c r="R18" i="12" a="1"/>
  <c r="K15" i="12" a="1"/>
  <c r="M13" i="12" a="1"/>
  <c r="O11" i="12" a="1"/>
  <c r="Q9" i="12" a="1"/>
  <c r="S7" i="12" a="1"/>
  <c r="L6" i="12" a="1"/>
  <c r="N4" i="12" a="1"/>
  <c r="G22" i="12" a="1"/>
  <c r="F15" i="12" a="1"/>
  <c r="E10" i="12" a="1"/>
  <c r="J5" i="48" a="1"/>
  <c r="AN4" i="9" a="1"/>
  <c r="X4" i="9" a="1"/>
  <c r="H4" i="9" a="1"/>
  <c r="I5" i="56" a="1"/>
  <c r="B8" i="56" a="1"/>
  <c r="M22" i="12" a="1"/>
  <c r="Q18" i="12" a="1"/>
  <c r="S14" i="12" a="1"/>
  <c r="L13" i="12" a="1"/>
  <c r="R7" i="12" a="1"/>
  <c r="K6" i="12" a="1"/>
  <c r="M4" i="12" a="1"/>
  <c r="F22" i="12" a="1"/>
  <c r="E15" i="12" a="1"/>
  <c r="G9" i="12" a="1"/>
  <c r="F4" i="12" a="1"/>
  <c r="B4" i="12" a="1"/>
  <c r="H13" i="39" a="1"/>
  <c r="F10" i="39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C2" i="15" a="1"/>
  <c r="A2" i="5" a="1"/>
  <c r="M2" i="47" a="1"/>
  <c r="K2" i="46" a="1"/>
  <c r="E12" i="52" a="1"/>
  <c r="E10" i="52" a="1"/>
  <c r="E8" i="52" a="1"/>
  <c r="E6" i="52" a="1"/>
  <c r="E4" i="52" a="1"/>
  <c r="U16" i="56" a="1"/>
  <c r="U12" i="56" a="1"/>
  <c r="U8" i="56" a="1"/>
  <c r="I17" i="56" a="1"/>
  <c r="I13" i="56" a="1"/>
  <c r="I9" i="56" a="1"/>
  <c r="C4" i="13" a="1"/>
  <c r="O20" i="12" a="1"/>
  <c r="N11" i="12" a="1"/>
  <c r="P9" i="12" a="1"/>
  <c r="J4" i="48" a="1"/>
  <c r="AM4" i="9" a="1"/>
  <c r="W4" i="9" a="1"/>
  <c r="G4" i="9" a="1"/>
  <c r="D8" i="52" a="1"/>
  <c r="D6" i="52" a="1"/>
  <c r="D4" i="52" a="1"/>
  <c r="T16" i="56" a="1"/>
  <c r="G13" i="43" a="1"/>
  <c r="G5" i="43" a="1"/>
  <c r="H15" i="42" a="1"/>
  <c r="H13" i="42" a="1"/>
  <c r="H11" i="42" a="1"/>
  <c r="H9" i="42" a="1"/>
  <c r="H7" i="42" a="1"/>
  <c r="H5" i="42" a="1"/>
  <c r="H3" i="42" a="1"/>
  <c r="D2" i="18" a="1"/>
  <c r="B2" i="15" a="1"/>
  <c r="N2" i="7" a="1"/>
  <c r="L2" i="47" a="1"/>
  <c r="J2" i="46" a="1"/>
  <c r="D12" i="52" a="1"/>
  <c r="D10" i="52" a="1"/>
  <c r="N2" i="38" a="1"/>
  <c r="AL4" i="9" a="1"/>
  <c r="V4" i="9" a="1"/>
  <c r="F4" i="9" a="1"/>
  <c r="H11" i="39" a="1"/>
  <c r="F8" i="39" a="1"/>
  <c r="M11" i="28" a="1"/>
  <c r="G13" i="28" a="1"/>
  <c r="G5" i="28" a="1"/>
  <c r="D3" i="28" a="1"/>
  <c r="H15" i="1" a="1"/>
  <c r="F13" i="1" a="1"/>
  <c r="K10" i="1" a="1"/>
  <c r="G6" i="1" a="1"/>
  <c r="C7" i="1" a="1"/>
  <c r="D5" i="49" a="1"/>
  <c r="C17" i="40" a="1"/>
  <c r="H7" i="60" a="1"/>
  <c r="J12" i="39" a="1"/>
  <c r="H20" i="1" a="1"/>
  <c r="F15" i="1" a="1"/>
  <c r="G8" i="1" a="1"/>
  <c r="C15" i="40" a="1"/>
  <c r="L5" i="28" a="1"/>
  <c r="G14" i="56" a="1"/>
  <c r="N20" i="12" a="1"/>
  <c r="N8" i="12" a="1"/>
  <c r="F9" i="39" a="1"/>
  <c r="M4" i="28" a="1"/>
  <c r="D12" i="28" a="1"/>
  <c r="I19" i="1" a="1"/>
  <c r="G11" i="1" a="1"/>
  <c r="G5" i="1" a="1"/>
  <c r="E11" i="60" a="1"/>
  <c r="F11" i="1" a="1"/>
  <c r="D8" i="49" a="1"/>
  <c r="D7" i="49" a="1"/>
  <c r="F2" i="47" a="1"/>
  <c r="S18" i="12" a="1"/>
  <c r="C14" i="39" a="1"/>
  <c r="H10" i="1" a="1"/>
  <c r="C20" i="55" a="1"/>
  <c r="P18" i="12" a="1"/>
  <c r="C16" i="55" a="1"/>
  <c r="G4" i="1" a="1"/>
  <c r="C15" i="55" a="1"/>
  <c r="E5" i="28" a="1"/>
  <c r="L14" i="1" a="1"/>
  <c r="G3" i="1" a="1"/>
  <c r="K8" i="1" a="1"/>
  <c r="F6" i="60" a="1"/>
  <c r="C9" i="40" a="1"/>
  <c r="H14" i="39" a="1"/>
  <c r="L6" i="1" a="1"/>
  <c r="C8" i="40" a="1"/>
  <c r="J6" i="1" a="1"/>
  <c r="Q19" i="12" a="1"/>
  <c r="K8" i="12" a="1"/>
  <c r="F9" i="12" a="1"/>
  <c r="F3" i="39" a="1"/>
  <c r="L4" i="28" a="1"/>
  <c r="E11" i="28" a="1"/>
  <c r="H19" i="1" a="1"/>
  <c r="F5" i="1" a="1"/>
  <c r="G10" i="60" a="1"/>
  <c r="J11" i="56" a="1"/>
  <c r="E7" i="12" a="1"/>
  <c r="M3" i="28" a="1"/>
  <c r="D6" i="49" a="1"/>
  <c r="F10" i="1" a="1"/>
  <c r="J4" i="1" a="1"/>
  <c r="H9" i="60" a="1"/>
  <c r="D2" i="46" a="1"/>
  <c r="E5" i="12" a="1"/>
  <c r="I4" i="1" a="1"/>
  <c r="C9" i="39" a="1"/>
  <c r="F9" i="60" a="1"/>
  <c r="C10" i="55" a="1"/>
  <c r="H13" i="56" a="1"/>
  <c r="P19" i="12" a="1"/>
  <c r="F7" i="12" a="1"/>
  <c r="F2" i="39" a="1"/>
  <c r="K4" i="28" a="1"/>
  <c r="E9" i="28" a="1"/>
  <c r="G19" i="1" a="1"/>
  <c r="L10" i="1" a="1"/>
  <c r="L4" i="1" a="1"/>
  <c r="F10" i="60" a="1"/>
  <c r="Q7" i="12" a="1"/>
  <c r="E8" i="28" a="1"/>
  <c r="F19" i="1" a="1"/>
  <c r="K4" i="1" a="1"/>
  <c r="E10" i="60" a="1"/>
  <c r="K3" i="28" a="1"/>
  <c r="G9" i="60" a="1"/>
  <c r="J15" i="1" a="1"/>
  <c r="H4" i="1" a="1"/>
  <c r="F4" i="1" a="1"/>
  <c r="E3" i="28" a="1"/>
  <c r="O13" i="1" a="1"/>
  <c r="S6" i="12" a="1"/>
  <c r="C12" i="39" a="1"/>
  <c r="D7" i="28" a="1"/>
  <c r="K9" i="1" a="1"/>
  <c r="E9" i="60" a="1"/>
  <c r="I11" i="56" a="1"/>
  <c r="K7" i="12" a="1"/>
  <c r="E6" i="12" a="1"/>
  <c r="C13" i="39" a="1"/>
  <c r="L3" i="28" a="1"/>
  <c r="D8" i="28" a="1"/>
  <c r="L15" i="1" a="1"/>
  <c r="E7" i="28" a="1"/>
  <c r="P6" i="12" a="1"/>
  <c r="K15" i="1" a="1"/>
  <c r="C17" i="55" a="1"/>
  <c r="I15" i="1" a="1"/>
  <c r="I3" i="1" a="1"/>
  <c r="L13" i="1" a="1"/>
  <c r="K13" i="28" a="1"/>
  <c r="E6" i="60" a="1"/>
  <c r="K6" i="1" a="1"/>
  <c r="G10" i="56" a="1"/>
  <c r="L9" i="1" a="1"/>
  <c r="C18" i="55" a="1"/>
  <c r="G15" i="28" a="1"/>
  <c r="H8" i="60" a="1"/>
  <c r="J14" i="1" a="1"/>
  <c r="F9" i="1" a="1"/>
  <c r="C12" i="55" a="1"/>
  <c r="G9" i="28" a="1"/>
  <c r="H8" i="28" a="1"/>
  <c r="J9" i="39" a="1"/>
  <c r="I7" i="1" a="1"/>
  <c r="F7" i="1" a="1"/>
  <c r="G19" i="12" a="1"/>
  <c r="E3" i="60" a="1"/>
  <c r="S15" i="12" a="1"/>
  <c r="J9" i="1" a="1"/>
  <c r="I9" i="1" a="1"/>
  <c r="C13" i="55" a="1"/>
  <c r="E7" i="60" a="1"/>
  <c r="F8" i="1" a="1"/>
  <c r="L12" i="28" a="1"/>
  <c r="L9" i="28" a="1"/>
  <c r="L11" i="1" a="1"/>
  <c r="G12" i="60" a="1"/>
  <c r="H9" i="56" a="1"/>
  <c r="R15" i="12" a="1"/>
  <c r="M6" i="12" a="1"/>
  <c r="G4" i="12" a="1"/>
  <c r="E6" i="28" a="1"/>
  <c r="C14" i="55" a="1"/>
  <c r="G9" i="1" a="1"/>
  <c r="O8" i="1" a="1"/>
  <c r="G5" i="60" a="1"/>
  <c r="J12" i="1" a="1"/>
  <c r="C4" i="1" a="1"/>
  <c r="H4" i="60" a="1"/>
  <c r="E12" i="28" a="1"/>
  <c r="F9" i="52" a="1"/>
  <c r="J7" i="56" a="1"/>
  <c r="O15" i="12" a="1"/>
  <c r="E4" i="12" a="1"/>
  <c r="C8" i="39" a="1"/>
  <c r="H14" i="28" a="1"/>
  <c r="D6" i="28" a="1"/>
  <c r="H9" i="1" a="1"/>
  <c r="I7" i="56" a="1"/>
  <c r="L15" i="12" a="1"/>
  <c r="S5" i="12" a="1"/>
  <c r="B13" i="12" a="1"/>
  <c r="C7" i="39" a="1"/>
  <c r="G14" i="28" a="1"/>
  <c r="N13" i="12" a="1"/>
  <c r="C8" i="1" a="1"/>
  <c r="E15" i="28" a="1"/>
  <c r="I5" i="1" a="1"/>
  <c r="J19" i="1" a="1"/>
  <c r="F7" i="52" a="1"/>
  <c r="G6" i="56" a="1"/>
  <c r="M5" i="12" a="1"/>
  <c r="B12" i="12" a="1"/>
  <c r="C6" i="39" a="1"/>
  <c r="H13" i="28" a="1"/>
  <c r="D5" i="28" a="1"/>
  <c r="K14" i="28" a="1"/>
  <c r="C9" i="55" a="1"/>
  <c r="G7" i="28" a="1"/>
  <c r="I13" i="1" a="1"/>
  <c r="D15" i="49" a="1"/>
  <c r="F12" i="60" a="1"/>
  <c r="R14" i="12" a="1"/>
  <c r="L5" i="12" a="1"/>
  <c r="B10" i="12" a="1"/>
  <c r="L15" i="28" a="1"/>
  <c r="H10" i="28" a="1"/>
  <c r="I14" i="1" a="1"/>
  <c r="G8" i="60" a="1"/>
  <c r="C15" i="1" a="1"/>
  <c r="K13" i="1" a="1"/>
  <c r="C13" i="1" a="1"/>
  <c r="H5" i="60" a="1"/>
  <c r="M11" i="12" a="1"/>
  <c r="F5" i="52" a="1"/>
  <c r="H5" i="56" a="1"/>
  <c r="L14" i="12" a="1"/>
  <c r="R4" i="12" a="1"/>
  <c r="B9" i="12" a="1"/>
  <c r="K15" i="28" a="1"/>
  <c r="G10" i="28" a="1"/>
  <c r="E4" i="28" a="1"/>
  <c r="H14" i="1" a="1"/>
  <c r="F3" i="1" a="1"/>
  <c r="F8" i="60" a="1"/>
  <c r="H9" i="28" a="1"/>
  <c r="D4" i="28" a="1"/>
  <c r="G14" i="1" a="1"/>
  <c r="L8" i="1" a="1"/>
  <c r="E8" i="60" a="1"/>
  <c r="B16" i="56" a="1"/>
  <c r="F14" i="1" a="1"/>
  <c r="J8" i="1" a="1"/>
  <c r="C14" i="1" a="1"/>
  <c r="J13" i="1" a="1"/>
  <c r="C18" i="40" a="1"/>
  <c r="B17" i="56" a="1"/>
  <c r="K14" i="12" a="1"/>
  <c r="O4" i="12" a="1"/>
  <c r="B6" i="12" a="1"/>
  <c r="M14" i="28" a="1"/>
  <c r="C11" i="55" a="1"/>
  <c r="L14" i="28" a="1"/>
  <c r="N3" i="12" a="1"/>
  <c r="H6" i="28" a="1"/>
  <c r="F3" i="52" a="1"/>
  <c r="Q13" i="12" a="1"/>
  <c r="B5" i="12" a="1"/>
  <c r="G6" i="60" a="1"/>
  <c r="C12" i="1" a="1"/>
  <c r="J6" i="39" a="1"/>
  <c r="B10" i="56" a="1"/>
  <c r="L4" i="12" a="1"/>
  <c r="V14" i="56" a="1"/>
  <c r="O3" i="12" a="1"/>
  <c r="B3" i="12" a="1"/>
  <c r="G8" i="28" a="1"/>
  <c r="K7" i="1" a="1"/>
  <c r="C12" i="40" a="1"/>
  <c r="H12" i="1" a="1"/>
  <c r="G12" i="1" a="1"/>
  <c r="D16" i="49" a="1"/>
  <c r="D14" i="49" a="1"/>
  <c r="D13" i="49" a="1"/>
  <c r="E4" i="60" a="1"/>
  <c r="K5" i="1" a="1"/>
  <c r="D11" i="49" a="1"/>
  <c r="F10" i="12" a="1"/>
  <c r="U14" i="56" a="1"/>
  <c r="B7" i="56" a="1"/>
  <c r="K13" i="12" a="1"/>
  <c r="C13" i="13" a="1"/>
  <c r="N12" i="12" a="1"/>
  <c r="K3" i="12" a="1"/>
  <c r="J8" i="39" a="1"/>
  <c r="M12" i="28" a="1"/>
  <c r="J7" i="1" a="1"/>
  <c r="C11" i="1" a="1"/>
  <c r="C14" i="40" a="1"/>
  <c r="G4" i="60" a="1"/>
  <c r="K11" i="1" a="1"/>
  <c r="I11" i="1" a="1"/>
  <c r="Q8" i="12" a="1"/>
  <c r="H5" i="1" a="1"/>
  <c r="T12" i="56" a="1"/>
  <c r="C12" i="13" a="1"/>
  <c r="M12" i="12" a="1"/>
  <c r="E23" i="12" a="1"/>
  <c r="F4" i="60" a="1"/>
  <c r="D9" i="49" a="1"/>
  <c r="V10" i="56" a="1"/>
  <c r="C6" i="13" a="1"/>
  <c r="S11" i="12" a="1"/>
  <c r="J5" i="39" a="1"/>
  <c r="K12" i="28" a="1"/>
  <c r="G6" i="28" a="1"/>
  <c r="H13" i="1" a="1"/>
  <c r="H7" i="1" a="1"/>
  <c r="C10" i="1" a="1"/>
  <c r="C11" i="40" a="1"/>
  <c r="F5" i="60" a="1"/>
  <c r="E5" i="60" a="1"/>
  <c r="E20" i="12" a="1"/>
  <c r="E18" i="28" a="1"/>
  <c r="I6" i="1" a="1"/>
  <c r="U10" i="56" a="1"/>
  <c r="P11" i="12" a="1"/>
  <c r="E22" i="12" a="1"/>
  <c r="J2" i="39" a="1"/>
  <c r="K10" i="28" a="1"/>
  <c r="H5" i="28" a="1"/>
  <c r="G13" i="1" a="1"/>
  <c r="G7" i="1" a="1"/>
  <c r="C9" i="1" a="1"/>
  <c r="C10" i="40" a="1"/>
  <c r="D18" i="28" a="1"/>
  <c r="C7" i="40" a="1"/>
  <c r="K20" i="1" a="1"/>
  <c r="S9" i="56" a="1"/>
  <c r="S23" i="12" a="1"/>
  <c r="M9" i="28" a="1"/>
  <c r="C6" i="40" a="1"/>
  <c r="E12" i="60" a="1"/>
  <c r="M23" i="12" a="1"/>
  <c r="H12" i="60" a="1"/>
  <c r="T8" i="56" a="1"/>
  <c r="L23" i="12" a="1"/>
  <c r="P10" i="12" a="1"/>
  <c r="G18" i="12" a="1"/>
  <c r="H12" i="39" a="1"/>
  <c r="K9" i="28" a="1"/>
  <c r="K7" i="28" a="1"/>
  <c r="K19" i="1" a="1"/>
  <c r="V6" i="56" a="1"/>
  <c r="O22" i="12" a="1"/>
  <c r="O10" i="12" a="1"/>
  <c r="G15" i="12" a="1"/>
  <c r="H6" i="39" a="1"/>
  <c r="M8" i="28" a="1"/>
  <c r="D15" i="28" a="1"/>
  <c r="F12" i="1" a="1"/>
  <c r="U6" i="56" a="1"/>
  <c r="L10" i="12" a="1"/>
  <c r="H5" i="39" a="1"/>
  <c r="L8" i="28" a="1"/>
  <c r="E14" i="28" a="1"/>
  <c r="L20" i="1" a="1"/>
  <c r="S5" i="56" a="1"/>
  <c r="L22" i="12" a="1"/>
  <c r="R9" i="12" a="1"/>
  <c r="G14" i="12" a="1"/>
  <c r="H3" i="39" a="1"/>
  <c r="M7" i="28" a="1"/>
  <c r="D14" i="28" a="1"/>
  <c r="D10" i="49" a="1"/>
  <c r="F11" i="39" a="1"/>
  <c r="O21" i="12" a="1"/>
  <c r="G12" i="12" a="1"/>
  <c r="H2" i="39" a="1"/>
  <c r="E13" i="28" a="1"/>
  <c r="G20" i="1" a="1"/>
  <c r="J11" i="1" a="1"/>
  <c r="H6" i="1" a="1"/>
  <c r="D12" i="49" a="1"/>
  <c r="H11" i="1" a="1"/>
  <c r="M6" i="28" a="1"/>
  <c r="H17" i="56" a="1"/>
  <c r="N21" i="12" a="1"/>
  <c r="O9" i="12" a="1"/>
  <c r="F12" i="12" a="1"/>
  <c r="F12" i="39" a="1"/>
  <c r="L7" i="28" a="1"/>
  <c r="D13" i="28" a="1"/>
  <c r="L19" i="1" a="1"/>
  <c r="J15" i="56" a="1"/>
  <c r="Q20" i="12" a="1"/>
  <c r="R8" i="12" a="1"/>
  <c r="F11" i="12" a="1"/>
  <c r="I15" i="56" a="1"/>
  <c r="I15" i="56" l="1"/>
  <c r="F11" i="12"/>
  <c r="R8" i="12"/>
  <c r="Q20" i="12"/>
  <c r="J15" i="56"/>
  <c r="L19" i="1"/>
  <c r="D13" i="28"/>
  <c r="L7" i="28"/>
  <c r="F12" i="39"/>
  <c r="F12" i="12"/>
  <c r="O9" i="12"/>
  <c r="N21" i="12"/>
  <c r="H17" i="56"/>
  <c r="M6" i="28"/>
  <c r="H11" i="1"/>
  <c r="D12" i="49"/>
  <c r="H6" i="1"/>
  <c r="J11" i="1"/>
  <c r="G20" i="1"/>
  <c r="E13" i="28"/>
  <c r="H2" i="39"/>
  <c r="G12" i="12"/>
  <c r="O21" i="12"/>
  <c r="F11" i="39"/>
  <c r="D10" i="49"/>
  <c r="D14" i="28"/>
  <c r="M7" i="28"/>
  <c r="H3" i="39"/>
  <c r="G14" i="12"/>
  <c r="R9" i="12"/>
  <c r="L22" i="12"/>
  <c r="S5" i="56"/>
  <c r="L20" i="1"/>
  <c r="E14" i="28"/>
  <c r="L8" i="28"/>
  <c r="H5" i="39"/>
  <c r="L10" i="12"/>
  <c r="U6" i="56"/>
  <c r="F12" i="1"/>
  <c r="D15" i="28"/>
  <c r="M8" i="28"/>
  <c r="H6" i="39"/>
  <c r="G15" i="12"/>
  <c r="O10" i="12"/>
  <c r="O22" i="12"/>
  <c r="V6" i="56"/>
  <c r="K19" i="1"/>
  <c r="K7" i="28"/>
  <c r="K9" i="28"/>
  <c r="H12" i="39"/>
  <c r="G18" i="12"/>
  <c r="P10" i="12"/>
  <c r="L23" i="12"/>
  <c r="T8" i="56"/>
  <c r="H12" i="60"/>
  <c r="M23" i="12"/>
  <c r="E12" i="60"/>
  <c r="C6" i="40"/>
  <c r="M9" i="28"/>
  <c r="S23" i="12"/>
  <c r="S9" i="56"/>
  <c r="K20" i="1"/>
  <c r="C7" i="40"/>
  <c r="D18" i="28"/>
  <c r="C10" i="40"/>
  <c r="C9" i="1"/>
  <c r="G7" i="1"/>
  <c r="G13" i="1"/>
  <c r="H5" i="28"/>
  <c r="K10" i="28"/>
  <c r="J2" i="39"/>
  <c r="E22" i="12"/>
  <c r="P11" i="12"/>
  <c r="U10" i="56"/>
  <c r="I6" i="1"/>
  <c r="E18" i="28"/>
  <c r="E20" i="12"/>
  <c r="E5" i="60"/>
  <c r="F5" i="60"/>
  <c r="C11" i="40"/>
  <c r="C10" i="1"/>
  <c r="H7" i="1"/>
  <c r="H13" i="1"/>
  <c r="G6" i="28"/>
  <c r="K12" i="28"/>
  <c r="J5" i="39"/>
  <c r="S11" i="12"/>
  <c r="C6" i="13"/>
  <c r="V10" i="56"/>
  <c r="D9" i="49"/>
  <c r="F4" i="60"/>
  <c r="E23" i="12"/>
  <c r="M12" i="12"/>
  <c r="C12" i="13"/>
  <c r="T12" i="56"/>
  <c r="H5" i="1"/>
  <c r="Q8" i="12"/>
  <c r="I11" i="1"/>
  <c r="K11" i="1"/>
  <c r="G4" i="60"/>
  <c r="C14" i="40"/>
  <c r="C11" i="1"/>
  <c r="J7" i="1"/>
  <c r="M12" i="28"/>
  <c r="J8" i="39"/>
  <c r="K3" i="12"/>
  <c r="N12" i="12"/>
  <c r="C13" i="13"/>
  <c r="K13" i="12"/>
  <c r="B7" i="56"/>
  <c r="U14" i="56"/>
  <c r="F10" i="12"/>
  <c r="D11" i="49"/>
  <c r="K5" i="1"/>
  <c r="E4" i="60"/>
  <c r="D13" i="49"/>
  <c r="D14" i="49"/>
  <c r="D16" i="49"/>
  <c r="G12" i="1"/>
  <c r="H12" i="1"/>
  <c r="C12" i="40"/>
  <c r="K7" i="1"/>
  <c r="G8" i="28"/>
  <c r="B3" i="12"/>
  <c r="O3" i="12"/>
  <c r="V14" i="56"/>
  <c r="L4" i="12"/>
  <c r="B10" i="56"/>
  <c r="J6" i="39"/>
  <c r="C12" i="1"/>
  <c r="G6" i="60"/>
  <c r="B5" i="12"/>
  <c r="Q13" i="12"/>
  <c r="F3" i="52"/>
  <c r="H6" i="28"/>
  <c r="N3" i="12"/>
  <c r="L14" i="28"/>
  <c r="C11" i="55"/>
  <c r="M14" i="28"/>
  <c r="B6" i="12"/>
  <c r="O4" i="12"/>
  <c r="K14" i="12"/>
  <c r="B17" i="56"/>
  <c r="C18" i="40"/>
  <c r="J13" i="1"/>
  <c r="C14" i="1"/>
  <c r="J8" i="1"/>
  <c r="F14" i="1"/>
  <c r="B16" i="56"/>
  <c r="E8" i="60"/>
  <c r="L8" i="1"/>
  <c r="G14" i="1"/>
  <c r="D4" i="28"/>
  <c r="H9" i="28"/>
  <c r="F8" i="60"/>
  <c r="F3" i="1"/>
  <c r="H14" i="1"/>
  <c r="E4" i="28"/>
  <c r="G10" i="28"/>
  <c r="K15" i="28"/>
  <c r="B9" i="12"/>
  <c r="R4" i="12"/>
  <c r="L14" i="12"/>
  <c r="H5" i="56"/>
  <c r="F5" i="52"/>
  <c r="M11" i="12"/>
  <c r="H5" i="60"/>
  <c r="C13" i="1"/>
  <c r="K13" i="1"/>
  <c r="C15" i="1"/>
  <c r="G8" i="60"/>
  <c r="I14" i="1"/>
  <c r="H10" i="28"/>
  <c r="L15" i="28"/>
  <c r="B10" i="12"/>
  <c r="L5" i="12"/>
  <c r="R14" i="12"/>
  <c r="F12" i="60"/>
  <c r="D15" i="49"/>
  <c r="I13" i="1"/>
  <c r="G7" i="28"/>
  <c r="C9" i="55"/>
  <c r="K14" i="28"/>
  <c r="D5" i="28"/>
  <c r="H13" i="28"/>
  <c r="C6" i="39"/>
  <c r="B12" i="12"/>
  <c r="M5" i="12"/>
  <c r="G6" i="56"/>
  <c r="F7" i="52"/>
  <c r="J19" i="1"/>
  <c r="I5" i="1"/>
  <c r="E15" i="28"/>
  <c r="C8" i="1"/>
  <c r="N13" i="12"/>
  <c r="G14" i="28"/>
  <c r="C7" i="39"/>
  <c r="B13" i="12"/>
  <c r="S5" i="12"/>
  <c r="L15" i="12"/>
  <c r="I7" i="56"/>
  <c r="H9" i="1"/>
  <c r="D6" i="28"/>
  <c r="H14" i="28"/>
  <c r="C8" i="39"/>
  <c r="E4" i="12"/>
  <c r="O15" i="12"/>
  <c r="J7" i="56"/>
  <c r="F9" i="52"/>
  <c r="E12" i="28"/>
  <c r="H4" i="60"/>
  <c r="C4" i="1"/>
  <c r="J12" i="1"/>
  <c r="G5" i="60"/>
  <c r="O8" i="1"/>
  <c r="G9" i="1"/>
  <c r="C14" i="55"/>
  <c r="E6" i="28"/>
  <c r="G4" i="12"/>
  <c r="M6" i="12"/>
  <c r="R15" i="12"/>
  <c r="H9" i="56"/>
  <c r="G12" i="60"/>
  <c r="L11" i="1"/>
  <c r="L9" i="28"/>
  <c r="L12" i="28"/>
  <c r="F8" i="1"/>
  <c r="E7" i="60"/>
  <c r="C13" i="55"/>
  <c r="I9" i="1"/>
  <c r="J9" i="1"/>
  <c r="S15" i="12"/>
  <c r="E3" i="60"/>
  <c r="G19" i="12"/>
  <c r="F7" i="1"/>
  <c r="I7" i="1"/>
  <c r="J9" i="39"/>
  <c r="H8" i="28"/>
  <c r="G9" i="28"/>
  <c r="C12" i="55"/>
  <c r="F9" i="1"/>
  <c r="J14" i="1"/>
  <c r="H8" i="60"/>
  <c r="G15" i="28"/>
  <c r="C18" i="55"/>
  <c r="L9" i="1"/>
  <c r="G10" i="56"/>
  <c r="K6" i="1"/>
  <c r="E6" i="60"/>
  <c r="K13" i="28"/>
  <c r="L13" i="1"/>
  <c r="I3" i="1"/>
  <c r="I15" i="1"/>
  <c r="C17" i="55"/>
  <c r="K15" i="1"/>
  <c r="P6" i="12"/>
  <c r="E7" i="28"/>
  <c r="L15" i="1"/>
  <c r="D8" i="28"/>
  <c r="L3" i="28"/>
  <c r="C13" i="39"/>
  <c r="E6" i="12"/>
  <c r="K7" i="12"/>
  <c r="I11" i="56"/>
  <c r="E9" i="60"/>
  <c r="K9" i="1"/>
  <c r="D7" i="28"/>
  <c r="C12" i="39"/>
  <c r="S6" i="12"/>
  <c r="O13" i="1"/>
  <c r="E3" i="28"/>
  <c r="F4" i="1"/>
  <c r="H4" i="1"/>
  <c r="J15" i="1"/>
  <c r="G9" i="60"/>
  <c r="K3" i="28"/>
  <c r="E10" i="60"/>
  <c r="K4" i="1"/>
  <c r="F19" i="1"/>
  <c r="E8" i="28"/>
  <c r="Q7" i="12"/>
  <c r="F10" i="60"/>
  <c r="L4" i="1"/>
  <c r="L10" i="1"/>
  <c r="G19" i="1"/>
  <c r="E9" i="28"/>
  <c r="K4" i="28"/>
  <c r="F2" i="39"/>
  <c r="F7" i="12"/>
  <c r="P19" i="12"/>
  <c r="H13" i="56"/>
  <c r="C10" i="55"/>
  <c r="F9" i="60"/>
  <c r="C9" i="39"/>
  <c r="I4" i="1"/>
  <c r="E5" i="12"/>
  <c r="D2" i="46"/>
  <c r="H9" i="60"/>
  <c r="J4" i="1"/>
  <c r="F10" i="1"/>
  <c r="D6" i="49"/>
  <c r="M3" i="28"/>
  <c r="E7" i="12"/>
  <c r="J11" i="56"/>
  <c r="G10" i="60"/>
  <c r="F5" i="1"/>
  <c r="H19" i="1"/>
  <c r="E11" i="28"/>
  <c r="L4" i="28"/>
  <c r="F3" i="39"/>
  <c r="F9" i="12"/>
  <c r="K8" i="12"/>
  <c r="Q19" i="12"/>
  <c r="J6" i="1"/>
  <c r="C8" i="40"/>
  <c r="L6" i="1"/>
  <c r="H14" i="39"/>
  <c r="C9" i="40"/>
  <c r="F6" i="60"/>
  <c r="K8" i="1"/>
  <c r="G3" i="1"/>
  <c r="L14" i="1"/>
  <c r="E5" i="28"/>
  <c r="C15" i="55"/>
  <c r="G4" i="1"/>
  <c r="C16" i="55"/>
  <c r="P18" i="12"/>
  <c r="C20" i="55"/>
  <c r="H10" i="1"/>
  <c r="C14" i="39"/>
  <c r="S18" i="12"/>
  <c r="F2" i="47"/>
  <c r="D7" i="49"/>
  <c r="D8" i="49"/>
  <c r="F11" i="1"/>
  <c r="E11" i="60"/>
  <c r="G5" i="1"/>
  <c r="G11" i="1"/>
  <c r="I19" i="1"/>
  <c r="D12" i="28"/>
  <c r="M4" i="28"/>
  <c r="F9" i="39"/>
  <c r="N8" i="12"/>
  <c r="N20" i="12"/>
  <c r="G14" i="56"/>
  <c r="L5" i="28"/>
  <c r="C15" i="40"/>
  <c r="G8" i="1"/>
  <c r="F15" i="1"/>
  <c r="H20" i="1"/>
  <c r="J12" i="39"/>
  <c r="H7" i="60"/>
  <c r="C17" i="40"/>
  <c r="D5" i="49"/>
  <c r="C7" i="1"/>
  <c r="G6" i="1"/>
  <c r="K10" i="1"/>
  <c r="F13" i="1"/>
  <c r="H15" i="1"/>
  <c r="D3" i="28"/>
  <c r="G5" i="28"/>
  <c r="G13" i="28"/>
  <c r="M11" i="28"/>
  <c r="F8" i="39"/>
  <c r="H11" i="39"/>
  <c r="F4" i="9"/>
  <c r="V4" i="9"/>
  <c r="AL4" i="9"/>
  <c r="N2" i="38"/>
  <c r="D10" i="52"/>
  <c r="D12" i="52"/>
  <c r="J2" i="46"/>
  <c r="L2" i="47"/>
  <c r="N2" i="7"/>
  <c r="B2" i="15"/>
  <c r="D2" i="18"/>
  <c r="H3" i="42"/>
  <c r="H5" i="42"/>
  <c r="H7" i="42"/>
  <c r="H9" i="42"/>
  <c r="H11" i="42"/>
  <c r="H13" i="42"/>
  <c r="H15" i="42"/>
  <c r="G5" i="43"/>
  <c r="G13" i="43"/>
  <c r="T16" i="56"/>
  <c r="D4" i="52"/>
  <c r="D6" i="52"/>
  <c r="D8" i="52"/>
  <c r="G4" i="9"/>
  <c r="W4" i="9"/>
  <c r="AM4" i="9"/>
  <c r="J4" i="48"/>
  <c r="P9" i="12"/>
  <c r="N11" i="12"/>
  <c r="O20" i="12"/>
  <c r="C4" i="13"/>
  <c r="I9" i="56"/>
  <c r="I13" i="56"/>
  <c r="I17" i="56"/>
  <c r="U8" i="56"/>
  <c r="U12" i="56"/>
  <c r="U16" i="56"/>
  <c r="E4" i="52"/>
  <c r="E6" i="52"/>
  <c r="E8" i="52"/>
  <c r="E10" i="52"/>
  <c r="E12" i="52"/>
  <c r="K2" i="46"/>
  <c r="M2" i="47"/>
  <c r="A2" i="5"/>
  <c r="C2" i="15"/>
  <c r="E2" i="18"/>
  <c r="I3" i="42"/>
  <c r="I5" i="42"/>
  <c r="I7" i="42"/>
  <c r="I9" i="42"/>
  <c r="I11" i="42"/>
  <c r="I13" i="42"/>
  <c r="I15" i="42"/>
  <c r="H5" i="43"/>
  <c r="H13" i="43"/>
  <c r="F10" i="39"/>
  <c r="H13" i="39"/>
  <c r="B4" i="12"/>
  <c r="F4" i="12"/>
  <c r="G9" i="12"/>
  <c r="E15" i="12"/>
  <c r="F22" i="12"/>
  <c r="M4" i="12"/>
  <c r="K6" i="12"/>
  <c r="R7" i="12"/>
  <c r="L13" i="12"/>
  <c r="S14" i="12"/>
  <c r="Q18" i="12"/>
  <c r="M22" i="12"/>
  <c r="B8" i="56"/>
  <c r="I5" i="56"/>
  <c r="H4" i="9"/>
  <c r="X4" i="9"/>
  <c r="AN4" i="9"/>
  <c r="J5" i="48"/>
  <c r="E10" i="12"/>
  <c r="F15" i="12"/>
  <c r="G22" i="12"/>
  <c r="N4" i="12"/>
  <c r="L6" i="12"/>
  <c r="S7" i="12"/>
  <c r="Q9" i="12"/>
  <c r="O11" i="12"/>
  <c r="M13" i="12"/>
  <c r="K15" i="12"/>
  <c r="R18" i="12"/>
  <c r="P20" i="12"/>
  <c r="N22" i="12"/>
  <c r="C5" i="13"/>
  <c r="B9" i="56"/>
  <c r="J5" i="56"/>
  <c r="J9" i="56"/>
  <c r="J13" i="56"/>
  <c r="J17" i="56"/>
  <c r="V8" i="56"/>
  <c r="V12" i="56"/>
  <c r="V16" i="56"/>
  <c r="F4" i="52"/>
  <c r="F6" i="52"/>
  <c r="F8" i="52"/>
  <c r="F10" i="52"/>
  <c r="F12" i="52"/>
  <c r="L2" i="46"/>
  <c r="N2" i="47"/>
  <c r="B2" i="5"/>
  <c r="D2" i="15"/>
  <c r="F2" i="18"/>
  <c r="J3" i="42"/>
  <c r="J5" i="42"/>
  <c r="J7" i="42"/>
  <c r="J9" i="42"/>
  <c r="J11" i="42"/>
  <c r="J13" i="42"/>
  <c r="J15" i="42"/>
  <c r="G6" i="43"/>
  <c r="G14" i="43"/>
  <c r="I4" i="9"/>
  <c r="Y4" i="9"/>
  <c r="A2" i="38"/>
  <c r="J6" i="48"/>
  <c r="S13" i="56"/>
  <c r="S17" i="56"/>
  <c r="G4" i="52"/>
  <c r="G6" i="52"/>
  <c r="G8" i="52"/>
  <c r="G10" i="52"/>
  <c r="G12" i="52"/>
  <c r="M2" i="46"/>
  <c r="A2" i="7"/>
  <c r="C2" i="5"/>
  <c r="E2" i="15"/>
  <c r="G2" i="18"/>
  <c r="C4" i="42"/>
  <c r="C6" i="42"/>
  <c r="C8" i="42"/>
  <c r="C10" i="42"/>
  <c r="C12" i="42"/>
  <c r="C14" i="42"/>
  <c r="C3" i="43"/>
  <c r="H6" i="43"/>
  <c r="H14" i="43"/>
  <c r="J4" i="9"/>
  <c r="Z4" i="9"/>
  <c r="B2" i="38"/>
  <c r="J7" i="48"/>
  <c r="F23" i="12"/>
  <c r="P4" i="12"/>
  <c r="L8" i="12"/>
  <c r="S9" i="12"/>
  <c r="Q11" i="12"/>
  <c r="K19" i="12"/>
  <c r="R20" i="12"/>
  <c r="B11" i="56"/>
  <c r="H10" i="56"/>
  <c r="T5" i="56"/>
  <c r="T13" i="56"/>
  <c r="T17" i="56"/>
  <c r="H4" i="52"/>
  <c r="H6" i="52"/>
  <c r="H10" i="52"/>
  <c r="H12" i="52"/>
  <c r="N2" i="46"/>
  <c r="B2" i="7"/>
  <c r="D2" i="5"/>
  <c r="F2" i="15"/>
  <c r="H2" i="18"/>
  <c r="D4" i="42"/>
  <c r="D6" i="42"/>
  <c r="D8" i="42"/>
  <c r="D10" i="42"/>
  <c r="D12" i="42"/>
  <c r="D14" i="42"/>
  <c r="C4" i="43"/>
  <c r="G7" i="43"/>
  <c r="G15" i="43"/>
  <c r="H7" i="28"/>
  <c r="H15" i="28"/>
  <c r="K8" i="28"/>
  <c r="L13" i="28"/>
  <c r="C10" i="39"/>
  <c r="F13" i="39"/>
  <c r="J3" i="39"/>
  <c r="B7" i="12"/>
  <c r="F5" i="12"/>
  <c r="G10" i="12"/>
  <c r="E18" i="12"/>
  <c r="N6" i="12"/>
  <c r="O13" i="12"/>
  <c r="M15" i="12"/>
  <c r="P22" i="12"/>
  <c r="C7" i="13"/>
  <c r="H6" i="56"/>
  <c r="H14" i="56"/>
  <c r="T9" i="56"/>
  <c r="H8" i="52"/>
  <c r="K4" i="9"/>
  <c r="AA4" i="9"/>
  <c r="C2" i="38"/>
  <c r="J8" i="48"/>
  <c r="M13" i="28"/>
  <c r="F14" i="39"/>
  <c r="B12" i="56"/>
  <c r="I6" i="56"/>
  <c r="I10" i="56"/>
  <c r="U5" i="56"/>
  <c r="U9" i="56"/>
  <c r="U13" i="56"/>
  <c r="U17" i="56"/>
  <c r="I6" i="52"/>
  <c r="I8" i="52"/>
  <c r="I12" i="52"/>
  <c r="A2" i="47"/>
  <c r="C2" i="7"/>
  <c r="I2" i="18"/>
  <c r="E6" i="42"/>
  <c r="E8" i="42"/>
  <c r="E10" i="42"/>
  <c r="E12" i="42"/>
  <c r="E14" i="42"/>
  <c r="C5" i="43"/>
  <c r="H7" i="43"/>
  <c r="H15" i="43"/>
  <c r="C11" i="39"/>
  <c r="J4" i="39"/>
  <c r="B8" i="12"/>
  <c r="G5" i="12"/>
  <c r="E11" i="12"/>
  <c r="F18" i="12"/>
  <c r="G23" i="12"/>
  <c r="Q4" i="12"/>
  <c r="O6" i="12"/>
  <c r="M8" i="12"/>
  <c r="K10" i="12"/>
  <c r="R11" i="12"/>
  <c r="P13" i="12"/>
  <c r="N15" i="12"/>
  <c r="L19" i="12"/>
  <c r="S20" i="12"/>
  <c r="Q22" i="12"/>
  <c r="C8" i="13"/>
  <c r="I14" i="56"/>
  <c r="I4" i="52"/>
  <c r="I10" i="52"/>
  <c r="E2" i="5"/>
  <c r="G2" i="15"/>
  <c r="E4" i="42"/>
  <c r="L4" i="9"/>
  <c r="AB4" i="9"/>
  <c r="D2" i="38"/>
  <c r="J9" i="48"/>
  <c r="M19" i="12"/>
  <c r="K21" i="12"/>
  <c r="R22" i="12"/>
  <c r="C9" i="13"/>
  <c r="B13" i="56"/>
  <c r="J6" i="56"/>
  <c r="J10" i="56"/>
  <c r="J14" i="56"/>
  <c r="V5" i="56"/>
  <c r="V9" i="56"/>
  <c r="V13" i="56"/>
  <c r="V17" i="56"/>
  <c r="J4" i="52"/>
  <c r="J6" i="52"/>
  <c r="J8" i="52"/>
  <c r="J10" i="52"/>
  <c r="J12" i="52"/>
  <c r="D2" i="7"/>
  <c r="F2" i="5"/>
  <c r="H2" i="15"/>
  <c r="J2" i="18"/>
  <c r="F4" i="42"/>
  <c r="F10" i="42"/>
  <c r="F14" i="42"/>
  <c r="G8" i="43"/>
  <c r="B2" i="47"/>
  <c r="F6" i="42"/>
  <c r="F8" i="42"/>
  <c r="F12" i="42"/>
  <c r="C6" i="43"/>
  <c r="A13" i="9"/>
  <c r="A12" i="9"/>
  <c r="A11" i="9"/>
  <c r="A10" i="9"/>
  <c r="A9" i="9"/>
  <c r="A8" i="9"/>
  <c r="A7" i="9"/>
  <c r="A6" i="9"/>
  <c r="A5" i="9"/>
  <c r="A4" i="9"/>
  <c r="M4" i="9"/>
  <c r="AC4" i="9"/>
  <c r="E2" i="38"/>
  <c r="J10" i="48"/>
  <c r="F6" i="12"/>
  <c r="G11" i="12"/>
  <c r="E19" i="12"/>
  <c r="L3" i="12"/>
  <c r="S4" i="12"/>
  <c r="Y13" i="12" s="1" a="1"/>
  <c r="Y13" i="12" s="1"/>
  <c r="Q6" i="12"/>
  <c r="M10" i="12"/>
  <c r="K12" i="12"/>
  <c r="R13" i="12"/>
  <c r="L21" i="12"/>
  <c r="S22" i="12"/>
  <c r="G11" i="56"/>
  <c r="C5" i="52"/>
  <c r="C9" i="52"/>
  <c r="C11" i="52"/>
  <c r="A2" i="46"/>
  <c r="C2" i="47"/>
  <c r="E2" i="7"/>
  <c r="G2" i="5"/>
  <c r="I2" i="15"/>
  <c r="K2" i="18"/>
  <c r="G12" i="42"/>
  <c r="C7" i="43"/>
  <c r="H8" i="43"/>
  <c r="O8" i="12"/>
  <c r="P15" i="12"/>
  <c r="N19" i="12"/>
  <c r="C10" i="13"/>
  <c r="B14" i="56"/>
  <c r="G7" i="56"/>
  <c r="G15" i="56"/>
  <c r="S6" i="56"/>
  <c r="S10" i="56"/>
  <c r="S14" i="56"/>
  <c r="C3" i="52"/>
  <c r="C7" i="52"/>
  <c r="G4" i="42"/>
  <c r="G6" i="42"/>
  <c r="G8" i="42"/>
  <c r="G10" i="42"/>
  <c r="G14" i="42"/>
  <c r="N4" i="9"/>
  <c r="AD4" i="9"/>
  <c r="F2" i="38"/>
  <c r="J11" i="48"/>
  <c r="H4" i="39"/>
  <c r="F19" i="12"/>
  <c r="M3" i="12"/>
  <c r="K5" i="12"/>
  <c r="R6" i="12"/>
  <c r="L12" i="12"/>
  <c r="K23" i="12"/>
  <c r="B15" i="56"/>
  <c r="H7" i="56"/>
  <c r="H11" i="56"/>
  <c r="H15" i="56"/>
  <c r="T6" i="56"/>
  <c r="T14" i="56"/>
  <c r="D3" i="52"/>
  <c r="D7" i="52"/>
  <c r="D9" i="52"/>
  <c r="D11" i="52"/>
  <c r="B2" i="46"/>
  <c r="L2" i="18"/>
  <c r="H4" i="42"/>
  <c r="H6" i="42"/>
  <c r="H8" i="42"/>
  <c r="H10" i="42"/>
  <c r="H12" i="42"/>
  <c r="H14" i="42"/>
  <c r="C8" i="43"/>
  <c r="G9" i="43"/>
  <c r="J7" i="39"/>
  <c r="B11" i="12"/>
  <c r="G6" i="12"/>
  <c r="E12" i="12"/>
  <c r="P8" i="12"/>
  <c r="N10" i="12"/>
  <c r="S13" i="12"/>
  <c r="Q15" i="12"/>
  <c r="O19" i="12"/>
  <c r="M21" i="12"/>
  <c r="C11" i="13"/>
  <c r="T10" i="56"/>
  <c r="D5" i="52"/>
  <c r="D2" i="47"/>
  <c r="F2" i="7"/>
  <c r="H2" i="5"/>
  <c r="J2" i="15"/>
  <c r="O4" i="9"/>
  <c r="AE4" i="9"/>
  <c r="G2" i="38"/>
  <c r="J12" i="48"/>
  <c r="E3" i="52"/>
  <c r="E5" i="52"/>
  <c r="E7" i="52"/>
  <c r="E9" i="52"/>
  <c r="E11" i="52"/>
  <c r="C2" i="46"/>
  <c r="E2" i="47"/>
  <c r="K2" i="15"/>
  <c r="M2" i="18"/>
  <c r="I12" i="42"/>
  <c r="G2" i="7"/>
  <c r="I2" i="5"/>
  <c r="I4" i="42"/>
  <c r="I6" i="42"/>
  <c r="I8" i="42"/>
  <c r="I10" i="42"/>
  <c r="I14" i="42"/>
  <c r="C9" i="43"/>
  <c r="H9" i="43"/>
  <c r="P4" i="9"/>
  <c r="AF4" i="9"/>
  <c r="H2" i="38"/>
  <c r="J13" i="48"/>
  <c r="F11" i="52"/>
  <c r="H2" i="7"/>
  <c r="J2" i="5"/>
  <c r="L2" i="15"/>
  <c r="N2" i="18"/>
  <c r="J4" i="42"/>
  <c r="J6" i="42"/>
  <c r="J8" i="42"/>
  <c r="J10" i="42"/>
  <c r="J12" i="42"/>
  <c r="J14" i="42"/>
  <c r="C10" i="43"/>
  <c r="G10" i="43"/>
  <c r="Q4" i="9"/>
  <c r="AG4" i="9"/>
  <c r="I2" i="38"/>
  <c r="J14" i="48"/>
  <c r="H6" i="60"/>
  <c r="H10" i="60"/>
  <c r="C3" i="1"/>
  <c r="L7" i="1"/>
  <c r="I12" i="1"/>
  <c r="K14" i="1"/>
  <c r="F20" i="1"/>
  <c r="G3" i="28"/>
  <c r="J10" i="39"/>
  <c r="B14" i="12"/>
  <c r="G7" i="12"/>
  <c r="E13" i="12"/>
  <c r="P3" i="12"/>
  <c r="N5" i="12"/>
  <c r="L7" i="12"/>
  <c r="S8" i="12"/>
  <c r="K18" i="12"/>
  <c r="R19" i="12"/>
  <c r="P21" i="12"/>
  <c r="C14" i="13"/>
  <c r="C23" i="56"/>
  <c r="S11" i="56"/>
  <c r="G3" i="52"/>
  <c r="G5" i="52"/>
  <c r="G7" i="52"/>
  <c r="G9" i="52"/>
  <c r="G11" i="52"/>
  <c r="E2" i="46"/>
  <c r="G2" i="47"/>
  <c r="I2" i="7"/>
  <c r="K2" i="5"/>
  <c r="M2" i="15"/>
  <c r="C3" i="42"/>
  <c r="C5" i="42"/>
  <c r="C7" i="42"/>
  <c r="C9" i="42"/>
  <c r="C11" i="42"/>
  <c r="C13" i="42"/>
  <c r="C15" i="42"/>
  <c r="C11" i="43"/>
  <c r="H10" i="43"/>
  <c r="C13" i="40"/>
  <c r="C19" i="55"/>
  <c r="H3" i="1"/>
  <c r="J5" i="1"/>
  <c r="G10" i="1"/>
  <c r="D9" i="28"/>
  <c r="G11" i="28"/>
  <c r="K5" i="28"/>
  <c r="L10" i="28"/>
  <c r="M15" i="28"/>
  <c r="F4" i="39"/>
  <c r="H7" i="39"/>
  <c r="F20" i="12"/>
  <c r="Q10" i="12"/>
  <c r="O12" i="12"/>
  <c r="M14" i="12"/>
  <c r="N23" i="12"/>
  <c r="G8" i="56"/>
  <c r="G12" i="56"/>
  <c r="G16" i="56"/>
  <c r="S7" i="56"/>
  <c r="S15" i="56"/>
  <c r="B4" i="9"/>
  <c r="R4" i="9"/>
  <c r="AH4" i="9"/>
  <c r="J2" i="38"/>
  <c r="J15" i="48"/>
  <c r="H8" i="39"/>
  <c r="B15" i="12"/>
  <c r="F13" i="12"/>
  <c r="G20" i="12"/>
  <c r="Q3" i="12"/>
  <c r="O5" i="12"/>
  <c r="M7" i="12"/>
  <c r="K9" i="12"/>
  <c r="P12" i="12"/>
  <c r="L18" i="12"/>
  <c r="Q21" i="12"/>
  <c r="O23" i="12"/>
  <c r="C15" i="13"/>
  <c r="C24" i="56"/>
  <c r="H8" i="56"/>
  <c r="H12" i="56"/>
  <c r="H3" i="52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M10" i="28"/>
  <c r="C2" i="39"/>
  <c r="F5" i="39"/>
  <c r="J11" i="39"/>
  <c r="E8" i="12"/>
  <c r="R10" i="12"/>
  <c r="N14" i="12"/>
  <c r="S19" i="12"/>
  <c r="H16" i="56"/>
  <c r="T7" i="56"/>
  <c r="T11" i="56"/>
  <c r="T15" i="56"/>
  <c r="C4" i="9"/>
  <c r="S4" i="9"/>
  <c r="AI4" i="9"/>
  <c r="K2" i="38"/>
  <c r="J16" i="48"/>
  <c r="H11" i="28"/>
  <c r="F3" i="60"/>
  <c r="F7" i="60"/>
  <c r="F11" i="60"/>
  <c r="J3" i="1"/>
  <c r="I16" i="56"/>
  <c r="U7" i="56"/>
  <c r="U11" i="56"/>
  <c r="U15" i="56"/>
  <c r="I3" i="52"/>
  <c r="I5" i="52"/>
  <c r="I7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L5" i="1"/>
  <c r="G12" i="28"/>
  <c r="K11" i="28"/>
  <c r="C3" i="39"/>
  <c r="H9" i="39"/>
  <c r="E3" i="12"/>
  <c r="E21" i="12"/>
  <c r="L9" i="12"/>
  <c r="Q12" i="12"/>
  <c r="P23" i="12"/>
  <c r="C16" i="13"/>
  <c r="C25" i="56"/>
  <c r="I8" i="56"/>
  <c r="I12" i="56"/>
  <c r="I9" i="52"/>
  <c r="D4" i="9"/>
  <c r="T4" i="9"/>
  <c r="AJ4" i="9"/>
  <c r="L2" i="38"/>
  <c r="J19" i="48"/>
  <c r="C21" i="55"/>
  <c r="C5" i="1"/>
  <c r="G4" i="28"/>
  <c r="G13" i="12"/>
  <c r="R3" i="12"/>
  <c r="P5" i="12"/>
  <c r="N7" i="12"/>
  <c r="S10" i="12"/>
  <c r="R21" i="12"/>
  <c r="G7" i="60"/>
  <c r="G11" i="60"/>
  <c r="C16" i="40"/>
  <c r="D4" i="49"/>
  <c r="C6" i="1"/>
  <c r="K3" i="1"/>
  <c r="F6" i="1"/>
  <c r="H8" i="1"/>
  <c r="J10" i="1"/>
  <c r="L12" i="1"/>
  <c r="G15" i="1"/>
  <c r="I20" i="1"/>
  <c r="E10" i="28"/>
  <c r="H4" i="28"/>
  <c r="H12" i="28"/>
  <c r="K6" i="28"/>
  <c r="C4" i="39"/>
  <c r="F7" i="39"/>
  <c r="H10" i="39"/>
  <c r="J13" i="39"/>
  <c r="G8" i="12"/>
  <c r="F21" i="12"/>
  <c r="S3" i="12"/>
  <c r="Q5" i="12"/>
  <c r="O7" i="12"/>
  <c r="M9" i="12"/>
  <c r="K11" i="12"/>
  <c r="R12" i="12"/>
  <c r="P14" i="12"/>
  <c r="L20" i="12"/>
  <c r="S21" i="12"/>
  <c r="Q23" i="12"/>
  <c r="B5" i="56"/>
  <c r="C26" i="56"/>
  <c r="J8" i="56"/>
  <c r="J12" i="56"/>
  <c r="J16" i="56"/>
  <c r="V11" i="56"/>
  <c r="V15" i="56"/>
  <c r="J3" i="52"/>
  <c r="J5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H3" i="28"/>
  <c r="K12" i="1"/>
  <c r="D10" i="28"/>
  <c r="F8" i="12"/>
  <c r="O14" i="12"/>
  <c r="M18" i="12"/>
  <c r="K20" i="12"/>
  <c r="G3" i="60"/>
  <c r="L11" i="28"/>
  <c r="F3" i="12"/>
  <c r="E14" i="12"/>
  <c r="N18" i="12"/>
  <c r="V7" i="56"/>
  <c r="J7" i="52"/>
  <c r="E4" i="9"/>
  <c r="U4" i="9"/>
  <c r="AK4" i="9"/>
  <c r="M2" i="38"/>
  <c r="J20" i="48"/>
  <c r="I10" i="1"/>
  <c r="M5" i="28"/>
  <c r="F6" i="39"/>
  <c r="H3" i="60"/>
  <c r="H11" i="60"/>
  <c r="L3" i="1"/>
  <c r="I8" i="1"/>
  <c r="J20" i="1"/>
  <c r="D11" i="28"/>
  <c r="L6" i="28"/>
  <c r="C5" i="39"/>
  <c r="J14" i="39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M15" i="48" l="1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L19" i="48" a="1"/>
  <c r="L20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6" i="48" l="1"/>
  <c r="N15" i="48"/>
  <c r="N14" i="48"/>
  <c r="N13" i="48"/>
  <c r="N12" i="48"/>
  <c r="N11" i="48"/>
  <c r="N10" i="48"/>
  <c r="N9" i="48"/>
  <c r="N8" i="48"/>
  <c r="N7" i="48"/>
  <c r="N6" i="48"/>
  <c r="N5" i="48"/>
  <c r="N4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L20" i="48"/>
  <c r="L19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9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10" i="13" l="1"/>
  <c r="K8" i="13"/>
  <c r="K7" i="13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7" i="40" l="1"/>
  <c r="J14" i="49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0EC7AD0E-471C-4150-9A3E-A00D2A7A625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Timestamp="1729332614"&gt;&lt;FQL&gt;&lt;Q&gt;FC0000GB^FMA_MCAP(0,,,USD,"PORTAGG")&lt;/Q&gt;&lt;R&gt;1&lt;/R&gt;&lt;C&gt;1&lt;/C&gt;&lt;D xsi:type="xsd:double"&gt;3319955&lt;/D&gt;&lt;/FQL&gt;&lt;FQL&gt;&lt;Q&gt;FC0000SE^FMA_MCAP(0,,,USD,"PORTAGG")&lt;/Q&gt;&lt;R&gt;1&lt;/R&gt;&lt;C&gt;1&lt;/C&gt;&lt;D xsi:type="xsd:double"&gt;1042629.44&lt;/D&gt;&lt;/FQL&gt;&lt;FQL&gt;&lt;Q&gt;EWN^FREF_MARKET_VALUE_COMPANY(0,,,USD,,0,,"LEGACY")&lt;/Q&gt;&lt;R&gt;1&lt;/R&gt;&lt;C&gt;1&lt;/C&gt;&lt;D xsi:type="xsd:double"&gt;276.735&lt;/D&gt;&lt;/FQL&gt;&lt;FQL&gt;&lt;Q&gt;SPY^FREF_MARKET_VALUE_COMPANY(0,,,USD,,0,,"LEGACY")&lt;/Q&gt;&lt;R&gt;1&lt;/R&gt;&lt;C&gt;1&lt;/C&gt;&lt;D xsi:type="xsd:double"&gt;602029.605798&lt;/D&gt;&lt;/FQL&gt;&lt;FQL&gt;&lt;Q&gt;QQQ^FREF_MARKET_VALUE_COMPANY(0,,,USD,,0,,"LEGACY")&lt;/Q&gt;&lt;R&gt;1&lt;/R&gt;&lt;C&gt;1&lt;/C&gt;&lt;D xsi:type="xsd:double"&gt;299970.2255&lt;/D&gt;&lt;/FQL&gt;&lt;FQL&gt;&lt;Q&gt;FC0000US^FMA_MCAP(0,,,USD,"PORTAGG")&lt;/Q&gt;&lt;R&gt;1&lt;/R&gt;&lt;C&gt;1&lt;/C&gt;&lt;D xsi:type="xsd:double"&gt;61018330&lt;/D&gt;&lt;/FQL&gt;&lt;FQL&gt;&lt;Q&gt;FC0000CH^FMA_MCAP(0,,,USD,"PORTAGG")&lt;/Q&gt;&lt;R&gt;1&lt;/R&gt;&lt;C&gt;1&lt;/C&gt;&lt;D xsi:type="xsd:double"&gt;2311566.5&lt;/D&gt;&lt;/FQL&gt;&lt;FQL&gt;&lt;Q&gt;FC0000JP^FMA_MCAP(0,,,USD,"PORTAGG")&lt;/Q&gt;&lt;R&gt;1&lt;/R&gt;&lt;C&gt;1&lt;/C&gt;&lt;D xsi:type="xsd:double"&gt;6536884&lt;/D&gt;&lt;/FQL&gt;&lt;FQL&gt;&lt;Q&gt;EWU^FREF_MARKET_VALUE_COMPANY(0,,,USD,,0,,"LEGACY")&lt;/Q&gt;&lt;R&gt;1&lt;/R&gt;&lt;C&gt;1&lt;/C&gt;&lt;D xsi:type="xsd:double"&gt;3356.807&lt;/D&gt;&lt;/FQL&gt;&lt;FQL&gt;&lt;Q&gt;FC0000FR^FMA_MCAP(0,,,USD,"PORTAGG")&lt;/Q&gt;&lt;R&gt;1&lt;/R&gt;&lt;C&gt;1&lt;/C&gt;&lt;D xsi:type="xsd:double"&gt;3164981&lt;/D&gt;&lt;/FQL&gt;&lt;FQL&gt;&lt;Q&gt;EWG^FREF_MARKET_VALUE_COMPANY(0,,,USD,,0,,"LEGACY")&lt;/Q&gt;&lt;R&gt;1&lt;/R&gt;&lt;C&gt;1&lt;/C&gt;&lt;D xsi:type="xsd:double"&gt;890.712&lt;/D&gt;&lt;/FQL&gt;&lt;FQL&gt;&lt;Q&gt;FC0000DE^FMA_MCAP(0,,,USD,"PORTAGG")&lt;/Q&gt;&lt;R&gt;1&lt;/R&gt;&lt;C&gt;1&lt;/C&gt;&lt;D xsi:type="xsd:double"&gt;2393645.5&lt;/D&gt;&lt;/FQL&gt;&lt;FQL&gt;&lt;Q&gt;EWC^FREF_MARKET_VALUE_COMPANY(0,,,USD,,0,,"LEGACY")&lt;/Q&gt;&lt;R&gt;1&lt;/R&gt;&lt;C&gt;1&lt;/C&gt;&lt;D xsi:type="xsd:double"&gt;2892.352&lt;/D&gt;&lt;/FQL&gt;&lt;FQL&gt;&lt;Q&gt;FC0000CA^FMA_MCAP(0,,,USD,"PORTAGG")&lt;/Q&gt;&lt;R&gt;1&lt;/R&gt;&lt;C&gt;1&lt;/C&gt;&lt;D xsi:type="xsd:double"&gt;3012761&lt;/D&gt;&lt;/FQL&gt;&lt;FQL&gt;&lt;Q&gt;EWA^FREF_MARKET_VALUE_COMPANY(0,,,USD,,0,,"LEGACY")&lt;/Q&gt;&lt;R&gt;1&lt;/R&gt;&lt;C&gt;1&lt;/C&gt;&lt;D xsi:type="xsd:double"&gt;1535.168&lt;/D&gt;&lt;/FQL&gt;&lt;FQL&gt;&lt;Q&gt;FC0000AU^FMA_MCAP(0,,,USD,"PORTAGG")&lt;/Q&gt;&lt;R&gt;1&lt;/R&gt;&lt;C&gt;1&lt;/C&gt;&lt;D xsi:type="xsd:double"&gt;1808592.3&lt;/D&gt;&lt;/FQL&gt;&lt;FQL&gt;&lt;Q&gt;ENZL^FREF_MARKET_VALUE_COMPANY(0,,,USD,,0,,"LEGACY")&lt;/Q&gt;&lt;R&gt;1&lt;/R&gt;&lt;C&gt;1&lt;/C&gt;&lt;D xsi:type="xsd:double"&gt;100.8805&lt;/D&gt;&lt;/FQL&gt;&lt;FQL&gt;&lt;Q&gt;FC0000NZ^FMA_MCAP(0,,,USD,"PORTAGG")&lt;/Q&gt;&lt;R&gt;1&lt;/R&gt;&lt;C&gt;1&lt;/C&gt;&lt;D xsi:type="xsd:double"&gt;100240.49&lt;/D&gt;&lt;/FQL&gt;&lt;FQL&gt;&lt;Q&gt;NQG00809^FG_COMPANY_NAME&lt;/Q&gt;&lt;R&gt;1&lt;/R&gt;&lt;C&gt;1&lt;/C&gt;&lt;D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Africa&lt;/D&gt;&lt;/FQL&gt;&lt;FQL&gt;&lt;Q&gt;NQG00809^FMA_MCAP(0,,,USD,"PORTAGG")&lt;/Q&gt;&lt;R&gt;0&lt;/R&gt;&lt;C&gt;0&lt;/C&gt;&lt;/FQL&gt;&lt;FQL&gt;&lt;Q&gt;FC0000ZA^FG_MCAP_IDX(0,,,USD)&lt;/Q&gt;&lt;R&gt;1&lt;/R&gt;&lt;C&gt;1&lt;/C&gt;&lt;D xsi:type="xsd:double"&gt;377069.5&lt;/D&gt;&lt;/FQL&gt;&lt;FQL&gt;&lt;Q&gt;EWI^FREF_MARKET_VALUE_COMPANY(0,,,USD,,0,,"LEGACY")&lt;/Q&gt;&lt;R&gt;1&lt;/R&gt;&lt;C&gt;1&lt;/C&gt;&lt;D xsi:type="xsd:double"&gt;523.1865&lt;/D&gt;&lt;/FQL&gt;&lt;FQL&gt;&lt;Q&gt;FC0000IT^FMA_MCAP(0,,,USD,"PORTAGG")&lt;/Q&gt;&lt;R&gt;1&lt;/R&gt;&lt;C&gt;1&lt;/C&gt;&lt;D xsi:type="xsd:double"&gt;904200.94&lt;/D&gt;&lt;/FQL&gt;&lt;FQL&gt;&lt;Q&gt;EWD^FREF_MARKET_VALUE_COMPANY(0,,,USD,,0,,"LEGACY")&lt;/Q&gt;&lt;R&gt;1&lt;/R&gt;&lt;C&gt;1&lt;/C&gt;&lt;D xsi:type="xsd:double"&gt;361.53&lt;/D&gt;&lt;/FQL&gt;&lt;FQL&gt;&lt;Q&gt;FC0000NL^FMA_MCAP(0,,,USD,"PORTAGG")&lt;/Q&gt;&lt;R&gt;1&lt;/R&gt;&lt;C&gt;1&lt;/C&gt;&lt;D xsi:type="xsd:double"&gt;1066475.3&lt;/D&gt;&lt;/FQL&gt;&lt;FQL&gt;&lt;Q&gt;EWQ^FREF_MARKET_VALUE_COMPANY(0,,,USD,,0,,"LEGACY")&lt;/Q&gt;&lt;R&gt;1&lt;/R&gt;&lt;C&gt;1&lt;/C&gt;&lt;D xsi:type="xsd:double"&gt;643.7&lt;/D&gt;&lt;/FQL&gt;&lt;FQL&gt;&lt;Q&gt;EWL^FREF_MARKET_VALUE_COMPANY(0,,,USD,,0,,"LEGACY")&lt;/Q&gt;&lt;R&gt;1&lt;/R&gt;&lt;C&gt;1&lt;/C&gt;&lt;D xsi:type="xsd:double"&gt;1294.18875&lt;/D&gt;&lt;/FQL&gt;&lt;FQL&gt;&lt;Q&gt;EWJ^FREF_MARKET_VALUE_COMPANY(0,,,USD,,0,,"LEGACY")&lt;/Q&gt;&lt;R&gt;1&lt;/R&gt;&lt;C&gt;1&lt;/C&gt;&lt;D xsi:type="xsd:double"&gt;14832.495&lt;/D&gt;&lt;/FQL&gt;&lt;FQL&gt;&lt;Q&gt;DUMMY^ECON_EXPR_DATA('FDS_ECON[NTCPMIMFGSA@IT]',,,M)&lt;/Q&gt;&lt;R&gt;1&lt;/R&gt;&lt;C&gt;1&lt;/C&gt;&lt;D xsi:type="xsd:double"&gt;48.309246&lt;/D&gt;&lt;/FQL&gt;&lt;FQL&gt;&lt;Q&gt;DUMMY^ECON_EXPR_DATA('FDS_ECON[NTCPMIMFGMESA@US]',,,M)&lt;/Q&gt;&lt;R&gt;1&lt;/R&gt;&lt;C&gt;1&lt;/C&gt;&lt;D xsi:type="xsd:double"&gt;47.257957&lt;/D&gt;&lt;/FQL&gt;&lt;FQL&gt;&lt;Q&gt;DUMMY^ECON_EXPR_DATA('FDS_ECON[NTCPMIMFGSA@GB]',,,M)&lt;/Q&gt;&lt;R&gt;1&lt;/R&gt;&lt;C&gt;1&lt;/C&gt;&lt;D xsi:type="xsd:double"&gt;51.538494&lt;/D&gt;&lt;/FQL&gt;&lt;FQL&gt;&lt;Q&gt;DUMMY^ECON_EXPR_DATA('FDS_ECON[NTCPMIMFGSA@JP]',,,M)&lt;/Q&gt;&lt;R&gt;1&lt;/R&gt;&lt;C&gt;1&lt;/C&gt;&lt;D xsi:type="xsd:double"&gt;49.730064&lt;/D&gt;&lt;/FQL&gt;&lt;FQL&gt;&lt;Q&gt;DUMMY^ECON_EXPR_DATA('FDS_ECON[NTCPMIMFGSA@AU]',,,M)&lt;/Q&gt;&lt;R&gt;1&lt;/R&gt;&lt;C&gt;1&lt;/C&gt;&lt;D xsi:type="xsd:double"&gt;46.746517&lt;/D&gt;&lt;/FQL&gt;&lt;FQL&gt;&lt;Q&gt;DUMMY^ECON_EXPR_DATA('FDS_ECON[NTCPMIMFGSA@NL]',,,M)&lt;/Q&gt;&lt;R&gt;1&lt;/R&gt;&lt;C&gt;1&lt;/C&gt;&lt;D xsi:type="xsd:double"&gt;48.15083&lt;/D&gt;&lt;/FQL&gt;&lt;FQL&gt;&lt;Q&gt;DUMMY^ECON_EXPR_DATA('FDS_ECON[NTCPMIMFGSA@CA]',,,M)&lt;/Q&gt;&lt;R&gt;1&lt;/R&gt;&lt;C&gt;1&lt;/C&gt;&lt;D xsi:type="xsd:double"&gt;50.366905&lt;/D&gt;&lt;/FQL&gt;&lt;FQL&gt;&lt;Q&gt;DUMMY^ECON_EXPR_DATA('FDS_ECON[]',,,M)&lt;/Q&gt;&lt;R&gt;0&lt;/R&gt;&lt;C&gt;0&lt;/C&gt;&lt;/FQL&gt;&lt;FQL&gt;&lt;Q&gt;DUMMY^ECON_EXPR_DATA('FDS_ECON[NTCPMIMFGSA@DE]',,,M)&lt;/Q&gt;&lt;R&gt;1&lt;/R&gt;&lt;C&gt;1&lt;/C&gt;&lt;D xsi:type="xsd:double"&gt;40.599674&lt;/D&gt;&lt;/FQL&gt;&lt;FQL&gt;&lt;Q&gt;DUMMY^ECON_EXPR_DATA('FDS_ECON[NTCPMIMFGSA@FR]',,,M)&lt;/Q&gt;&lt;R&gt;1&lt;/R&gt;&lt;C&gt;1&lt;/C&gt;&lt;D xsi:type="xsd:double"&gt;44.596165&lt;/D&gt;&lt;/FQL&gt;&lt;FQL&gt;&lt;Q&gt;DUMMY^ECON_EXPR_DATA('FDS_ECON[NTCPMIMFGSA@NZ]',,,M)&lt;/Q&gt;&lt;R&gt;1&lt;/R&gt;&lt;C&gt;1&lt;/C&gt;&lt;D xsi:type="xsd:double"&gt;46.885586&lt;/D&gt;&lt;/FQL&gt;&lt;FQL&gt;&lt;Q&gt;DUMMY^ECON_EXPR_DATA('FDS_ECON[NTCPMIMFGSA@CH]',,,M)&lt;/Q&gt;&lt;R&gt;1&lt;/R&gt;&lt;C&gt;1&lt;/C&gt;&lt;D xsi:type="xsd:double"&gt;49.874554&lt;/D&gt;&lt;/FQL&gt;&lt;FQL&gt;&lt;Q&gt;CAGDPY@FR^EE_ACTUAL_ANNUAL(MED,+1)&lt;/Q&gt;&lt;R&gt;1&lt;/R&gt;&lt;C&gt;1&lt;/C&gt;&lt;D xsi:type="xsd:double"&gt;-0.3&lt;/D&gt;&lt;/FQL&gt;&lt;FQL&gt;&lt;Q&gt;CAGDPY@AU^EE_ACTUAL_ANNUAL(MED,+1)&lt;/Q&gt;&lt;R&gt;1&lt;/R&gt;&lt;C&gt;1&lt;/C&gt;&lt;D xsi:type="xsd:double"&gt;-0.95&lt;/D&gt;&lt;/FQL&gt;&lt;FQL&gt;&lt;Q&gt;USDITL^FG_PRICE_CHANGE(0,-3AM)&lt;/Q&gt;&lt;R&gt;1&lt;/R&gt;&lt;C&gt;1&lt;/C&gt;&lt;D xsi:type="xsd:double"&gt;0.52958727&lt;/D&gt;&lt;/FQL&gt;&lt;FQL&gt;&lt;Q&gt;USDANG^FG_PRICE_CHANGE(0,-3AM)&lt;/Q&gt;&lt;R&gt;1&lt;/R&gt;&lt;C&gt;1&lt;/C&gt;&lt;D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xsi:type="xsd:double"&gt;-0.4487455&lt;/D&gt;&lt;/FQL&gt;&lt;FQL&gt;&lt;Q&gt;USDJPY^FG_PRICE_CHANGE(0,-3AM)&lt;/Q&gt;&lt;R&gt;1&lt;/R&gt;&lt;C&gt;1&lt;/C&gt;&lt;D xsi:type="xsd:double"&gt;-4.567349&lt;/D&gt;&lt;/FQL&gt;&lt;FQL&gt;&lt;Q&gt;USDCAD^FG_PRICE_CHANGE(0,-3AM)&lt;/Q&gt;&lt;R&gt;1&lt;/R&gt;&lt;C&gt;1&lt;/C&gt;&lt;D xsi:type="xsd:double"&gt;0.85844994&lt;/D&gt;&lt;/FQL&gt;&lt;FQL&gt;&lt;Q&gt;USDNZD^FG_PRICE_CHANGE(0,-3AM)&lt;/Q&gt;&lt;R&gt;1&lt;/R&gt;&lt;C&gt;1&lt;/C&gt;&lt;D xsi:type="xsd:double"&gt;0.024700165&lt;/D&gt;&lt;/FQL&gt;&lt;FQL&gt;&lt;Q&gt;EWA^FMA_EPS(NTMA,-20AY,0,CY,,"PORTAGG","MEANR")&lt;/Q&gt;&lt;R&gt;20&lt;/R&gt;&lt;C&gt;1&lt;/C&gt;&lt;D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xsi:type="xsd:double"&gt;1.31799698442393&lt;/D&gt;&lt;D xsi:type="xsd:double"&gt;1.26256164128892&lt;/D&gt;&lt;D xsi:type="xsd:double"&gt;1.41909398824033&lt;/D&gt;&lt;D xsi:type="xsd:double"&gt;1.56850336770513&lt;/D&gt;&lt;D xsi:type="xsd:double"&gt;1.47895581929429&lt;/D&gt;&lt;/FQL&gt;&lt;FQL&gt;&lt;Q&gt;ENZL^JULIAN(P_PRICE_RETURNS_PR('52W',2,-10AY,0,AM).DATES)&lt;/Q&gt;&lt;R&gt;121&lt;/R&gt;&lt;C&gt;1&lt;/C&gt;&lt;D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xsi:type="xsd:long"&gt;45400&lt;/D&gt;&lt;D xsi:type="xsd:long"&gt;45429&lt;/D&gt;&lt;D xsi:type="xsd:long"&gt;45461&lt;/D&gt;&lt;D xsi:type="xsd:long"&gt;45491&lt;/D&gt;&lt;D xsi:type="xsd:long"&gt;45520&lt;/D&gt;&lt;D xsi:type="xsd:long"&gt;45553&lt;/D&gt;&lt;D xsi:type="xsd:long"&gt;45583&lt;/D&gt;&lt;/FQL&gt;&lt;FQL&gt;&lt;Q&gt;EWD^FMA_DIV_YLD(NTMA,-10AY,0,AM,"PORTAGG","MEANR")&lt;/Q&gt;&lt;R&gt;121&lt;/R&gt;&lt;C&gt;1&lt;/C&gt;&lt;D xsi:type="xsd:double"&gt;4.50271891342975&lt;/D&gt;&lt;D xsi:type="xsd:double"&gt;4.14271359646743&lt;/D&gt;&lt;D xsi:type="xsd:double"&gt;4.15425656112496&lt;/D&gt;&lt;D xsi:type="xsd:double"&gt;4.10853464384359&lt;/D&gt;&lt;D xsi:type="xsd:double"&gt;3.67128737280383&lt;/D&gt;&lt;D xsi:type="xsd:double"&gt;3.59335678983807&lt;/D&gt;&lt;D xsi:type="xsd:double"&gt;3.71477611230126&lt;/D&gt;&lt;D xsi:type="xsd:double"&gt;3.83964527514921&lt;/D&gt;&lt;D xsi:type="xsd:double"&gt;4.02026369754913&lt;/D&gt;&lt;D xsi:type="xsd:double"&gt;3.88469336882092&lt;/D&gt;&lt;D xsi:type="xsd:double"&gt;4.05897257367556&lt;/D&gt;&lt;D xsi:type="xsd:double"&gt;4.45085881548837&lt;/D&gt;&lt;D xsi:type="xsd:double"&gt;4.39694919424729&lt;/D&gt;&lt;D xsi:type="xsd:double"&gt;4.16521830291504&lt;/D&gt;&lt;D xsi:type="xsd:double"&gt;4.39867641082854&lt;/D&gt;&lt;D xsi:type="xsd:double"&gt;4.75612412835376&lt;/D&gt;&lt;D xsi:type="xsd:double"&gt;4.39780050447432&lt;/D&gt;&lt;D xsi:type="xsd:double"&gt;4.31475585889011&lt;/D&gt;&lt;D xsi:type="xsd:double"&gt;4.33022589320129&lt;/D&gt;&lt;D xsi:type="xsd:double"&gt;4.45357640181301&lt;/D&gt;&lt;D xsi:type="xsd:double"&gt;4.61394995042471&lt;/D&gt;&lt;D xsi:type="xsd:double"&gt;4.36659523625678&lt;/D&gt;&lt;D xsi:type="xsd:double"&gt;4.25428395150704&lt;/D&gt;&lt;D xsi:type="xsd:double"&gt;4.28130521897875&lt;/D&gt;&lt;D xsi:type="xsd:double"&gt;4.07661703826407&lt;/D&gt;&lt;D xsi:type="xsd:double"&gt;4.04312774345562&lt;/D&gt;&lt;D xsi:type="xsd:double"&gt;3.83182065589598&lt;/D&gt;&lt;D xsi:type="xsd:double"&gt;3.89951512015294&lt;/D&gt;&lt;D xsi:type="xsd:double"&gt;3.64412621412014&lt;/D&gt;&lt;D xsi:type="xsd:double"&gt;3.63830171573328&lt;/D&gt;&lt;D xsi:type="xsd:double"&gt;3.69664506546369&lt;/D&gt;&lt;D xsi:type="xsd:double"&gt;3.43040551157493&lt;/D&gt;&lt;D xsi:type="xsd:double"&gt;3.52322416659464&lt;/D&gt;&lt;D xsi:type="xsd:double"&gt;3.61571399774354&lt;/D&gt;&lt;D xsi:type="xsd:double"&gt;3.79287067293053&lt;/D&gt;&lt;D xsi:type="xsd:double"&gt;3.69017388335513&lt;/D&gt;&lt;D xsi:type="xsd:double"&gt;3.5681633816885&lt;/D&gt;&lt;D xsi:type="xsd:double"&gt;3.64140213389896&lt;/D&gt;&lt;D xsi:type="xsd:double"&gt;3.67701310647497&lt;/D&gt;&lt;D xsi:type="xsd:double"&gt;3.65624177557271&lt;/D&gt;&lt;D xsi:type="xsd:double"&gt;3.88809065457878&lt;/D&gt;&lt;D xsi:type="xsd:double"&gt;3.88744848062447&lt;/D&gt;&lt;D xsi:type="xsd:double"&gt;4.0524072494578&lt;/D&gt;&lt;D xsi:type="xsd:double"&gt;3.94415889676687&lt;/D&gt;&lt;D xsi:type="xsd:double"&gt;4.12203058095518&lt;/D&gt;&lt;D xsi:type="xsd:double"&gt;4.14062963926887&lt;/D&gt;&lt;D xsi:type="xsd:double"&gt;4.09517429964534&lt;/D&gt;&lt;D xsi:type="xsd:double"&gt;4.12590335616309&lt;/D&gt;&lt;D xsi:type="xsd:double"&gt;4.30088539047595&lt;/D&gt;&lt;D xsi:type="xsd:double"&gt;4.46993840135065&lt;/D&gt;&lt;D xsi:type="xsd:double"&gt;4.63828395360975&lt;/D&gt;&lt;D xsi:type="xsd:double"&gt;4.37893456688104&lt;/D&gt;&lt;D xsi:type="xsd:double"&gt;4.12241564004056&lt;/D&gt;&lt;D xsi:type="xsd:double"&gt;4.07994369957444&lt;/D&gt;&lt;D xsi:type="xsd:double"&gt;3.96434695606085&lt;/D&gt;&lt;D xsi:type="xsd:double"&gt;4.19112178304092&lt;/D&gt;&lt;D xsi:type="xsd:double"&gt;4.18020891877961&lt;/D&gt;&lt;D xsi:type="xsd:double"&gt;4.11286103985558&lt;/D&gt;&lt;D xsi:type="xsd:double"&gt;4.32396071349103&lt;/D&gt;&lt;D xsi:type="xsd:double"&gt;3.89829954785052&lt;/D&gt;&lt;D xsi:type="xsd:double"&gt;3.83881869631345&lt;/D&gt;&lt;D xsi:type="xsd:double"&gt;3.67905207582823&lt;/D&gt;&lt;D xsi:type="xsd:double"&gt;3.566898929835&lt;/D&gt;&lt;D xsi:type="xsd:double"&gt;3.49581828197639&lt;/D&gt;&lt;D xsi:type="xsd:double"&gt;3.42245238362878&lt;/D&gt;&lt;D xsi:type="xsd:double"&gt;4.77783684211974&lt;/D&gt;&lt;D xsi:type="xsd:double"&gt;3.44706885762945&lt;/D&gt;&lt;D xsi:type="xsd:double"&gt;3.28511942619705&lt;/D&gt;&lt;D xsi:type="xsd:double"&gt;3.02542125684348&lt;/D&gt;&lt;D xsi:type="xsd:double"&gt;2.92743620880672&lt;/D&gt;&lt;D xsi:type="xsd:double"&gt;3.01859431328003&lt;/D&gt;&lt;D xsi:type="xsd:double"&gt;2.96301260409355&lt;/D&gt;&lt;D xsi:type="xsd:double"&gt;3.02064307021978&lt;/D&gt;&lt;D xsi:type="xsd:double"&gt;3.01139285411739&lt;/D&gt;&lt;D xsi:type="xsd:double"&gt;3.07896189058863&lt;/D&gt;&lt;D xsi:type="xsd:double"&gt;3.01254192789329&lt;/D&gt;&lt;D xsi:type="xsd:double"&gt;2.98608638530134&lt;/D&gt;&lt;D xsi:type="xsd:double"&gt;2.77572785948058&lt;/D&gt;&lt;D xsi:type="xsd:double"&gt;2.67739968981314&lt;/D&gt;&lt;D xsi:type="xsd:double"&gt;2.83482197651554&lt;/D&gt;&lt;D xsi:type="xsd:double"&gt;2.71030861584302&lt;/D&gt;&lt;D xsi:type="xsd:double"&gt;2.68391072207193&lt;/D&gt;&lt;D xsi:type="xsd:double"&gt;2.74265452311165&lt;/D&gt;&lt;D xsi:type="xsd:double"&gt;2.78291659438823&lt;/D&gt;&lt;D xsi:type="xsd:double"&gt;2.82523628964314&lt;/D&gt;&lt;D xsi:type="xsd:double"&gt;2.93474621408904&lt;/D&gt;&lt;D xsi:type="xsd:double"&gt;2.97097185831082&lt;/D&gt;&lt;D xsi:type="xsd:double"&gt;2.8128042333197&lt;/D&gt;&lt;D xsi:type="xsd:double"&gt;3.06716928082952&lt;/D&gt;&lt;D xsi:type="xsd:double"&gt;3.02451801388326&lt;/D&gt;&lt;D xsi:type="xsd:double"&gt;3.16720703938756&lt;/D&gt;&lt;D xsi:type="xsd:double"&gt;3.42300414990999&lt;/D&gt;&lt;D xsi:type="xsd:double"&gt;3.62136009934989&lt;/D&gt;&lt;D xsi:type="xsd:double"&gt;3.69355956692537&lt;/D&gt;&lt;D xsi:type="xsd:double"&gt;3.46342659253252&lt;/D&gt;&lt;D xsi:type="xsd:double"&gt;3.77338742318244&lt;/D&gt;&lt;D xsi:type="xsd:double"&gt;3.6251836210607&lt;/D&gt;&lt;D xsi:type="xsd:double"&gt;3.6198696990263&lt;/D&gt;&lt;D xsi:type="xsd:double"&gt;3.72742535226228&lt;/D&gt;&lt;D xsi:type="xsd:double"&gt;3.4878447293247&lt;/D&gt;&lt;D xsi:type="xsd:double"&gt;3.52126153867038&lt;/D&gt;&lt;D xsi:type="xsd:double"&gt;3.83499467178376&lt;/D&gt;&lt;D xsi:type="xsd:double"&gt;3.59480364287087&lt;/D&gt;&lt;D xsi:type="xsd:double"&gt;3.75363295868208&lt;/D&gt;&lt;D xsi:type="xsd:double"&gt;3.67101274777751&lt;/D&gt;&lt;D xsi:type="xsd:double"&gt;3.78036970500951&lt;/D&gt;&lt;D xsi:type="xsd:double"&gt;4.00985817859547&lt;/D&gt;&lt;D xsi:type="xsd:double"&gt;3.96341423285851&lt;/D&gt;&lt;D xsi:type="xsd:double"&gt;3.84155889640035&lt;/D&gt;&lt;D xsi:type="xsd:double"&gt;3.70112150308398&lt;/D&gt;&lt;D xsi:type="xsd:double"&gt;2.95228350203&lt;/D&gt;&lt;D xsi:type="xsd:double"&gt;3.05813118590169&lt;/D&gt;&lt;D xsi:type="xsd:double"&gt;3.34199163094894&lt;/D&gt;&lt;D xsi:type="xsd:double"&gt;3.22906026268243&lt;/D&gt;&lt;D xsi:type="xsd:double"&gt;3.31504048028565&lt;/D&gt;&lt;D xsi:type="xsd:double"&gt;3.1966425648794&lt;/D&gt;&lt;D xsi:type="xsd:double"&gt;3.26131655218747&lt;/D&gt;&lt;D xsi:type="xsd:double"&gt;3.18757593084362&lt;/D&gt;&lt;D xsi:type="xsd:double"&gt;3.29288743935171&lt;/D&gt;&lt;D xsi:type="xsd:double"&gt;3.23566240961707&lt;/D&gt;&lt;D xsi:type="xsd:double"&gt;3.22049505107949&lt;/D&gt;&lt;/FQL&gt;&lt;FQL&gt;&lt;Q&gt;EWQ^FMA_PE(NTMA,-10AY,0,AM,"PORTAGG","MEANR")&lt;/Q&gt;&lt;R&gt;121&lt;/R&gt;&lt;C&gt;1&lt;/C&gt;&lt;D xsi:type="xsd:double"&gt;12.5489153992832&lt;/D&gt;&lt;D xsi:type="xsd:double"&gt;13.3739452142969&lt;/D&gt;&lt;D xsi:type="xsd:double"&gt;13.6642205665739&lt;/D&gt;&lt;D xsi:type="xsd:double"&gt;14.3101186853963&lt;/D&gt;&lt;D xsi:type="xsd:double"&gt;15.9595539724101&lt;/D&gt;&lt;D xsi:type="xsd:double"&gt;16.5420706782688&lt;/D&gt;&lt;D xsi:type="xsd:double"&gt;16.681820367625&lt;/D&gt;&lt;D xsi:type="xsd:double"&gt;16.2304118300615&lt;/D&gt;&lt;D xsi:type="xsd:double"&gt;15.3773297974517&lt;/D&gt;&lt;D xsi:type="xsd:double"&gt;16.079066522745&lt;/D&gt;&lt;D xsi:type="xsd:double"&gt;15.3308677496785&lt;/D&gt;&lt;D xsi:type="xsd:double"&gt;14.1155153182944&lt;/D&gt;&lt;D xsi:type="xsd:double"&gt;14.6125367310741&lt;/D&gt;&lt;D xsi:type="xsd:double"&gt;15.2278709758064&lt;/D&gt;&lt;D xsi:type="xsd:double"&gt;14.5218531465315&lt;/D&gt;&lt;D xsi:type="xsd:double"&gt;13.4651441857621&lt;/D&gt;&lt;D xsi:type="xsd:double"&gt;13.8843484260046&lt;/D&gt;&lt;D xsi:type="xsd:double"&gt;14.5840893406383&lt;/D&gt;&lt;D xsi:type="xsd:double"&gt;14.735973644746&lt;/D&gt;&lt;D xsi:type="xsd:double"&gt;14.1093168232334&lt;/D&gt;&lt;D xsi:type="xsd:double"&gt;13.4661705103172&lt;/D&gt;&lt;D xsi:type="xsd:double"&gt;13.9280081902963&lt;/D&gt;&lt;D xsi:type="xsd:double"&gt;13.9936144545503&lt;/D&gt;&lt;D xsi:type="xsd:double"&gt;13.6024941273295&lt;/D&gt;&lt;D xsi:type="xsd:double"&gt;13.9861027491849&lt;/D&gt;&lt;D xsi:type="xsd:double"&gt;13.6909639448354&lt;/D&gt;&lt;D xsi:type="xsd:double"&gt;14.5158717167062&lt;/D&gt;&lt;D xsi:type="xsd:double"&gt;14.5177077673905&lt;/D&gt;&lt;D xsi:type="xsd:double"&gt;14.273920010363&lt;/D&gt;&lt;D xsi:type="xsd:double"&gt;14.6149066064755&lt;/D&gt;&lt;D xsi:type="xsd:double"&gt;14.4744740320449&lt;/D&gt;&lt;D xsi:type="xsd:double"&gt;15.1226104411049&lt;/D&gt;&lt;D xsi:type="xsd:double"&gt;14.9809724417214&lt;/D&gt;&lt;D xsi:type="xsd:double"&gt;14.7796352235972&lt;/D&gt;&lt;D xsi:type="xsd:double"&gt;14.5083152258111&lt;/D&gt;&lt;D xsi:type="xsd:double"&gt;14.8685672333167&lt;/D&gt;&lt;D xsi:type="xsd:double"&gt;15.2075955058969&lt;/D&gt;&lt;D xsi:type="xsd:double"&gt;14.8219308118101&lt;/D&gt;&lt;D xsi:type="xsd:double"&gt;15.1032248714443&lt;/D&gt;&lt;D xsi:type="xsd:double"&gt;15.2243997386986&lt;/D&gt;&lt;D xsi:type="xsd:double"&gt;14.6009205691885&lt;/D&gt;&lt;D xsi:type="xsd:double"&gt;14.5360915971499&lt;/D&gt;&lt;D xsi:type="xsd:double"&gt;14.6439213743632&lt;/D&gt;&lt;D xsi:type="xsd:double"&gt;14.9174272652125&lt;/D&gt;&lt;D xsi:type="xsd:double"&gt;14.3617620895396&lt;/D&gt;&lt;D xsi:type="xsd:double"&gt;14.1611141759974&lt;/D&gt;&lt;D xsi:type="xsd:double"&gt;13.6578535341948&lt;/D&gt;&lt;D xsi:type="xsd:double"&gt;13.619201706488&lt;/D&gt;&lt;D xsi:type="xsd:double"&gt;12.8480191887347&lt;/D&gt;&lt;D xsi:type="xsd:double"&gt;12.6135588062794&lt;/D&gt;&lt;D xsi:type="xsd:double"&gt;11.9715870651085&lt;/D&gt;&lt;D xsi:type="xsd:double"&gt;12.5377029770586&lt;/D&gt;&lt;D xsi:type="xsd:double"&gt;13.1933277057201&lt;/D&gt;&lt;D xsi:type="xsd:double"&gt;13.8245518055016&lt;/D&gt;&lt;D xsi:type="xsd:double"&gt;14.117434404387&lt;/D&gt;&lt;D xsi:type="xsd:double"&gt;13.754216614496&lt;/D&gt;&lt;D xsi:type="xsd:double"&gt;11.8650446694304&lt;/D&gt;&lt;D xsi:type="xsd:double"&gt;13.9892381061931&lt;/D&gt;&lt;D xsi:type="xsd:double"&gt;13.4067157089686&lt;/D&gt;&lt;D xsi:type="xsd:double"&gt;14.1035114168212&lt;/D&gt;&lt;D xsi:type="xsd:double"&gt;14.2395568298972&lt;/D&gt;&lt;D xsi:type="xsd:double"&gt;14.8367861292203&lt;/D&gt;&lt;D xsi:type="xsd:double"&gt;14.8549966580941&lt;/D&gt;&lt;D xsi:type="xsd:double"&gt;15.1735496264535&lt;/D&gt;&lt;D xsi:type="xsd:double"&gt;15.1940060593707&lt;/D&gt;&lt;D xsi:type="xsd:double"&gt;10.0410668504494&lt;/D&gt;&lt;D xsi:type="xsd:double"&gt;15.215172755979&lt;/D&gt;&lt;D xsi:type="xsd:double"&gt;16.7251140130911&lt;/D&gt;&lt;D xsi:type="xsd:double"&gt;18.8169585389721&lt;/D&gt;&lt;D xsi:type="xsd:double"&gt;19.7967165820499&lt;/D&gt;&lt;D xsi:type="xsd:double"&gt;19.5751560238271&lt;/D&gt;&lt;D xsi:type="xsd:double"&gt;18.8770569147491&lt;/D&gt;&lt;D xsi:type="xsd:double"&gt;18.2304530185485&lt;/D&gt;&lt;D xsi:type="xsd:double"&gt;19.2308878219211&lt;/D&gt;&lt;D xsi:type="xsd:double"&gt;18.2779272596007&lt;/D&gt;&lt;D xsi:type="xsd:double"&gt;17.8584574443758&lt;/D&gt;&lt;D xsi:type="xsd:double"&gt;17.8954071704208&lt;/D&gt;&lt;D xsi:type="xsd:double"&gt;18.4696750350142&lt;/D&gt;&lt;D xsi:type="xsd:double"&gt;18.3474332753285&lt;/D&gt;&lt;D xsi:type="xsd:double"&gt;17.7070728311959&lt;/D&gt;&lt;D xsi:type="xsd:double"&gt;17.8113680531934&lt;/D&gt;&lt;D xsi:type="xsd:double"&gt;16.8652475701633&lt;/D&gt;&lt;D xsi:type="xsd:double"&gt;16.5582832536201&lt;/D&gt;&lt;D xsi:type="xsd:double"&gt;15.890251834728&lt;/D&gt;&lt;D xsi:type="xsd:double"&gt;15.5470695914309&lt;/D&gt;&lt;D xsi:type="xsd:double"&gt;16.0221252657749&lt;/D&gt;&lt;D xsi:type="xsd:double"&gt;15.372889978845&lt;/D&gt;&lt;D xsi:type="xsd:double"&gt;15.506323464214&lt;/D&gt;&lt;D xsi:type="xsd:double"&gt;14.5092087112448&lt;/D&gt;&lt;D xsi:type="xsd:double"&gt;13.7359546298818&lt;/D&gt;&lt;D xsi:type="xsd:double"&gt;13.1479616983801&lt;/D&gt;&lt;D xsi:type="xsd:double"&gt;12.1306814569865&lt;/D&gt;&lt;D xsi:type="xsd:double"&gt;11.1532990634997&lt;/D&gt;&lt;D xsi:type="xsd:double"&gt;11.3083871732149&lt;/D&gt;&lt;D xsi:type="xsd:double"&gt;11.8049545340267&lt;/D&gt;&lt;D xsi:type="xsd:double"&gt;10.9691052303795&lt;/D&gt;&lt;D xsi:type="xsd:double"&gt;10.8126828946691&lt;/D&gt;&lt;D xsi:type="xsd:double"&gt;11.9351910491536&lt;/D&gt;&lt;D xsi:type="xsd:double"&gt;11.7529192793116&lt;/D&gt;&lt;D xsi:type="xsd:double"&gt;13.0729485571002&lt;/D&gt;&lt;D xsi:type="xsd:double"&gt;13.4427536709171&lt;/D&gt;&lt;D xsi:type="xsd:double"&gt;12.5904090767888&lt;/D&gt;&lt;D xsi:type="xsd:double"&gt;13.7233498987658&lt;/D&gt;&lt;D xsi:type="xsd:double"&gt;13.3676316321282&lt;/D&gt;&lt;D xsi:type="xsd:double"&gt;13.3467837574158&lt;/D&gt;&lt;D xsi:type="xsd:double"&gt;13.199247745158&lt;/D&gt;&lt;D xsi:type="xsd:double"&gt;12.7075956095512&lt;/D&gt;&lt;D xsi:type="xsd:double"&gt;12.8163759373912&lt;/D&gt;&lt;D xsi:type="xsd:double"&gt;12.1711716896328&lt;/D&gt;&lt;D xsi:type="xsd:double"&gt;12.8221344297504&lt;/D&gt;&lt;D xsi:type="xsd:double"&gt;13.4274451265678&lt;/D&gt;&lt;D xsi:type="xsd:double"&gt;13.2288514978096&lt;/D&gt;&lt;D xsi:type="xsd:double"&gt;13.9969962622387&lt;/D&gt;&lt;D xsi:type="xsd:double"&gt;14.6167490769893&lt;/D&gt;&lt;D xsi:type="xsd:double"&gt;14.3260464477612&lt;/D&gt;&lt;D xsi:type="xsd:double"&gt;14.6516384149963&lt;/D&gt;&lt;D xsi:type="xsd:double"&gt;13.6294042861896&lt;/D&gt;&lt;D xsi:type="xsd:double"&gt;13.5895991464202&lt;/D&gt;&lt;D xsi:type="xsd:double"&gt;13.5175251848556&lt;/D&gt;&lt;D xsi:type="xsd:double"&gt;13.5252313898148&lt;/D&gt;&lt;D xsi:type="xsd:double"&gt;13.8092374281818&lt;/D&gt;&lt;/FQL&gt;&lt;FQL&gt;&lt;Q&gt;QQQ^FMA_PE(LTMA,-10AY,0,AM,"PORTAGG","MEANR")&lt;/Q&gt;&lt;R&gt;121&lt;/R&gt;&lt;C&gt;1&lt;/C&gt;&lt;D xsi:type="xsd:double"&gt;18.4466686644066&lt;/D&gt;&lt;D xsi:type="xsd:double"&gt;20.1160543310593&lt;/D&gt;&lt;D xsi:type="xsd:double"&gt;20.2529168629619&lt;/D&gt;&lt;D xsi:type="xsd:double"&gt;19.5352133605673&lt;/D&gt;&lt;D xsi:type="xsd:double"&gt;20.4984932391602&lt;/D&gt;&lt;D xsi:type="xsd:double"&gt;20.6485317907084&lt;/D&gt;&lt;D xsi:type="xsd:double"&gt;20.3862357443063&lt;/D&gt;&lt;D xsi:type="xsd:double"&gt;20.3449641196392&lt;/D&gt;&lt;D xsi:type="xsd:double"&gt;20.2105916569216&lt;/D&gt;&lt;D xsi:type="xsd:double"&gt;20.4773335090047&lt;/D&gt;&lt;D xsi:type="xsd:double"&gt;20.2612961048779&lt;/D&gt;&lt;D xsi:type="xsd:double"&gt;19.4882471788593&lt;/D&gt;&lt;D xsi:type="xsd:double"&gt;19.7522977909972&lt;/D&gt;&lt;D xsi:type="xsd:double"&gt;20.3607175236638&lt;/D&gt;&lt;D xsi:type="xsd:double"&gt;19.7733955250887&lt;/D&gt;&lt;D xsi:type="xsd:double"&gt;18.2634328835928&lt;/D&gt;&lt;D xsi:type="xsd:double"&gt;18.1874866214075&lt;/D&gt;&lt;D xsi:type="xsd:double"&gt;18.3033545742248&lt;/D&gt;&lt;D xsi:type="xsd:double"&gt;18.5050568707305&lt;/D&gt;&lt;D xsi:type="xsd:double"&gt;18.3256455259173&lt;/D&gt;&lt;D xsi:type="xsd:double"&gt;18.3845919335176&lt;/D&gt;&lt;D xsi:type="xsd:double"&gt;19.1387921696444&lt;/D&gt;&lt;D xsi:type="xsd:double"&gt;19.5809939177438&lt;/D&gt;&lt;D xsi:type="xsd:double"&gt;19.6943265831601&lt;/D&gt;&lt;D xsi:type="xsd:double"&gt;19.9490616937055&lt;/D&gt;&lt;D xsi:type="xsd:double"&gt;19.838745730403&lt;/D&gt;&lt;D xsi:type="xsd:double"&gt;20.3620809062086&lt;/D&gt;&lt;D xsi:type="xsd:double"&gt;20.9901546355609&lt;/D&gt;&lt;D xsi:type="xsd:double"&gt;21.7629193504294&lt;/D&gt;&lt;D xsi:type="xsd:double"&gt;21.6915977042496&lt;/D&gt;&lt;D xsi:type="xsd:double"&gt;21.5527077831868&lt;/D&gt;&lt;D xsi:type="xsd:double"&gt;21.7432083297054&lt;/D&gt;&lt;D xsi:type="xsd:double"&gt;21.7612940494373&lt;/D&gt;&lt;D xsi:type="xsd:double"&gt;22.1768664416484&lt;/D&gt;&lt;D xsi:type="xsd:double"&gt;21.8326028711533&lt;/D&gt;&lt;D xsi:type="xsd:double"&gt;22.3279227632851&lt;/D&gt;&lt;D xsi:type="xsd:double"&gt;22.7125248833635&lt;/D&gt;&lt;D xsi:type="xsd:double"&gt;22.9879963290216&lt;/D&gt;&lt;D xsi:type="xsd:double"&gt;23.9527752515297&lt;/D&gt;&lt;D xsi:type="xsd:double"&gt;24.9227298177188&lt;/D&gt;&lt;D xsi:type="xsd:double"&gt;23.9657419816844&lt;/D&gt;&lt;D xsi:type="xsd:double"&gt;24.0713317525567&lt;/D&gt;&lt;D xsi:type="xsd:double"&gt;23.6319454716044&lt;/D&gt;&lt;D xsi:type="xsd:double"&gt;23.1904498258411&lt;/D&gt;&lt;D xsi:type="xsd:double"&gt;23.3993304405297&lt;/D&gt;&lt;D xsi:type="xsd:double"&gt;23.3769301927965&lt;/D&gt;&lt;D xsi:type="xsd:double"&gt;23.0169954039989&lt;/D&gt;&lt;D xsi:type="xsd:double"&gt;23.0061895802286&lt;/D&gt;&lt;D xsi:type="xsd:double"&gt;21.9609768799479&lt;/D&gt;&lt;D xsi:type="xsd:double"&gt;20.7013601011065&lt;/D&gt;&lt;D xsi:type="xsd:double"&gt;19.2624852907969&lt;/D&gt;&lt;D xsi:type="xsd:double"&gt;20.0599763864504&lt;/D&gt;&lt;D xsi:type="xsd:double"&gt;20.7601571034967&lt;/D&gt;&lt;D xsi:type="xsd:double"&gt;21.0044256456574&lt;/D&gt;&lt;D xsi:type="xsd:double"&gt;21.3003007033449&lt;/D&gt;&lt;D xsi:type="xsd:double"&gt;21.2139642958417&lt;/D&gt;&lt;D xsi:type="xsd:double"&gt;21.5590473111136&lt;/D&gt;&lt;D xsi:type="xsd:double"&gt;22.0357886945944&lt;/D&gt;&lt;D xsi:type="xsd:double"&gt;21.6334057228909&lt;/D&gt;&lt;D xsi:type="xsd:double"&gt;21.9640445616371&lt;/D&gt;&lt;D xsi:type="xsd:double"&gt;22.4496334654592&lt;/D&gt;&lt;D xsi:type="xsd:double"&gt;23.6725035072462&lt;/D&gt;&lt;D xsi:type="xsd:double"&gt;24.8215737762576&lt;/D&gt;&lt;D xsi:type="xsd:double"&gt;26.60376302663&lt;/D&gt;&lt;D xsi:type="xsd:double"&gt;27.2010385964779&lt;/D&gt;&lt;D xsi:type="xsd:double"&gt;23.0490796148416&lt;/D&gt;&lt;D xsi:type="xsd:double"&gt;24.6469645276378&lt;/D&gt;&lt;D xsi:type="xsd:double"&gt;25.9332210769583&lt;/D&gt;&lt;D xsi:type="xsd:double"&gt;27.4591020070017&lt;/D&gt;&lt;D xsi:type="xsd:double"&gt;28.7410642314601&lt;/D&gt;&lt;D xsi:type="xsd:double"&gt;29.7879017147828&lt;/D&gt;&lt;D xsi:type="xsd:double"&gt;29.5646290983109&lt;/D&gt;&lt;D xsi:type="xsd:double"&gt;32.148184756747&lt;/D&gt;&lt;D xsi:type="xsd:double"&gt;31.9808241782289&lt;/D&gt;&lt;D xsi:type="xsd:double"&gt;34.8551375018492&lt;/D&gt;&lt;D xsi:type="xsd:double"&gt;34.709958128718&lt;/D&gt;&lt;D xsi:type="xsd:double"&gt;35.0426900330094&lt;/D&gt;&lt;D xsi:type="xsd:double"&gt;32.5871903626143&lt;/D&gt;&lt;D xsi:type="xsd:double"&gt;32.9331429957589&lt;/D&gt;&lt;D xsi:type="xsd:double"&gt;31.3615503442701&lt;/D&gt;&lt;D xsi:type="xsd:double"&gt;31.5046646673308&lt;/D&gt;&lt;D xsi:type="xsd:double"&gt;31.8082564478524&lt;/D&gt;&lt;D xsi:type="xsd:double"&gt;30.9287979375528&lt;/D&gt;&lt;D xsi:type="xsd:double"&gt;31.2286982152595&lt;/D&gt;&lt;D xsi:type="xsd:double"&gt;30.9111127191039&lt;/D&gt;&lt;D xsi:type="xsd:double"&gt;32.3291039364443&lt;/D&gt;&lt;D xsi:type="xsd:double"&gt;30.8590137185943&lt;/D&gt;&lt;D xsi:type="xsd:double"&gt;29.5794561188698&lt;/D&gt;&lt;D xsi:type="xsd:double"&gt;26.3630432901878&lt;/D&gt;&lt;D xsi:type="xsd:double"&gt;26.6823319087617&lt;/D&gt;&lt;D xsi:type="xsd:double"&gt;26.3264956574574&lt;/D&gt;&lt;D xsi:type="xsd:double"&gt;24.9792188093461&lt;/D&gt;&lt;D xsi:type="xsd:double"&gt;24.0144631011839&lt;/D&gt;&lt;D xsi:type="xsd:double"&gt;24.2790087330174&lt;/D&gt;&lt;D xsi:type="xsd:double"&gt;26.3495194024071&lt;/D&gt;&lt;D xsi:type="xsd:double"&gt;24.0252426162968&lt;/D&gt;&lt;D xsi:type="xsd:double"&gt;22.8136079627086&lt;/D&gt;&lt;D xsi:type="xsd:double"&gt;23.5883636312744&lt;/D&gt;&lt;D xsi:type="xsd:double"&gt;22.4861961212206&lt;/D&gt;&lt;D xsi:type="xsd:double"&gt;23.6470894279236&lt;/D&gt;&lt;D xsi:type="xsd:double"&gt;25.7287244010023&lt;/D&gt;&lt;D xsi:type="xsd:double"&gt;25.3557604781026&lt;/D&gt;&lt;D xsi:type="xsd:double"&gt;25.6767751850423&lt;/D&gt;&lt;D xsi:type="xsd:double"&gt;26.1094640164448&lt;/D&gt;&lt;D xsi:type="xsd:double"&gt;27.1823747055785&lt;/D&gt;&lt;D xsi:type="xsd:double"&gt;28.1692083769527&lt;/D&gt;&lt;D xsi:type="xsd:double"&gt;25.9443292656583&lt;/D&gt;&lt;D xsi:type="xsd:double"&gt;26.5519877080756&lt;/D&gt;&lt;D xsi:type="xsd:double"&gt;26.2765661818127&lt;/D&gt;&lt;D xsi:type="xsd:double"&gt;27.506501778575&lt;/D&gt;&lt;D xsi:type="xsd:double"&gt;28.9288179693713&lt;/D&gt;&lt;D xsi:type="xsd:double"&gt;29.2564166935522&lt;/D&gt;&lt;D xsi:type="xsd:double"&gt;29.9203922526301&lt;/D&gt;&lt;D xsi:type="xsd:double"&gt;30.1146655033882&lt;/D&gt;&lt;D xsi:type="xsd:double"&gt;29.4871192085995&lt;/D&gt;&lt;D xsi:type="xsd:double"&gt;29.7712000551922&lt;/D&gt;&lt;D xsi:type="xsd:double"&gt;30.2972031115332&lt;/D&gt;&lt;D xsi:type="xsd:double"&gt;30.0244867801335&lt;/D&gt;&lt;D xsi:type="xsd:double"&gt;30.2632673934252&lt;/D&gt;&lt;D xsi:type="xsd:double"&gt;29.9192960429583&lt;/D&gt;&lt;D xsi:type="xsd:double"&gt;30.8208472023143&lt;/D&gt;&lt;/FQL&gt;&lt;FQL&gt;&lt;Q&gt;DDR3512M-FDS^FG_PRICE(0)&lt;/Q&gt;&lt;R&gt;1&lt;/R&gt;&lt;C&gt;1&lt;/C&gt;&lt;D xsi:type="xsd:double"&gt;0.86&lt;/D&gt;&lt;/FQL&gt;&lt;FQL&gt;&lt;Q&gt;PASP-FDS^FG_PRICE(0)&lt;/Q&gt;&lt;R&gt;1&lt;/R&gt;&lt;C&gt;1&lt;/C&gt;&lt;D xsi:type="xsd:double"&gt;1047&lt;/D&gt;&lt;/FQL&gt;&lt;FQL&gt;&lt;Q&gt;PLATI-FDS^FG_PRICE(0)&lt;/Q&gt;&lt;R&gt;1&lt;/R&gt;&lt;C&gt;1&lt;/C&gt;&lt;D xsi:type="xsd:double"&gt;1004&lt;/D&gt;&lt;/FQL&gt;&lt;FQL&gt;&lt;Q&gt;W-FDS^FG_PRICE(0)&lt;/Q&gt;&lt;R&gt;1&lt;/R&gt;&lt;C&gt;1&lt;/C&gt;&lt;D xsi:type="xsd:double"&gt;5.7275&lt;/D&gt;&lt;/FQL&gt;&lt;FQL&gt;&lt;Q&gt;COPP-FDS^FG_PRICE(0)&lt;/Q&gt;&lt;R&gt;1&lt;/R&gt;&lt;C&gt;1&lt;/C&gt;&lt;D xsi:type="xsd:double"&gt;4.346&lt;/D&gt;&lt;/FQL&gt;&lt;FQL&gt;&lt;Q&gt;FC0000US^FG_PRICE(0)&lt;/Q&gt;&lt;R&gt;1&lt;/R&gt;&lt;C&gt;1&lt;/C&gt;&lt;D xsi:type="xsd:double"&gt;439.21252&lt;/D&gt;&lt;/FQL&gt;&lt;FQL&gt;&lt;Q&gt;FC0000GR^FG_PRICE(0)&lt;/Q&gt;&lt;R&gt;1&lt;/R&gt;&lt;C&gt;1&lt;/C&gt;&lt;D xsi:type="xsd:double"&gt;10.243778&lt;/D&gt;&lt;/FQL&gt;&lt;FQL&gt;&lt;Q&gt;EWI^FG_PRICE(0)&lt;/Q&gt;&lt;R&gt;1&lt;/R&gt;&lt;C&gt;1&lt;/C&gt;&lt;D xsi:type="xsd:double"&gt;39.19&lt;/D&gt;&lt;/FQL&gt;&lt;FQL&gt;&lt;Q&gt;SPY^FG_PRICE(0)&lt;/Q&gt;&lt;R&gt;1&lt;/R&gt;&lt;C&gt;1&lt;/C&gt;&lt;D xsi:type="xsd:double"&gt;584.59&lt;/D&gt;&lt;/FQL&gt;&lt;FQL&gt;&lt;Q&gt;EWJ^FG_PRICE(0)&lt;/Q&gt;&lt;R&gt;1&lt;/R&gt;&lt;C&gt;1&lt;/C&gt;&lt;D xsi:type="xsd:double"&gt;70.13&lt;/D&gt;&lt;/FQL&gt;&lt;FQL&gt;&lt;Q&gt;ENZL^FG_PRICE(0)&lt;/Q&gt;&lt;R&gt;1&lt;/R&gt;&lt;C&gt;1&lt;/C&gt;&lt;D xsi:type="xsd:double"&gt;49.21&lt;/D&gt;&lt;/FQL&gt;&lt;FQL&gt;&lt;Q&gt;EWA^FG_COMPANY_NAME&lt;/Q&gt;&lt;R&gt;1&lt;/R&gt;&lt;C&gt;1&lt;/C&gt;&lt;D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xsi:type="xsd:double"&gt;0.5421859&lt;/D&gt;&lt;/FQL&gt;&lt;FQL&gt;&lt;Q&gt;SPY^FMA_PCT_ABOVE_MAVG(200,0,,,,"PORTAGG")&lt;/Q&gt;&lt;R&gt;1&lt;/R&gt;&lt;C&gt;1&lt;/C&gt;&lt;D xsi:type="xsd:double"&gt;78.4&lt;/D&gt;&lt;/FQL&gt;&lt;FQL&gt;&lt;Q&gt;URTH^PERCENT_CHANGE(FMA_EPS(+1,0,,,,"PORTAGG","MEAN"),FMA_EPS(+1,-3AM,,,,"PORTAGG","MEAN"))&lt;/Q&gt;&lt;R&gt;1&lt;/R&gt;&lt;C&gt;1&lt;/C&gt;&lt;D xsi:type="xsd:double"&gt;-0.541317932584024&lt;/D&gt;&lt;/FQL&gt;&lt;FQL&gt;&lt;Q&gt;VGK^FG_TOTAL_RETURNC(0,-3AM)&lt;/Q&gt;&lt;R&gt;1&lt;/R&gt;&lt;C&gt;1&lt;/C&gt;&lt;D xsi:type="xsd:double"&gt;2.4238944&lt;/D&gt;&lt;/FQL&gt;&lt;FQL&gt;&lt;Q&gt;EWD^P_PRICE(0)/P_PRICE_HIGH_PR(0,,,,,,"PRICE","INTRA","52W")&lt;/Q&gt;&lt;R&gt;1&lt;/R&gt;&lt;C&gt;1&lt;/C&gt;&lt;D xsi:type="xsd:double"&gt;0.9372157&lt;/D&gt;&lt;/FQL&gt;&lt;FQL&gt;&lt;Q&gt;EWQ^FG_TOTAL_RETURNC(0,-12AM)&lt;/Q&gt;&lt;R&gt;1&lt;/R&gt;&lt;C&gt;1&lt;/C&gt;&lt;D xsi:type="xsd:double"&gt;17.203188&lt;/D&gt;&lt;/FQL&gt;&lt;FQL&gt;&lt;Q&gt;SPY^PERCENT_CHANGE(FMA_EPS(+1,0,,,,"PORTAGG","MEAN"),FMA_EPS(+1,-1AM,,,,"PORTAGG","MEAN"))&lt;/Q&gt;&lt;R&gt;1&lt;/R&gt;&lt;C&gt;1&lt;/C&gt;&lt;D xsi:type="xsd:double"&gt;-1.39872289427633&lt;/D&gt;&lt;/FQL&gt;&lt;FQL&gt;&lt;Q&gt;EWU^FG_TOTAL_RETURNC(0,-1AM)&lt;/Q&gt;&lt;R&gt;1&lt;/R&gt;&lt;C&gt;1&lt;/C&gt;&lt;D xsi:type="xsd:double"&gt;0.054061413&lt;/D&gt;&lt;/FQL&gt;&lt;FQL&gt;&lt;Q&gt;EWJ^FG_TOTAL_RETURNC(0,-6AM)&lt;/Q&gt;&lt;R&gt;1&lt;/R&gt;&lt;C&gt;1&lt;/C&gt;&lt;D xsi:type="xsd:double"&gt;5.627322&lt;/D&gt;&lt;/FQL&gt;&lt;FQL&gt;&lt;Q&gt;EWC^P_PRICE(0)/P_PRICE_LOW_PR(0,,,,,,"PRICE","INTRA","52W")-1&lt;/Q&gt;&lt;R&gt;1&lt;/R&gt;&lt;C&gt;1&lt;/C&gt;&lt;D xsi:type="xsd:double"&gt;0.3384273&lt;/D&gt;&lt;/FQL&gt;&lt;FQL&gt;&lt;Q&gt;EWA^FMA_PCT_ABOVE_MAVG(200,0,,,,"PORTAGG")&lt;/Q&gt;&lt;R&gt;1&lt;/R&gt;&lt;C&gt;1&lt;/C&gt;&lt;D xsi:type="xsd:double"&gt;67.2413793103448&lt;/D&gt;&lt;/FQL&gt;&lt;FQL&gt;&lt;Q&gt;EWJ^SIZE(FG_CONSTITUENTS)&lt;/Q&gt;&lt;R&gt;1&lt;/R&gt;&lt;C&gt;1&lt;/C&gt;&lt;D xsi:type="xsd:long"&gt;199&lt;/D&gt;&lt;/FQL&gt;&lt;FQL&gt;&lt;Q&gt;EWD^FMA_COS_DOWN("EPS","1M",+1,0,,,"PORTAGG","MEANR")&lt;/Q&gt;&lt;R&gt;1&lt;/R&gt;&lt;C&gt;1&lt;/C&gt;&lt;D xsi:type="xsd:double"&gt;24&lt;/D&gt;&lt;/FQL&gt;&lt;FQL&gt;&lt;Q&gt;EWU^FMA_COS_UP("EPS","1M",+1,0,,,"PORTAGG","MEANR")&lt;/Q&gt;&lt;R&gt;1&lt;/R&gt;&lt;C&gt;1&lt;/C&gt;&lt;D xsi:type="xsd:double"&gt;28&lt;/D&gt;&lt;/FQL&gt;&lt;FQL&gt;&lt;Q&gt;ENZL^SIZE(FG_CONSTITUENTS)&lt;/Q&gt;&lt;R&gt;1&lt;/R&gt;&lt;C&gt;1&lt;/C&gt;&lt;D xsi:type="xsd:long"&gt;26&lt;/D&gt;&lt;/FQL&gt;&lt;FQL&gt;&lt;Q&gt;EWI^FMA_RBICS_REV_CURRENT(30, LOC, "PORTAGG")&lt;/Q&gt;&lt;R&gt;1&lt;/R&gt;&lt;C&gt;1&lt;/C&gt;&lt;D xsi:type="xsd:double"&gt;39.9503615126748&lt;/D&gt;&lt;/FQL&gt;&lt;FQL&gt;&lt;Q&gt;EWG^FG_COMPANY_NAME&lt;/Q&gt;&lt;R&gt;1&lt;/R&gt;&lt;C&gt;1&lt;/C&gt;&lt;D xsi:type="xsd:string"&gt;iShares MSCI Germany ETF&lt;/D&gt;&lt;/FQL&gt;&lt;FQL&gt;&lt;Q&gt;REFEUREFI-FDS^FG_YIELD(NOW,,,0)&lt;/Q&gt;&lt;R&gt;1&lt;/R&gt;&lt;C&gt;1&lt;/C&gt;&lt;D xsi:type="xsd:double"&gt;3.65&lt;/D&gt;&lt;/FQL&gt;&lt;FQL&gt;&lt;Q&gt;TRYUS10Y-FDS^FG_YIELD_NAME&lt;/Q&gt;&lt;R&gt;1&lt;/R&gt;&lt;C&gt;1&lt;/C&gt;&lt;D xsi:type="xsd:string"&gt;US Benchmark Bond - 10 Year&lt;/D&gt;&lt;/FQL&gt;&lt;FQL&gt;&lt;Q&gt;VWO^FG_FCF_YIELD_NTM(0)&lt;/Q&gt;&lt;R&gt;1&lt;/R&gt;&lt;C&gt;1&lt;/C&gt;&lt;D xsi:type="xsd:double"&gt;5.37472562969362&lt;/D&gt;&lt;/FQL&gt;&lt;FQL&gt;&lt;Q&gt;EWL^FMA_DIV_YLD(NTMA,NOW,NOW,M,"PORTAGG","MEANR")&lt;/Q&gt;&lt;R&gt;1&lt;/R&gt;&lt;C&gt;1&lt;/C&gt;&lt;D xsi:type="xsd:double"&gt;3.13853234102168&lt;/D&gt;&lt;/FQL&gt;&lt;FQL&gt;&lt;Q&gt;ENZL^FMA_EVAL_EBIT(LTMA,NOW,NOW,M,"PORTAGG","MEANR")&lt;/Q&gt;&lt;R&gt;1&lt;/R&gt;&lt;C&gt;1&lt;/C&gt;&lt;D xsi:type="xsd:double"&gt;19.7849457837534&lt;/D&gt;&lt;/FQL&gt;&lt;FQL&gt;&lt;Q&gt;VGK^P_PRICE(0)/P_PRICE_HIGH_PR(0,,,USD,,,"PRICE","INTRA","52W")&lt;/Q&gt;&lt;R&gt;1&lt;/R&gt;&lt;C&gt;1&lt;/C&gt;&lt;D xsi:type="xsd:double"&gt;0.9650388&lt;/D&gt;&lt;/FQL&gt;&lt;FQL&gt;&lt;Q&gt;VWO^P_PRICE(0)/P_PRICE_HIGH_PR(0,,,USD,,,"PRICE","INTRA","52W")&lt;/Q&gt;&lt;R&gt;1&lt;/R&gt;&lt;C&gt;1&lt;/C&gt;&lt;D xsi:type="xsd:double"&gt;0.96489817&lt;/D&gt;&lt;/FQL&gt;&lt;FQL&gt;&lt;Q&gt;TRYJP10Y-FDS^FG_YIELD_NAME&lt;/Q&gt;&lt;R&gt;1&lt;/R&gt;&lt;C&gt;1&lt;/C&gt;&lt;D xsi:type="xsd:string"&gt;Japan Benchmark Bond - 10 Year&lt;/D&gt;&lt;/FQL&gt;&lt;FQL&gt;&lt;Q&gt;REFCATARG-FDS^(SUBARRAY(NOT_NA(NO_REPEAT_F(FG_YIELD(NOW,-10AY,D))),0,1)-SUBARRAY(NOT_NA(NO_REPEAT_F(FG_YIELD(NOW,-10AY,D))),1,1))*100&lt;/Q&gt;&lt;R&gt;1&lt;/R&gt;&lt;C&gt;1&lt;/C&gt;&lt;D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xsi:type="xsd:double"&gt;-25&lt;/D&gt;&lt;/FQL&gt;&lt;FQL&gt;&lt;Q&gt;QQQ^FMA_DIV_YLD(NTMA,NOW,NOW,M,"PORTAGG","MEANR")&lt;/Q&gt;&lt;R&gt;1&lt;/R&gt;&lt;C&gt;1&lt;/C&gt;&lt;D xsi:type="xsd:double"&gt;0.817343301147441&lt;/D&gt;&lt;/FQL&gt;&lt;FQL&gt;&lt;Q&gt;DUMMY^ECON_EXPR_DATA('FDS_ECON[NTCPMIMFGSA@EME]',,,M)&lt;/Q&gt;&lt;R&gt;1&lt;/R&gt;&lt;C&gt;1&lt;/C&gt;&lt;D xsi:type="xsd:double"&gt;49.8002&lt;/D&gt;&lt;/FQL&gt;&lt;FQL&gt;&lt;Q&gt;EWD^FMA_ROE(NTMA,-20AY,NOW,FY,"PORTAGG","MEANR")&lt;/Q&gt;&lt;R&gt;20&lt;/R&gt;&lt;C&gt;1&lt;/C&gt;&lt;D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xsi:type="xsd:double"&gt;15.368050598586&lt;/D&gt;&lt;/FQL&gt;&lt;FQL&gt;&lt;Q&gt;^FG_YIELD(</t>
        </r>
      </text>
    </comment>
    <comment ref="A2" authorId="0" shapeId="0" xr:uid="{1DC1CF4E-79E1-4988-9137-679C07CD6613}">
      <text>
        <r>
          <rPr>
            <b/>
            <sz val="9"/>
            <color indexed="81"/>
            <rFont val="Tahoma"/>
            <charset val="1"/>
          </rPr>
          <t>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xsi:type="xsd:double"&gt;2.004&lt;/D&gt;&lt;/FQL&gt;&lt;FQL&gt;&lt;Q&gt;CPALM-FDS^MAX(FG_PRICE(0,-5AY))&lt;/Q&gt;&lt;R&gt;1&lt;/R&gt;&lt;C&gt;1&lt;/C&gt;&lt;D xsi:type="xsd:double"&gt;8163&lt;/D&gt;&lt;/FQL&gt;&lt;FQL&gt;&lt;Q&gt;FC0000CA^FG_PRICE(0)&lt;/Q&gt;&lt;R&gt;1&lt;/R&gt;&lt;C&gt;1&lt;/C&gt;&lt;D xsi:type="xsd:double"&gt;321.74374&lt;/D&gt;&lt;/FQL&gt;&lt;FQL&gt;&lt;Q&gt;VGK^FG_TOTAL_RETURNC(0,-1AM)&lt;/Q&gt;&lt;R&gt;1&lt;/R&gt;&lt;C&gt;1&lt;/C&gt;&lt;D xsi:type="xsd:double"&gt;-0.14294386&lt;/D&gt;&lt;/FQL&gt;&lt;FQL&gt;&lt;Q&gt;EWD^FMA_COS_UP("EPS","1M",+1,0,,,"PORTAGG","MEANR")&lt;/Q&gt;&lt;R&gt;1&lt;/R&gt;&lt;C&gt;1&lt;/C&gt;&lt;D xsi:type="xsd:double"&gt;10&lt;/D&gt;&lt;/FQL&gt;&lt;FQL&gt;&lt;Q&gt;ENZL^FMA_COS_DOWN("EPS","1M",+1,0,,,"PORTAGG","MEANR")&lt;/Q&gt;&lt;R&gt;1&lt;/R&gt;&lt;C&gt;1&lt;/C&gt;&lt;D xsi:type="xsd:double"&gt;7&lt;/D&gt;&lt;/FQL&gt;&lt;FQL&gt;&lt;Q&gt;REFFFUND-FDS^FG_YIELD(NOW,,,0)&lt;/Q&gt;&lt;R&gt;1&lt;/R&gt;&lt;C&gt;1&lt;/C&gt;&lt;D xsi:type="xsd:double"&gt;5&lt;/D&gt;&lt;/FQL&gt;&lt;FQL&gt;&lt;Q&gt;VWO^FG_TOTAL_RETURNC(0,-6AM)&lt;/Q&gt;&lt;R&gt;1&lt;/R&gt;&lt;C&gt;1&lt;/C&gt;&lt;D xsi:type="xsd:double"&gt;17.429733&lt;/D&gt;&lt;/FQL&gt;&lt;FQL&gt;&lt;Q&gt;URTH^FMA_PCT_ABOVE_MAVG(200,0,,,,"PORTAGG")&lt;/Q&gt;&lt;R&gt;1&lt;/R&gt;&lt;C&gt;1&lt;/C&gt;&lt;D xsi:type="xsd:double"&gt;67.8749111584932&lt;/D&gt;&lt;/FQL&gt;&lt;FQL&gt;&lt;Q&gt;VGK^PERCENT_CHANGE(FMA_EPS(+1,0,,,,"PORTAGG","MEAN"),FMA_EPS(+1,-3AM,,,,"PORTAGG","MEAN"))&lt;/Q&gt;&lt;R&gt;1&lt;/R&gt;&lt;C&gt;1&lt;/C&gt;&lt;D xsi:type="xsd:double"&gt;2.00900919227055&lt;/D&gt;&lt;/FQL&gt;&lt;FQL&gt;&lt;Q&gt;EWD^FG_TOTAL_RETURNC(0,-3AM)&lt;/Q&gt;&lt;R&gt;1&lt;/R&gt;&lt;C&gt;1&lt;/C&gt;&lt;D xsi:type="xsd:double"&gt;0.8074403&lt;/D&gt;&lt;/FQL&gt;&lt;FQL&gt;&lt;Q&gt;EWL^FMA_COS_DOWN("EPS","1M",+1,0,,,"PORTAGG","MEANR")&lt;/Q&gt;&lt;R&gt;1&lt;/R&gt;&lt;C&gt;1&lt;/C&gt;&lt;D xsi:type="xsd:double"&gt;31&lt;/D&gt;&lt;/FQL&gt;&lt;FQL&gt;&lt;Q&gt;EWQ^FMA_EVAL_EBITDA(NTMA,0,,,"PORTAGG","MEANR")&lt;/Q&gt;&lt;R&gt;1&lt;/R&gt;&lt;C&gt;1&lt;/C&gt;&lt;D xsi:type="xsd:double"&gt;9.21820259247278&lt;/D&gt;&lt;/FQL&gt;&lt;FQL&gt;&lt;Q&gt;TRYNZ10Y-FDS^PCTCHG(FG_YIELD(0,,,,"YTM"),FG_YIELD(-3AM,,,,"YTM"))&lt;/Q&gt;&lt;R&gt;1&lt;/R&gt;&lt;C&gt;1&lt;/C&gt;&lt;D xsi:type="xsd:double"&gt;2.0108697&lt;/D&gt;&lt;/FQL&gt;&lt;FQL&gt;&lt;Q&gt;CAGDPY@FR^EE_ACTUAL_ANNUAL(MED,0)&lt;/Q&gt;&lt;R&gt;1&lt;/R&gt;&lt;C&gt;1&lt;/C&gt;&lt;D xsi:type="xsd:double"&gt;-1.01851779779094&lt;/D&gt;&lt;/FQL&gt;&lt;FQL&gt;&lt;Q&gt;CAGDPY@AU^EE_ACTUAL_ANNUAL(MED,0)&lt;/Q&gt;&lt;R&gt;1&lt;/R&gt;&lt;C&gt;1&lt;/C&gt;&lt;D xsi:type="xsd:double"&gt;0.252467670960909&lt;/D&gt;&lt;/FQL&gt;&lt;FQL&gt;&lt;Q&gt;USDITL^FG_PRICE_CHANGE(0,-1AM)&lt;/Q&gt;&lt;R&gt;1&lt;/R&gt;&lt;C&gt;1&lt;/C&gt;&lt;D xsi:type="xsd:double"&gt;2.3992658&lt;/D&gt;&lt;/FQL&gt;&lt;FQL&gt;&lt;Q&gt;USDANG^FG_PRICE_CHANGE(0,-1AM)&lt;/Q&gt;&lt;R&gt;1&lt;/R&gt;&lt;C&gt;1&lt;/C&gt;&lt;D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xsi:type="xsd:double"&gt;1.34238&lt;/D&gt;&lt;/FQL&gt;&lt;FQL&gt;&lt;Q&gt;USDJPY^FG_PRICE_CHANGE(0,-1AM)&lt;/Q&gt;&lt;R&gt;1&lt;/R&gt;&lt;C&gt;1&lt;/C&gt;&lt;D xsi:type="xsd:double"&gt;5.3407907&lt;/D&gt;&lt;/FQL&gt;&lt;FQL&gt;&lt;Q&gt;USDCAD^FG_PRICE_CHANGE(0,-1AM)&lt;/Q&gt;&lt;R&gt;1&lt;/R&gt;&lt;C&gt;1&lt;/C&gt;&lt;D xsi:type="xsd:double"&gt;1.540947&lt;/D&gt;&lt;/FQL&gt;&lt;FQL&gt;&lt;Q&gt;USDNZD^FG_PRICE_CHANGE(0,-1AM)&lt;/Q&gt;&lt;R&gt;1&lt;/R&gt;&lt;C&gt;1&lt;/C&gt;&lt;D xsi:type="xsd:double"&gt;2.2568107&lt;/D&gt;&lt;/FQL&gt;&lt;FQL&gt;&lt;Q&gt;ENZL^FMA_EPS(NTMA,-20AY,0,CY,,"PORTAGG","MEANR")&lt;/Q&gt;&lt;R&gt;20&lt;/R&gt;&lt;C&gt;1&lt;/C&gt;&lt;D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xsi:type="xsd:double"&gt;2.24732563529813&lt;/D&gt;&lt;D xsi:type="xsd:double"&gt;1.98522616654652&lt;/D&gt;&lt;D xsi:type="xsd:double"&gt;1.82093690891181&lt;/D&gt;&lt;D xsi:type="xsd:double"&gt;2.11037843374038&lt;/D&gt;&lt;D xsi:type="xsd:double"&gt;2.11106619444845&lt;/D&gt;&lt;/FQL&gt;&lt;FQL&gt;&lt;Q&gt;EWI^FG_TOTAL_RETURNC(-10AY,0,AM)&lt;/Q&gt;&lt;R&gt;121&lt;/R&gt;&lt;C&gt;1&lt;/C&gt;&lt;D xsi:type="xsd:double"&gt;-12.1905985&lt;/D&gt;&lt;D xsi:type="xsd:double"&gt;2.889359&lt;/D&gt;&lt;D xsi:type="xsd:double"&gt;-3.7190378&lt;/D&gt;&lt;D xsi:type="xsd:double"&gt;-4.65616&lt;/D&gt;&lt;D xsi:type="xsd:double"&gt;10.668659&lt;/D&gt;&lt;D xsi:type="xsd:double"&gt;-1.6293287&lt;/D&gt;&lt;D xsi:type="xsd:double"&gt;2.4844766&lt;/D&gt;&lt;D xsi:type="xsd:double"&gt;7.003367&lt;/D&gt;&lt;D xsi:type="xsd:double"&gt;-2.643174&lt;/D&gt;&lt;D xsi:type="xsd:double"&gt;1.4328718&lt;/D&gt;&lt;D xsi:type="xsd:double"&gt;0.19454956&lt;/D&gt;&lt;D xsi:type="xsd:double"&gt;-5.7605147&lt;/D&gt;&lt;D xsi:type="xsd:double"&gt;4.876375&lt;/D&gt;&lt;D xsi:type="xsd:double"&gt;-7.2036686&lt;/D&gt;&lt;D xsi:type="xsd:double"&gt;-3.2462955&lt;/D&gt;&lt;D xsi:type="xsd:double"&gt;-8.989132&lt;/D&gt;&lt;D xsi:type="xsd:double"&gt;-9.485525&lt;/D&gt;&lt;D xsi:type="xsd:double"&gt;10.657191&lt;/D&gt;&lt;D xsi:type="xsd:double"&gt;-0.8025706&lt;/D&gt;&lt;D xsi:type="xsd:double"&gt;-4.6925545&lt;/D&gt;&lt;D xsi:type="xsd:double"&gt;-1.0186732&lt;/D&gt;&lt;D xsi:type="xsd:double"&gt;-2.707857&lt;/D&gt;&lt;D xsi:type="xsd:double"&gt;2.3572087&lt;/D&gt;&lt;D xsi:type="xsd:double"&gt;-4.340124&lt;/D&gt;&lt;D xsi:type="xsd:double"&gt;3.1481504&lt;/D&gt;&lt;D xsi:type="xsd:double"&gt;-6.328547&lt;/D&gt;&lt;D xsi:type="xsd:double"&gt;14.51844&lt;/D&gt;&lt;D xsi:type="xsd:double"&gt;3.3718944&lt;/D&gt;&lt;D xsi:type="xsd:double"&gt;-2.9003203&lt;/D&gt;&lt;D xsi:type="xsd:double"&gt;6.8573833&lt;/D&gt;&lt;D xsi:type="xsd:double"&gt;-2.9133856&lt;/D&gt;&lt;D xsi:type="xsd:double"&gt;13.787508&lt;/D&gt;&lt;D xsi:type="xsd:double"&gt;0.5702019&lt;/D&gt;&lt;D xsi:type="xsd:double"&gt;4.670477&lt;/D&gt;&lt;D xsi:type="xsd:double"&gt;3.1713247&lt;/D&gt;&lt;D xsi:type="xsd:double"&gt;4.443705&lt;/D&gt;&lt;D xsi:type="xsd:double"&gt;-1.3435721&lt;/D&gt;&lt;D xsi:type="xsd:double"&gt;-1.5888453&lt;/D&gt;&lt;D xsi:type="xsd:double"&gt;1.6144991&lt;/D&gt;&lt;D xsi:type="xsd:double"&gt;9.159255&lt;/D&gt;&lt;D xsi:type="xsd:double"&gt;-1.9713283&lt;/D&gt;&lt;D xsi:type="xsd:double"&gt;-0.7921934&lt;/D&gt;&lt;D xsi:type="xsd:double"&gt;4.8832893&lt;/D&gt;&lt;D xsi:type="xsd:double"&gt;-6.3543262&lt;/D&gt;&lt;D xsi:type="xsd:double"&gt;-5.5972457&lt;/D&gt;&lt;D xsi:type="xsd:double"&gt;-0.39868355&lt;/D&gt;&lt;D xsi:type="xsd:double"&gt;-8.102566&lt;/D&gt;&lt;D xsi:type="xsd:double"&gt;5.9895873&lt;/D&gt;&lt;D xsi:type="xsd:double"&gt;-11.723412&lt;/D&gt;&lt;D xsi:type="xsd:double"&gt;0.31808615&lt;/D&gt;&lt;D xsi:type="xsd:double"&gt;-0.92995167&lt;/D&gt;&lt;D xsi:type="xsd:double"&gt;4.659641&lt;/D&gt;&lt;D xsi:type="xsd:double"&gt;2.4777412&lt;/D&gt;&lt;D xsi:type="xsd:double"&gt;5.364561&lt;/D&gt;&lt;D xsi:type="xsd:double"&gt;1.6852021&lt;/D&gt;&lt;D xsi:type="xsd:double"&gt;-4.442877&lt;/D&gt;&lt;D xsi:type="xsd:double"&gt;2.9835105&lt;/D&gt;&lt;D xsi:type="xsd:double"&gt;5.487585&lt;/D&gt;&lt;D xsi:type="xsd:double"&gt;-9.806681&lt;/D&gt;&lt;D xsi:type="xsd:double"&gt;8.028054&lt;/D&gt;&lt;D xsi:type="xsd:double"&gt;2.4531007&lt;/D&gt;&lt;D xsi:type="xsd:double"&gt;3.6619782&lt;/D&gt;&lt;D xsi:type="xsd:double"&gt;0.76464415&lt;/D&gt;&lt;D xsi:type="xsd:double"&gt;1.7651081&lt;/D&gt;&lt;D xsi:type="xsd:double"&gt;1.0006666&lt;/D&gt;&lt;D xsi:type="xsd:double"&gt;-39.23382&lt;/D&gt;&lt;D xsi:type="xsd:double"&gt;11.576092&lt;/D&gt;&lt;D xsi:type="xsd:double"&gt;2.3380399&lt;/D&gt;&lt;D xsi:type="xsd:double"&gt;15.234017&lt;/D&gt;&lt;D xsi:type="xsd:double"&gt;7.80468&lt;/D&gt;&lt;D xsi:type="xsd:double"&gt;0.6194353&lt;/D&gt;&lt;D xsi:type="xsd:double"&gt;-2.7702928&lt;/D&gt;&lt;D xsi:type="xsd:double"&gt;-2.0182014&lt;/D&gt;&lt;D xsi:type="xsd:double"&gt;12.3182535&lt;/D&gt;&lt;D xsi:type="xsd:double"&gt;6.155479&lt;/D&gt;&lt;D xsi:type="xsd:double"&gt;0.1707673&lt;/D&gt;&lt;D xsi:type="xsd:double"&gt;2.8980613&lt;/D&gt;&lt;D xsi:type="xsd:double"&gt;3.7110686&lt;/D&gt;&lt;D xsi:type="xsd:double"&gt;3.5143852&lt;/D&gt;&lt;D xsi:type="xsd:double"&gt;1.6666532&lt;/D&gt;&lt;D xsi:type="xsd:double"&gt;-0.5629778&lt;/D&gt;&lt;D xsi:type="xsd:double"&gt;-2.6266992&lt;/D&gt;&lt;D xsi:type="xsd:double"&gt;5.2047014&lt;/D&gt;&lt;D xsi:type="xsd:double"&gt;-2.8959334&lt;/D&gt;&lt;D xsi:type="xsd:double"&gt;1.9882083&lt;/D&gt;&lt;D xsi:type="xsd:double"&gt;2.314949&lt;/D&gt;&lt;D xsi:type="xsd:double"&gt;-4.554635&lt;/D&gt;&lt;D xsi:type="xsd:double"&gt;4.7453284&lt;/D&gt;&lt;D xsi:type="xsd:double"&gt;-2.9598296&lt;/D&gt;&lt;D xsi:type="xsd:double"&gt;-10.488642&lt;/D&gt;&lt;D xsi:type="xsd:double"&gt;1.0083437&lt;/D&gt;&lt;D xsi:type="xsd:double"&gt;-6.919098&lt;/D&gt;&lt;D xsi:type="xsd:double"&gt;-6.955433&lt;/D&gt;&lt;D xsi:type="xsd:double"&gt;-6.4317884&lt;/D&gt;&lt;D xsi:type="xsd:double"&gt;8.887922&lt;/D&gt;&lt;D xsi:type="xsd:double"&gt;-4.5034227&lt;/D&gt;&lt;D xsi:type="xsd:double"&gt;-3.5368443&lt;/D&gt;&lt;D xsi:type="xsd:double"&gt;19.074642&lt;/D&gt;&lt;D xsi:type="xsd:double"&gt;-0.98924637&lt;/D&gt;&lt;D xsi:type="xsd:double"&gt;10.747838&lt;/D&gt;&lt;D xsi:type="xsd:double"&gt;4.547&lt;/D&gt;&lt;D xsi:type="xsd:double"&gt;-8.8283&lt;/D&gt;&lt;D xsi:type="xsd:double"&gt;12.815952&lt;/D&gt;&lt;D xsi:type="xsd:double"&gt;-2.461344&lt;/D&gt;&lt;D xsi:type="xsd:double"&gt;4.2104483&lt;/D&gt;&lt;D xsi:type="xsd:double"&gt;5.3117037&lt;/D&gt;&lt;D xsi:type="xsd:double"&gt;-6.1310825&lt;/D&gt;&lt;D xsi:type="xsd:double"&gt;0.90090036&lt;/D&gt;&lt;D xsi:type="xsd:double"&gt;-4.1773024&lt;/D&gt;&lt;D xsi:type="xsd:double"&gt;8.319473&lt;/D&gt;&lt;D xsi:type="xsd:double"&gt;3.594482&lt;/D&gt;&lt;D xsi:type="xsd:double"&gt;0.33067465&lt;/D&gt;&lt;D xsi:type="xsd:double"&gt;2.9631853&lt;/D&gt;&lt;D xsi:type="xsd:double"&gt;7.848823&lt;/D&gt;&lt;D xsi:type="xsd:double"&gt;-2.6954174&lt;/D&gt;&lt;D xsi:type="xsd:double"&gt;8.975077&lt;/D&gt;&lt;D xsi:type="xsd:double"&gt;-6.0414734&lt;/D&gt;&lt;D xsi:type="xsd:double"&gt;4.4635415&lt;/D&gt;&lt;D xsi:type="xsd:double"&gt;-1.2473464&lt;/D&gt;&lt;D xsi:type="xsd:double"&gt;2.9561996&lt;/D&gt;&lt;D xsi:type="xsd:double"&gt;2.2970438&lt;/D&gt;&lt;/FQL&gt;&lt;FQL&gt;&lt;Q&gt;EWN^FMA_DIV_YLD(NTMA,-10AY,0,AM,"PORTAGG","MEANR")&lt;/Q&gt;&lt;R&gt;121&lt;/R&gt;&lt;C&gt;1&lt;/C&gt;&lt;D xsi:type="xsd:double"&gt;3.28453859731829&lt;/D&gt;&lt;D xsi:type="xsd:double"&gt;3.08823863616394&lt;/D&gt;&lt;D xsi:type="xsd:double"&gt;3.10076029850251&lt;/D&gt;&lt;D xsi:type="xsd:double"&gt;3.03387504756435&lt;/D&gt;&lt;D xsi:type="xsd:double"&gt;2.8150581604224&lt;/D&gt;&lt;D xsi:type="xsd:double"&gt;2.62399874575697&lt;/D&gt;&lt;D xsi:type="xsd:double"&gt;2.68143425885452&lt;/D&gt;&lt;D xsi:type="xsd:double"&gt;2.73897185321627&lt;/D&gt;&lt;D xsi:type="xsd:double"&gt;2.9572576748944&lt;/D&gt;&lt;D xsi:type="xsd:double"&gt;2.81667053387157&lt;/D&gt;&lt;D xsi:type="xsd:double"&gt;3.17063000476017&lt;/D&gt;&lt;D xsi:type="xsd:double"&gt;3.52037059982701&lt;/D&gt;&lt;D xsi:type="xsd:double"&gt;3.40588988344419&lt;/D&gt;&lt;D xsi:type="xsd:double"&gt;3.15449632145446&lt;/D&gt;&lt;D xsi:type="xsd:double"&gt;3.33036748949995&lt;/D&gt;&lt;D xsi:type="xsd:double"&gt;3.39180773227307&lt;/D&gt;&lt;D xsi:type="xsd:double"&gt;3.47185898411981&lt;/D&gt;&lt;D xsi:type="xsd:double"&gt;3.2842317030068&lt;/D&gt;&lt;D xsi:type="xsd:double"&gt;3.24504615433977&lt;/D&gt;&lt;D xsi:type="xsd:double"&gt;3.40278679492159&lt;/D&gt;&lt;D xsi:type="xsd:double"&gt;3.39308996002512&lt;/D&gt;&lt;D xsi:type="xsd:double"&gt;3.23888436355764&lt;/D&gt;&lt;D xsi:type="xsd:double"&gt;3.16041703209502&lt;/D&gt;&lt;D xsi:type="xsd:double"&gt;3.23886909330247&lt;/D&gt;&lt;D xsi:type="xsd:double"&gt;3.10793054599624&lt;/D&gt;&lt;D xsi:type="xsd:double"&gt;3.14423825676435&lt;/D&gt;&lt;D xsi:type="xsd:double"&gt;3.00379622822399&lt;/D&gt;&lt;D xsi:type="xsd:double"&gt;2.96719995865503&lt;/D&gt;&lt;D xsi:type="xsd:double"&gt;2.83885988653288&lt;/D&gt;&lt;D xsi:type="xsd:double"&gt;2.76134753583376&lt;/D&gt;&lt;D xsi:type="xsd:double"&gt;2.79728454599274&lt;/D&gt;&lt;D xsi:type="xsd:double"&gt;2.75399925229295&lt;/D&gt;&lt;D xsi:type="xsd:double"&gt;2.74498051575446&lt;/D&gt;&lt;D xsi:type="xsd:double"&gt;2.78908179527486&lt;/D&gt;&lt;D xsi:type="xsd:double"&gt;2.80887260257175&lt;/D&gt;&lt;D xsi:type="xsd:double"&gt;2.80467224811567&lt;/D&gt;&lt;D xsi:type="xsd:double"&gt;2.74633912645847&lt;/D&gt;&lt;D xsi:type="xsd:double"&gt;2.84393306768217&lt;/D&gt;&lt;D xsi:type="xsd:double"&gt;2.79892529998292&lt;/D&gt;&lt;D xsi:type="xsd:double"&gt;2.76753209412414&lt;/D&gt;&lt;D xsi:type="xsd:double"&gt;2.94222146873073&lt;/D&gt;&lt;D xsi:type="xsd:double"&gt;2.91776475521495&lt;/D&gt;&lt;D xsi:type="xsd:double"&gt;2.91369312922462&lt;/D&gt;&lt;D xsi:type="xsd:double"&gt;2.88207533576421&lt;/D&gt;&lt;D xsi:type="xsd:double"&gt;2.87760760679524&lt;/D&gt;&lt;D xsi:type="xsd:double"&gt;2.87952408902988&lt;/D&gt;&lt;D xsi:type="xsd:double"&gt;2.95657348265926&lt;/D&gt;&lt;D xsi:type="xsd:double"&gt;3.03338317416425&lt;/D&gt;&lt;D xsi:type="xsd:double"&gt;3.1729802720224&lt;/D&gt;&lt;D xsi:type="xsd:double"&gt;3.20517021151715&lt;/D&gt;&lt;D xsi:type="xsd:double"&gt;3.4110031748017&lt;/D&gt;&lt;D xsi:type="xsd:double"&gt;3.32413661648342&lt;/D&gt;&lt;D xsi:type="xsd:double"&gt;3.11910751355892&lt;/D&gt;&lt;D xsi:type="xsd:double"&gt;3.04109009885337&lt;/D&gt;&lt;D xsi:type="xsd:double"&gt;2.95777907764433&lt;/D&gt;&lt;D xsi:type="xsd:double"&gt;3.02952373562659&lt;/D&gt;&lt;D xsi:type="xsd:double"&gt;3.03577739167753&lt;/D&gt;&lt;D xsi:type="xsd:double"&gt;2.94370369501343&lt;/D&gt;&lt;D xsi:type="xsd:double"&gt;3.02564573843328&lt;/D&gt;&lt;D xsi:type="xsd:double"&gt;2.74588344882449&lt;/D&gt;&lt;D xsi:type="xsd:double"&gt;2.74729542093556&lt;/D&gt;&lt;D xsi:type="xsd:double"&gt;2.64504967117353&lt;/D&gt;&lt;D xsi:type="xsd:double"&gt;2.59879371045378&lt;/D&gt;&lt;D xsi:type="xsd:double"&gt;2.57451460597795&lt;/D&gt;&lt;D xsi:type="xsd:double"&gt;2.49261329569506&lt;/D&gt;&lt;D xsi:type="xsd:double"&gt;3.82534011135654&lt;/D&gt;&lt;D xsi:type="xsd:double"&gt;2.85046991723686&lt;/D&gt;&lt;D xsi:type="xsd:double"&gt;2.5990131081738&lt;/D&gt;&lt;D xsi:type="xsd:double"&gt;2.38066348820115&lt;/D&gt;&lt;D xsi:type="xsd:double"&gt;2.32407755071529&lt;/D&gt;&lt;D xsi:type="xsd:double"&gt;2.34444772150347&lt;/D&gt;&lt;D xsi:type="xsd:double"&gt;2.3302442272994&lt;/D&gt;&lt;D xsi:type="xsd:double"&gt;2.27226683999229&lt;/D&gt;&lt;D xsi:type="xsd:double"&gt;2.17721055750779&lt;/D&gt;&lt;D xsi:type="xsd:double"&gt;2.0298932107918&lt;/D&gt;&lt;D xsi:type="xsd:double"&gt;1.9660691004843&lt;/D&gt;&lt;D xsi:type="xsd:double"&gt;1.91523353324553&lt;/D&gt;&lt;D xsi:type="xsd:double"&gt;2.00752828836463&lt;/D&gt;&lt;D xsi:type="xsd:double"&gt;1.90607267115916&lt;/D&gt;&lt;D xsi:type="xsd:double"&gt;1.9997980905073&lt;/D&gt;&lt;D xsi:type="xsd:double"&gt;2.01673955129251&lt;/D&gt;&lt;D xsi:type="xsd:double"&gt;2.01996788224273&lt;/D&gt;&lt;D xsi:type="xsd:double"&gt;1.86258310169076&lt;/D&gt;&lt;D xsi:type="xsd:double"&gt;1.85337319923847&lt;/D&gt;&lt;D xsi:type="xsd:double"&gt;1.93470912152366&lt;/D&gt;&lt;D xsi:type="xsd:double"&gt;1.83708554147135&lt;/D&gt;&lt;D xsi:type="xsd:double"&gt;2.00808657309059&lt;/D&gt;&lt;D xsi:type="xsd:double"&gt;2.03817767186872&lt;/D&gt;&lt;D xsi:type="xsd:double"&gt;2.25422523485055&lt;/D&gt;&lt;D xsi:type="xsd:double"&gt;2.24579208747471&lt;/D&gt;&lt;D xsi:type="xsd:double"&gt;2.32213749405768&lt;/D&gt;&lt;D xsi:type="xsd:double"&gt;2.57658700968455&lt;/D&gt;&lt;D xsi:type="xsd:double"&gt;3.56862725578815&lt;/D&gt;&lt;D xsi:type="xsd:double"&gt;3.31484850320089&lt;/D&gt;&lt;D xsi:type="xsd:double"&gt;3.05488063327663&lt;/D&gt;&lt;D xsi:type="xsd:double"&gt;3.76103819988329&lt;/D&gt;&lt;D xsi:type="xsd:double"&gt;3.06477995111388&lt;/D&gt;&lt;D xsi:type="xsd:double"&gt;2.67822199759669&lt;/D&gt;&lt;D xsi:type="xsd:double"&gt;2.74083458646794&lt;/D&gt;&lt;D xsi:type="xsd:double"&gt;2.55537702073432&lt;/D&gt;&lt;D xsi:type="xsd:double"&gt;2.55481963328763&lt;/D&gt;&lt;D xsi:type="xsd:double"&gt;2.76230797304152&lt;/D&gt;&lt;D xsi:type="xsd:double"&gt;2.6610177753424&lt;/D&gt;&lt;D xsi:type="xsd:double"&gt;2.66016527168475&lt;/D&gt;&lt;D xsi:type="xsd:double"&gt;2.65179149014381&lt;/D&gt;&lt;D xsi:type="xsd:double"&gt;2.65972744791185&lt;/D&gt;&lt;D xsi:type="xsd:double"&gt;2.89028366114323&lt;/D&gt;&lt;D xsi:type="xsd:double"&gt;3.00841141725602&lt;/D&gt;&lt;D xsi:type="xsd:double"&gt;3.08323459626219&lt;/D&gt;&lt;D xsi:type="xsd:double"&gt;2.82264304743312&lt;/D&gt;&lt;D xsi:type="xsd:double"&gt;2.67541523915263&lt;/D&gt;&lt;D xsi:type="xsd:double"&gt;2.71462118882857&lt;/D&gt;&lt;D xsi:type="xsd:double"&gt;2.46911006797909&lt;/D&gt;&lt;D xsi:type="xsd:double"&gt;2.60579732460544&lt;/D&gt;&lt;D xsi:type="xsd:double"&gt;2.62691507971787&lt;/D&gt;&lt;D xsi:type="xsd:double"&gt;2.45536170496619&lt;/D&gt;&lt;D xsi:type="xsd:double"&gt;2.45263084813623&lt;/D&gt;&lt;D xsi:type="xsd:double"&gt;2.52352475807088&lt;/D&gt;&lt;D xsi:type="xsd:double"&gt;2.6137755065702&lt;/D&gt;&lt;D xsi:type="xsd:double"&gt;2.71728636470662&lt;/D&gt;&lt;D xsi:type="xsd:double"&gt;2.71889061310877&lt;/D&gt;&lt;/FQL&gt;&lt;FQL&gt;&lt;Q&gt;SPY^FMA_PE(NTMA,-10AY,0,AM,"PORTAGG","MEANR")&lt;/Q&gt;&lt;R&gt;121&lt;/R&gt;&lt;C&gt;1&lt;/C&gt;&lt;D xsi:type="xsd:double"&gt;14.4216673069704&lt;/D&gt;&lt;D xsi:type="xsd:double"&gt;15.7243484418968&lt;/D&gt;&lt;D xsi:type="xsd:double"&gt;15.9876166375339&lt;/D&gt;&lt;D xsi:type="xsd:double"&gt;15.9384278995937&lt;/D&gt;&lt;D xsi:type="xsd:double"&gt;16.8617181592275&lt;/D&gt;&lt;D xsi:type="xsd:double"&gt;16.7990530885071&lt;/D&gt;&lt;D xsi:type="xsd:double"&gt;16.6063765210832&lt;/D&gt;&lt;D xsi:type="xsd:double"&gt;16.7690015945212&lt;/D&gt;&lt;D xsi:type="xsd:double"&gt;16.5855101811328&lt;/D&gt;&lt;D xsi:type="xsd:double"&gt;16.6080094788332&lt;/D&gt;&lt;D xsi:type="xsd:double"&gt;16.342064336502&lt;/D&gt;&lt;D xsi:type="xsd:double"&gt;15.2485124762281&lt;/D&gt;&lt;D xsi:type="xsd:double"&gt;15.918646410385&lt;/D&gt;&lt;D xsi:type="xsd:double"&gt;16.3167699047432&lt;/D&gt;&lt;D xsi:type="xsd:double"&gt;15.6839741440287&lt;/D&gt;&lt;D xsi:type="xsd:double"&gt;14.8633281655956&lt;/D&gt;&lt;D xsi:type="xsd:double"&gt;15.5099438140132&lt;/D&gt;&lt;D xsi:type="xsd:double"&gt;15.5167363536305&lt;/D&gt;&lt;D xsi:type="xsd:double"&gt;16.5004635460184&lt;/D&gt;&lt;D xsi:type="xsd:double"&gt;16.5226770167304&lt;/D&gt;&lt;D xsi:type="xsd:double"&gt;16.3100236406347&lt;/D&gt;&lt;D xsi:type="xsd:double"&gt;16.9837643291891&lt;/D&gt;&lt;D xsi:type="xsd:double"&gt;16.9787575123854&lt;/D&gt;&lt;D xsi:type="xsd:double"&gt;16.4848230909905&lt;/D&gt;&lt;D xsi:type="xsd:double"&gt;16.3556927956409&lt;/D&gt;&lt;D xsi:type="xsd:double"&gt;16.6196568958713&lt;/D&gt;&lt;D xsi:type="xsd:double"&gt;17.019118731154&lt;/D&gt;&lt;D xsi:type="xsd:double"&gt;16.9449857393695&lt;/D&gt;&lt;D xsi:type="xsd:double"&gt;17.5894428121593&lt;/D&gt;&lt;D xsi:type="xsd:double"&gt;17.6866127927459&lt;/D&gt;&lt;D xsi:type="xsd:double"&gt;17.2488575878936&lt;/D&gt;&lt;D xsi:type="xsd:double"&gt;17.2146674762137&lt;/D&gt;&lt;D xsi:type="xsd:double"&gt;17.5621413915088&lt;/D&gt;&lt;D xsi:type="xsd:double"&gt;17.6510884307728&lt;/D&gt;&lt;D xsi:type="xsd:double"&gt;17.2345952972235&lt;/D&gt;&lt;D xsi:type="xsd:double"&gt;17.6859722010135&lt;/D&gt;&lt;D xsi:type="xsd:double"&gt;17.908902997272&lt;/D&gt;&lt;D xsi:type="xsd:double"&gt;17.8547288172865&lt;/D&gt;&lt;D xsi:type="xsd:double"&gt;18.4234487710571&lt;/D&gt;&lt;D xsi:type="xsd:double"&gt;18.2979795404326&lt;/D&gt;&lt;D xsi:type="xsd:double"&gt;17.0679000965126&lt;/D&gt;&lt;D xsi:type="xsd:double"&gt;17.0494543503598&lt;/D&gt;&lt;D xsi:type="xsd:double"&gt;16.6373305194782&lt;/D&gt;&lt;D xsi:type="xsd:double"&gt;16.2977817835718&lt;/D&gt;&lt;D xsi:type="xsd:double"&gt;16.515044599858&lt;/D&gt;&lt;D xsi:type="xsd:double"&gt;16.590330175078&lt;/D&gt;&lt;D xsi:type="xsd:double"&gt;16.5737428318053&lt;/D&gt;&lt;D xsi:type="xsd:double"&gt;16.737556466856&lt;/D&gt;&lt;D xsi:type="xsd:double"&gt;15.8570597643033&lt;/D&gt;&lt;D xsi:type="xsd:double"&gt;15.6334845014148&lt;/D&gt;&lt;D xsi:type="xsd:double"&gt;14.5793708465742&lt;/D&gt;&lt;D xsi:type="xsd:double"&gt;15.5176222702284&lt;/D&gt;&lt;D xsi:type="xsd:double"&gt;16.1790743240804&lt;/D&gt;&lt;D xsi:type="xsd:double"&gt;16.4643698437505&lt;/D&gt;&lt;D xsi:type="xsd:double"&gt;16.7520894416395&lt;/D&gt;&lt;D xsi:type="xsd:double"&gt;16.3507663140404&lt;/D&gt;&lt;D xsi:type="xsd:double"&gt;16.6439840460302&lt;/D&gt;&lt;D xsi:type="xsd:double"&gt;17.0625638918312&lt;/D&gt;&lt;D xsi:type="xsd:double"&gt;16.4035626984394&lt;/D&gt;&lt;D xsi:type="xsd:double"&gt;16.9514754074021&lt;/D&gt;&lt;D xsi:type="xsd:double"&gt;16.8908541131602&lt;/D&gt;&lt;D xsi:type="xsd:double"&gt;17.5981506347577&lt;/D&gt;&lt;D xsi:type="xsd:double"&gt;17.9525115338079&lt;/D&gt;&lt;D xsi:type="xsd:double"&gt;18.6496787174377&lt;/D&gt;&lt;D xsi:type="xsd:double"&gt;18.8893040674945&lt;/D&gt;&lt;D xsi:type="xsd:double"&gt;13.8132767038307&lt;/D&gt;&lt;D xsi:type="xsd:double"&gt;19.3537971935241&lt;/D&gt;&lt;D xsi:type="xsd:double"&gt;21.0435094974605&lt;/D&gt;&lt;D xsi:type="xsd:double"&gt;21.8774812172893&lt;/D&gt;&lt;D xsi:type="xsd:double"&gt;22.2801477253467&lt;/D&gt;&lt;D xsi:type="xsd:double"&gt;22.384433610484&lt;/D&gt;&lt;D xsi:type="xsd:double"&gt;21.3800982286284&lt;/D&gt;&lt;D xsi:type="xsd:double"&gt;21.9712399859211&lt;/D&gt;&lt;D xsi:type="xsd:double"&gt;21.6416545514476&lt;/D&gt;&lt;D xsi:type="xsd:double"&gt;21.9627231929015&lt;/D&gt;&lt;D xsi:type="xsd:double"&gt;22.1716312775459&lt;/D&gt;&lt;D xsi:type="xsd:double"&gt;22.1004191918121&lt;/D&gt;&lt;D xsi:type="xsd:double"&gt;21.6749819629352&lt;/D&gt;&lt;D xsi:type="xsd:double"&gt;22.4559945760851&lt;/D&gt;&lt;D xsi:type="xsd:double"&gt;21.0435288319205&lt;/D&gt;&lt;D xsi:type="xsd:double"&gt;20.8289452620484&lt;/D&gt;&lt;D xsi:type="xsd:double"&gt;21.2107752912367&lt;/D&gt;&lt;D xsi:type="xsd:double"&gt;20.7540592804488&lt;/D&gt;&lt;D xsi:type="xsd:double"&gt;20.6995393393467&lt;/D&gt;&lt;D xsi:type="xsd:double"&gt;20.7355455334195&lt;/D&gt;&lt;D xsi:type="xsd:double"&gt;21.3902409985793&lt;/D&gt;&lt;D xsi:type="xsd:double"&gt;20.7463374410497&lt;/D&gt;&lt;D xsi:type="xsd:double"&gt;20.3563525501975&lt;/D&gt;&lt;D xsi:type="xsd:double"&gt;19.0485064695099&lt;/D&gt;&lt;D xsi:type="xsd:double"&gt;19.2567006165011&lt;/D&gt;&lt;D xsi:type="xsd:double"&gt;18.6557461057837&lt;/D&gt;&lt;D xsi:type="xsd:double"&gt;16.5436394606358&lt;/D&gt;&lt;D xsi:type="xsd:double"&gt;15.3323963350194&lt;/D&gt;&lt;D xsi:type="xsd:double"&gt;16.0117922950303&lt;/D&gt;&lt;D xsi:type="xsd:double"&gt;18.0562833143919&lt;/D&gt;&lt;D xsi:type="xsd:double"&gt;16.2716182208118&lt;/D&gt;&lt;D xsi:type="xsd:double"&gt;15.8013156806855&lt;/D&gt;&lt;D xsi:type="xsd:double"&gt;17.1675358583191&lt;/D&gt;&lt;D xsi:type="xsd:double"&gt;16.6779371639211&lt;/D&gt;&lt;D xsi:type="xsd:double"&gt;17.1712358975902&lt;/D&gt;&lt;D xsi:type="xsd:double"&gt;17.981705554743&lt;/D&gt;&lt;D xsi:type="xsd:double"&gt;17.1798075922184&lt;/D&gt;&lt;D xsi:type="xsd:double"&gt;18.2374350182211&lt;/D&gt;&lt;D xsi:type="xsd:double"&gt;18.2384189128232&lt;/D&gt;&lt;D xsi:type="xsd:double"&gt;18.9433851065191&lt;/D&gt;&lt;D xsi:type="xsd:double"&gt;19.5927366750959&lt;/D&gt;&lt;D xsi:type="xsd:double"&gt;18.4424753663026&lt;/D&gt;&lt;D xsi:type="xsd:double"&gt;18.5806452157565&lt;/D&gt;&lt;D xsi:type="xsd:double"&gt;17.8937642365887&lt;/D&gt;&lt;D xsi:type="xsd:double"&gt;18.6315683221803&lt;/D&gt;&lt;D xsi:type="xsd:double"&gt;19.4548493706835&lt;/D&gt;&lt;D xsi:type="xsd:double"&gt;19.5307401776821&lt;/D&gt;&lt;D xsi:type="xsd:double"&gt;20.250964271912&lt;/D&gt;&lt;D xsi:type="xsd:double"&gt;20.6086170742087&lt;/D&gt;&lt;D xsi:type="xsd:double"&gt;19.8741237204745&lt;/D&gt;&lt;D xsi:type="xsd:double"&gt;20.7242492336263&lt;/D&gt;&lt;D xsi:type="xsd:double"&gt;21.1222295932976&lt;/D&gt;&lt;D xsi:type="xsd:double"&gt;21.2027052550355&lt;/D&gt;&lt;D xsi:type="xsd:double"&gt;21.0413209078253&lt;/D&gt;&lt;D xsi:type="xsd:double"&gt;21.0417821131269&lt;/D&gt;&lt;D xsi:type="xsd:double"&gt;21.8779590433116&lt;/D&gt;&lt;/FQL&gt;&lt;FQL&gt;&lt;Q&gt;EWU^FMA_PE(LTMA,-10AY,0,AM,"PORTAGG","MEANR")&lt;/Q&gt;&lt;R&gt;121&lt;/R&gt;&lt;C&gt;1&lt;/C&gt;&lt;D xsi:type="xsd:double"&gt;13.4024909452766&lt;/D&gt;&lt;D xsi:type="xsd:double"&gt;13.9706642143549&lt;/D&gt;&lt;D xsi:type="xsd:double"&gt;13.6011842630977&lt;/D&gt;&lt;D xsi:type="xsd:double"&gt;13.6269451519732&lt;/D&gt;&lt;D xsi:type="xsd:double"&gt;14.7502939019348&lt;/D&gt;&lt;D xsi:type="xsd:double"&gt;15.2307560361496&lt;/D&gt;&lt;D xsi:type="xsd:double"&gt;15.4918551181616&lt;/D&gt;&lt;D xsi:type="xsd:double"&gt;15.7136686932075&lt;/D&gt;&lt;D xsi:type="xsd:double"&gt;15.6336906322549&lt;/D&gt;&lt;D xsi:type="xsd:double"&gt;15.799995020816&lt;/D&gt;&lt;D xsi:type="xsd:double"&gt;15.6070244927128&lt;/D&gt;&lt;D xsi:type="xsd:double"&gt;15.0901804977372&lt;/D&gt;&lt;D xsi:type="xsd:double"&gt;15.7571704215956&lt;/D&gt;&lt;D xsi:type="xsd:double"&gt;15.7826198062733&lt;/D&gt;&lt;D xsi:type="xsd:double"&gt;15.2315729108424&lt;/D&gt;&lt;D xsi:type="xsd:double"&gt;14.521775842277&lt;/D&gt;&lt;D xsi:type="xsd:double"&gt;14.9297123568599&lt;/D&gt;&lt;D xsi:type="xsd:double"&gt;15.7212597894704&lt;/D&gt;&lt;D xsi:type="xsd:double"&gt;15.9676354518834&lt;/D&gt;&lt;D xsi:type="xsd:double"&gt;15.9181881508113&lt;/D&gt;&lt;D xsi:type="xsd:double"&gt;15.7986434092372&lt;/D&gt;&lt;D xsi:type="xsd:double"&gt;16.5140841333346&lt;/D&gt;&lt;D xsi:type="xsd:double"&gt;16.9683326325046&lt;/D&gt;&lt;D xsi:type="xsd:double"&gt;16.6543916690216&lt;/D&gt;&lt;D xsi:type="xsd:double"&gt;16.9407043914834&lt;/D&gt;&lt;D xsi:type="xsd:double"&gt;16.2702072317234&lt;/D&gt;&lt;D xsi:type="xsd:double"&gt;16.9360422086708&lt;/D&gt;&lt;D xsi:type="xsd:double"&gt;17.1962414112165&lt;/D&gt;&lt;D xsi:type="xsd:double"&gt;17.2911741921827&lt;/D&gt;&lt;D xsi:type="xsd:double"&gt;17.2626945137543&lt;/D&gt;&lt;D xsi:type="xsd:double"&gt;16.904874254792&lt;/D&gt;&lt;D xsi:type="xsd:double"&gt;16.8508654471438&lt;/D&gt;&lt;D xsi:type="xsd:double"&gt;16.598412962029&lt;/D&gt;&lt;D xsi:type="xsd:double"&gt;16.4491669624544&lt;/D&gt;&lt;D xsi:type="xsd:double"&gt;16.0498766576655&lt;/D&gt;&lt;D xsi:type="xsd:double"&gt;15.846086360393&lt;/D&gt;&lt;D xsi:type="xsd:double"&gt;15.8239672580549&lt;/D&gt;&lt;D xsi:type="xsd:double"&gt;15.1965921933713&lt;/D&gt;&lt;D xsi:type="xsd:double"&gt;15.3178253481361&lt;/D&gt;&lt;D xsi:type="xsd:double"&gt;15.6074496533216&lt;/D&gt;&lt;D xsi:type="xsd:double"&gt;14.7016709983108&lt;/D&gt;&lt;D xsi:type="xsd:double"&gt;13.9431176558217&lt;/D&gt;&lt;D xsi:type="xsd:double"&gt;13.996869884978&lt;/D&gt;&lt;D xsi:type="xsd:double"&gt;14.1322909770927&lt;/D&gt;&lt;D xsi:type="xsd:double"&gt;13.894795443393&lt;/D&gt;&lt;D xsi:type="xsd:double"&gt;13.7930647858222&lt;/D&gt;&lt;D xsi:type="xsd:double"&gt;13.619676469327&lt;/D&gt;&lt;D xsi:type="xsd:double"&gt;13.4047962730083&lt;/D&gt;&lt;D xsi:type="xsd:double"&gt;12.8934060740524&lt;/D&gt;&lt;D xsi:type="xsd:double"&gt;12.7023905463366&lt;/D&gt;&lt;D xsi:type="xsd:double"&gt;11.9578506161675&lt;/D&gt;&lt;D xsi:type="xsd:double"&gt;12.4611106427725&lt;/D&gt;&lt;D xsi:type="xsd:double"&gt;12.8363496045825&lt;/D&gt;&lt;D xsi:type="xsd:double"&gt;12.985311900812&lt;/D&gt;&lt;D xsi:type="xsd:double"&gt;13.02155751431&lt;/D&gt;&lt;D xsi:type="xsd:double"&gt;12.9163043081167&lt;/D&gt;&lt;D xsi:type="xsd:double"&gt;13.0049113864673&lt;/D&gt;&lt;D xsi:type="xsd:double"&gt;13.1035055340732&lt;/D&gt;&lt;D xsi:type="xsd:double"&gt;12.6656607264676&lt;/D&gt;&lt;D xsi:type="xsd:double"&gt;13.0707706915255&lt;/D&gt;&lt;D xsi:type="xsd:double"&gt;13.1217326270897&lt;/D&gt;&lt;D xsi:type="xsd:double"&gt;13.4072764051462&lt;/D&gt;&lt;D xsi:type="xsd:double"&gt;14.0079295983716&lt;/D&gt;&lt;D xsi:type="xsd:double"&gt;14.3299999227271&lt;/D&gt;&lt;D xsi:type="xsd:double"&gt;13.9610631783661&lt;/D&gt;&lt;D xsi:type="xsd:double"&gt;11.8663196065701&lt;/D&gt;&lt;D xsi:type="xsd:double"&gt;13.0264576441048&lt;/D&gt;&lt;D xsi:type="xsd:double"&gt;14.1921807669715&lt;/D&gt;&lt;D xsi:type="xsd:double"&gt;15.0595742089098&lt;/D&gt;&lt;D xsi:type="xsd:double"&gt;15.6530097852605&lt;/D&gt;&lt;D xsi:type="xsd:double"&gt;16.3683971190509&lt;/D&gt;&lt;D xsi:type="xsd:double"&gt;16.8720168284851&lt;/D&gt;&lt;D xsi:type="xsd:double"&gt;16.9894154693096&lt;/D&gt;&lt;D xsi:type="xsd:double"&gt;18.5662402052517&lt;/D&gt;&lt;D xsi:type="xsd:double"&gt;19.5464452889724&lt;/D&gt;&lt;D xsi:type="xsd:double"&gt;20.201081984687&lt;/D&gt;&lt;D xsi:type="xsd:double"&gt;19.5158269285459&lt;/D&gt;&lt;D xsi:type="xsd:double"&gt;18.5687549823287&lt;/D&gt;&lt;D xsi:type="xsd:double"&gt;18.0237165896677&lt;/D&gt;&lt;D xsi:type="xsd:double"&gt;17.3806487260862&lt;/D&gt;&lt;D xsi:type="xsd:double"&gt;16.6866617323505&lt;/D&gt;&lt;D xsi:type="xsd:double"&gt;15.8706815508366&lt;/D&gt;&lt;D xsi:type="xsd:double"&gt;15.0723414770954&lt;/D&gt;&lt;D xsi:type="xsd:double"&gt;14.1471200167231&lt;/D&gt;&lt;D xsi:type="xsd:double"&gt;13.8284618572718&lt;/D&gt;&lt;D xsi:type="xsd:double"&gt;13.0671901693952&lt;/D&gt;&lt;D xsi:type="xsd:double"&gt;12.3609396023281&lt;/D&gt;&lt;D xsi:type="xsd:double"&gt;12.7080443904722&lt;/D&gt;&lt;D xsi:type="xsd:double"&gt;12.6704777267159&lt;/D&gt;&lt;D xsi:type="xsd:double"&gt;12.4488427301555&lt;/D&gt;&lt;D xsi:type="xsd:double"&gt;12.2162264381712&lt;/D&gt;&lt;D xsi:type="xsd:double"&gt;11.7475586049801&lt;/D&gt;&lt;D xsi:type="xsd:double"&gt;11.2036390134675&lt;/D&gt;&lt;D xsi:type="xsd:double"&gt;10.979383977078&lt;/D&gt;&lt;D xsi:type="xsd:double"&gt;10.7649516045574&lt;/D&gt;&lt;D xsi:type="xsd:double"&gt;10.0358030113389&lt;/D&gt;&lt;D xsi:type="xsd:double"&gt;9.4518490405671&lt;/D&gt;&lt;D xsi:type="xsd:double"&gt;9.76481559240277&lt;/D&gt;&lt;D xsi:type="xsd:double"&gt;9.57505625429544&lt;/D&gt;&lt;D xsi:type="xsd:double"&gt;10.3009280680621&lt;/D&gt;&lt;D xsi:type="xsd:double"&gt;10.3355044219622&lt;/D&gt;&lt;D xsi:type="xsd:double"&gt;10.1232139490163&lt;/D&gt;&lt;D xsi:type="xsd:double"&gt;10.4196642452888&lt;/D&gt;&lt;D xsi:type="xsd:double"&gt;10.3325522875448&lt;/D&gt;&lt;D xsi:type="xsd:double"&gt;10.3975613609471&lt;/D&gt;&lt;D xsi:type="xsd:double"&gt;10.4676446595929&lt;/D&gt;&lt;D xsi:type="xsd:double"&gt;10.3239364976275&lt;/D&gt;&lt;D xsi:type="xsd:double"&gt;10.6733627755736&lt;/D&gt;&lt;D xsi:type="xsd:double"&gt;10.5549803381162&lt;/D&gt;&lt;D xsi:type="xsd:double"&gt;10.6898781006149&lt;/D&gt;&lt;D xsi:type="xsd:double"&gt;11.0742049266812&lt;/D&gt;&lt;D xsi:type="xsd:double"&gt;10.9597910728866&lt;/D&gt;&lt;D xsi:type="xsd:double"&gt;11.3516011330464&lt;/D&gt;&lt;D xsi:type="xsd:double"&gt;11.461821917921&lt;/D&gt;&lt;D xsi:type="xsd:double"&gt;11.4870700087221&lt;/D&gt;&lt;D xsi:type="xsd:double"&gt;11.783866163526&lt;/D&gt;&lt;D xsi:type="xsd:double"&gt;11.653024625204&lt;/D&gt;&lt;D xsi:type="xsd:double"&gt;11.8287472073382&lt;/D&gt;&lt;D xsi:type="xsd:double"&gt;11.9714526843419&lt;/D&gt;&lt;D xsi:type="xsd:double"&gt;12.0835878881668&lt;/D&gt;&lt;D xsi:type="xsd:double"&gt;12.2033704610696&lt;/D&gt;&lt;/FQL&gt;&lt;FQL&gt;&lt;Q&gt;WL-FDS^MAX(FG_PRICE(0,-5AY))&lt;/Q&gt;&lt;R&gt;1&lt;/R&gt;&lt;C&gt;1&lt;/C&gt;&lt;D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xsi:type="xsd:double"&gt;133.59155&lt;/D&gt;&lt;/FQL&gt;&lt;FQL&gt;&lt;Q&gt;EWD^FG_PRICE_MAVG(0,,,,200)&lt;/Q&gt;&lt;R&gt;1&lt;/R&gt;&lt;C&gt;1&lt;/C&gt;&lt;D xsi:type="xsd:double"&gt;40.078625&lt;/D&gt;&lt;/FQL&gt;&lt;FQL&gt;&lt;Q&gt;QQQ^FG_PRICE_MAVG(0,,,,200)&lt;/Q&gt;&lt;R&gt;1&lt;/R&gt;&lt;C&gt;1&lt;/C&gt;&lt;D xsi:type="xsd:double"&gt;454.10965&lt;/D&gt;&lt;/FQL&gt;&lt;FQL&gt;&lt;Q&gt;EWG^FG_PRICE_MAVG(0,,,,200)&lt;/Q&gt;&lt;R&gt;1&lt;/R&gt;&lt;C&gt;1&lt;/C&gt;&lt;D xsi:type="xsd:double"&gt;31.1265&lt;/D&gt;&lt;/FQL&gt;&lt;FQL&gt;&lt;Q&gt;EWI^FG_COMPANY_NAME&lt;/Q&gt;&lt;R&gt;1&lt;/R&gt;&lt;C&gt;1&lt;/C&gt;&lt;D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xsi:type="xsd:double"&gt;0.85786664&lt;/D&gt;&lt;/FQL&gt;&lt;FQL&gt;&lt;Q&gt;EWJ^FG_TOTAL_RETURNC(0,-12AM)&lt;/Q&gt;&lt;R&gt;1&lt;/R&gt;&lt;C&gt;1&lt;/C&gt;&lt;D xsi:type="xsd:double"&gt;21.543657&lt;/D&gt;&lt;/FQL&gt;&lt;FQL&gt;&lt;Q&gt;URTH^PERCENT_CHANGE(FMA_EPS(+1,0,,,,"PORTAGG","MEAN"),FMA_EPS(+1,-1AM,,,,"PORTAGG","MEAN"))&lt;/Q&gt;&lt;R&gt;1&lt;/R&gt;&lt;C&gt;1&lt;/C&gt;&lt;D xsi:type="xsd:double"&gt;-1.7312536652537&lt;/D&gt;&lt;/FQL&gt;&lt;FQL&gt;&lt;Q&gt;EWD^FG_TOTAL_RETURNC(0,-6AM)&lt;/Q&gt;&lt;R&gt;1&lt;/R&gt;&lt;C&gt;1&lt;/C&gt;&lt;D xsi:type="xsd:double"&gt;9.0489025&lt;/D&gt;&lt;/FQL&gt;&lt;FQL&gt;&lt;Q&gt;EWQ^P_PRICE(0)/P_PRICE_LOW_PR(0,,,,,,"PRICE","INTRA","52W")-1&lt;/Q&gt;&lt;R&gt;1&lt;/R&gt;&lt;C&gt;1&lt;/C&gt;&lt;D xsi:type="xsd:double"&gt;0.16607249&lt;/D&gt;&lt;/FQL&gt;&lt;FQL&gt;&lt;Q&gt;EWU^PERCENT_CHANGE(FMA_EPS(+1,0,,,,"PORTAGG","MEAN"),FMA_EPS(+1,-3AM,,,,"PORTAGG","MEAN"))&lt;/Q&gt;&lt;R&gt;1&lt;/R&gt;&lt;C&gt;1&lt;/C&gt;&lt;D xsi:type="xsd:double"&gt;0.311238964375326&lt;/D&gt;&lt;/FQL&gt;&lt;FQL&gt;&lt;Q&gt;EWJ^FG_TOTAL_RETURNC(0,-3AM)&lt;/Q&gt;&lt;R&gt;1&lt;/R&gt;&lt;C&gt;1&lt;/C&gt;&lt;D xsi:type="xsd:double"&gt;-0.3835261&lt;/D&gt;&lt;/FQL&gt;&lt;FQL&gt;&lt;Q&gt;EWC^P_PRICE(0)/P_PRICE_HIGH_PR(0,,,,,,"PRICE","INTRA","52W")&lt;/Q&gt;&lt;R&gt;1&lt;/R&gt;&lt;C&gt;1&lt;/C&gt;&lt;D xsi:type="xsd:double"&gt;0.9981007&lt;/D&gt;&lt;/FQL&gt;&lt;FQL&gt;&lt;Q&gt;ENZL^FG_TOTAL_RETURNC(0,-12AM)&lt;/Q&gt;&lt;R&gt;1&lt;/R&gt;&lt;C&gt;1&lt;/C&gt;&lt;D xsi:type="xsd:double"&gt;17.636526&lt;/D&gt;&lt;/FQL&gt;&lt;FQL&gt;&lt;Q&gt;EWJ^FMA_COS_DOWN("EPS","1M",+1,0,,,"PORTAGG","MEANR")&lt;/Q&gt;&lt;R&gt;1&lt;/R&gt;&lt;C&gt;1&lt;/C&gt;&lt;D xsi:type="xsd:double"&gt;73&lt;/D&gt;&lt;/FQL&gt;&lt;FQL&gt;&lt;Q&gt;EWL^SIZE(FG_CONSTITUENTS)&lt;/Q&gt;&lt;R&gt;1&lt;/R&gt;&lt;C&gt;1&lt;/C&gt;&lt;D xsi:type="xsd:long"&gt;47&lt;/D&gt;&lt;/FQL&gt;&lt;FQL&gt;&lt;Q&gt;EWD^FMA_RBICS_REV_CURRENT(30, LOC, "PORTAGG")&lt;/Q&gt;&lt;R&gt;1&lt;/R&gt;&lt;C&gt;1&lt;/C&gt;&lt;D xsi:type="xsd:double"&gt;26.7323231015912&lt;/D&gt;&lt;/FQL&gt;&lt;FQL&gt;&lt;Q&gt;SPY^FG_ROE(0)&lt;/Q&gt;&lt;R&gt;1&lt;/R&gt;&lt;C&gt;1&lt;/C&gt;&lt;D xsi:type="xsd:double"&gt;18.6311471225532&lt;/D&gt;&lt;/FQL&gt;&lt;FQL&gt;&lt;Q&gt;TRYCH10Y-FDS^FG_YIELD_NAME&lt;/Q&gt;&lt;R&gt;1&lt;/R&gt;&lt;C&gt;1&lt;/C&gt;&lt;D xsi:type="xsd:string"&gt;Treasury - Switzerland Benchmark Bond 10Y&lt;/D&gt;&lt;/FQL&gt;&lt;FQL&gt;&lt;Q&gt;EWC^FG_COMPANY_NAME&lt;/Q&gt;&lt;R&gt;1&lt;/R&gt;&lt;C&gt;1&lt;/C&gt;&lt;D xsi:type="xsd:string"&gt;iShares MSCI Canada ETF&lt;/D&gt;&lt;/FQL&gt;&lt;FQL&gt;&lt;Q&gt;REFEUREFI-FDS^PROPER_NAME(0,,,"SECURITY","NAME")&lt;/Q&gt;&lt;R&gt;1&lt;/R&gt;&lt;C&gt;1&lt;/C&gt;&lt;D xsi:type="xsd:string"&gt;Eurozone Main Refinancing Operations Minimum Bid Rate&lt;/D&gt;&lt;/FQL&gt;&lt;FQL&gt;&lt;Q&gt;TRYFR10Y-FDS^PCTCHG(FG_YIELD(0,,,,"YTM"),FG_YIELD(-3AM,,,,"YTM"))&lt;/Q&gt;&lt;R&gt;1&lt;/R&gt;&lt;C&gt;1&lt;/C&gt;&lt;D xsi:type="xsd:double"&gt;-4.8318644&lt;/D&gt;&lt;/FQL&gt;&lt;FQL&gt;&lt;Q&gt;TRYAU10Y-FDS^PCTCHG(FG_YIELD(0,,,,"YTM"),FG_YIELD(-3AM,,,,"YTM"))&lt;/Q&gt;&lt;R&gt;1&lt;/R&gt;&lt;C&gt;1&lt;/C&gt;&lt;D xsi:type="xsd:double"&gt;1.5801979&lt;/D&gt;&lt;/FQL&gt;&lt;FQL&gt;&lt;Q&gt;TRYUS10Y-FDS^FG_YIELD(0,,,,"YTM")&lt;/Q&gt;&lt;R&gt;1&lt;/R&gt;&lt;C&gt;1&lt;/C&gt;&lt;D xsi:type="xsd:double"&gt;4.0789&lt;/D&gt;&lt;/FQL&gt;&lt;FQL&gt;&lt;Q&gt;CC_IT^IMF_IFS_RCPI_Q(0)&lt;/Q&gt;&lt;R&gt;0&lt;/R&gt;&lt;C&gt;0&lt;/C&gt;&lt;/FQL&gt;&lt;FQL&gt;&lt;Q&gt;VWO^FMA_DIV_YLD(NTMA,NOW,NOW,M,"PORTAGG","MEANR")&lt;/Q&gt;&lt;R&gt;1&lt;/R&gt;&lt;C&gt;1&lt;/C&gt;&lt;D xsi:type="xsd:double"&gt;2.98103560166142&lt;/D&gt;&lt;/FQL&gt;&lt;FQL&gt;&lt;Q&gt;EWI^FMA_PE(LTM,0,,,"PORTAGG","MEANR")&lt;/Q&gt;&lt;R&gt;1&lt;/R&gt;&lt;C&gt;1&lt;/C&gt;&lt;D xsi:type="xsd:double"&gt;11.1780145597982&lt;/D&gt;&lt;/FQL&gt;&lt;FQL&gt;&lt;Q&gt;EWQ^FMA_EVAL_EBIT(LTMA,NOW,NOW,M,"PORTAGG","MEANR")&lt;/Q&gt;&lt;R&gt;1&lt;/R&gt;&lt;C&gt;1&lt;/C&gt;&lt;D xsi:type="xsd:double"&gt;13.583475036114&lt;/D&gt;&lt;/FQL&gt;&lt;FQL&gt;&lt;Q&gt;QQQ^FG_FCF_YIELD_NTM(0)&lt;/Q&gt;&lt;R&gt;1&lt;/R&gt;&lt;C&gt;1&lt;/C&gt;&lt;D xsi:type="xsd:double"&gt;3.53468804937626&lt;/D&gt;&lt;/FQL&gt;&lt;FQL&gt;&lt;Q&gt;EWL^FMA_PE(NTMA,0,,,"PORTAGG","MEANR")&lt;/Q&gt;&lt;R&gt;1&lt;/R&gt;&lt;C&gt;1&lt;/C&gt;&lt;D xsi:type="xsd:double"&gt;17.3089225155881&lt;/D&gt;&lt;/FQL&gt;&lt;FQL&gt;&lt;Q&gt;EWG^JULIAN(FMA_DIV_YLD(NTMA,NOW,NOW,M,"PORTAGG","MEANR").DATES)&lt;/Q&gt;&lt;R&gt;1&lt;/R&gt;&lt;C&gt;1&lt;/C&gt;&lt;D xsi:type="xsd:long"&gt;45565&lt;/D&gt;&lt;/FQL&gt;&lt;FQL&gt;&lt;Q&gt;ENZL^FMA_EVAL_EBITDA(NTMA,0,,,"PORTAGG","MEANR")&lt;/Q&gt;&lt;R&gt;1&lt;/R&gt;&lt;C&gt;1&lt;/C&gt;&lt;D xsi:type="xsd:double"&gt;13.1020375662224&lt;/D&gt;&lt;/FQL&gt;&lt;FQL&gt;&lt;Q&gt;EWL^FG_COMPANY_NAME&lt;/Q&gt;&lt;R&gt;1&lt;/R&gt;&lt;C&gt;1&lt;/C&gt;&lt;D xsi:type="xsd:string"&gt;iShares MSCI Switzerland ETF&lt;/D&gt;&lt;/FQL&gt;&lt;FQL&gt;&lt;Q&gt;EWN^FG_COMPANY_NAME&lt;/Q&gt;&lt;R&gt;1&lt;/R&gt;&lt;C&gt;1&lt;/C&gt;&lt;D xsi:type="xsd:string"&gt;iShares MSCI Netherlands ETF&lt;/D&gt;&lt;/FQL&gt;&lt;FQL&gt;&lt;Q&gt;VGK^FG_TOTAL_RETURNC(0,-6AM)&lt;/Q&gt;&lt;R&gt;1&lt;/R&gt;&lt;C&gt;1&lt;/C&gt;&lt;D xsi:type="xsd:double"&gt;9.738016&lt;/D&gt;&lt;/FQL&gt;&lt;FQL&gt;&lt;Q&gt;QQQ^FG_TOTAL_RETURNC(0,-6AM)&lt;/Q&gt;&lt;R&gt;1&lt;/R&gt;&lt;C&gt;1&lt;/C&gt;&lt;D xsi:type="xsd:double"&gt;17.134308&lt;/D&gt;&lt;/FQL&gt;&lt;FQL&gt;&lt;Q&gt;EWJ^P_PRICE(0)/P_PRICE_LOW_PR(0,,,,,,"PRICE","INTRA","52W")-1&lt;/Q&gt;&lt;R&gt;1&lt;/R&gt;&lt;C&gt;1&lt;/C&gt;&lt;D xsi:type="xsd:double"&gt;0.22604883&lt;/D&gt;&lt;/FQL&gt;&lt;FQL&gt;&lt;Q&gt;QQQ^FG_TOTAL_RETURNC(0,-12AM)&lt;/Q&gt;&lt;R&gt;1&lt;/R&gt;&lt;C&gt;1&lt;/C&gt;&lt;D xsi:type="xsd:double"&gt;37.010647&lt;/D&gt;&lt;/FQL&gt;&lt;FQL&gt;&lt;Q&gt;EWJ^FG_TOTAL_RETURNC(0,-1AM)&lt;/Q&gt;&lt;R&gt;1&lt;/R&gt;&lt;C&gt;1&lt;/C&gt;&lt;D xsi:type="xsd:double"&gt;1.0664344&lt;/D&gt;&lt;/FQL&gt;&lt;FQL&gt;&lt;Q&gt;EWC^FG_TOTAL_RETURNC(0,-6AM)&lt;/Q&gt;&lt;R&gt;1&lt;/R&gt;&lt;C&gt;1&lt;/C&gt;&lt;D xsi:type="xsd:double"&gt;15.164328&lt;/D&gt;&lt;/FQL&gt;&lt;FQL&gt;&lt;Q&gt;ENZL^P_PRICE(0)/P_PRICE_LOW_PR(0,,,,,,"PRICE","INTRA","52W")-1&lt;/Q&gt;&lt;R&gt;1&lt;/R&gt;&lt;C&gt;1&lt;/C&gt;&lt;D xsi:type="xsd:double"&gt;0.19936335&lt;/D&gt;&lt;/FQL&gt;&lt;FQL&gt;&lt;Q&gt;EWN^SIZE(FG_CONSTITUENTS)&lt;/Q&gt;&lt;R&gt;1&lt;/R&gt;&lt;C&gt;1&lt;/C&gt;&lt;D xsi:type="xsd:long"&gt;55&lt;/D&gt;&lt;/FQL&gt;&lt;FQL&gt;&lt;Q&gt;TRYAU10Y-FDS^PCTCHG(FG_YIELD(0,,,,"YTM"),FG_YIELD(-1AM,,,,"YTM"))&lt;/Q&gt;&lt;R&gt;1&lt;/R&gt;&lt;C&gt;1&lt;/C&gt;&lt;D xsi:type="xsd:double"&gt;11.464805&lt;/D&gt;&lt;/FQL&gt;&lt;FQL&gt;&lt;Q&gt;DUMMY^ECON_EXPR_DATA('FDS_ECON[PMIDMMANHE]',,,M)&lt;/Q&gt;&lt;R&gt;1&lt;/R&gt;&lt;C&gt;1&lt;/C&gt;&lt;D xsi:type="xsd:double"&gt;47.52011&lt;/D&gt;&lt;/FQL&gt;&lt;FQL&gt;&lt;Q&gt;EWN^FMA_ROE(NTMA,-20AY,NOW,FY,"PORTAGG","MEANR")&lt;/Q&gt;&lt;R&gt;20&lt;/R&gt;&lt;C&gt;1&lt;/C&gt;&lt;D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xsi:type="xsd:double"&gt;12.7507267246828&lt;/D&gt;&lt;/FQL&gt;&lt;FQL&gt;&lt;Q&gt;TRYSA10Y-FDS^FG_YIELD(-10AY,0,Y,,"YTM")&lt;/Q&gt;&lt;R&gt;10&lt;/R&gt;&lt;C&gt;1&lt;/C&gt;&lt;D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</t>
        </r>
      </text>
    </comment>
    <comment ref="A3" authorId="0" shapeId="0" xr:uid="{3E1882C3-626D-4F02-8605-B8236A0047AA}">
      <text>
        <r>
          <rPr>
            <b/>
            <sz val="9"/>
            <color indexed="81"/>
            <rFont val="Tahoma"/>
            <charset val="1"/>
          </rPr>
          <t>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xsi:type="xsd:double"&gt;3.1928&lt;/D&gt;&lt;/FQL&gt;&lt;FQL&gt;&lt;Q&gt;NI-FDS^FG_PRICE(0)/MAX(FG_PRICE(0,-1AY))&lt;/Q&gt;&lt;R&gt;1&lt;/R&gt;&lt;C&gt;1&lt;/C&gt;&lt;D xsi:type="xsd:double"&gt;0.788719153936545&lt;/D&gt;&lt;/FQL&gt;&lt;FQL&gt;&lt;Q&gt;QQQ^FG_PRICE_MAVG(0,,,,60)&lt;/Q&gt;&lt;R&gt;1&lt;/R&gt;&lt;C&gt;1&lt;/C&gt;&lt;D xsi:type="xsd:double"&gt;472.99966&lt;/D&gt;&lt;/FQL&gt;&lt;FQL&gt;&lt;Q&gt;EWG^FG_PRICE_MAVG(0,,,,60)&lt;/Q&gt;&lt;R&gt;1&lt;/R&gt;&lt;C&gt;1&lt;/C&gt;&lt;D xsi:type="xsd:double"&gt;32.087&lt;/D&gt;&lt;/FQL&gt;&lt;FQL&gt;&lt;Q&gt;EWD^FG_COMPANY_NAME&lt;/Q&gt;&lt;R&gt;1&lt;/R&gt;&lt;C&gt;1&lt;/C&gt;&lt;D xsi:type="xsd:string"&gt;iShares MSCI Sweden ETF&lt;/D&gt;&lt;/FQL&gt;&lt;FQL&gt;&lt;Q&gt;FXI^FG_TOTAL_RETURNC(0,-6AM)&lt;/Q&gt;&lt;R&gt;1&lt;/R&gt;&lt;C&gt;1&lt;/C&gt;&lt;D xsi:type="xsd:double"&gt;34.024334&lt;/D&gt;&lt;/FQL&gt;&lt;FQL&gt;&lt;Q&gt;EWQ^P_PRICE(0)/P_PRICE_HIGH_PR(0,,,,,,"PRICE","INTRA","52W")&lt;/Q&gt;&lt;R&gt;1&lt;/R&gt;&lt;C&gt;1&lt;/C&gt;&lt;D xsi:type="xsd:double"&gt;0.9213615&lt;/D&gt;&lt;/FQL&gt;&lt;FQL&gt;&lt;Q&gt;EWU^PERCENT_CHANGE(FMA_EPS(+1,0,,,,"PORTAGG","MEAN"),FMA_EPS(+1,-1AM,,,,"PORTAGG","MEAN"))&lt;/Q&gt;&lt;R&gt;1&lt;/R&gt;&lt;C&gt;1&lt;/C&gt;&lt;D xsi:type="xsd:double"&gt;-1.85990667071798&lt;/D&gt;&lt;/FQL&gt;&lt;FQL&gt;&lt;Q&gt;EWJ^FMA_COS_UP("EPS","1M",+1,0,,,"PORTAGG","MEANR")&lt;/Q&gt;&lt;R&gt;1&lt;/R&gt;&lt;C&gt;1&lt;/C&gt;&lt;D xsi:type="xsd:double"&gt;83&lt;/D&gt;&lt;/FQL&gt;&lt;FQL&gt;&lt;Q&gt;ENZL^FMA_COS_UP("EPS","1M",+1,0,,,"PORTAGG","MEANR")&lt;/Q&gt;&lt;R&gt;1&lt;/R&gt;&lt;C&gt;1&lt;/C&gt;&lt;D xsi:type="xsd:double"&gt;4&lt;/D&gt;&lt;/FQL&gt;&lt;FQL&gt;&lt;Q&gt;QQQ^FG_ROE(0)&lt;/Q&gt;&lt;R&gt;1&lt;/R&gt;&lt;C&gt;1&lt;/C&gt;&lt;D xsi:type="xsd:double"&gt;22.3960593972901&lt;/D&gt;&lt;/FQL&gt;&lt;FQL&gt;&lt;Q&gt;REFFFUND-FDS^PROPER_NAME(0,,,"SECURITY","NAME")&lt;/Q&gt;&lt;R&gt;1&lt;/R&gt;&lt;C&gt;1&lt;/C&gt;&lt;D xsi:type="xsd:string"&gt;US Federal Funds Target Rate&lt;/D&gt;&lt;/FQL&gt;&lt;FQL&gt;&lt;Q&gt;TRYFR10Y-FDS^PCTCHG(FG_YIELD(0,,,,"YTM"),FG_YIELD(-1AM,,,,"YTM"))&lt;/Q&gt;&lt;R&gt;1&lt;/R&gt;&lt;C&gt;1&lt;/C&gt;&lt;D xsi:type="xsd:double"&gt;-0.34188002&lt;/D&gt;&lt;/FQL&gt;&lt;FQL&gt;&lt;Q&gt;EWC^FMA_EVAL_EBIT(LTMA,NOW,NOW,M,"PORTAGG","MEANR")&lt;/Q&gt;&lt;R&gt;1&lt;/R&gt;&lt;C&gt;1&lt;/C&gt;&lt;D xsi:type="xsd:double"&gt;16.2949037454837&lt;/D&gt;&lt;/FQL&gt;&lt;FQL&gt;&lt;Q&gt;CAGDPY@US^EE_ACTUAL_ANNUAL(MED,+1)&lt;/Q&gt;&lt;R&gt;1&lt;/R&gt;&lt;C&gt;1&lt;/C&gt;&lt;D xsi:type="xsd:double"&gt;-3.3&lt;/D&gt;&lt;/FQL&gt;&lt;FQL&gt;&lt;Q&gt;CAGDPY@NZ^EE_ACTUAL_ANNUAL(MED,+1)&lt;/Q&gt;&lt;R&gt;1&lt;/R&gt;&lt;C&gt;1&lt;/C&gt;&lt;D xsi:type="xsd:double"&gt;-6.4&lt;/D&gt;&lt;/FQL&gt;&lt;FQL&gt;&lt;Q&gt;USDITL^FG_PRICE_CHANGE(0,-1AY)&lt;/Q&gt;&lt;R&gt;1&lt;/R&gt;&lt;C&gt;1&lt;/C&gt;&lt;D xsi:type="xsd:double"&gt;-2.938062&lt;/D&gt;&lt;/FQL&gt;&lt;FQL&gt;&lt;Q&gt;USDANG^FG_PRICE_CHANGE(0,-1AY)&lt;/Q&gt;&lt;R&gt;1&lt;/R&gt;&lt;C&gt;1&lt;/C&gt;&lt;D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xsi:type="xsd:double"&gt;-6.8308234&lt;/D&gt;&lt;/FQL&gt;&lt;FQL&gt;&lt;Q&gt;USDJPY^FG_PRICE_CHANGE(0,-1AY)&lt;/Q&gt;&lt;R&gt;1&lt;/R&gt;&lt;C&gt;1&lt;/C&gt;&lt;D xsi:type="xsd:double"&gt;-0.113505125&lt;/D&gt;&lt;/FQL&gt;&lt;FQL&gt;&lt;Q&gt;USDCAD^FG_PRICE_CHANGE(0,-1AY)&lt;/Q&gt;&lt;R&gt;1&lt;/R&gt;&lt;C&gt;1&lt;/C&gt;&lt;D xsi:type="xsd:double"&gt;0.8289695&lt;/D&gt;&lt;/FQL&gt;&lt;FQL&gt;&lt;Q&gt;USDNZD^FG_PRICE_CHANGE(0,-1AY)&lt;/Q&gt;&lt;R&gt;1&lt;/R&gt;&lt;C&gt;1&lt;/C&gt;&lt;D xsi:type="xsd:double"&gt;-3.385228&lt;/D&gt;&lt;/FQL&gt;&lt;FQL&gt;&lt;Q&gt;EWA^JULIAN(FMA_EPS(NTMA,-20AY,0,CY,,"PORTAGG","MEANR").DATES)&lt;/Q&gt;&lt;R&gt;20&lt;/R&gt;&lt;C&gt;1&lt;/C&gt;&lt;D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xsi:type="xsd:double"&gt;-9.130812&lt;/D&gt;&lt;D xsi:type="xsd:double"&gt;7.4396133&lt;/D&gt;&lt;D xsi:type="xsd:double"&gt;-3.2213748&lt;/D&gt;&lt;D xsi:type="xsd:double"&gt;-3.3697367&lt;/D&gt;&lt;D xsi:type="xsd:double"&gt;9.396195&lt;/D&gt;&lt;D xsi:type="xsd:double"&gt;-0.05903244&lt;/D&gt;&lt;D xsi:type="xsd:double"&gt;-0.9450674&lt;/D&gt;&lt;D xsi:type="xsd:double"&gt;3.0709505&lt;/D&gt;&lt;D xsi:type="xsd:double"&gt;-1.0124326&lt;/D&gt;&lt;D xsi:type="xsd:double"&gt;-2.0779788&lt;/D&gt;&lt;D xsi:type="xsd:double"&gt;-2.2551715&lt;/D&gt;&lt;D xsi:type="xsd:double"&gt;-4.898858&lt;/D&gt;&lt;D xsi:type="xsd:double"&gt;0.7976055&lt;/D&gt;&lt;D xsi:type="xsd:double"&gt;-1.1539757&lt;/D&gt;&lt;D xsi:type="xsd:double"&gt;-5.0366936&lt;/D&gt;&lt;D xsi:type="xsd:double"&gt;-8.067417&lt;/D&gt;&lt;D xsi:type="xsd:double"&gt;6.3097477&lt;/D&gt;&lt;D xsi:type="xsd:double"&gt;5.8273435&lt;/D&gt;&lt;D xsi:type="xsd:double"&gt;3.0591369&lt;/D&gt;&lt;D xsi:type="xsd:double"&gt;-5.1780996&lt;/D&gt;&lt;D xsi:type="xsd:double"&gt;-1.6347826&lt;/D&gt;&lt;D xsi:type="xsd:double"&gt;1.6063809&lt;/D&gt;&lt;D xsi:type="xsd:double"&gt;5.1374793&lt;/D&gt;&lt;D xsi:type="xsd:double"&gt;-2.1335125&lt;/D&gt;&lt;D xsi:type="xsd:double"&gt;0.14064312&lt;/D&gt;&lt;D xsi:type="xsd:double"&gt;-4.1081486&lt;/D&gt;&lt;D xsi:type="xsd:double"&gt;4.174304&lt;/D&gt;&lt;D xsi:type="xsd:double"&gt;3.1107068&lt;/D&gt;&lt;D xsi:type="xsd:double"&gt;5.1824093&lt;/D&gt;&lt;D xsi:type="xsd:double"&gt;2.3014545&lt;/D&gt;&lt;D xsi:type="xsd:double"&gt;-1.4258504&lt;/D&gt;&lt;D xsi:type="xsd:double"&gt;6.9752455&lt;/D&gt;&lt;D xsi:type="xsd:double"&gt;2.7644277&lt;/D&gt;&lt;D xsi:type="xsd:double"&gt;2.6599288&lt;/D&gt;&lt;D xsi:type="xsd:double"&gt;-1.9807756&lt;/D&gt;&lt;D xsi:type="xsd:double"&gt;5.349183&lt;/D&gt;&lt;D xsi:type="xsd:double"&gt;1.2694001&lt;/D&gt;&lt;D xsi:type="xsd:double"&gt;-4.45683&lt;/D&gt;&lt;D xsi:type="xsd:double"&gt;-0.4081607&lt;/D&gt;&lt;D xsi:type="xsd:double"&gt;6.5891504&lt;/D&gt;&lt;D xsi:type="xsd:double"&gt;-3.1900048&lt;/D&gt;&lt;D xsi:type="xsd:double"&gt;-1.2320936&lt;/D&gt;&lt;D xsi:type="xsd:double"&gt;-2.030754&lt;/D&gt;&lt;D xsi:type="xsd:double"&gt;0.7995248&lt;/D&gt;&lt;D xsi:type="xsd:double"&gt;-4.200941&lt;/D&gt;&lt;D xsi:type="xsd:double"&gt;0.006043911&lt;/D&gt;&lt;D xsi:type="xsd:double"&gt;-0.12836456&lt;/D&gt;&lt;D xsi:type="xsd:double"&gt;3.181231&lt;/D&gt;&lt;D xsi:type="xsd:double"&gt;-6.5711617&lt;/D&gt;&lt;D xsi:type="xsd:double"&gt;-2.2333324&lt;/D&gt;&lt;D xsi:type="xsd:double"&gt;-4.136425&lt;/D&gt;&lt;D xsi:type="xsd:double"&gt;5.231309&lt;/D&gt;&lt;D xsi:type="xsd:double"&gt;2.5363564&lt;/D&gt;&lt;D xsi:type="xsd:double"&gt;1.9459128&lt;/D&gt;&lt;D xsi:type="xsd:double"&gt;5.758655&lt;/D&gt;&lt;D xsi:type="xsd:double"&gt;-7.066381&lt;/D&gt;&lt;D xsi:type="xsd:double"&gt;1.5030503&lt;/D&gt;&lt;D xsi:type="xsd:double"&gt;1.0709524&lt;/D&gt;&lt;D xsi:type="xsd:double"&gt;-8.245039&lt;/D&gt;&lt;D xsi:type="xsd:double"&gt;8.444607&lt;/D&gt;&lt;D xsi:type="xsd:double"&gt;2.6955128&lt;/D&gt;&lt;D xsi:type="xsd:double"&gt;3.2080412&lt;/D&gt;&lt;D xsi:type="xsd:double"&gt;5.449891&lt;/D&gt;&lt;D xsi:type="xsd:double"&gt;1.1456132&lt;/D&gt;&lt;D xsi:type="xsd:double"&gt;0.059616566&lt;/D&gt;&lt;D xsi:type="xsd:double"&gt;-33.958893&lt;/D&gt;&lt;D xsi:type="xsd:double"&gt;20.117271&lt;/D&gt;&lt;D xsi:type="xsd:double"&gt;4.881716&lt;/D&gt;&lt;D xsi:type="xsd:double"&gt;10.227335&lt;/D&gt;&lt;D xsi:type="xsd:double"&gt;11.40436&lt;/D&gt;&lt;D xsi:type="xsd:double"&gt;4.2117596&lt;/D&gt;&lt;D xsi:type="xsd:double"&gt;1.908505&lt;/D&gt;&lt;D xsi:type="xsd:double"&gt;-0.3855765&lt;/D&gt;&lt;D xsi:type="xsd:double"&gt;7.4094534&lt;/D&gt;&lt;D xsi:type="xsd:double"&gt;3.8862705&lt;/D&gt;&lt;D xsi:type="xsd:double"&gt;2.1467686&lt;/D&gt;&lt;D xsi:type="xsd:double"&gt;4.521024&lt;/D&gt;&lt;D xsi:type="xsd:double"&gt;4.3020844&lt;/D&gt;&lt;D xsi:type="xsd:double"&gt;8.33894&lt;/D&gt;&lt;D xsi:type="xsd:double"&gt;-0.20691752&lt;/D&gt;&lt;D xsi:type="xsd:double"&gt;-3.1240165&lt;/D&gt;&lt;D xsi:type="xsd:double"&gt;2.6719213&lt;/D&gt;&lt;D xsi:type="xsd:double"&gt;1.0238886&lt;/D&gt;&lt;D xsi:type="xsd:double"&gt;-0.71790814&lt;/D&gt;&lt;D xsi:type="xsd:double"&gt;0.12761354&lt;/D&gt;&lt;D xsi:type="xsd:double"&gt;2.803743&lt;/D&gt;&lt;D xsi:type="xsd:double"&gt;-6.6415367&lt;/D&gt;&lt;D xsi:type="xsd:double"&gt;-0.9544313&lt;/D&gt;&lt;D xsi:type="xsd:double"&gt;-8.780819&lt;/D&gt;&lt;D xsi:type="xsd:double"&gt;1.1874676&lt;/D&gt;&lt;D xsi:type="xsd:double"&gt;-5.368286&lt;/D&gt;&lt;D xsi:type="xsd:double"&gt;-9.498686&lt;/D&gt;&lt;D xsi:type="xsd:double"&gt;-6.9749236&lt;/D&gt;&lt;D xsi:type="xsd:double"&gt;-0.8061886&lt;/D&gt;&lt;D xsi:type="xsd:double"&gt;7.15214&lt;/D&gt;&lt;D xsi:type="xsd:double"&gt;-10.406548&lt;/D&gt;&lt;D xsi:type="xsd:double"&gt;-1.5238762&lt;/D&gt;&lt;D xsi:type="xsd:double"&gt;12.24209&lt;/D&gt;&lt;D xsi:type="xsd:double"&gt;0.26358366&lt;/D&gt;&lt;D xsi:type="xsd:double"&gt;8.48186&lt;/D&gt;&lt;D xsi:type="xsd:double"&gt;1.4164329&lt;/D&gt;&lt;D xsi:type="xsd:double"&gt;-8.603346&lt;/D&gt;&lt;D xsi:type="xsd:double"&gt;12.102688&lt;/D&gt;&lt;D xsi:type="xsd:double"&gt;-2.0992398&lt;/D&gt;&lt;D xsi:type="xsd:double"&gt;0.05569458&lt;/D&gt;&lt;D xsi:type="xsd:double"&gt;2.699697&lt;/D&gt;&lt;D xsi:type="xsd:double"&gt;-11.30082&lt;/D&gt;&lt;D xsi:type="xsd:double"&gt;0.56523085&lt;/D&gt;&lt;D xsi:type="xsd:double"&gt;-1.1696875&lt;/D&gt;&lt;D xsi:type="xsd:double"&gt;8.853364&lt;/D&gt;&lt;D xsi:type="xsd:double"&gt;11.522174&lt;/D&gt;&lt;D xsi:type="xsd:double"&gt;-5.3409815&lt;/D&gt;&lt;D xsi:type="xsd:double"&gt;5.126095&lt;/D&gt;&lt;D xsi:type="xsd:double"&gt;4.6936154&lt;/D&gt;&lt;D xsi:type="xsd:double"&gt;-4.383564&lt;/D&gt;&lt;D xsi:type="xsd:double"&gt;7.0851803&lt;/D&gt;&lt;D xsi:type="xsd:double"&gt;0.37549734&lt;/D&gt;&lt;D xsi:type="xsd:double"&gt;0.64023733&lt;/D&gt;&lt;D xsi:type="xsd:double"&gt;-1.4925361&lt;/D&gt;&lt;D xsi:type="xsd:double"&gt;3.2041788&lt;/D&gt;&lt;D xsi:type="xsd:double"&gt;-0.8423567&lt;/D&gt;&lt;/FQL&gt;&lt;FQL&gt;&lt;Q&gt;EWQ^FMA_DIV_YLD(NTMA,-10AY,0,AM,"PORTAGG","MEANR")&lt;/Q&gt;&lt;R&gt;121&lt;/R&gt;&lt;C&gt;1&lt;/C&gt;&lt;D xsi:type="xsd:double"&gt;3.87472559405058&lt;/D&gt;&lt;D xsi:type="xsd:double"&gt;3.66289379238836&lt;/D&gt;&lt;D xsi:type="xsd:double"&gt;3.66344136667918&lt;/D&gt;&lt;D xsi:type="xsd:double"&gt;3.5576478375526&lt;/D&gt;&lt;D xsi:type="xsd:double"&gt;3.20915434214895&lt;/D&gt;&lt;D xsi:type="xsd:double"&gt;3.19216760110569&lt;/D&gt;&lt;D xsi:type="xsd:double"&gt;3.14031168721663&lt;/D&gt;&lt;D xsi:type="xsd:double"&gt;3.26910958493134&lt;/D&gt;&lt;D xsi:type="xsd:double"&gt;3.42643716095486&lt;/D&gt;&lt;D xsi:type="xsd:double"&gt;3.25096374377281&lt;/D&gt;&lt;D xsi:type="xsd:double"&gt;3.3795361040612&lt;/D&gt;&lt;D xsi:type="xsd:double"&gt;3.70337981965658&lt;/D&gt;&lt;D xsi:type="xsd:double"&gt;3.55328513884346&lt;/D&gt;&lt;D xsi:type="xsd:double"&gt;3.43700518954896&lt;/D&gt;&lt;D xsi:type="xsd:double"&gt;3.61696756965443&lt;/D&gt;&lt;D xsi:type="xsd:double"&gt;3.97060678912394&lt;/D&gt;&lt;D xsi:type="xsd:double"&gt;3.9065091765626&lt;/D&gt;&lt;D xsi:type="xsd:double"&gt;3.71027810918527&lt;/D&gt;&lt;D xsi:type="xsd:double"&gt;3.68329925890064&lt;/D&gt;&lt;D xsi:type="xsd:double"&gt;3.81837487469196&lt;/D&gt;&lt;D xsi:type="xsd:double"&gt;3.95602012329049&lt;/D&gt;&lt;D xsi:type="xsd:double"&gt;3.80301999935607&lt;/D&gt;&lt;D xsi:type="xsd:double"&gt;3.72896871189953&lt;/D&gt;&lt;D xsi:type="xsd:double"&gt;3.8135661315122&lt;/D&gt;&lt;D xsi:type="xsd:double"&gt;3.70952777022391&lt;/D&gt;&lt;D xsi:type="xsd:double"&gt;3.73156646713705&lt;/D&gt;&lt;D xsi:type="xsd:double"&gt;3.50085564196863&lt;/D&gt;&lt;D xsi:type="xsd:double"&gt;3.46411799465155&lt;/D&gt;&lt;D xsi:type="xsd:double"&gt;3.49149768559694&lt;/D&gt;&lt;D xsi:type="xsd:double"&gt;3.40389905856789&lt;/D&gt;&lt;D xsi:type="xsd:double"&gt;3.44040193220652&lt;/D&gt;&lt;D xsi:type="xsd:double"&gt;3.26119720288567&lt;/D&gt;&lt;D xsi:type="xsd:double"&gt;3.28652961139152&lt;/D&gt;&lt;D xsi:type="xsd:double"&gt;3.35506506266417&lt;/D&gt;&lt;D xsi:type="xsd:double"&gt;3.41113704907119&lt;/D&gt;&lt;D xsi:type="xsd:double"&gt;3.34248411890569&lt;/D&gt;&lt;D xsi:type="xsd:double"&gt;3.2756793287759&lt;/D&gt;&lt;D xsi:type="xsd:double"&gt;3.34166826220579&lt;/D&gt;&lt;D xsi:type="xsd:double"&gt;3.25571036096467&lt;/D&gt;&lt;D xsi:type="xsd:double"&gt;3.21944918481315&lt;/D&gt;&lt;D xsi:type="xsd:double"&gt;3.37624098390326&lt;/D&gt;&lt;D xsi:type="xsd:double"&gt;3.38458889508576&lt;/D&gt;&lt;D xsi:type="xsd:double"&gt;3.34567367045535&lt;/D&gt;&lt;D xsi:type="xsd:double"&gt;3.26335878984565&lt;/D&gt;&lt;D xsi:type="xsd:double"&gt;3.38032141544916&lt;/D&gt;&lt;D xsi:type="xsd:double"&gt;3.38830018381175&lt;/D&gt;&lt;D xsi:type="xsd:double"&gt;3.49083191098522&lt;/D&gt;&lt;D xsi:type="xsd:double"&gt;3.48602466620543&lt;/D&gt;&lt;D xsi:type="xsd:double"&gt;3.68481745150944&lt;/D&gt;&lt;D xsi:type="xsd:double"&gt;3.76640097552337&lt;/D&gt;&lt;D xsi:type="xsd:double"&gt;3.98212777530591&lt;/D&gt;&lt;D xsi:type="xsd:double"&gt;3.87909385699134&lt;/D&gt;&lt;D xsi:type="xsd:double"&gt;3.70692515352674&lt;/D&gt;&lt;D xsi:type="xsd:double"&gt;3.54654274911155&lt;/D&gt;&lt;D xsi:type="xsd:double"&gt;3.47231922740722&lt;/D&gt;&lt;D xsi:type="xsd:double"&gt;3.56739706908919&lt;/D&gt;&lt;D xsi:type="xsd:double"&gt;4.74829586986242&lt;/D&gt;&lt;D xsi:type="xsd:double"&gt;3.53363979480771&lt;/D&gt;&lt;D xsi:type="xsd:double"&gt;3.71485512777689&lt;/D&gt;&lt;D xsi:type="xsd:double"&gt;3.51472953971349&lt;/D&gt;&lt;D xsi:type="xsd:double"&gt;3.51209769512857&lt;/D&gt;&lt;D xsi:type="xsd:double"&gt;3.35951103959018&lt;/D&gt;&lt;D xsi:type="xsd:double"&gt;3.36131461885877&lt;/D&gt;&lt;D xsi:type="xsd:double"&gt;3.28710637167114&lt;/D&gt;&lt;D xsi:type="xsd:double"&gt;3.28936618182736&lt;/D&gt;&lt;D xsi:type="xsd:double"&gt;5.24815541780439&lt;/D&gt;&lt;D xsi:type="xsd:double"&gt;3.78783669805415&lt;/D&gt;&lt;D xsi:type="xsd:double"&gt;3.51075306453063&lt;/D&gt;&lt;D xsi:type="xsd:double"&gt;3.14575110445548&lt;/D&gt;&lt;D xsi:type="xsd:double"&gt;3.05745394474273&lt;/D&gt;&lt;D xsi:type="xsd:double"&gt;3.14460531380974&lt;/D&gt;&lt;D xsi:type="xsd:double"&gt;3.16535073525837&lt;/D&gt;&lt;D xsi:type="xsd:double"&gt;3.20636529595223&lt;/D&gt;&lt;D xsi:type="xsd:double"&gt;2.90262679817076&lt;/D&gt;&lt;D xsi:type="xsd:double"&gt;2.93232988583811&lt;/D&gt;&lt;D xsi:type="xsd:double"&gt;2.92804428855012&lt;/D&gt;&lt;D xsi:type="xsd:double"&gt;2.8615864778622&lt;/D&gt;&lt;D xsi:type="xsd:double"&gt;2.73683567236499&lt;/D&gt;&lt;D xsi:type="xsd:double"&gt;2.67928130619109&lt;/D&gt;&lt;D xsi:type="xsd:double"&gt;2.71737094905075&lt;/D&gt;&lt;D xsi:type="xsd:double"&gt;2.66895724977824&lt;/D&gt;&lt;D xsi:type="xsd:double"&gt;2.73579146302286&lt;/D&gt;&lt;D xsi:type="xsd:double"&gt;2.71627756616248&lt;/D&gt;&lt;D xsi:type="xsd:double"&gt;2.82232915360796&lt;/D&gt;&lt;D xsi:type="xsd:double"&gt;2.84177628648408&lt;/D&gt;&lt;D xsi:type="xsd:double"&gt;2.71744098422207&lt;/D&gt;&lt;D xsi:type="xsd:double"&gt;2.82354043396162&lt;/D&gt;&lt;D xsi:type="xsd:double"&gt;2.78486550413103&lt;/D&gt;&lt;D xsi:type="xsd:double"&gt;2.95092870446708&lt;/D&gt;&lt;D xsi:type="xsd:double"&gt;3.10864171180261&lt;/D&gt;&lt;D xsi:type="xsd:double"&gt;3.13142657054619&lt;/D&gt;&lt;D xsi:type="xsd:double"&gt;3.27003661140935&lt;/D&gt;&lt;D xsi:type="xsd:double"&gt;3.55541693367274&lt;/D&gt;&lt;D xsi:type="xsd:double"&gt;3.45116198911964&lt;/D&gt;&lt;D xsi:type="xsd:double"&gt;3.2653247172387&lt;/D&gt;&lt;D xsi:type="xsd:double"&gt;3.55273026878718&lt;/D&gt;&lt;D xsi:type="xsd:double"&gt;3.59463357110315&lt;/D&gt;&lt;D xsi:type="xsd:double"&gt;3.29777609101965&lt;/D&gt;&lt;D xsi:type="xsd:double"&gt;3.39194409500142&lt;/D&gt;&lt;D xsi:type="xsd:double"&gt;3.09941862011014&lt;/D&gt;&lt;D xsi:type="xsd:double"&gt;3.10114352229097&lt;/D&gt;&lt;D xsi:type="xsd:double"&gt;3.33461664516405&lt;/D&gt;&lt;D xsi:type="xsd:double"&gt;3.09497856981912&lt;/D&gt;&lt;D xsi:type="xsd:double"&gt;3.18383605848939&lt;/D&gt;&lt;D xsi:type="xsd:double"&gt;3.21335049745927&lt;/D&gt;&lt;D xsi:type="xsd:double"&gt;3.27019514650691&lt;/D&gt;&lt;D xsi:type="xsd:double"&gt;3.39435077071076&lt;/D&gt;&lt;D xsi:type="xsd:double"&gt;3.3490333743201&lt;/D&gt;&lt;D xsi:type="xsd:double"&gt;3.51589098624337&lt;/D&gt;&lt;D xsi:type="xsd:double"&gt;3.36473063731709&lt;/D&gt;&lt;D xsi:type="xsd:double"&gt;3.2278157118561&lt;/D&gt;&lt;D xsi:type="xsd:double"&gt;3.29038295422185&lt;/D&gt;&lt;D xsi:type="xsd:double"&gt;3.16782753899124&lt;/D&gt;&lt;D xsi:type="xsd:double"&gt;3.0645736682474&lt;/D&gt;&lt;D xsi:type="xsd:double"&gt;3.13965201185444&lt;/D&gt;&lt;D xsi:type="xsd:double"&gt;3.07611691412072&lt;/D&gt;&lt;D xsi:type="xsd:double"&gt;3.32846386843738&lt;/D&gt;&lt;D xsi:type="xsd:double"&gt;3.34766539704265&lt;/D&gt;&lt;D xsi:type="xsd:double"&gt;3.41056216851208&lt;/D&gt;&lt;D xsi:type="xsd:double"&gt;3.42264902428754&lt;/D&gt;&lt;D xsi:type="xsd:double"&gt;3.4006909258121&lt;/D&gt;&lt;/FQL&gt;&lt;FQL&gt;&lt;Q&gt;QQQ^FMA_PE(NTMA,-10AY,0,AM,"PORTAGG","MEANR")&lt;/Q&gt;&lt;R&gt;121&lt;/R&gt;&lt;C&gt;1&lt;/C&gt;&lt;D xsi:type="xsd:double"&gt;16.3570414656842&lt;/D&gt;&lt;D xsi:type="xsd:double"&gt;17.9998480651238&lt;/D&gt;&lt;D xsi:type="xsd:double"&gt;17.8516742420452&lt;/D&gt;&lt;D xsi:type="xsd:double"&gt;16.9330232799213&lt;/D&gt;&lt;D xsi:type="xsd:double"&gt;17.9255563498927&lt;/D&gt;&lt;D xsi:type="xsd:double"&gt;17.9886510030795&lt;/D&gt;&lt;D xsi:type="xsd:double"&gt;17.6946380889642&lt;/D&gt;&lt;D xsi:type="xsd:double"&gt;18.089710941413&lt;/D&gt;&lt;D xsi:type="xsd:double"&gt;18.0420002990791&lt;/D&gt;&lt;D xsi:type="xsd:double"&gt;18.6502740976733&lt;/D&gt;&lt;D xsi:type="xsd:double"&gt;18.3906016216898&lt;/D&gt;&lt;D xsi:type="xsd:double"&gt;17.3818247581529&lt;/D&gt;&lt;D xsi:type="xsd:double"&gt;17.7982614318244&lt;/D&gt;&lt;D xsi:type="xsd:double"&gt;18.6424247427647&lt;/D&gt;&lt;D xsi:type="xsd:double"&gt;18.014363407706&lt;/D&gt;&lt;D xsi:type="xsd:double"&gt;16.6737264004486&lt;/D&gt;&lt;D xsi:type="xsd:double"&gt;16.7348765981438&lt;/D&gt;&lt;D xsi:type="xsd:double"&gt;17.5937306385027&lt;/D&gt;&lt;D xsi:type="xsd:double"&gt;18.1216326157745&lt;/D&gt;&lt;D xsi:type="xsd:double"&gt;17.3863203094486&lt;/D&gt;&lt;D xsi:type="xsd:double"&gt;17.3392188765082&lt;/D&gt;&lt;D xsi:type="xsd:double"&gt;18.4324648296094&lt;/D&gt;&lt;D xsi:type="xsd:double"&gt;18.7680377592317&lt;/D&gt;&lt;D xsi:type="xsd:double"&gt;18.5111857492327&lt;/D&gt;&lt;D xsi:type="xsd:double"&gt;18.4127598414023&lt;/D&gt;&lt;D xsi:type="xsd:double"&gt;18.1118326256507&lt;/D&gt;&lt;D xsi:type="xsd:double"&gt;18.3237547324015&lt;/D&gt;&lt;D xsi:type="xsd:double"&gt;18.6737020095543&lt;/D&gt;&lt;D xsi:type="xsd:double"&gt;20.083947065919&lt;/D&gt;&lt;D xsi:type="xsd:double"&gt;20.1588511394013&lt;/D&gt;&lt;D xsi:type="xsd:double"&gt;19.8634730377054&lt;/D&gt;&lt;D xsi:type="xsd:double"&gt;20.4327921918516&lt;/D&gt;&lt;D xsi:type="xsd:double"&gt;20.3634873398926&lt;/D&gt;&lt;D xsi:type="xsd:double"&gt;20.8223797075666&lt;/D&gt;&lt;D xsi:type="xsd:double"&gt;20.1422685649617&lt;/D&gt;&lt;D xsi:type="xsd:double"&gt;20.5598566840973&lt;/D&gt;&lt;D xsi:type="xsd:double"&gt;20.6582006968146&lt;/D&gt;&lt;D xsi:type="xsd:double"&gt;20.8327306115383&lt;/D&gt;&lt;D xsi:type="xsd:double"&gt;21.3885348638468&lt;/D&gt;&lt;D xsi:type="xsd:double"&gt;21.8296535212286&lt;/D&gt;&lt;D xsi:type="xsd:double"&gt;20.6398029045591&lt;/D&gt;&lt;D xsi:type="xsd:double"&gt;21.1703525274099&lt;/D&gt;&lt;D xsi:type="xsd:double"&gt;20.3977017127256&lt;/D&gt;&lt;D xsi:type="xsd:double"&gt;19.8861687002021&lt;/D&gt;&lt;D xsi:type="xsd:double"&gt;20.8117317496319&lt;/D&gt;&lt;D xsi:type="xsd:double"&gt;20.9694290438767&lt;/D&gt;&lt;D xsi:type="xsd:double"&gt;20.4708595873138&lt;/D&gt;&lt;D xsi:type="xsd:double"&gt;20.5453473068121&lt;/D&gt;&lt;D xsi:type="xsd:double"&gt;19.384432874829&lt;/D&gt;&lt;D xsi:type="xsd:double"&gt;18.624333458586&lt;/D&gt;&lt;D xsi:type="xsd:double"&gt;17.5541969815317&lt;/D&gt;&lt;D xsi:type="xsd:double"&gt;18.6123192003185&lt;/D&gt;&lt;D xsi:type="xsd:double"&gt;19.5287904397589&lt;/D&gt;&lt;D xsi:type="xsd:double"&gt;20.2578514145155&lt;/D&gt;&lt;D xsi:type="xsd:double"&gt;21.0711143290508&lt;/D&gt;&lt;D xsi:type="xsd:double"&gt;20.449279332865&lt;/D&gt;&lt;D xsi:type="xsd:double"&gt;20.8660805570494&lt;/D&gt;&lt;D xsi:type="xsd:double"&gt;21.3022885226095&lt;/D&gt;&lt;D xsi:type="xsd:double"&gt;20.3281675470633&lt;/D&gt;&lt;D xsi:type="xsd:double"&gt;20.3789391069735&lt;/D&gt;&lt;D xsi:type="xsd:double"&gt;20.618400639237&lt;/D&gt;&lt;D xsi:type="xsd:double"&gt;21.6564777383502&lt;/D&gt;&lt;D xsi:type="xsd:double"&gt;22.332387684678&lt;/D&gt;&lt;D xsi:type="xsd:double"&gt;23.7403870464354&lt;/D&gt;&lt;D xsi:type="xsd:double"&gt;24.3505756193948&lt;/D&gt;&lt;D xsi:type="xsd:double"&gt;18.3100210611026&lt;/D&gt;&lt;D xsi:type="xsd:double"&gt;24.3781992837937&lt;/D&gt;&lt;D xsi:type="xsd:double"&gt;26.6840651195468&lt;/D&gt;&lt;D xsi:type="xsd:double"&gt;28.3191487412459&lt;/D&gt;&lt;D xsi:type="xsd:double"&gt;29.3211784363726&lt;/D&gt;&lt;D xsi:type="xsd:double"&gt;29.8295501105363&lt;/D&gt;&lt;D xsi:type="xsd:double"&gt;28.127240863156&lt;/D&gt;&lt;D xsi:type="xsd:double"&gt;30.0153739933693&lt;/D&gt;&lt;D xsi:type="xsd:double"&gt;28.9788366546357&lt;/D&gt;&lt;D xsi:type="xsd:double"&gt;30.2277694837976&lt;/D&gt;&lt;D xsi:type="xsd:double"&gt;29.6062104603546&lt;/D&gt;&lt;D xsi:type="xsd:double"&gt;29.8621495302555&lt;/D&gt;&lt;D xsi:type="xsd:double"&gt;27.3799148007341&lt;/D&gt;&lt;D xsi:type="xsd:double"&gt;29.75107905704&lt;/D&gt;&lt;D xsi:type="xsd:double"&gt;26.2479534972093&lt;/D&gt;&lt;D xsi:type="xsd:double"&gt;27.4331394987041&lt;/D&gt;&lt;D xsi:type="xsd:double"&gt;28.3574741470566&lt;/D&gt;&lt;D xsi:type="xsd:double"&gt;27.4332256295665&lt;/D&gt;&lt;D xsi:type="xsd:double"&gt;27.9876322058947&lt;/D&gt;&lt;D xsi:type="xsd:double"&gt;27.8488151435442&lt;/D&gt;&lt;D xsi:type="xsd:double"&gt;29.7941046302862&lt;/D&gt;&lt;D xsi:type="xsd:double"&gt;28.2106863404625&lt;/D&gt;&lt;D xsi:type="xsd:double"&gt;26.9993646970293&lt;/D&gt;&lt;D xsi:type="xsd:double"&gt;24.4590802992092&lt;/D&gt;&lt;D xsi:type="xsd:double"&gt;24.9321289571217&lt;/D&gt;&lt;D xsi:type="xsd:double"&gt;23.9033206272496&lt;/D&gt;&lt;D xsi:type="xsd:double"&gt;20.653890284332&lt;/D&gt;&lt;D xsi:type="xsd:double"&gt;19.3627279794622&lt;/D&gt;&lt;D xsi:type="xsd:double"&gt;20.6329500884188&lt;/D&gt;&lt;D xsi:type="xsd:double"&gt;24.0474390781726&lt;/D&gt;&lt;D xsi:type="xsd:double"&gt;20.9877914527454&lt;/D&gt;&lt;D xsi:type="xsd:double"&gt;19.9654110636607&lt;/D&gt;&lt;D xsi:type="xsd:double"&gt;21.7048819295859&lt;/D&gt;&lt;D xsi:type="xsd:double"&gt;20.8801569177131&lt;/D&gt;&lt;D xsi:type="xsd:double"&gt;21.8054028083928&lt;/D&gt;&lt;D xsi:type="xsd:double"&gt;23.7861545777974&lt;/D&gt;&lt;D xsi:type="xsd:double"&gt;23.8387716496664&lt;/D&gt;&lt;D xsi:type="xsd:double"&gt;24.7477366159551&lt;/D&gt;&lt;D xsi:type="xsd:double"&gt;25.4277179049513&lt;/D&gt;&lt;D xsi:type="xsd:double"&gt;26.9865524657089&lt;/D&gt;&lt;D xsi:type="xsd:double"&gt;27.7101376156244&lt;/D&gt;&lt;D xsi:type="xsd:double"&gt;23.7756573908297&lt;/D&gt;&lt;D xsi:type="xsd:double"&gt;24.0544477991455&lt;/D&gt;&lt;D xsi:type="xsd:double"&gt;23.2917560044353&lt;/D&gt;&lt;D xsi:type="xsd:double"&gt;24.3996403475218&lt;/D&gt;&lt;D xsi:type="xsd:double"&gt;25.1226911768841&lt;/D&gt;&lt;D xsi:type="xsd:double"&gt;25.1372391345835&lt;/D&gt;&lt;D xsi:type="xsd:double"&gt;25.9128623251912&lt;/D&gt;&lt;D xsi:type="xsd:double"&gt;25.989057458064&lt;/D&gt;&lt;D xsi:type="xsd:double"&gt;24.7668094806927&lt;/D&gt;&lt;D xsi:type="xsd:double"&gt;26.1298822649677&lt;/D&gt;&lt;D xsi:type="xsd:double"&gt;27.3199925117061&lt;/D&gt;&lt;D xsi:type="xsd:double"&gt;26.6780614455792&lt;/D&gt;&lt;D xsi:type="xsd:double"&gt;26.4400552813413&lt;/D&gt;&lt;D xsi:type="xsd:double"&gt;25.6760782366613&lt;/D&gt;&lt;D xsi:type="xsd:double"&gt;26.4329532900295&lt;/D&gt;&lt;/FQL&gt;&lt;FQL&gt;&lt;Q&gt;EWL^FMA_PE(LTMA,-10AY,0,AM,"PORTAGG","MEANR")&lt;/Q&gt;&lt;R&gt;121&lt;/R&gt;&lt;C&gt;1&lt;/C&gt;&lt;D xsi:type="xsd:double"&gt;16.4940178057016&lt;/D&gt;&lt;D xsi:type="xsd:double"&gt;17.5777052678182&lt;/D&gt;&lt;D xsi:type="xsd:double"&gt;17.3121792783355&lt;/D&gt;&lt;D xsi:type="xsd:double"&gt;16.0147467139515&lt;/D&gt;&lt;D xsi:type="xsd:double"&gt;17.5894556211817&lt;/D&gt;&lt;D xsi:type="xsd:double"&gt;18.0260149057825&lt;/D&gt;&lt;D xsi:type="xsd:double"&gt;18.1470940788579&lt;/D&gt;&lt;D xsi:type="xsd:double"&gt;18.1129756429318&lt;/D&gt;&lt;D xsi:type="xsd:double"&gt;17.8432491946054&lt;/D&gt;&lt;D xsi:type="xsd:double"&gt;18.2476272129439&lt;/D&gt;&lt;D xsi:type="xsd:double"&gt;18.0232214393374&lt;/D&gt;&lt;D xsi:type="xsd:double"&gt;17.2947333358471&lt;/D&gt;&lt;D xsi:type="xsd:double"&gt;17.527806045658&lt;/D&gt;&lt;D xsi:type="xsd:double"&gt;17.604302317232&lt;/D&gt;&lt;D xsi:type="xsd:double"&gt;17.1161449303724&lt;/D&gt;&lt;D xsi:type="xsd:double"&gt;16.0796320553105&lt;/D&gt;&lt;D xsi:type="xsd:double"&gt;16.6610559266944&lt;/D&gt;&lt;D xsi:type="xsd:double"&gt;16.6321153341155&lt;/D&gt;&lt;D xsi:type="xsd:double"&gt;16.8373934662109&lt;/D&gt;&lt;D xsi:type="xsd:double"&gt;16.8810693887252&lt;/D&gt;&lt;D xsi:type="xsd:double"&gt;16.7788647120966&lt;/D&gt;&lt;D xsi:type="xsd:double"&gt;17.3512372529637&lt;/D&gt;&lt;D xsi:type="xsd:double"&gt;17.8764328842955&lt;/D&gt;&lt;D xsi:type="xsd:double"&gt;17.834477350752&lt;/D&gt;&lt;D xsi:type="xsd:double"&gt;17.8816384589694&lt;/D&gt;&lt;D xsi:type="xsd:double"&gt;17.5888175585835&lt;/D&gt;&lt;D xsi:type="xsd:double"&gt;18.0667534293573&lt;/D&gt;&lt;D xsi:type="xsd:double"&gt;18.4825961914988&lt;/D&gt;&lt;D xsi:type="xsd:double"&gt;19.6449691518581&lt;/D&gt;&lt;D xsi:type="xsd:double"&gt;19.6392922106911&lt;/D&gt;&lt;D xsi:type="xsd:double"&gt;19.3377426788187&lt;/D&gt;&lt;D xsi:type="xsd:double"&gt;19.4603138540057&lt;/D&gt;&lt;D xsi:type="xsd:double"&gt;19.5015116689712&lt;/D&gt;&lt;D xsi:type="xsd:double"&gt;19.4141778212737&lt;/D&gt;&lt;D xsi:type="xsd:double"&gt;19.1062351214455&lt;/D&gt;&lt;D xsi:type="xsd:double"&gt;19.3333008242813&lt;/D&gt;&lt;D xsi:type="xsd:double"&gt;19.803239384735&lt;/D&gt;&lt;D xsi:type="xsd:double"&gt;20.2034023693973&lt;/D&gt;&lt;D xsi:type="xsd:double"&gt;20.757961930396&lt;/D&gt;&lt;D xsi:type="xsd:double"&gt;20.995998176573&lt;/D&gt;&lt;D xsi:type="xsd:double"&gt;21.802982471816&lt;/D&gt;&lt;D xsi:type="xsd:double"&gt;20.9690547696546&lt;/D&gt;&lt;D xsi:type="xsd:double"&gt;20.45979073565&lt;/D&gt;&lt;D xsi:type="xsd:double"&gt;20.1199021906379&lt;/D&gt;&lt;D xsi:type="xsd:double"&gt;19.3633570075244&lt;/D&gt;&lt;D xsi:type="xsd:double"&gt;19.3201524565921&lt;/D&gt;&lt;D xsi:type="xsd:double"&gt;18.8620215004848&lt;/D&gt;&lt;D xsi:type="xsd:double"&gt;18.5369148771029&lt;/D&gt;&lt;D xsi:type="xsd:double"&gt;17.7342230373897&lt;/D&gt;&lt;D xsi:type="xsd:double"&gt;17.6385673064002&lt;/D&gt;&lt;D xsi:type="xsd:double"&gt;16.5707885392989&lt;/D&gt;&lt;D xsi:type="xsd:double"&gt;17.4263598849173&lt;/D&gt;&lt;D xsi:type="xsd:double"&gt;17.9059655420583&lt;/D&gt;&lt;D xsi:type="xsd:double"&gt;18.3116884181736&lt;/D&gt;&lt;D xsi:type="xsd:double"&gt;18.2983741790456&lt;/D&gt;&lt;D xsi:type="xsd:double"&gt;18.1834695847756&lt;/D&gt;&lt;D xsi:type="xsd:double"&gt;18.3624483527361&lt;/D&gt;&lt;D xsi:type="xsd:double"&gt;18.4372366382442&lt;/D&gt;&lt;D xsi:type="xsd:double"&gt;18.1158404315763&lt;/D&gt;&lt;D xsi:type="xsd:double"&gt;18.3709861921922&lt;/D&gt;&lt;D xsi:type="xsd:double"&gt;18.3507862610808&lt;/D&gt;&lt;D xsi:type="xsd:double"&gt;18.943605900806&lt;/D&gt;&lt;D xsi:type="xsd:double"&gt;19.4120702786806&lt;/D&gt;&lt;D xsi:type="xsd:double"&gt;19.993372715883&lt;/D&gt;&lt;D xsi:type="xsd:double"&gt;20.1392776341087&lt;/D&gt;&lt;D xsi:type="xsd:double"&gt;17.4031057345383&lt;/D&gt;&lt;D xsi:type="xsd:double"&gt;18.3343209655167&lt;/D&gt;&lt;D xsi:type="xsd:double"&gt;18.9348394808949&lt;/D&gt;&lt;D xsi:type="xsd:double"&gt;19.4931312978995&lt;/D&gt;&lt;D xsi:type="xsd:double"&gt;20.1681831072573&lt;/D&gt;&lt;D xsi:type="xsd:double"&gt;20.4387780509377&lt;/D&gt;&lt;D xsi:type="xsd:double"&gt;21.0549448244962&lt;/D&gt;&lt;D xsi:type="xsd:double"&gt;20.9094031579738&lt;/D&gt;&lt;D xsi:type="xsd:double"&gt;21.3967619768034&lt;/D&gt;&lt;D xsi:type="xsd:double"&gt;21.5053456525426&lt;/D&gt;&lt;D xsi:type="xsd:double"&gt;21.9739840268714&lt;/D&gt;&lt;D xsi:type="xsd:double"&gt;20.9304374783697&lt;/D&gt;&lt;D xsi:type="xsd:double"&gt;20.4751999189346&lt;/D&gt;&lt;D xsi:type="xsd:double"&gt;20.6496100222041&lt;/D&gt;&lt;D xsi:type="xsd:double"&gt;20.479850882958&lt;/D&gt;&lt;D xsi:type="xsd:double"&gt;20.8663274673924&lt;/D&gt;&lt;D xsi:type="xsd:double"&gt;20.9527683175109&lt;/D&gt;&lt;D xsi:type="xsd:double"&gt;21.290966476008&lt;/D&gt;&lt;D xsi:type="xsd:double"&gt;20.5528427778215&lt;/D&gt;&lt;D xsi:type="xsd:double"&gt;20.4960940311522&lt;/D&gt;&lt;D xsi:type="xsd:double"&gt;21.0154436283399&lt;/D&gt;&lt;D xsi:type="xsd:double"&gt;21.2344872604889&lt;/D&gt;&lt;D xsi:type="xsd:double"&gt;20.7849712084728&lt;/D&gt;&lt;D xsi:type="xsd:double"&gt;18.3973275665361&lt;/D&gt;&lt;D xsi:type="xsd:double"&gt;18.557000925214&lt;/D&gt;&lt;D xsi:type="xsd:double"&gt;18.6846854739522&lt;/D&gt;&lt;D xsi:type="xsd:double"&gt;18.1106747968635&lt;/D&gt;&lt;D xsi:type="xsd:double"&gt;17.3556958663355&lt;/D&gt;&lt;D xsi:type="xsd:double"&gt;17.7684094661169&lt;/D&gt;&lt;D xsi:type="xsd:double"&gt;18.3059658836801&lt;/D&gt;&lt;D xsi:type="xsd:double"&gt;17.5624428838475&lt;/D&gt;&lt;D xsi:type="xsd:double"&gt;17.4885458383242&lt;/D&gt;&lt;D xsi:type="xsd:double"&gt;19.5508362438452&lt;/D&gt;&lt;D xsi:type="xsd:double"&gt;20.0034162188729&lt;/D&gt;&lt;D xsi:type="xsd:double"&gt;21.4288027807276&lt;/D&gt;&lt;D xsi:type="xsd:double"&gt;21.3325768443549&lt;/D&gt;&lt;D xsi:type="xsd:double"&gt;20.3872833746677&lt;/D&gt;&lt;D xsi:type="xsd:double"&gt;20.3837932227506&lt;/D&gt;&lt;D xsi:type="xsd:double"&gt;20.0343155275886&lt;/D&gt;&lt;D xsi:type="xsd:double"&gt;19.5036825296999&lt;/D&gt;&lt;D xsi:type="xsd:double"&gt;19.2155938227319&lt;/D&gt;&lt;D xsi:type="xsd:double"&gt;18.6384229769193&lt;/D&gt;&lt;D xsi:type="xsd:double"&gt;18.719350825159&lt;/D&gt;&lt;D xsi:type="xsd:double"&gt;18.0618414730415&lt;/D&gt;&lt;D xsi:type="xsd:double"&gt;17.8815076588949&lt;/D&gt;&lt;D xsi:type="xsd:double"&gt;18.3548562014593&lt;/D&gt;&lt;D xsi:type="xsd:double"&gt;18.2124169210198&lt;/D&gt;&lt;D xsi:type="xsd:double"&gt;19.0079391164452&lt;/D&gt;&lt;D xsi:type="xsd:double"&gt;19.1806511287741&lt;/D&gt;&lt;D xsi:type="xsd:double"&gt;18.8431965216406&lt;/D&gt;&lt;D xsi:type="xsd:double"&gt;18.9596234391979&lt;/D&gt;&lt;D xsi:type="xsd:double"&gt;18.8976224803009&lt;/D&gt;&lt;D xsi:type="xsd:double"&gt;18.9535447297003&lt;/D&gt;&lt;D xsi:type="xsd:double"&gt;18.7792152927999&lt;/D&gt;&lt;D xsi:type="xsd:double"&gt;18.5858265140194&lt;/D&gt;&lt;D xsi:type="xsd:double"&gt;18.727813176507&lt;/D&gt;&lt;/FQL&gt;&lt;FQL&gt;&lt;Q&gt;WL-FDS^FG_PRICE(0)/MAX(FG_PRICE(0,-1AY))&lt;/Q&gt;&lt;R&gt;1&lt;/R&gt;&lt;C&gt;1&lt;/C&gt;&lt;D xsi:type="xsd:double"&gt;0.742205920880272&lt;/D&gt;&lt;/FQL&gt;&lt;FQL&gt;&lt;Q&gt;CPALM-FDS^FG_PRICE(0)/MAX(FG_PRICE(0,-1AY))&lt;/Q&gt;&lt;R&gt;1&lt;/R&gt;&lt;C&gt;1&lt;/C&gt;&lt;D xsi:type="xsd:double"&gt;0.943000655164883&lt;/D&gt;&lt;/FQL&gt;&lt;FQL&gt;&lt;Q&gt;BRENT-FDS^FG_PRICE(0)/MAX(FG_PRICE(0,-1AY))&lt;/Q&gt;&lt;R&gt;1&lt;/R&gt;&lt;C&gt;1&lt;/C&gt;&lt;D xsi:type="xsd:double"&gt;0.887441860465116&lt;/D&gt;&lt;/FQL&gt;&lt;FQL&gt;&lt;Q&gt;TIOS-FDS^FG_PRICE(0)/MAX(FG_PRICE(0,-1AY))&lt;/Q&gt;&lt;R&gt;1&lt;/R&gt;&lt;C&gt;1&lt;/C&gt;&lt;D xsi:type="xsd:double"&gt;0.730854605993341&lt;/D&gt;&lt;/FQL&gt;&lt;FQL&gt;&lt;Q&gt;EWD^FG_PRICE_MAVG(0,,,,60)&lt;/Q&gt;&lt;R&gt;1&lt;/R&gt;&lt;C&gt;1&lt;/C&gt;&lt;D xsi:type="xsd:double"&gt;41.044666&lt;/D&gt;&lt;/FQL&gt;&lt;FQL&gt;&lt;Q&gt;ENZL^FG_FCF_YIELD_NTM(0)&lt;/Q&gt;&lt;R&gt;1&lt;/R&gt;&lt;C&gt;1&lt;/C&gt;&lt;D xsi:type="xsd:double"&gt;1.99822855454785&lt;/D&gt;&lt;/FQL&gt;&lt;FQL&gt;&lt;Q&gt;QQQ^FG_TOTAL_RETURNC(0,-3AM)&lt;/Q&gt;&lt;R&gt;1&lt;/R&gt;&lt;C&gt;1&lt;/C&gt;&lt;D xsi:type="xsd:double"&gt;3.2686472&lt;/D&gt;&lt;/FQL&gt;&lt;FQL&gt;&lt;Q&gt;VWO^FG_TOTAL_RETURNC(0,-3AM)&lt;/Q&gt;&lt;R&gt;1&lt;/R&gt;&lt;C&gt;1&lt;/C&gt;&lt;D xsi:type="xsd:double"&gt;8.14234&lt;/D&gt;&lt;/FQL&gt;&lt;FQL&gt;&lt;Q&gt;TRYUS10Y-FDS^PCTCHG(FG_YIELD(0,,,,"YTM"),FG_YIELD(-3AM,,,,"YTM"))&lt;/Q&gt;&lt;R&gt;1&lt;/R&gt;&lt;C&gt;1&lt;/C&gt;&lt;D xsi:type="xsd:double"&gt;-2.7861187&lt;/D&gt;&lt;/FQL&gt;&lt;FQL&gt;&lt;Q&gt;EWQ^FMA_ROE(NTMA,-20AY,NOW,FY,"PORTAGG","MEANR")&lt;/Q&gt;&lt;R&gt;20&lt;/R&gt;&lt;C&gt;1&lt;/C&gt;&lt;D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xsi:type="xsd:double"&gt;10.9140096450728&lt;/D&gt;&lt;D xsi:type="xsd:double"&gt;8.94223448409827&lt;/D&gt;&lt;D xsi:type="xsd:double"&gt;12.253955548111&lt;/D&gt;&lt;D xsi:type="xsd:double"&gt;13.1534194530092&lt;/D&gt;&lt;D xsi:type="xsd:double"&gt;13.2312741384504&lt;/D&gt;&lt;/FQL&gt;&lt;FQL&gt;&lt;Q&gt;TRYID10Y-FDS^FG_YIELD(-10AY,0,Y,,"YTM")&lt;/Q&gt;&lt;R&gt;10&lt;/R&gt;&lt;C&gt;1&lt;/C&gt;&lt;D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xsi:type="xsd:double"&gt;5.1912&lt;/D&gt;&lt;/FQL&gt;&lt;FQL&gt;&lt;Q&gt;EWD^FG_PRICE_MAVG(0,,,,30)&lt;/Q&gt;&lt;R&gt;1&lt;/R&gt;&lt;C&gt;1&lt;/C&gt;&lt;D xsi:type="xsd:double"&gt;41.88233&lt;/D&gt;&lt;/FQL&gt;&lt;FQL&gt;&lt;Q&gt;VWO^FG_TOTAL_RETURNC(0,-12AM)&lt;/Q&gt;&lt;R&gt;1&lt;/R&gt;&lt;C&gt;1&lt;/C&gt;&lt;D xsi:type="xsd:double"&gt;27.894997&lt;/D&gt;&lt;/FQL&gt;&lt;FQL&gt;&lt;Q&gt;EWD^FG_TOTAL_RETURNC(0,-1AM)&lt;/Q&gt;&lt;R&gt;1&lt;/R&gt;&lt;C&gt;1&lt;/C&gt;&lt;D xsi:type="xsd:double"&gt;-0.8423567&lt;/D&gt;&lt;/FQL&gt;&lt;FQL&gt;&lt;Q&gt;QQQ^P_PRICE(0)/P_PRICE_LOW_PR(0,,,,,,"PRICE","INTRA","52W")-1&lt;/Q&gt;&lt;R&gt;1&lt;/R&gt;&lt;C&gt;1&lt;/C&gt;&lt;D xsi:type="xsd:double"&gt;0.4443406&lt;/D&gt;&lt;/FQL&gt;&lt;FQL&gt;&lt;Q&gt;EWL^FMA_COS_UP("EPS","1M",+1,0,,,"PORTAGG","MEANR")&lt;/Q&gt;&lt;R&gt;1&lt;/R&gt;&lt;C&gt;1&lt;/C&gt;&lt;D xsi:type="xsd:double"&gt;11&lt;/D&gt;&lt;/FQL&gt;&lt;FQL&gt;&lt;Q&gt;EWQ^FMA_RBICS_REV_CURRENT(30, LOC, "PORTAGG")&lt;/Q&gt;&lt;R&gt;1&lt;/R&gt;&lt;C&gt;1&lt;/C&gt;&lt;D xsi:type="xsd:double"&gt;11.5124215499026&lt;/D&gt;&lt;/FQL&gt;&lt;FQL&gt;&lt;Q&gt;TRYDE10Y-FDS^FG_YIELD_NAME&lt;/Q&gt;&lt;R&gt;1&lt;/R&gt;&lt;C&gt;1&lt;/C&gt;&lt;D xsi:type="xsd:string"&gt;Germany Benchmark Bond - 10 Year&lt;/D&gt;&lt;/FQL&gt;&lt;FQL&gt;&lt;Q&gt;REFFFUND-FDS^(SUBARRAY(NOT_NA(NO_REPEAT_F(FG_YIELD(NOW,-10AY,D))),0,1)-SUBARRAY(NOT_NA(NO_REPEAT_F(FG_YIELD(NOW,-10AY,D))),1,1))*100&lt;/Q&gt;&lt;R&gt;1&lt;/R&gt;&lt;C&gt;1&lt;/C&gt;&lt;D xsi:type="xsd:double"&gt;-50&lt;/D&gt;&lt;/FQL&gt;&lt;FQL&gt;&lt;Q&gt;CAGDPY@US^EE_ACTUAL_ANNUAL(MED,0)&lt;/Q&gt;&lt;R&gt;1&lt;/R&gt;&lt;C&gt;1&lt;/C&gt;&lt;D xsi:type="xsd:double"&gt;-3.26791565830676&lt;/D&gt;&lt;/FQL&gt;&lt;FQL&gt;&lt;Q&gt;CAGDPY@NZ^EE_ACTUAL_ANNUAL(MED,0)&lt;/Q&gt;&lt;R&gt;1&lt;/R&gt;&lt;C&gt;1&lt;/C&gt;&lt;D xsi:type="xsd:double"&gt;-7.1&lt;/D&gt;&lt;/FQL&gt;&lt;FQL&gt;&lt;Q&gt;USDITL^FG_PRICE(0)&lt;/Q&gt;&lt;R&gt;1&lt;/R&gt;&lt;C&gt;1&lt;/C&gt;&lt;D xsi:type="xsd:double"&gt;1783.3479&lt;/D&gt;&lt;/FQL&gt;&lt;FQL&gt;&lt;Q&gt;USDANG^FG_PRICE(0)&lt;/Q&gt;&lt;R&gt;1&lt;/R&gt;&lt;C&gt;1&lt;/C&gt;&lt;D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xsi:type="xsd:double"&gt;0.767077&lt;/D&gt;&lt;/FQL&gt;&lt;FQL&gt;&lt;Q&gt;USDJPY^FG_PRICE(0)&lt;/Q&gt;&lt;R&gt;1&lt;/R&gt;&lt;C&gt;1&lt;/C&gt;&lt;D xsi:type="xsd:double"&gt;149.605&lt;/D&gt;&lt;/FQL&gt;&lt;FQL&gt;&lt;Q&gt;USDCAD^FG_PRICE(0)&lt;/Q&gt;&lt;R&gt;1&lt;/R&gt;&lt;C&gt;1&lt;/C&gt;&lt;D xsi:type="xsd:double"&gt;1.3805&lt;/D&gt;&lt;/FQL&gt;&lt;FQL&gt;&lt;Q&gt;USDNZD^FG_PRICE(0)&lt;/Q&gt;&lt;R&gt;1&lt;/R&gt;&lt;C&gt;1&lt;/C&gt;&lt;D xsi:type="xsd:double"&gt;1.6473107&lt;/D&gt;&lt;/FQL&gt;&lt;FQL&gt;&lt;Q&gt;EWI^P_PRICE_RETURNS_PR('52W',2,-10AY,0,AM)&lt;/Q&gt;&lt;R&gt;121&lt;/R&gt;&lt;C&gt;1&lt;/C&gt;&lt;D xsi:type="xsd:double"&gt;-7.6397896&lt;/D&gt;&lt;D xsi:type="xsd:double"&gt;-2.6109755&lt;/D&gt;&lt;D xsi:type="xsd:double"&gt;-4.0139856&lt;/D&gt;&lt;D xsi:type="xsd:double"&gt;-15.6409855&lt;/D&gt;&lt;D xsi:type="xsd:double"&gt;-9.831339&lt;/D&gt;&lt;D xsi:type="xsd:double"&gt;-14.528698&lt;/D&gt;&lt;D xsi:type="xsd:double"&gt;-14.8165045&lt;/D&gt;&lt;D xsi:type="xsd:double"&gt;-3.4826994&lt;/D&gt;&lt;D xsi:type="xsd:double"&gt;-13.067066&lt;/D&gt;&lt;D xsi:type="xsd:double"&gt;-4.063618&lt;/D&gt;&lt;D xsi:type="xsd:double"&gt;1.2889385&lt;/D&gt;&lt;D xsi:type="xsd:double"&gt;-7.6764345&lt;/D&gt;&lt;D xsi:type="xsd:double"&gt;13.138235&lt;/D&gt;&lt;D xsi:type="xsd:double"&gt;-0.54891706&lt;/D&gt;&lt;D xsi:type="xsd:double"&gt;-0.060611963&lt;/D&gt;&lt;D xsi:type="xsd:double"&gt;-2.026105&lt;/D&gt;&lt;D xsi:type="xsd:double"&gt;-21.97556&lt;/D&gt;&lt;D xsi:type="xsd:double"&gt;-12.230289&lt;/D&gt;&lt;D xsi:type="xsd:double"&gt;-15.045381&lt;/D&gt;&lt;D xsi:type="xsd:double"&gt;-24.331284&lt;/D&gt;&lt;D xsi:type="xsd:double"&gt;-21.443718&lt;/D&gt;&lt;D xsi:type="xsd:double"&gt;-26.209194&lt;/D&gt;&lt;D xsi:type="xsd:double"&gt;-24.616444&lt;/D&gt;&lt;D xsi:type="xsd:double"&gt;-25.625664&lt;/D&gt;&lt;D xsi:type="xsd:double"&gt;-24.741203&lt;/D&gt;&lt;D xsi:type="xsd:double"&gt;-24.03146&lt;/D&gt;&lt;D xsi:type="xsd:double"&gt;-12.321388&lt;/D&gt;&lt;D xsi:type="xsd:double"&gt;2.1294117&lt;/D&gt;&lt;D xsi:type="xsd:double"&gt;6.9940567&lt;/D&gt;&lt;D xsi:type="xsd:double"&gt;5.2064657&lt;/D&gt;&lt;D xsi:type="xsd:double"&gt;3.5462499&lt;/D&gt;&lt;D xsi:type="xsd:double"&gt;23.623812&lt;/D&gt;&lt;D xsi:type="xsd:double"&gt;29.839754&lt;/D&gt;&lt;D xsi:type="xsd:double"&gt;35.133995&lt;/D&gt;&lt;D xsi:type="xsd:double"&gt;36.208797&lt;/D&gt;&lt;D xsi:type="xsd:double"&gt;48.715973&lt;/D&gt;&lt;D xsi:type="xsd:double"&gt;42.23994&lt;/D&gt;&lt;D xsi:type="xsd:double"&gt;45.736156&lt;/D&gt;&lt;D xsi:type="xsd:double"&gt;32.598568&lt;/D&gt;&lt;D xsi:type="xsd:double"&gt;40.022217&lt;/D&gt;&lt;D xsi:type="xsd:double"&gt;40.240894&lt;/D&gt;&lt;D xsi:type="xsd:double"&gt;30.625105&lt;/D&gt;&lt;D xsi:type="xsd:double"&gt;41.78182&lt;/D&gt;&lt;D xsi:type="xsd:double"&gt;16.684639&lt;/D&gt;&lt;D xsi:type="xsd:double"&gt;9.528971&lt;/D&gt;&lt;D xsi:type="xsd:double"&gt;4.224527&lt;/D&gt;&lt;D xsi:type="xsd:double"&gt;-6.414014&lt;/D&gt;&lt;D xsi:type="xsd:double"&gt;-5.7903824&lt;/D&gt;&lt;D xsi:type="xsd:double"&gt;-15.702367&lt;/D&gt;&lt;D xsi:type="xsd:double"&gt;-14.491522&lt;/D&gt;&lt;D xsi:type="xsd:double"&gt;-16.220648&lt;/D&gt;&lt;D xsi:type="xsd:double"&gt;-19.67408&lt;/D&gt;&lt;D xsi:type="xsd:double"&gt;-15.668732&lt;/D&gt;&lt;D xsi:type="xsd:double"&gt;-10.817247&lt;/D&gt;&lt;D xsi:type="xsd:double"&gt;-13.536608&lt;/D&gt;&lt;D xsi:type="xsd:double"&gt;-12.9154625&lt;/D&gt;&lt;D xsi:type="xsd:double"&gt;-3.7522435&lt;/D&gt;&lt;D xsi:type="xsd:double"&gt;1.9358277&lt;/D&gt;&lt;D xsi:type="xsd:double"&gt;-0.1401782&lt;/D&gt;&lt;D xsi:type="xsd:double"&gt;1.9697189&lt;/D&gt;&lt;D xsi:type="xsd:double"&gt;18.34525&lt;/D&gt;&lt;D xsi:type="xsd:double"&gt;22.29004&lt;/D</t>
        </r>
      </text>
    </comment>
    <comment ref="A4" authorId="0" shapeId="0" xr:uid="{8E2A51EF-E5ED-41A7-8ACD-0E37FDB69798}">
      <text>
        <r>
          <rPr>
            <b/>
            <sz val="9"/>
            <color indexed="81"/>
            <rFont val="Tahoma"/>
            <charset val="1"/>
          </rPr>
          <t>&gt;&lt;D xsi:type="xsd:double"&gt;24.381805&lt;/D&gt;&lt;D xsi:type="xsd:double"&gt;21.176386&lt;/D&gt;&lt;D xsi:type="xsd:double"&gt;19.19862&lt;/D&gt;&lt;D xsi:type="xsd:double"&gt;-31.255405&lt;/D&gt;&lt;D xsi:type="xsd:double"&gt;-25.14928&lt;/D&gt;&lt;D xsi:type="xsd:double"&gt;-19.21587&lt;/D&gt;&lt;D xsi:type="xsd:double"&gt;-9.606105&lt;/D&gt;&lt;D xsi:type="xsd:double"&gt;-6.768531&lt;/D&gt;&lt;D xsi:type="xsd:double"&gt;3.0582666&lt;/D&gt;&lt;D xsi:type="xsd:double"&gt;-7.2433114&lt;/D&gt;&lt;D xsi:type="xsd:double"&gt;-10.75725&lt;/D&gt;&lt;D xsi:type="xsd:double"&gt;-3.8838446&lt;/D&gt;&lt;D xsi:type="xsd:double"&gt;1.2582898&lt;/D&gt;&lt;D xsi:type="xsd:double"&gt;1.4656425&lt;/D&gt;&lt;D xsi:type="xsd:double"&gt;1.5443206&lt;/D&gt;&lt;D xsi:type="xsd:double"&gt;73.308075&lt;/D&gt;&lt;D xsi:type="xsd:double"&gt;64.71742&lt;/D&gt;&lt;D xsi:type="xsd:double"&gt;59.73121&lt;/D&gt;&lt;D xsi:type="xsd:double"&gt;37.834274&lt;/D&gt;&lt;D xsi:type="xsd:double"&gt;25.71392&lt;/D&gt;&lt;D xsi:type="xsd:double"&gt;30.170572&lt;/D&gt;&lt;D xsi:type="xsd:double"&gt;28.577673&lt;/D&gt;&lt;D xsi:type="xsd:double"&gt;35.318066&lt;/D&gt;&lt;D xsi:type="xsd:double"&gt;23.266352&lt;/D&gt;&lt;D xsi:type="xsd:double"&gt;10.115361&lt;/D&gt;&lt;D xsi:type="xsd:double"&gt;15.891242&lt;/D&gt;&lt;D xsi:type="xsd:double"&gt;9.293663&lt;/D&gt;&lt;D xsi:type="xsd:double"&gt;-5.6703863&lt;/D&gt;&lt;D xsi:type="xsd:double"&gt;-7.954061&lt;/D&gt;&lt;D xsi:type="xsd:double"&gt;-15.727353&lt;/D&gt;&lt;D xsi:type="xsd:double"&gt;-22.954416&lt;/D&gt;&lt;D xsi:type="xsd:double"&gt;-24.22639&lt;/D&gt;&lt;D xsi:type="xsd:double"&gt;-21.57355&lt;/D&gt;&lt;D xsi:type="xsd:double"&gt;-23.981773&lt;/D&gt;&lt;D xsi:type="xsd:double"&gt;-27.050144&lt;/D&gt;&lt;D xsi:type="xsd:double"&gt;-15.100598&lt;/D&gt;&lt;D xsi:type="xsd:double"&gt;-13.165337&lt;/D&gt;&lt;D xsi:type="xsd:double"&gt;-6.8821964&lt;/D&gt;&lt;D xsi:type="xsd:double"&gt;0.22763014&lt;/D&gt;&lt;D xsi:type="xsd:double"&gt;2.360022&lt;/D&gt;&lt;D xsi:type="xsd:double"&gt;14.126873&lt;/D&gt;&lt;D xsi:type="xsd:double"&gt;19.592535&lt;/D&gt;&lt;D xsi:type="xsd:double"&gt;33.944332&lt;/D&gt;&lt;D xsi:type="xsd:double"&gt;50.755333&lt;/D&gt;&lt;D xsi:type="xsd:double"&gt;29.961527&lt;/D&gt;&lt;D xsi:type="xsd:double"&gt;37.316288&lt;/D&gt;&lt;D xsi:type="xsd:double"&gt;36.40461&lt;/D&gt;&lt;D xsi:type="xsd:double"&gt;24.770176&lt;/D&gt;&lt;D xsi:type="xsd:double"&gt;29.828632&lt;/D&gt;&lt;D xsi:type="xsd:double"&gt;17.616676&lt;/D&gt;&lt;D xsi:type="xsd:double"&gt;16.098642&lt;/D&gt;&lt;D xsi:type="xsd:double"&gt;37.023376&lt;/D&gt;&lt;D xsi:type="xsd:double"&gt;18.183672&lt;/D&gt;&lt;D xsi:type="xsd:double"&gt;30.897331&lt;/D&gt;&lt;D xsi:type="xsd:double"&gt;19.050943&lt;/D&gt;&lt;D xsi:type="xsd:double"&gt;18.09212&lt;/D&gt;&lt;D xsi:type="xsd:double"&gt;23.0484&lt;/D&gt;&lt;D xsi:type="xsd:double"&gt;26.76674&lt;/D&gt;&lt;D xsi:type="xsd:double"&gt;35.331844&lt;/D&gt;&lt;/FQL&gt;&lt;FQL&gt;&lt;Q&gt;EWN^FG_TOTAL_RETURNC(-10AY,0,AM)&lt;/Q&gt;&lt;R&gt;121&lt;/R&gt;&lt;C&gt;1&lt;/C&gt;&lt;D xsi:type="xsd:double"&gt;-8.837771&lt;/D&gt;&lt;D xsi:type="xsd:double"&gt;7.7025175&lt;/D&gt;&lt;D xsi:type="xsd:double"&gt;-0.2971828&lt;/D&gt;&lt;D xsi:type="xsd:double"&gt;-2.5025845&lt;/D&gt;&lt;D xsi:type="xsd:double"&gt;6.109464&lt;/D&gt;&lt;D xsi:type="xsd:double"&gt;3.5185933&lt;/D&gt;&lt;D xsi:type="xsd:double"&gt;-0.88837147&lt;/D&gt;&lt;D xsi:type="xsd:double"&gt;5.1831603&lt;/D&gt;&lt;D xsi:type="xsd:double"&gt;-1.9636929&lt;/D&gt;&lt;D xsi:type="xsd:double"&gt;1.3309002&lt;/D&gt;&lt;D xsi:type="xsd:double"&gt;-2.8301895&lt;/D&gt;&lt;D xsi:type="xsd:double"&gt;-7.417476&lt;/D&gt;&lt;D xsi:type="xsd:double"&gt;4.3624163&lt;/D&gt;&lt;D xsi:type="xsd:double"&gt;-0.40192604&lt;/D&gt;&lt;D xsi:type="xsd:double"&gt;-4.963684&lt;/D&gt;&lt;D xsi:type="xsd:double"&gt;-6.0072184&lt;/D&gt;&lt;D xsi:type="xsd:double"&gt;2.454555&lt;/D&gt;&lt;D xsi:type="xsd:double"&gt;9.272396&lt;/D&gt;&lt;D xsi:type="xsd:double"&gt;1.2180328&lt;/D&gt;&lt;D xsi:type="xsd:double"&gt;-3.4496605&lt;/D&gt;&lt;D xsi:type="xsd:double"&gt;-2.5758147&lt;/D&gt;&lt;D xsi:type="xsd:double"&gt;1.9217491&lt;/D&gt;&lt;D xsi:type="xsd:double"&gt;5.4329395&lt;/D&gt;&lt;D xsi:type="xsd:double"&gt;-2.777779&lt;/D&gt;&lt;D xsi:type="xsd:double"&gt;1.4906883&lt;/D&gt;&lt;D xsi:type="xsd:double"&gt;-4.3655634&lt;/D&gt;&lt;D xsi:type="xsd:double"&gt;2.3037553&lt;/D&gt;&lt;D xsi:type="xsd:double"&gt;3.822887&lt;/D&gt;&lt;D xsi:type="xsd:double"&gt;4.7599673&lt;/D&gt;&lt;D xsi:type="xsd:double"&gt;4.4271827&lt;/D&gt;&lt;D xsi:type="xsd:double"&gt;-0.278908&lt;/D&gt;&lt;D xsi:type="xsd:double"&gt;8.223009&lt;/D&gt;&lt;D xsi:type="xsd:double"&gt;1.1026859&lt;/D&gt;&lt;D xsi:type="xsd:double"&gt;2.8820276&lt;/D&gt;&lt;D xsi:type="xsd:double"&gt;2.0456076&lt;/D&gt;&lt;D xsi:type="xsd:double"&gt;3.1547785&lt;/D&gt;&lt;D xsi:type="xsd:double"&gt;1.5928626&lt;/D&gt;&lt;D xsi:type="xsd:double"&gt;-2.3518324&lt;/D&gt;&lt;D xsi:type="xsd:double"&gt;2.5690436&lt;/D&gt;&lt;D xsi:type="xsd:double"&gt;5.194366&lt;/D&gt;&lt;D xsi:type="xsd:double"&gt;-3.3522844&lt;/D&gt;&lt;D xsi:type="xsd:double"&gt;0.3406644&lt;/D&gt;&lt;D xsi:type="xsd:double"&gt;1.9753098&lt;/D&gt;&lt;D xsi:type="xsd:double"&gt;-3.2990336&lt;/D&gt;&lt;D xsi:type="xsd:double"&gt;-0.8137703&lt;/D&gt;&lt;D xsi:type="xsd:double"&gt;1.3376951&lt;/D&gt;&lt;D xsi:type="xsd:double"&gt;-4.1139307&lt;/D&gt;&lt;D xsi:type="xsd:double"&gt;0.16502142&lt;/D&gt;&lt;D xsi:type="xsd:double"&gt;-6.8204284&lt;/D&gt;&lt;D xsi:type="xsd:double"&gt;1.1315465&lt;/D&gt;&lt;D xsi:type="xsd:double"&gt;-5.7370243&lt;/D&gt;&lt;D xsi:type="xsd:double"&gt;2.348113&lt;/D&gt;&lt;D xsi:type="xsd:double"&gt;7.028401&lt;/D&gt;&lt;D xsi:type="xsd:double"&gt;3.164339&lt;/D&gt;&lt;D xsi:type="xsd:double"&gt;3.232193&lt;/D&gt;&lt;D xsi:type="xsd:double"&gt;-2.3642182&lt;/D&gt;&lt;D xsi:type="xsd:double"&gt;1.3545394&lt;/D&gt;&lt;D xsi:type="xsd:double"&gt;3.6056876&lt;/D&gt;&lt;D xsi:type="xsd:double"&gt;-4.533845&lt;/D&gt;&lt;D xsi:type="xsd:double"&gt;5.9197307&lt;/D&gt;&lt;D xsi:type="xsd:double"&gt;1.294601&lt;/D&gt;&lt;D xsi:type="xsd:double"&gt;2.4314165&lt;/D&gt;&lt;D xsi:type="xsd:double"&gt;2.1831393&lt;/D&gt;&lt;D xsi:type="xsd:double"&gt;2.0933032&lt;/D&gt;&lt;D xsi:type="xsd:double"&gt;0.14644861&lt;/D&gt;&lt;D xsi:type="xsd:double"&gt;-34.396015&lt;/D&gt;&lt;D xsi:type="xsd:double"&gt;23.718239&lt;/D&gt;&lt;D xsi:type="xsd:double"&gt;4.7927976&lt;/D&gt;&lt;D xsi:type="xsd:double"&gt;12.085926&lt;/D&gt;&lt;D xsi:type="xsd:double"&gt;6.0493827&lt;/D&gt;&lt;D xsi:type="xsd:double"&gt;3.317809&lt;/D&gt;&lt;D xsi:type="xsd:double"&gt;-0.8732438&lt;/D&gt;&lt;D xsi:type="xsd:double"&gt;3.4668922&lt;/D&gt;&lt;D xsi:type="xsd:double"&gt;5.026102&lt;/D&gt;&lt;D xsi:type="xsd:double"&gt;8.066583&lt;/D&gt;&lt;D xsi:type="xsd:double"&gt;3.8601637&lt;/D&gt;&lt;D xsi:type="xsd:double"&gt;6.381488&lt;/D&gt;&lt;D xsi:type="xsd:double"&gt;-2.1533728&lt;/D&gt;&lt;D xsi:type="xsd:double"&gt;9.027624&lt;/D&gt;&lt;D xsi:type="xsd:double"&gt;-0.5767226&lt;/D&gt;&lt;D xsi:type="xsd:double"&gt;-0.5264282&lt;/D&gt;&lt;D xsi:type="xsd:double"&gt;0.3354311&lt;/D&gt;&lt;D xsi:type="xsd:double"&gt;5.6414604&lt;/D&gt;&lt;D xsi:type="xsd:double"&gt;4.1337013&lt;/D&gt;&lt;D xsi:type="xsd:double"&gt;-2.7920246&lt;/D&gt;&lt;D xsi:type="xsd:double"&gt;3.4974575&lt;/D&gt;&lt;D xsi:type="xsd:double"&gt;-9.803277&lt;/D&gt;&lt;D xsi:type="xsd:double"&gt;1.1764765&lt;/D&gt;&lt;D xsi:type="xsd:double"&gt;-6.5822244&lt;/D&gt;&lt;D xsi:type="xsd:double"&gt;-4.4898868&lt;/D&gt;&lt;D xsi:type="xsd:double"&gt;-6.074005&lt;/D&gt;&lt;D xsi:type="xsd:double"&gt;-8.8701725&lt;/D&gt;&lt;D xsi:type="xsd:double"&gt;-5.935085&lt;/D&gt;&lt;D xsi:type="xsd:double"&gt;1.6105413&lt;/D&gt;&lt;D xsi:type="xsd:double"&gt;7.838607&lt;/D&gt;&lt;D xsi:type="xsd:double"&gt;-10.502398&lt;/D&gt;&lt;D xsi:type="xsd:double"&gt;-6.3601074&lt;/D&gt;&lt;D xsi:type="xsd:double"&gt;20.72704&lt;/D&gt;&lt;D xsi:type="xsd:double"&gt;0.24892092&lt;/D&gt;&lt;D xsi:type="xsd:double"&gt;10.259808&lt;/D&gt;&lt;D xsi:type="xsd:double"&gt;1.5628815&lt;/D&gt;&lt;D xsi:type="xsd:double"&gt;-6.486744&lt;/D&gt;&lt;D xsi:type="xsd:double"&gt;7.4430346&lt;/D&gt;&lt;D xsi:type="xsd:double"&gt;0.68331957&lt;/D&gt;&lt;D xsi:type="xsd:double"&gt;1.9249678&lt;/D&gt;&lt;D xsi:type="xsd:double"&gt;5.084741&lt;/D&gt;&lt;D xsi:type="xsd:double"&gt;-9.456473&lt;/D&gt;&lt;D xsi:type="xsd:double"&gt;-4.7096133&lt;/D&gt;&lt;D xsi:type="xsd:double"&gt;-5.23687&lt;/D&gt;&lt;D xsi:type="xsd:double"&gt;13.552225&lt;/D&gt;&lt;D xsi:type="xsd:double"&gt;5.830562&lt;/D&gt;&lt;D xsi:type="xsd:double"&gt;-1.3526142&lt;/D&gt;&lt;D xsi:type="xsd:double"&gt;8.566833&lt;/D&gt;&lt;D xsi:type="xsd:double"&gt;1.650095&lt;/D&gt;&lt;D xsi:type="xsd:double"&gt;-1.7481804&lt;/D&gt;&lt;D xsi:type="xsd:double"&gt;9.553062&lt;/D&gt;&lt;D xsi:type="xsd:double"&gt;0.3851056&lt;/D&gt;&lt;D xsi:type="xsd:double"&gt;-2.2984028&lt;/D&gt;&lt;D xsi:type="xsd:double"&gt;-0.6977618&lt;/D&gt;&lt;D xsi:type="xsd:double"&gt;-1.586026&lt;/D&gt;&lt;D xsi:type="xsd:double"&gt;-0.95879436&lt;/D&gt;&lt;/FQL&gt;&lt;FQL&gt;&lt;Q&gt;SPY^FMA_DIV_YLD(NTMA,-10AY,0,AM,"PORTAGG","MEANR")&lt;/Q&gt;&lt;R&gt;121&lt;/R&gt;&lt;C&gt;1&lt;/C&gt;&lt;D xsi:type="xsd:double"&gt;2.23666301759582&lt;/D&gt;&lt;D xsi:type="xsd:double"&gt;2.07928408186141&lt;/D&gt;&lt;D xsi:type="xsd:double"&gt;2.09189909267638&lt;/D&gt;&lt;D xsi:type="xsd:double"&gt;2.15191508541109&lt;/D&gt;&lt;D xsi:type="xsd:double"&gt;2.10566773466853&lt;/D&gt;&lt;D xsi:type="xsd:double"&gt;2.15652720835578&lt;/D&gt;&lt;D xsi:type="xsd:double"&gt;2.17146331957043&lt;/D&gt;&lt;D xsi:type="xsd:double"&gt;2.13587628031195&lt;/D&gt;&lt;D xsi:type="xsd:double"&gt;2.15055758360269&lt;/D&gt;&lt;D xsi:type="xsd:double"&gt;2.14742936463874&lt;/D&gt;&lt;D xsi:type="xsd:double"&gt;2.2054966951715&lt;/D&gt;&lt;D xsi:type="xsd:double"&gt;2.37530461338098&lt;/D&gt;&lt;D xsi:type="xsd:double"&gt;2.29143583581959&lt;/D&gt;&lt;D xsi:type="xsd:double"&gt;2.26980457390121&lt;/D&gt;&lt;D xsi:type="xsd:double"&gt;2.35456300707597&lt;/D&gt;&lt;D xsi:type="xsd:double"&gt;2.52577322652888&lt;/D&gt;&lt;D xsi:type="xsd:double"&gt;2.45182025901469&lt;/D&gt;&lt;D xsi:type="xsd:double"&gt;2.47519773454617&lt;/D&gt;&lt;D xsi:type="xsd:double"&gt;2.29179874134034&lt;/D&gt;&lt;D xsi:type="xsd:double"&gt;2.29270141173246&lt;/D&gt;&lt;D xsi:type="xsd:double"&gt;2.30651609115288&lt;/D&gt;&lt;D xsi:type="xsd:double"&gt;2.21527882536496&lt;/D&gt;&lt;D xsi:type="xsd:double"&gt;2.20145066959804&lt;/D&gt;&lt;D xsi:type="xsd:double"&gt;2.25397209924511&lt;/D&gt;&lt;D xsi:type="xsd:double"&gt;2.25495504580337&lt;/D&gt;&lt;D xsi:type="xsd:double"&gt;2.22829621377905&lt;/D&gt;&lt;D xsi:type="xsd:double"&gt;2.16622740508032&lt;/D&gt;&lt;D xsi:type="xsd:double"&gt;2.1673892635977&lt;/D&gt;&lt;D xsi:type="xsd:double"&gt;2.11331848463476&lt;/D&gt;&lt;D xsi:type="xsd:double"&gt;2.09887528084817&lt;/D&gt;&lt;D xsi:type="xsd:double"&gt;2.1422831361168&lt;/D&gt;&lt;D xsi:type="xsd:double"&gt;2.13513498799556&lt;/D&gt;&lt;D xsi:type="xsd:double"&gt;2.08657704583377&lt;/D&gt;&lt;D xsi:type="xsd:double"&gt;2.08932907731983&lt;/D&gt;&lt;D xsi:type="xsd:double"&gt;2.13162864726519&lt;/D&gt;&lt;D xsi:type="xsd:double"&gt;2.07112237171038&lt;/D&gt;&lt;D xsi:type="xsd:double"&gt;2.03491244531615&lt;/D&gt;&lt;D xsi:type="xsd:double"&gt;2.01951765321519&lt;/D&gt;&lt;D xsi:type="xsd:double"&gt;1.94610147555024&lt;/D&gt;&lt;D xsi:type="xsd:double"&gt;1.88657141702778&lt;/D&gt;&lt;D xsi:type="xsd:double"&gt;1.96390334886112&lt;/D&gt;&lt;D xsi:type="xsd:double"&gt;1.96977148500469&lt;/D&gt;&lt;D xsi:type="xsd:double"&gt;2.01843802190974&lt;/D&gt;&lt;D xsi:type="xsd:double"&gt;2.03545198735894&lt;/D&gt;&lt;D xsi:type="xsd:double"&gt;2.00876549917431&lt;/D&gt;&lt;D xsi:type="xsd:double"&gt;1.9975387581491&lt;/D&gt;&lt;D xsi:type="xsd:double"&gt;1.98834390657188&lt;/D&gt;&lt;D xsi:type="xsd:double"&gt;1.95974024764434&lt;/D&gt;&lt;D xsi:type="xsd:double"&gt;2.06891448110474&lt;/D&gt;&lt;D xsi:type="xsd:double"&gt;2.09826917852094&lt;/D&gt;&lt;D xsi:type="xsd:double"&gt;2.27471056696999&lt;/D&gt;&lt;D xsi:type="xsd:double"&gt;2.18027973387759&lt;/D&gt;&lt;D xsi:type="xsd:double"&gt;2.10816995418462&lt;/D&gt;&lt;D xsi:type="xsd:double"&gt;2.07964775504558&lt;/D&gt;&lt;D xsi:type="xsd:double"&gt;2.04865490057151&lt;/D&gt;&lt;D xsi:type="xsd:double"&gt;2.09084825743899&lt;/D&gt;&lt;D xsi:type="xsd:double"&gt;2.06019359786743&lt;/D&gt;&lt;D xsi:type="xsd:double"&gt;2.01945631864582&lt;/D&gt;&lt;D xsi:type="xsd:double"&gt;2.10223589044411&lt;/D&gt;&lt;D xsi:type="xsd:double"&gt;2.03135158168335&lt;/D&gt;&lt;D xsi:type="xsd:double"&gt;2.0544980541102&lt;/D&gt;&lt;D xsi:type="xsd:double"&gt;1.98008939104235&lt;/D&gt;&lt;D xsi:type="xsd:double"&gt;1.9555596062152&lt;/D&gt;&lt;D xsi:type="xsd:double"&gt;1.88474253585039&lt;/D&gt;&lt;D xsi:type="xsd:double"&gt;1.87547687769654&lt;/D&gt;&lt;D xsi:type="xsd:double"&gt;2.63953256776555&lt;/D&gt;&lt;D xsi:type="xsd:double"&gt;2.14012063031753&lt;/D&gt;&lt;D xsi:type="xsd:double"&gt;2.05276938552005&lt;/D&gt;&lt;D xsi:type="xsd:double"&gt;1.93286888065765&lt;/D&gt;&lt;D xsi:type="xsd:double"&gt;1.84429244426763&lt;/D&gt;&lt;D xsi:type="xsd:double"&gt;1.75817418511856&lt;/D&gt;&lt;D xsi:type="xsd:double"&gt;1.80022444881224&lt;/D&gt;&lt;D xsi:type="xsd:double"&gt;1.71781404486712&lt;/D&gt;&lt;D xsi:type="xsd:double"&gt;1.67933464494653&lt;/D&gt;&lt;D xsi:type="xsd:double"&gt;1.62184246973384&lt;/D&gt;&lt;D xsi:type="xsd:double"&gt;1.57750185413575&lt;/D&gt;&lt;D xsi:type="xsd:double"&gt;1.53431158493221&lt;/D&gt;&lt;D xsi:type="xsd:double"&gt;1.54431497302986&lt;/D&gt;&lt;D xsi:type="xsd:double"&gt;1.45404539052768&lt;/D&gt;&lt;D xsi:type="xsd:double"&gt;1.48163759911352&lt;/D&gt;&lt;D xsi:type="xsd:double"&gt;1.48156130340755&lt;/D&gt;&lt;D xsi:type="xsd:double"&gt;1.44720080492405&lt;/D&gt;&lt;D xsi:type="xsd:double"&gt;1.43475050816631&lt;/D&gt;&lt;D xsi:type="xsd:double"&gt;1.43173902543602&lt;/D&gt;&lt;D xsi:type="xsd:double"&gt;1.42424954440557&lt;/D&gt;&lt;D xsi:type="xsd:double"&gt;1.36648308499505&lt;/D&gt;&lt;D xsi:type="xsd:double"&gt;1.39732267084764&lt;/D&gt;&lt;D xsi:type="xsd:double"&gt;1.4160912631221&lt;/D&gt;&lt;D xsi:type="xsd:double"&gt;1.5129010373208&lt;/D&gt;&lt;D xsi:type="xsd:double"&gt;1.47777639326334&lt;/D&gt;&lt;D xsi:type="xsd:double"&gt;1.50220100456599&lt;/D&gt;&lt;D xsi:type="xsd:double"&gt;1.69191964353161&lt;/D&gt;&lt;D xsi:type="xsd:double"&gt;1.81982013878109&lt;/D&gt;&lt;D xsi:type="xsd:double"&gt;1.758278960084&lt;/D&gt;&lt;D xsi:type="xsd:double"&gt;1.58789739525958&lt;/D&gt;&lt;D xsi:type="xsd:double"&gt;1.76811469335109&lt;/D&gt;&lt;D xsi:type="xsd:double"&gt;1.84884904484901&lt;/D&gt;&lt;D xsi:type="xsd:double"&gt;1.74709299304894&lt;/D&gt;&lt;D xsi:type="xsd:double"&gt;1.80075889663061&lt;/D&gt;&lt;D xsi:type="xsd:double"&gt;1.77273526997046&lt;/D&gt;&lt;D xsi:type="xsd:double"&gt;1.71910331460107&lt;/D&gt;&lt;D xsi:type="xsd:double"&gt;1.79417116712691&lt;/D&gt;&lt;D xsi:type="xsd:double"&gt;1.70272035979354&lt;/D&gt;&lt;D xsi:type="xsd:double"&gt;1.68118464070195&lt;/D&gt;&lt;D xsi:type="xsd:double"&gt;1.6115774864893&lt;/D&gt;&lt;D xsi:type="xsd:double"&gt;1.56372987545731&lt;/D&gt;&lt;D xsi:type="xsd:double"&gt;1.64277244915552&lt;/D&gt;&lt;D xsi:type="xsd:double"&gt;1.61918673760579&lt;/D&gt;&lt;D xsi:type="xsd:double"&gt;1.68186542723611&lt;/D&gt;&lt;D xsi:type="xsd:double"&gt;1.61439335070115&lt;/D&gt;&lt;D xsi:type="xsd:double"&gt;1.54953473964936&lt;/D&gt;&lt;D xsi:type="xsd:double"&gt;1.54495657941481&lt;/D&gt;&lt;D xsi:type="xsd:double"&gt;1.4962462413253&lt;/D&gt;&lt;D xsi:type="xsd:double"&gt;1.45737284402285&lt;/D&gt;&lt;D xsi:type="xsd:double"&gt;1.50587055819865&lt;/D&gt;&lt;D xsi:type="xsd:double"&gt;1.44163634688864&lt;/D&gt;&lt;D xsi:type="xsd:double"&gt;1.40355546342968&lt;/D&gt;&lt;D xsi:type="xsd:double"&gt;1.39217407474414&lt;/D&gt;&lt;D xsi:type="xsd:double"&gt;1.39493471331998&lt;/D&gt;&lt;D xsi:type="xsd:double"&gt;1.38483729157456&lt;/D&gt;&lt;D xsi:type="xsd:double"&gt;1.32952270493409&lt;/D&gt;&lt;/FQL&gt;&lt;FQL&gt;&lt;Q&gt;EWU^FMA_PE(NTMA,-10AY,0,AM,"PORTAGG","MEANR")&lt;/Q&gt;&lt;R&gt;121&lt;/R&gt;&lt;C&gt;1&lt;/C&gt;&lt;D xsi:type="xsd:double"&gt;12.5181958946333&lt;/D&gt;&lt;D xsi:type="xsd:double"&gt;13.4950082559736&lt;/D&gt;&lt;D xsi:type="xsd:double"&gt;13.5767759255815&lt;/D&gt;&lt;D xsi:type="xsd:double"&gt;14.2009914453255&lt;/D&gt;&lt;D xsi:type="xsd:double"&gt;15.5251456423834&lt;/D&gt;&lt;D xsi:type="xsd:double"&gt;15.6114978126605&lt;/D&gt;&lt;D xsi:type="xsd:double"&gt;16.0350693373536&lt;/D&gt;&lt;D xsi:type="xsd:double"&gt;16.120855033741&lt;/D&gt;&lt;D xsi:type="xsd:double"&gt;15.485614844093&lt;/D&gt;&lt;D xsi:type="xsd:double"&gt;15.6018789049891&lt;/D&gt;&lt;D xsi:type="xsd:double"&gt;15.0615006661324&lt;/D&gt;&lt;D xsi:type="xsd:double"&gt;14.4146526173206&lt;/D&gt;&lt;D xsi:type="xsd:double"&gt;15.2865242054251&lt;/D&gt;&lt;D xsi:type="xsd:double"&gt;15.2681498794073&lt;/D&gt;&lt;D xsi:type="xsd:double"&gt;14.7860308826089&lt;/D&gt;&lt;D xsi:type="xsd:double"&gt;14.588535689747&lt;/D&gt;&lt;D xsi:type="xsd:double"&gt;15.296167772572&lt;/D&gt;&lt;D xsi:type="xsd:double"&gt;16.3107524957874&lt;/D&gt;&lt;D xsi:type="xsd:double"&gt;16.4880839124014&lt;/D&gt;&lt;D xsi:type="xsd:double"&gt;15.8302422277685&lt;/D&gt;&lt;D xsi:type="xsd:double"&gt;15.1801328652566&lt;/D&gt;&lt;D xsi:type="xsd:double"&gt;16.1010128421809&lt;/D&gt;&lt;D xsi:type="xsd:double"&gt;16.2557035013487&lt;/D&gt;&lt;D xsi:type="xsd:double"&gt;15.4392493465808&lt;/D&gt;&lt;D xsi:type="xsd:double"&gt;15.2698049617466&lt;/D&gt;&lt;D xsi:type="xsd:double"&gt;14.2591252250582&lt;/D&gt;&lt;D xsi:type="xsd:double"&gt;14.3474304248576&lt;/D&gt;&lt;D xsi:type="xsd:double"&gt;14.3832072354935&lt;/D&gt;&lt;D xsi:type="xsd:double"&gt;14.5152731486049&lt;/D&gt;&lt;D xsi:type="xsd:double"&gt;14.5510663947547&lt;/D&gt;&lt;D xsi:type="xsd:double"&gt;14.1733147972066&lt;/D&gt;&lt;D xsi:type="xsd:double"&gt;14.7263241411216&lt;/D&gt;&lt;D xsi:type="xsd:double"&gt;14.6005985663932&lt;/D&gt;&lt;D xsi:type="xsd:double"&gt;14.6584263863953&lt;/D&gt;&lt;D xsi:type="xsd:double"&gt;14.3598511633145&lt;/D&gt;&lt;D xsi:type="xsd:double"&gt;14.467843416486&lt;/D&gt;&lt;D xsi:type="xsd:double"&gt;14.6082165982934&lt;/D&gt;&lt;D xsi:type="xsd:double"&gt;14.2150545605185&lt;/D&gt;&lt;D xsi:type="xsd:double"&gt;14.527737246319&lt;/D&gt;&lt;D xsi:type="xsd:double"&gt;14.6716770372416&lt;/D&gt;&lt;D xsi:type="xsd:double"&gt;13.7878042820511&lt;/D&gt;&lt;D xsi:type="xsd:double"&gt;13.3941611708345&lt;/D&gt;&lt;D xsi:type="xsd:double"&gt;13.6632943242707&lt;/D&gt;&lt;D xsi:type="xsd:double"&gt;13.9865764791781&lt;/D&gt;&lt;D xsi:type="xsd:double"&gt;13.3701948499989&lt;/D&gt;&lt;D xsi:type="xsd:double"&gt;13.1272608755121&lt;/D&gt;&lt;D xsi:type="xsd:double"&gt;12.7957001057414&lt;/D&gt;&lt;D xsi:type="xsd:double"&gt;12.4769854863975&lt;/D&gt;&lt;D xsi:type="xsd:double"&gt;11.8392145283333&lt;/D&gt;&lt;D xsi:type="xsd:double"&gt;11.7389457056459&lt;/D&gt;&lt;D xsi:type="xsd:double"&gt;11.3304307907696&lt;/D&gt;&lt;D xsi:type="xsd:double"&gt;12.0274366857112&lt;/D&gt;&lt;D xsi:type="xsd:double"&gt;12.4858689884881&lt;/D&gt;&lt;D xsi:type="xsd:double"&gt;12.6996651726729&lt;/D&gt;&lt;D xsi:type="xsd:double"&gt;12.7565639625631&lt;/D&gt;&lt;D xsi:type="xsd:double"&gt;12.3779271375409&lt;/D&gt;&lt;D xsi:type="xsd:double"&gt;12.5376806377407&lt;/D&gt;&lt;D xsi:type="xsd:double"&gt;12.609020269929&lt;/D&gt;&lt;D xsi:type="xsd:double"&gt;11.8193339124949&lt;/D&gt;&lt;D xsi:type="xsd:double"&gt;12.3597238105423&lt;/D&gt;&lt;D xsi:type="xsd:double"&gt;12.3965633180792&lt;/D&gt;&lt;D xsi:type="xsd:double"&gt;12.8237060382928&lt;/D&gt;&lt;D xsi:type="xsd:double"&gt;13.417499135062&lt;/D&gt;&lt;D xsi:type="xsd:double"&gt;13.6196184137121&lt;/D&gt;&lt;D xsi:type="xsd:double"&gt;13.2977320724223&lt;/D&gt;&lt;D xsi:type="xsd:double"&gt;9.72671640075846&lt;/D&gt;&lt;D xsi:type="xsd:double"&gt;13.7065832675887&lt;/D&gt;&lt;D xsi:type="xsd:double"&gt;15.5099385910089&lt;/D&gt;&lt;D xsi:type="xsd:double"&gt;16.0876668698477&lt;/D&gt;&lt;D xsi:type="xsd:double"&gt;16.0101499227995&lt;/D&gt;&lt;D xsi:type="xsd:double"&gt;15.59045508444&lt;/D&gt;&lt;D xsi:type="xsd:double"&gt;14.9364057474918&lt;/D&gt;&lt;D xsi:type="xsd:double"&gt;14.1604141963485&lt;/D&gt;&lt;D xsi:type="xsd:double"&gt;14.8369082750203&lt;/D&gt;&lt;D xsi:type="xsd:double"&gt;14.673108641179&lt;/D&gt;&lt;D xsi:type="xsd:double"&gt;14.4638702564027&lt;/D&gt;&lt;D xsi:type="xsd:double"&gt;14.1877023250203&lt;/D&gt;&lt;D xsi:type="xsd:double"&gt;14.0375817130578&lt;/D&gt;&lt;D xsi:type="xsd:double"&gt;13.6223520514312&lt;/D&gt;&lt;D xsi:type="xsd:double"&gt;13.3133656702942&lt;/D&gt;&lt;D xsi:type="xsd:double"&gt;12.8846650874659&lt;/D&gt;&lt;D xsi:type="xsd:double"&gt;12.3703316061119&lt;/D&gt;&lt;D xsi:type="xsd:double"&gt;12.304629330459&lt;/D&gt;&lt;D xsi:type="xsd:double"&gt;11.7866547588915&lt;/D&gt;&lt;D xsi:type="xsd:double"&gt;12.2535777365638&lt;/D&gt;&lt;D xsi:type="xsd:double"&gt;12.0329542751626&lt;/D&gt;&lt;D xsi:type="xsd:double"&gt;11.9258040252202&lt;/D&gt;&lt;D xsi:type="xsd:double"&gt;12.4430164361001&lt;/D&gt;&lt;D xsi:type="xsd:double"&gt;12.1445724604692&lt;/D&gt;&lt;D xsi:type="xsd:double"&gt;11.614221095733&lt;/D&gt;&lt;D xsi:type="xsd:double"&gt;11.1574560878973&lt;/D&gt;&lt;D xsi:type="xsd:double"&gt;10.2825963044645&lt;/D&gt;&lt;D xsi:type="xsd:double"&gt;9.51289794141898&lt;/D&gt;&lt;D xsi:type="xsd:double"&gt;9.64150815298138&lt;/D&gt;&lt;D xsi:type="xsd:double"&gt;9.81527388820756&lt;/D&gt;&lt;D xsi:type="xsd:double"&gt;9.09089434777854&lt;/D&gt;&lt;D xsi:type="xsd:double"&gt;8.69635760592775&lt;/D&gt;&lt;D xsi:type="xsd:double"&gt;9.55903284068497&lt;/D&gt;&lt;D xsi:type="xsd:double"&gt;9.65458287687338&lt;/D&gt;&lt;D xsi:type="xsd:double"&gt;10.5998507304822&lt;/D&gt;&lt;D xsi:type="xsd:double"&gt;10.6971591774508&lt;/D&gt;&lt;D xsi:type="xsd:double"&gt;9.78222470019044&lt;/D&gt;&lt;D xsi:type="xsd:double"&gt;10.8473286365286&lt;/D&gt;&lt;D xsi:type="xsd:double"&gt;10.4328706634615&lt;/D&gt;&lt;D xsi:type="xsd:double"&gt;10.5002841049589&lt;/D&gt;&lt;D xsi:type="xsd:double"&gt;10.4697321249489&lt;/D&gt;&lt;D xsi:type="xsd:double"&gt;10.1453292029169&lt;/D&gt;&lt;D xsi:type="xsd:double"&gt;10.5545922973628&lt;/D&gt;&lt;D xsi:type="xsd:double"&gt;10.328631676927&lt;/D&gt;&lt;D xsi:type="xsd:double"&gt;10.3720123860373&lt;/D&gt;&lt;D xsi:type="xsd:double"&gt;10.759573406695&lt;/D&gt;&lt;D xsi:type="xsd:double"&gt;10.6969787467172&lt;/D&gt;&lt;D xsi:type="xsd:double"&gt;11.2000865021337&lt;/D&gt;&lt;D xsi:type="xsd:double"&gt;11.2769324815054&lt;/D&gt;&lt;D xsi:type="xsd:double"&gt;11.2718509651298&lt;/D&gt;&lt;D xsi:type="xsd:double"&gt;11.9301569835656&lt;/D&gt;&lt;D xsi:type="xsd:double"&gt;11.4541054261291&lt;/D&gt;&lt;D xsi:type="xsd:double"&gt;11.5912389791272&lt;/D&gt;&lt;D xsi:type="xsd:double"&gt;11.5910903360646&lt;/D&gt;&lt;D xsi:type="xsd:double"&gt;11.638298600627&lt;/D&gt;&lt;D xsi:type="xsd:double"&gt;11.737284527165&lt;/D&gt;&lt;/FQL&gt;&lt;FQL&gt;&lt;Q&gt;EWJ^FMA_PE(LTMA,-10AY,0,AM,"PORTAGG","MEANR")&lt;/Q&gt;&lt;R&gt;121&lt;/R&gt;&lt;C&gt;1&lt;/C&gt;&lt;D xsi:type="xsd:double"&gt;14.0298153948272&lt;/D&gt;&lt;D xsi:type="xsd:double"&gt;15.9060560208414&lt;/D&gt;&lt;D xsi:type="xsd:double"&gt;15.491978084427&lt;/D&gt;&lt;D xsi:type="xsd:double"&gt;15.3457663960416&lt;/D&gt;&lt;D xsi:type="xsd:double"&gt;16.4694759908414&lt;/D&gt;&lt;D xsi:type="xsd:double"&gt;16.9642141888611&lt;/D&gt;&lt;D xsi:type="xsd:double"&gt;16.8985551028021&lt;/D&gt;&lt;D xsi:type="xsd:double"&gt;17.0404127211624&lt;/D&gt;&lt;D xsi:type="xsd:double"&gt;16.7615353277859&lt;/D&gt;&lt;D xsi:type="xsd:double"&gt;16.8815462465843&lt;/D&gt;&lt;D xsi:type="xsd:double"&gt;16.8296048670738&lt;/D&gt;&lt;D xsi:type="xsd:double"&gt;15.2866446796941&lt;/D&gt;&lt;D xsi:type="xsd:double"&gt;15.4915291469703&lt;/D&gt;&lt;D xsi:type="xsd:double"&gt;16.157097154581&lt;/D&gt;&lt;D xsi:type="xsd:double"&gt;15.5532237789682&lt;/D&gt;&lt;D xsi:type="xsd:double"&gt;14.3185797866969&lt;/D&gt;&lt;D xsi:type="xsd:double"&gt;13.794974379889&lt;/D&gt;&lt;D xsi:type="xsd:double"&gt;13.8494618941017&lt;/D&gt;&lt;D xsi:type="xsd:double"&gt;13.7351374768231&lt;/D&gt;&lt;D xsi:type="xsd:double"&gt;13.9164624109396&lt;/D&gt;&lt;D xsi:type="xsd:double"&gt;13.6701820351596&lt;/D&gt;&lt;D xsi:type="xsd:double"&gt;14.1688760852166&lt;/D&gt;&lt;D xsi:type="xsd:double"&gt;13.9593034903647&lt;/D&gt;&lt;D xsi:type="xsd:double"&gt;14.1347798618028&lt;/D&gt;&lt;D xsi:type="xsd:double"&gt;14.4505868129787&lt;/D&gt;&lt;D xsi:type="xsd:double"&gt;15.1451267043615&lt;/D&gt;&lt;D xsi:type="xsd:double"&gt;16.6375511216123&lt;/D&gt;&lt;D xsi:type="xsd:double"&gt;16.2930422446136&lt;/D&gt;&lt;D xsi:type="xsd:double"&gt;16.1937095795299&lt;/D&gt;&lt;D xsi:type="xsd:double"&gt;15.9012283865276&lt;/D&gt;&lt;D xsi:type="xsd:double"&gt;15.492556307362&lt;/D&gt;&lt;D xsi:type="xsd:double"&gt;15.6158235232923&lt;/D&gt;&lt;D xsi:type="xsd:double"&gt;15.6225392401355&lt;/D&gt;&lt;D xsi:type="xsd:double"&gt;15.4552293586817&lt;/D&gt;&lt;D xsi:type="xsd:double"&gt;14.9971727437384&lt;/D&gt;&lt;D xsi:type="xsd:double"&gt;14.8217229504204&lt;/D&gt;&lt;D xsi:type="xsd:double"&gt;15.2416312125801&lt;/D&gt;&lt;D xsi:type="xsd:double"&gt;15.6017854248111&lt;/D&gt;&lt;D xsi:type="xsd:double"&gt;16.2590068511594&lt;/D&gt;&lt;D xsi:type="xsd:double"&gt;16.8505866258692&lt;/D&gt;&lt;D xsi:type="xsd:double"&gt;15.0221899402473&lt;/D&gt;&lt;D xsi:type="xsd:double"&gt;14.3822592309669&lt;/D&gt;&lt;D xsi:type="xsd:double"&gt;14.2612596740935&lt;/D&gt;&lt;D xsi:type="xsd:double"&gt;14.3317959024751&lt;/D&gt;&lt;D xsi:type="xsd:double"&gt;14.094598105101&lt;/D&gt;&lt;D xsi:type="xsd:double"&gt;13.9337998357974&lt;/D&gt;&lt;D xsi:type="xsd:double"&gt;13.5574427994852&lt;/D&gt;&lt;D xsi:type="xsd:double"&gt;13.6988984578619&lt;/D&gt;&lt;D xsi:type="xsd:double"&gt;13.2382035140746&lt;/D&gt;&lt;D xsi:type="xsd:double"&gt;12.6288741947664&lt;/D&gt;&lt;D xsi:type="xsd:double"&gt;12.0735978036362&lt;/D&gt;&lt;D xsi:type="xsd:double"&gt;11.9929564206288&lt;/D&gt;&lt;D xsi:type="xsd:double"&gt;12.4088731088842&lt;/D&gt;&lt;D xsi:type="xsd:double"&gt;12.7206546004767&lt;/D&gt;&lt;D xsi:type="xsd:double"&gt;12.7587795397055&lt;/D&gt;&lt;D xsi:type="xsd:double"&gt;12.6663197319676&lt;/D&gt;&lt;D xsi:type="xsd:double"&gt;12.7325647940316&lt;/D&gt;&lt;D xsi:type="xsd:double"&gt;12.8179090343392&lt;/D&gt;&lt;D xsi:type="xsd:double"&gt;12.6469793050229&lt;/D&gt;&lt;D xsi:type="xsd:double"&gt;13.4958403178396&lt;/D&gt;&lt;D xsi:type="xsd:double"&gt;13.7414674208634&lt;/D&gt;&lt;D xsi:type="xsd:double"&gt;14.4855834956448&lt;/D&gt;&lt;D xsi:type="xsd:double"&gt;15.316628917528&lt;/D&gt;&lt;D xsi:type="xsd:double"&gt;15.4731259655148&lt;/D&gt;&lt;D xsi:type="xsd:double"&gt;15.1050367365557&lt;/D&gt;&lt;D xsi:type="xsd:double"&gt;13.5047070751611&lt;/D&gt;&lt;D xsi:type="xsd:double"&gt;14.0759236151163&lt;/D&gt;&lt;D xsi:type="xsd:double"&gt;14.5909584880701&lt;/D&gt;&lt;D xsi:type="xsd:double"&gt;16.7687610427112&lt;/D&gt;&lt;D xsi:type="xsd:double"&gt;17.5290634947933&lt;/D&gt;&lt;D xsi:type="xsd:double"&gt;18.2019497210698&lt;/D&gt;&lt;D xsi:type="xsd:double"&gt;19.903087405705&lt;/D&gt;&lt;D xsi:type="xsd:double"&gt;20.3616848646566&lt;/D&gt;&lt;D xsi:type="xsd:double"&gt;22.0646421872064&lt;/D&gt;&lt;D xsi:type="xsd:double"&gt;23.0413597027681&lt;/D&gt;&lt;D xsi:type="xsd:double"&gt;23.9745360844129&lt;/D&gt;&lt;D xsi:type="xsd:double"&gt;23.1145122092604&lt;/D&gt;&lt;D xsi:type="xsd:double"&gt;21.579626060917&lt;/D&gt;&lt;D xsi:type="xsd:double"&gt;21.1151093285844&lt;/D&gt;&lt;D xsi:type="xsd:double"&gt;20.3572493300671&lt;/D&gt;&lt;D xsi:type="xsd:double"&gt;19.9747304172005&lt;/D&gt;&lt;D xsi:type="xsd:double"&gt;19.4278838447744&lt;/D&gt;&lt;D xsi:type="xsd:double"&gt;18.5700264076796&lt;/D&gt;&lt;D xsi:type="xsd:double"&gt;18.7546230273962&lt;/D&gt;&lt;D xsi:type="xsd:double"&gt;17.8085270171969&lt;/D&gt;&lt;D xsi:type="xsd:double"&gt;17.453891557822&lt;/D&gt;&lt;D xsi:type="xsd:double"&gt;16.3099398812522&lt;/D&gt;&lt;D xsi:type="xsd:double"&gt;15.8761927336791&lt;/D&gt;&lt;D xsi:type="xsd:double"&gt;15.0187526386411&lt;/D&gt;&lt;D xsi:type="xsd:double"&gt;14.6198204040906&lt;/D&gt;&lt;D xsi:type="xsd:double"&gt;14.4111519083262&lt;/D&gt;&lt;D xsi:type="xsd:double"&gt;14.2320010631458&lt;/D&gt;&lt;D xsi:type="xsd:double"&gt;13.8379446744549&lt;/D&gt;&lt;D xsi:type="xsd:double"&gt;13.8145499089238&lt;/D&gt;&lt;D xsi:type="xsd:double"&gt;14.0566919276657&lt;/D&gt;&lt;D xsi:type="xsd:double"&gt;13.580590380231&lt;/D&gt;&lt;D xsi:type="xsd:double"&gt;13.182969146998&lt;/D&gt;&lt;D xsi:type="xsd:double"&gt;13.5168094362407&lt;/D&gt;&lt;D xsi:type="xsd:double"&gt;13.2699025475794&lt;/D&gt;&lt;D xsi:type="xsd:double"&gt;13.1336525130249&lt;/D&gt;&lt;D xsi:type="xsd:double"&gt;13.5613225881075&lt;/D&gt;&lt;D xsi:type="xsd:double"&gt;13.5882856533207&lt;/D&gt;&lt;D xsi:type="xsd:double"&gt;13.7393699187967&lt;/D&gt;&lt;D xsi:type="xsd:double"&gt;14.0713567420388&lt;/D&gt;&lt;D xsi:type="xsd:double"&gt;14.5605494333285&lt;/D&gt;&lt;D xsi:type="xsd:double"&gt;14.5089671276194&lt;/D&gt;&lt;D xsi:type="xsd:double"&gt;14.3650315763521&lt;/D&gt;&lt;D xsi:type="xsd:double"&gt;15.2871228122447&lt;/D&gt;&lt;D xsi:type="xsd:double"&gt;14.7389186098473&lt;/D&gt;&lt;D xsi:type="xsd:double"&gt;15.3482658482506&lt;/D&gt;&lt;D xsi:type="xsd:double"&gt;14.9536929748974&lt;/D&gt;&lt;D xsi:type="xsd:double"&gt;16.1956934444793&lt;/D&gt;&lt;D xsi:type="xsd:double"&gt;16.800960966724&lt;/D&gt;&lt;D xsi:type="xsd:double"&gt;17.0010694581873&lt;/D&gt;&lt;D xsi:type="xsd:double"&gt;16.7722302980433&lt;/D&gt;&lt;D xsi:type="xsd:double"&gt;16.7796996037682&lt;/D&gt;&lt;D xsi:type="xsd:double"&gt;16.5525995575091&lt;/D&gt;&lt;D xsi:type="xsd:double"&gt;16.8689735016571&lt;/D&gt;&lt;D xsi:type="xsd:double"&gt;16.0503746462389&lt;/D&gt;&lt;D xsi:type="xsd:double"&gt;15.3163175342956&lt;/D&gt;&lt;D xsi:type="xsd:double"&gt;15.7180058266687&lt;/D&gt;&lt;/FQL&gt;&lt;FQL&gt;&lt;Q&gt;WL-FDS^FG_PRICE_CHANGE(0,-1AY)&lt;/Q&gt;&lt;R&gt;1&lt;/R&gt;&lt;C&gt;1&lt;/C&gt;&lt;D xsi:type="xsd:double"&gt;-23.6182259369102&lt;/D&gt;&lt;/FQL&gt;&lt;FQL&gt;&lt;Q&gt;NI-FDS^FG_PRICE_CHANGE(0,-1AY)&lt;/Q&gt;&lt;R&gt;1&lt;/R&gt;&lt;C&gt;1&lt;/C&gt;&lt;D xsi:type="xsd:double"&gt;-9.14997292907418&lt;/D&gt;&lt;/FQL&gt;&lt;FQL&gt;&lt;Q&gt;CPALM-FDS^FG_PRICE_CHANGE(0,-1AY)&lt;/Q&gt;&lt;R&gt;1&lt;/R&gt;&lt;C&gt;1&lt;/C&gt;&lt;D xsi:type="xsd:double"&gt;14.5661979304855&lt;/D&gt;&lt;/FQL&gt;&lt;FQL&gt;&lt;Q&gt;BRENT-FDS^FG_PRICE_CHANGE(0,-1AY)&lt;/Q&gt;&lt;R&gt;1&lt;/R&gt;&lt;C&gt;1&lt;/C&gt;&lt;D xsi:type="xsd:double"&gt;-9.55440851153482&lt;/D&gt;&lt;/FQL&gt;&lt;FQL&gt;&lt;Q&gt;TIOS-FDS^FG_PRICE_CHANGE(0,-1AY)&lt;/Q&gt;&lt;R&gt;1&lt;/R&gt;&lt;C&gt;1&lt;/C&gt;&lt;D xsi:type="xsd:double"&gt;-11.4696244013108&lt;/D&gt;&lt;/FQL&gt;&lt;FQL&gt;&lt;Q&gt;QQQ^FG_PRICE_MAVG(0,,,,30)&lt;/Q&gt;&lt;R&gt;1&lt;/R&gt;&lt;C&gt;1&lt;/C&gt;&lt;D xsi:type="xsd:double"&gt;482.68&lt;/D&gt;&lt;/FQL&gt;&lt;FQL&gt;&lt;Q&gt;EWG^FG_PRICE_MAVG(0,,,,30)&lt;/Q&gt;&lt;R&gt;1&lt;/R&gt;&lt;C&gt;1&lt;/C&gt;&lt;D xsi:type="xsd:double"&gt;32.907665&lt;/D&gt;&lt;/FQL&gt;&lt;FQL&gt;&lt;Q&gt;FXI^FG_TOTAL_RETURNC(0,-3AM)&lt;/Q&gt;&lt;R&gt;1&lt;/R&gt;&lt;C&gt;1&lt;/C&gt;&lt;D xsi:type="xsd:double"&gt;23.68319&lt;/D&gt;&lt;/FQL&gt;&lt;FQL&gt;&lt;Q&gt;EWJ^P_PRICE(0)/P_PRICE_HIGH_PR(0,,,,,,"PRICE","INTRA","52W")&lt;/Q&gt;&lt;R&gt;1&lt;/R&gt;&lt;C&gt;1&lt;/C&gt;&lt;D xsi:type="xsd:double"&gt;0.9575369&lt;/D&gt;&lt;/FQL&gt;&lt;FQL&gt;&lt;Q&gt;VGK^PERCENT_CHANGE(FMA_EPS(+1,0,,,,"PORTAGG","MEAN"),FMA_EPS(+1,-1AM,,,,"PORTAGG","MEAN"))&lt;/Q&gt;&lt;R&gt;1&lt;/R&gt;&lt;C&gt;1&lt;/C&gt;&lt;D xsi:type="xsd:double"&gt;0&lt;/D&gt;&lt;/FQL&gt;&lt;FQL&gt;&lt;Q&gt;EWQ^FG_TOTAL_RETURNC(0,-6AM)&lt;/Q&gt;&lt;R&gt;1&lt;/R&gt;&lt;C&gt;1&lt;/C&gt;&lt;D xsi:type="xsd:double"&gt;0.8837223&lt;/D&gt;&lt;/FQL&gt;&lt;FQL&gt;&lt;Q&gt;EWU^FMA_PCT_ABOVE_MAVG(200,0,,,,"PORTAGG")&lt;/Q&gt;&lt;R&gt;1&lt;/R&gt;&lt;C&gt;1&lt;/C&gt;&lt;D xsi:type="xsd:double"&gt;60.2564102564103&lt;/D&gt;&lt;/FQL&gt;&lt;FQL&gt;&lt;Q&gt;EWJ^PERCENT_CHANGE(FMA_EPS(+1,0,,,,"PORTAGG","MEAN"),FMA_EPS(+1,-3AM,,,,"PORTAGG","MEAN"))&lt;/Q&gt;&lt;R&gt;1&lt;/R&gt;&lt;C&gt;1&lt;/C&gt;&lt;D xsi:type="xsd:double"&gt;7.4685678529611&lt;/D&gt;&lt;/FQL&gt;&lt;FQL&gt;&lt;Q&gt;EWC^FG_TOTAL_RETURNC(0,-3AM)&lt;/Q&gt;&lt;R&gt;1&lt;/R&gt;&lt;C&gt;1&lt;/C&gt;&lt;D xsi:type="xsd:double"&gt;9.336805&lt;/D&gt;&lt;/FQL&gt;&lt;FQL&gt;&lt;Q&gt;ENZL^P_PRICE(0)/P_PRICE_HIGH_PR(0,,,,,,"PRICE","INTRA","52W")&lt;/Q&gt;&lt;R&gt;1&lt;/R&gt;&lt;C&gt;1&lt;/C&gt;&lt;D xsi:type="xsd:double"&gt;0.97619516&lt;/D&gt;&lt;/FQL&gt;&lt;FQL&gt;&lt;Q&gt;URTH^SIZE(FG_CONSTITUENTS)&lt;/Q&gt;&lt;R&gt;1&lt;/R&gt;&lt;C&gt;1&lt;/C&gt;&lt;D xsi:type="xsd:long"&gt;1412&lt;/D&gt;&lt;/FQL&gt;&lt;FQL&gt;&lt;Q&gt;EWN^FMA_COS_DOWN("EPS","1M",+1,0,,,"PORTAGG","MEANR")&lt;/Q&gt;&lt;R&gt;1&lt;/R&gt;&lt;C&gt;1&lt;/C&gt;&lt;D xsi:type="xsd:double"&gt;22&lt;/D&gt;&lt;/FQL&gt;&lt;FQL&gt;&lt;Q&gt;EWU^FG_ROE(0)&lt;/Q&gt;&lt;R&gt;1&lt;/R&gt;&lt;C&gt;1&lt;/C&gt;&lt;D xsi:type="xsd:double"&gt;13.6114988839825&lt;/D&gt;&lt;/FQL&gt;&lt;FQL&gt;&lt;Q&gt;SPY^FMA_ROE(NTMA,-20AY,NOW,FY,"PORTAGG","MEANR")&lt;/Q&gt;&lt;R&gt;20&lt;/R&gt;&lt;C&gt;1&lt;/C&gt;&lt;D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xsi:type="xsd:double"&gt;18.2929292989718&lt;/D&gt;&lt;D xsi:type="xsd:double"&gt;17.2298191699104&lt;/D&gt;&lt;D xsi:type="xsd:double"&gt;20.6862842146993&lt;/D&gt;&lt;D xsi:type="xsd:double"&gt;20.5983105975852&lt;/D&gt;&lt;D xsi:type="xsd:double"&gt;20.344268503591&lt;/D&gt;&lt;/FQL&gt;&lt;FQL&gt;&lt;Q&gt;TRYAE10Y-FDS^FG_YIELD(-10AY,0,Y,,"YTM")&lt;/Q&gt;&lt;R&gt;10&lt;/R&gt;&lt;C&gt;1&lt;/C&gt;&lt;D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xsi:type="xsd:double"&gt;11.358896&lt;/D&gt;&lt;/FQL&gt;&lt;FQL&gt;&lt;Q&gt;EWD^FG_PRICE(0)&lt;/Q&gt;&lt;R&gt;1&lt;/R&gt;&lt;C&gt;1&lt;/C&gt;&lt;D xsi:type="xsd:double"&gt;41.2&lt;/D&gt;&lt;/FQL&gt;&lt;FQL&gt;&lt;Q&gt;QQQ^FG_PRICE(0)&lt;/Q&gt;&lt;R&gt;1&lt;/R&gt;&lt;C&gt;1&lt;/C&gt;&lt;D xsi:type="xsd:double"&gt;494.47&lt;/D&gt;&lt;/FQL&gt;&lt;FQL&gt;&lt;Q&gt;EWG^FG_PRICE(0)&lt;/Q&gt;&lt;R&gt;1&lt;/R&gt;&lt;C&gt;1&lt;/C&gt;&lt;D xsi:type="xsd:double"&gt;33.36&lt;/D&gt;&lt;/FQL&gt;&lt;FQL&gt;&lt;Q&gt;FXI^FG_TOTAL_RETURNC(0,-1AM)&lt;/Q&gt;&lt;R&gt;1&lt;/R&gt;&lt;C&gt;1&lt;/C&gt;&lt;D xsi:type="xsd:double"&gt;22.833134&lt;/D&gt;&lt;/FQL&gt;&lt;FQL&gt;&lt;Q&gt;EWD^PERCENT_CHANGE(FMA_EPS(+1,0,,,,"PORTAGG","MEAN"),FMA_EPS(+1,-3AM,,,,"PORTAGG","MEAN"))&lt;/Q&gt;&lt;R&gt;1&lt;/R&gt;&lt;C&gt;1&lt;/C&gt;&lt;D xsi:type="xsd:double"&gt;-2.83221090790628&lt;/D&gt;&lt;/FQL&gt;&lt;FQL&gt;&lt;Q&gt;EWQ^FG_TOTAL_RETURNC(0,-3AM)&lt;/Q&gt;&lt;R&gt;1&lt;/R&gt;&lt;C&gt;1&lt;/C&gt;&lt;D xsi:type="xsd:double"&gt;0.95164776&lt;/D&gt;&lt;/FQL&gt;&lt;FQL&gt;&lt;Q&gt;QQQ^P_PRICE(0)/P_PRICE_HIGH_PR(0,,,,,,"PRICE","INTRA","52W")&lt;/Q&gt;&lt;R&gt;1&lt;/R&gt;&lt;C&gt;1&lt;/C&gt;&lt;D xsi:type="xsd:double"&gt;0.9820266&lt;/D&gt;&lt;/FQL&gt;&lt;FQL&gt;&lt;Q&gt;URTH^FMA_COS_DOWN("EPS","1M",+1,0,,,"PORTAGG","MEANR")&lt;/Q&gt;&lt;R&gt;1&lt;/R&gt;&lt;C&gt;1&lt;/C&gt;&lt;D xsi:type="xsd:double"&gt;610&lt;/D&gt;&lt;/FQL&gt;&lt;FQL&gt;&lt;Q&gt;EWL^FG_ROE(0)&lt;/Q&gt;&lt;R&gt;1&lt;/R&gt;&lt;C&gt;1&lt;/C&gt;&lt;D xsi:type="xsd:double"&gt;18.770625129163&lt;/D&gt;&lt;/FQL&gt;&lt;FQL&gt;&lt;Q&gt;TRYCA10Y-FDS^FG_YIELD_NAME&lt;/Q&gt;&lt;R&gt;1&lt;/R&gt;&lt;C&gt;1&lt;/C&gt;&lt;D xsi:type="xsd:string"&gt;Canada Benchmark Bond - 10 Year&lt;/D&gt;&lt;/FQL&gt;&lt;FQL&gt;&lt;Q&gt;REFEUREFI-FDS^(SUBARRAY(NOT_NA(NO_REPEAT_F(FG_YIELD(NOW,-10AY,D))),0,1)-SUBARRAY(NOT_NA(NO_REPEAT_F(FG_YIELD(NOW,-10AY,D))),1,1))*100&lt;/Q&gt;&lt;R&gt;1&lt;/R&gt;&lt;C&gt;1&lt;/C&gt;&lt;D xsi:type="xsd:double"&gt;-60&lt;/D&gt;&lt;/FQL&gt;&lt;FQL&gt;&lt;Q&gt;REFCATARG-FDS^PROPER_NAME(0,,,"SECURITY","NAME")&lt;/Q&gt;&lt;R&gt;1&lt;/R&gt;&lt;C&gt;1&lt;/C&gt;&lt;D xsi:type="xsd:string"&gt;Canada Target Rate&lt;/D&gt;&lt;/FQL&gt;&lt;FQL&gt;&lt;Q&gt;TRYUS10Y-FDS^PCTCHG(FG_YIELD(0,,,,"YTM"),FG_YIELD(-1AM,,,,"YTM"))&lt;/Q&gt;&lt;R&gt;1&lt;/R&gt;&lt;C&gt;1&lt;/C&gt;&lt;D xsi:type="xsd:double"&gt;9.890074&lt;/D&gt;&lt;/FQL&gt;&lt;FQL&gt;&lt;Q&gt;TRYGB10Y-FDS^FG_YIELD_NAME&lt;/Q&gt;&lt;R&gt;1&lt;/R&gt;&lt;C&gt;1&lt;/C&gt;&lt;D xsi:type="xsd:string"&gt;United Kingdom Benchmark Bond - 10 Year&lt;/D&gt;&lt;/FQL&gt;&lt;FQL&gt;&lt;Q&gt;QQQ^FMA_PE(LTM,0,,,"PORTAGG","MEANR")&lt;/Q&gt;&lt;R&gt;1&lt;/R&gt;&lt;C&gt;1&lt;/C&gt;&lt;D xsi:type="xsd:double"&gt;36.2468813718524&lt;/D&gt;&lt;/FQL&gt;&lt;FQL&gt;&lt;Q&gt;EWC^FG_FCF_YIELD_NTM(0)&lt;/Q&gt;&lt;R&gt;1&lt;/R&gt;&lt;C&gt;1&lt;/C&gt;&lt;D xsi:type="xsd:double"&gt;4.66365101367165&lt;/D&gt;&lt;/FQL&gt;&lt;FQL&gt;&lt;Q&gt;ENZL^FMA_PE(NTMA,0,,,"PORTAGG","MEANR")&lt;/Q&gt;&lt;R&gt;1&lt;/R&gt;&lt;C&gt;1&lt;/C&gt;&lt;D xsi:type="xsd:double"&gt;24.2217974660233&lt;/D&gt;&lt;/FQL&gt;&lt;FQL&gt;&lt;Q&gt;CC_US^FG_COMPANY_NAME&lt;/Q&gt;&lt;R&gt;1&lt;/R&gt;&lt;C&gt;1&lt;/C&gt;&lt;D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xsi:type="xsd:double"&gt;-6.463897&lt;/D&gt;&lt;D xsi:type="xsd:double"&gt;1.9783735&lt;/D&gt;&lt;D xsi:type="xsd:double"&gt;-1.8914223&lt;/D&gt;&lt;D xsi:type="xsd:double"&gt;-10.660702&lt;/D&gt;&lt;D xsi:type="xsd:double"&gt;-0.2387762&lt;/D&gt;&lt;D xsi:type="xsd:double"&gt;-4.763162&lt;/D&gt;&lt;D xsi:type="xsd:double"&gt;-3.2470107&lt;/D&gt;&lt;D xsi:type="xsd:double"&gt;-3.8105726&lt;/D&gt;&lt;D xsi:type="xsd:double"&gt;-3.6983192&lt;/D&gt;&lt;D xsi:type="xsd:double"&gt;-1.6176641&lt;/D&gt;&lt;D xsi:type="xsd:double"&gt;-3.7241101&lt;/D&gt;&lt;D xsi:type="xsd:double"&gt;-8.172571&lt;/D&gt;&lt;D xsi:type="xsd:double"&gt;4.554367&lt;/D&gt;&lt;D xsi:type="xsd:double"&gt;-6.2868&lt;/D&gt;&lt;D xsi:type="xsd:double"&gt;-8.044624&lt;/D&gt;&lt;D xsi:type="xsd:double"&gt;-11.108625&lt;/D&gt;&lt;D xsi:type="xsd:double"&gt;-14.983291&lt;/D&gt;&lt;D xsi:type="xsd:double"&gt;-9.975934&lt;/D&gt;&lt;D xsi:type="xsd:double"&gt;-6.33679&lt;/D&gt;&lt;D xsi:type="xsd:double"&gt;-13.832914&lt;/D&gt;&lt;D xsi:type="xsd:double"&gt;-13.97242&lt;/D&gt;&lt;D xsi:type="xsd:double"&gt;-11.152959&lt;/D&gt;&lt;D xsi:type="xsd:double"&gt;-4.433256&lt;/D&gt;&lt;D xsi:type="xsd:double"&gt;-4.077154&lt;/D&gt;&lt;D xsi:type="xsd:double"&gt;-2.295357&lt;/D&gt;&lt;D xsi:type="xsd:double"&gt;-5.215412&lt;/D&gt;&lt;D xsi:type="xsd:double"&gt;0.7576823&lt;/D&gt;&lt;D xsi:type="xsd:double"&gt;16.621017&lt;/D&gt;&lt;D xsi:type="xsd:double"&gt;15.342844&lt;/D&gt;&lt;D xsi:type="xsd:double"&gt;11.540043&lt;/D&gt;&lt;D xsi:type="xsd:double"&gt;6.6859603&lt;/D&gt;&lt;D xsi:type="xsd:double"&gt;20.359934&lt;/D&gt;&lt;D xsi:type="xsd:double"&gt;27.272964&lt;/D&gt;&lt;D xsi:type="xsd:double"&gt;27.046597&lt;/D&gt;&lt;D xsi:type="xsd:double"&gt;18.445004&lt;/D&gt;&lt;D xsi:type="xsd:double"&gt;27.501095&lt;/D&gt;&lt;D xsi:type="xsd:double"&gt;28.938246&lt;/D&gt;&lt;D xsi:type="xsd:double"&gt;28.140938&lt;/D&gt;&lt;D xsi:type="xsd:double"&gt;22.818232&lt;/D&gt;&lt;D xsi:type="xsd:double"&gt;26.961494&lt;/D&gt;&lt;D xsi:type="xsd:double"&gt;16.028059&lt;/D&gt;&lt;D xsi:type="xsd:double"&gt;12.890768&lt;/D&gt;&lt;D xsi:type="xsd:double"&gt;12.126923&lt;/D&gt;&lt;D xsi:type="xsd:double"&gt;5.6537867&lt;/D&gt;&lt;D xsi:type="xsd:double"&gt;-1.5074134&lt;/D&gt;&lt;D xsi:type="xsd:double"&gt;-4.053569&lt;/D&gt;&lt;D xsi:type="xsd:double"&gt;-1.9781649&lt;/D&gt;&lt;D xsi:type="xsd:double"&gt;-4.2521057&lt;/D&gt;&lt;D xsi:type="xsd:double"&gt;-11.665165&lt;/D&gt;&lt;D xsi:type="xsd:double"&gt;-10.933739&lt;/D&gt;&lt;D xsi:type="xsd:double"&gt;-12.993235&lt;/D&gt;&lt;D xsi:type</t>
        </r>
      </text>
    </comment>
    <comment ref="A5" authorId="0" shapeId="0" xr:uid="{217DFE67-48EA-4327-B7B7-0356FCE1A75F}">
      <text>
        <r>
          <rPr>
            <b/>
            <sz val="9"/>
            <color indexed="81"/>
            <rFont val="Tahoma"/>
            <charset val="1"/>
          </rPr>
          <t>="xsd:double"&gt;-14.101612&lt;/D&gt;&lt;D xsi:type="xsd:double"&gt;-8.968502&lt;/D&gt;&lt;D xsi:type="xsd:double"&gt;-6.0932755&lt;/D&gt;&lt;D xsi:type="xsd:double"&gt;1.3731122&lt;/D&gt;&lt;D xsi:type="xsd:double"&gt;-6.3725176&lt;/D&gt;&lt;D xsi:type="xsd:double"&gt;-0.97269416&lt;/D&gt;&lt;D xsi:type="xsd:double"&gt;0.081801414&lt;/D&gt;&lt;D xsi:type="xsd:double"&gt;-6.611514&lt;/D&gt;&lt;D xsi:type="xsd:double"&gt;-3.3616006&lt;/D&gt;&lt;D xsi:type="xsd:double"&gt;6.2234044&lt;/D&gt;&lt;D xsi:type="xsd:double"&gt;12.135458&lt;/D&gt;&lt;D xsi:type="xsd:double"&gt;23.348951&lt;/D&gt;&lt;D xsi:type="xsd:double"&gt;20.021034&lt;/D&gt;&lt;D xsi:type="xsd:double"&gt;15.696037&lt;/D&gt;&lt;D xsi:type="xsd:double"&gt;-25.051481&lt;/D&gt;&lt;D xsi:type="xsd:double"&gt;-14.797693&lt;/D&gt;&lt;D xsi:type="xsd:double"&gt;-3.9318204&lt;/D&gt;&lt;D xsi:type="xsd:double"&gt;4.3253303&lt;/D&gt;&lt;D xsi:type="xsd:double"&gt;14.498579&lt;/D&gt;&lt;D xsi:type="xsd:double"&gt;30.602896&lt;/D&gt;&lt;D xsi:type="xsd:double"&gt;22.731281&lt;/D&gt;&lt;D xsi:type="xsd:double"&gt;22.095537&lt;/D&gt;&lt;D xsi:type="xsd:double"&gt;23.895359&lt;/D&gt;&lt;D xsi:type="xsd:double"&gt;22.058224&lt;/D&gt;&lt;D xsi:type="xsd:double"&gt;25.66353&lt;/D&gt;&lt;D xsi:type="xsd:double"&gt;28.76252&lt;/D&gt;&lt;D xsi:type="xsd:double"&gt;103.361176&lt;/D&gt;&lt;D xsi:type="xsd:double"&gt;91.84918&lt;/D&gt;&lt;D xsi:type="xsd:double"&gt;74.52108&lt;/D&gt;&lt;D xsi:type="xsd:double"&gt;53.3821&lt;/D&gt;&lt;D xsi:type="xsd:double"&gt;43.627693&lt;/D&gt;&lt;D xsi:type="xsd:double"&gt;37.03501&lt;/D&gt;&lt;D xsi:type="xsd:double"&gt;33.79811&lt;/D&gt;&lt;D xsi:type="xsd:double"&gt;34.191086&lt;/D&gt;&lt;D xsi:type="xsd:double"&gt;28.436958&lt;/D&gt;&lt;D xsi:type="xsd:double"&gt;15.623236&lt;/D&gt;&lt;D xsi:type="xsd:double"&gt;11.916995&lt;/D&gt;&lt;D xsi:type="xsd:double"&gt;-2.326101&lt;/D&gt;&lt;D xsi:type="xsd:double"&gt;-5.242795&lt;/D&gt;&lt;D xsi:type="xsd:double"&gt;-17.231632&lt;/D&gt;&lt;D xsi:type="xsd:double"&gt;-24.938225&lt;/D&gt;&lt;D xsi:type="xsd:double"&gt;-29.330439&lt;/D&gt;&lt;D xsi:type="xsd:double"&gt;-30.36372&lt;/D&gt;&lt;D xsi:type="xsd:double"&gt;-26.139486&lt;/D&gt;&lt;D xsi:type="xsd:double"&gt;-34.721733&lt;/D&gt;&lt;D xsi:type="xsd:double"&gt;-34.44667&lt;/D&gt;&lt;D xsi:type="xsd:double"&gt;-28.428251&lt;/D&gt;&lt;D xsi:type="xsd:double"&gt;-24.389011&lt;/D&gt;&lt;D xsi:type="xsd:double"&gt;-15.811414&lt;/D&gt;&lt;D xsi:type="xsd:double"&gt;-7.7748537&lt;/D&gt;&lt;D xsi:type="xsd:double"&gt;-14.603853&lt;/D&gt;&lt;D xsi:type="xsd:double"&gt;0.1516819&lt;/D&gt;&lt;D xsi:type="xsd:double"&gt;8.340157&lt;/D&gt;&lt;D xsi:type="xsd:double"&gt;16.528261&lt;/D&gt;&lt;D xsi:type="xsd:double"&gt;20.64681&lt;/D&gt;&lt;D xsi:type="xsd:double"&gt;-0.13011098&lt;/D&gt;&lt;D xsi:type="xsd:double"&gt;12.100148&lt;/D&gt;&lt;D xsi:type="xsd:double"&gt;12.503349&lt;/D&gt;&lt;D xsi:type="xsd:double"&gt;9.610451&lt;/D&gt;&lt;D xsi:type="xsd:double"&gt;21.358335&lt;/D&gt;&lt;D xsi:type="xsd:double"&gt;5.8947563&lt;/D&gt;&lt;D xsi:type="xsd:double"&gt;9.983277&lt;/D&gt;&lt;D xsi:type="xsd:double"&gt;25.738&lt;/D&gt;&lt;D xsi:type="xsd:double"&gt;7.2464943&lt;/D&gt;&lt;D xsi:type="xsd:double"&gt;16.81968&lt;/D&gt;&lt;D xsi:type="xsd:double"&gt;17.682611&lt;/D&gt;&lt;D xsi:type="xsd:double"&gt;15.322685&lt;/D&gt;&lt;D xsi:type="xsd:double"&gt;26.034092&lt;/D&gt;&lt;D xsi:type="xsd:double"&gt;31.435799&lt;/D&gt;&lt;D xsi:type="xsd:double"&gt;31.871128&lt;/D&gt;&lt;/FQL&gt;&lt;FQL&gt;&lt;Q&gt;EWQ^FG_TOTAL_RETURNC(-10AY,0,AM)&lt;/Q&gt;&lt;R&gt;121&lt;/R&gt;&lt;C&gt;1&lt;/C&gt;&lt;D xsi:type="xsd:double"&gt;-10.675383&lt;/D&gt;&lt;D xsi:type="xsd:double"&gt;4.9186945&lt;/D&gt;&lt;D xsi:type="xsd:double"&gt;-1.5742898&lt;/D&gt;&lt;D xsi:type="xsd:double"&gt;-2.6211262&lt;/D&gt;&lt;D xsi:type="xsd:double"&gt;7.340944&lt;/D&gt;&lt;D xsi:type="xsd:double"&gt;-0.49391985&lt;/D&gt;&lt;D xsi:type="xsd:double"&gt;1.8327594&lt;/D&gt;&lt;D xsi:type="xsd:double"&gt;3.4870625&lt;/D&gt;&lt;D xsi:type="xsd:double"&gt;-3.115946&lt;/D&gt;&lt;D xsi:type="xsd:double"&gt;1.3875961&lt;/D&gt;&lt;D xsi:type="xsd:double"&gt;-1.1627913&lt;/D&gt;&lt;D xsi:type="xsd:double"&gt;-6.4895687&lt;/D&gt;&lt;D xsi:type="xsd:double"&gt;4.6672106&lt;/D&gt;&lt;D xsi:type="xsd:double"&gt;-1.822418&lt;/D&gt;&lt;D xsi:type="xsd:double"&gt;-4.976302&lt;/D&gt;&lt;D xsi:type="xsd:double"&gt;-7.770938&lt;/D&gt;&lt;D xsi:type="xsd:double"&gt;3.0303001&lt;/D&gt;&lt;D xsi:type="xsd:double"&gt;7.287097&lt;/D&gt;&lt;D xsi:type="xsd:double"&gt;0.9410739&lt;/D&gt;&lt;D xsi:type="xsd:double"&gt;-3.2428026&lt;/D&gt;&lt;D xsi:type="xsd:double"&gt;-0.96355677&lt;/D&gt;&lt;D xsi:type="xsd:double"&gt;0.88602304&lt;/D&gt;&lt;D xsi:type="xsd:double"&gt;4.5591354&lt;/D&gt;&lt;D xsi:type="xsd:double"&gt;-3.5787702&lt;/D&gt;&lt;D xsi:type="xsd:double"&gt;2.2184253&lt;/D&gt;&lt;D xsi:type="xsd:double"&gt;-3.3806324&lt;/D&gt;&lt;D xsi:type="xsd:double"&gt;5.226791&lt;/D&gt;&lt;D xsi:type="xsd:double"&gt;3.1609058&lt;/D&gt;&lt;D xsi:type="xsd:double"&gt;-0.079876184&lt;/D&gt;&lt;D xsi:type="xsd:double"&gt;4.3565154&lt;/D&gt;&lt;D xsi:type="xsd:double"&gt;-0.49789548&lt;/D&gt;&lt;D xsi:type="xsd:double"&gt;11.5473385&lt;/D&gt;&lt;D xsi:type="xsd:double"&gt;1.3112545&lt;/D&gt;&lt;D xsi:type="xsd:double"&gt;1.7289162&lt;/D&gt;&lt;D xsi:type="xsd:double"&gt;0.13623238&lt;/D&gt;&lt;D xsi:type="xsd:double"&gt;4.0476203&lt;/D&gt;&lt;D xsi:type="xsd:double"&gt;1.8633485&lt;/D&gt;&lt;D xsi:type="xsd:double"&gt;-1.4120698&lt;/D&gt;&lt;D xsi:type="xsd:double"&gt;1.985681&lt;/D&gt;&lt;D xsi:type="xsd:double"&gt;5.490458&lt;/D&gt;&lt;D xsi:type="xsd:double"&gt;-2.4279177&lt;/D&gt;&lt;D xsi:type="xsd:double"&gt;-0.8398235&lt;/D&gt;&lt;D xsi:type="xsd:double"&gt;3.0426621&lt;/D&gt;&lt;D xsi:type="xsd:double"&gt;-0.4566133&lt;/D&gt;&lt;D xsi:type="xsd:double"&gt;-2.3853242&lt;/D&gt;&lt;D xsi:type="xsd:double"&gt;0.29798746&lt;/D&gt;&lt;D xsi:type="xsd:double"&gt;-3.4757674&lt;/D&gt;&lt;D xsi:type="xsd:double"&gt;2.3785949&lt;/D&gt;&lt;D xsi:type="xsd:double"&gt;-6.7763805&lt;/D&gt;&lt;D xsi:type="xsd:double"&gt;-1.5576303&lt;/D&gt;&lt;D xsi:type="xsd:double"&gt;-5.863011&lt;/D&gt;&lt;D xsi:type="xsd:double"&gt;2.401507&lt;/D&gt;&lt;D xsi:type="xsd:double"&gt;4.9835086&lt;/D&gt;&lt;D xsi:type="xsd:double"&gt;5.130899&lt;/D&gt;&lt;D xsi:type="xsd:double"&gt;2.1912336&lt;/D&gt;&lt;D xsi:type="xsd:double"&gt;-2.8265119&lt;/D&gt;&lt;D xsi:type="xsd:double"&gt;2.9592395&lt;/D&gt;&lt;D xsi:type="xsd:double"&gt;1.6971707&lt;/D&gt;&lt;D xsi:type="xsd:double"&gt;-5.988222&lt;/D&gt;&lt;D xsi:type="xsd:double"&gt;5.499482&lt;/D&gt;&lt;D xsi:type="xsd:double"&gt;1.220727&lt;/D&gt;&lt;D xsi:type="xsd:double"&gt;4.2372823&lt;/D&gt;&lt;D xsi:type="xsd:double"&gt;0.93369484&lt;/D&gt;&lt;D xsi:type="xsd:double"&gt;2.3284674&lt;/D&gt;&lt;D xsi:type="xsd:double"&gt;-2.3361683&lt;/D&gt;&lt;D xsi:type="xsd:double"&gt;-37.7757&lt;/D&gt;&lt;D xsi:type="xsd:double"&gt;20.41937&lt;/D&gt;&lt;D xsi:type="xsd:double"&gt;1.036489&lt;/D&gt;&lt;D xsi:type="xsd:double"&gt;12.424469&lt;/D&gt;&lt;D xsi:type="xsd:double"&gt;5.8045506&lt;/D&gt;&lt;D xsi:type="xsd:double"&gt;1.5277743&lt;/D&gt;&lt;D xsi:type="xsd:double"&gt;-0.37620068&lt;/D&gt;&lt;D xsi:type="xsd:double"&gt;-1.3044953&lt;/D&gt;&lt;D xsi:type="xsd:double"&gt;11.72173&lt;/D&gt;&lt;D xsi:type="xsd:double"&gt;4.218209&lt;/D&gt;&lt;D xsi:type="xsd:double"&gt;0.48033&lt;/D&gt;&lt;D xsi:type="xsd:double"&gt;2.210927&lt;/D&gt;&lt;D xsi:type="xsd:double"&gt;2.3384929&lt;/D&gt;&lt;D xsi:type="xsd:double"&gt;5.855477&lt;/D&gt;&lt;D xsi:type="xsd:double"&gt;2.8332472&lt;/D&gt;&lt;D xsi:type="xsd:double"&gt;0.95784664&lt;/D&gt;&lt;D xsi:type="xsd:double"&gt;-2.2338986&lt;/D&gt;&lt;D xsi:type="xsd:double"&gt;3.4139752&lt;/D&gt;&lt;D xsi:type="xsd:double"&gt;-1.2477219&lt;/D&gt;&lt;D xsi:type="xsd:double"&gt;1.1318684&lt;/D&gt;&lt;D xsi:type="xsd:double"&gt;4.4247866&lt;/D&gt;&lt;D xsi:type="xsd:double"&gt;-4.8668265&lt;/D&gt;&lt;D xsi:type="xsd:double"&gt;4.2811036&lt;/D&gt;&lt;D xsi:type="xsd:double"&gt;-3.150016&lt;/D&gt;&lt;D xsi:type="xsd:double"&gt;-6.158352&lt;/D&gt;&lt;D xsi:type="xsd:double"&gt;-2.5284052&lt;/D&gt;&lt;D xsi:type="xsd:double"&gt;-5.625182&lt;/D&gt;&lt;D xsi:type="xsd:double"&gt;-5.571204&lt;/D&gt;&lt;D xsi:type="xsd:double"&gt;-0.404042&lt;/D&gt;&lt;D xsi:type="xsd:double"&gt;7.978368&lt;/D&gt;&lt;D xsi:type="xsd:double"&gt;-8.046335&lt;/D&gt;&lt;D xsi:type="xsd:double"&gt;-1.9748032&lt;/D&gt;&lt;D xsi:type="xsd:double"&gt;14.102114&lt;/D&gt;&lt;D xsi:type="xsd:double"&gt;0.26904345&lt;/D&gt;&lt;D xsi:type="xsd:double"&gt;10.877514&lt;/D&gt;&lt;D xsi:type="xsd:double"&gt;3.1876922&lt;/D&gt;&lt;D xsi:type="xsd:double"&gt;-6.391472&lt;/D&gt;&lt;D xsi:type="xsd:double"&gt;12.062586&lt;/D&gt;&lt;D xsi:type="xsd:double"&gt;-1.6247749&lt;/D&gt;&lt;D xsi:type="xsd:double"&gt;1.0220051&lt;/D&gt;&lt;D xsi:type="xsd:double"&gt;2.5594115&lt;/D&gt;&lt;D xsi:type="xsd:double"&gt;-5.6786356&lt;/D&gt;&lt;D xsi:type="xsd:double"&gt;-0.72894096&lt;/D&gt;&lt;D xsi:type="xsd:double"&gt;-6.2007008&lt;/D&gt;&lt;D xsi:type="xsd:double"&gt;8.176279&lt;/D&gt;&lt;D xsi:type="xsd:double"&gt;4.5832157&lt;/D&gt;&lt;D xsi:type="xsd:double"&gt;-2.2119224&lt;/D&gt;&lt;D xsi:type="xsd:double"&gt;3.112638&lt;/D&gt;&lt;D xsi:type="xsd:double"&gt;5.525708&lt;/D&gt;&lt;D xsi:type="xsd:double"&gt;-3.490907&lt;/D&gt;&lt;D xsi:type="xsd:double"&gt;6.12911&lt;/D&gt;&lt;D xsi:type="xsd:double"&gt;-6.444001&lt;/D&gt;&lt;D xsi:type="xsd:double"&gt;0.6471634&lt;/D&gt;&lt;D xsi:type="xsd:double"&gt;-0.20576715&lt;/D&gt;&lt;D xsi:type="xsd:double"&gt;1.0309339&lt;/D&gt;&lt;D xsi:type="xsd:double"&gt;0.12755394&lt;/D&gt;&lt;/FQL&gt;&lt;FQL&gt;&lt;Q&gt;QQQ^FMA_DIV_YLD(NTMA,-10AY,0,AM,"PORTAGG","MEANR")&lt;/Q&gt;&lt;R&gt;121&lt;/R&gt;&lt;C&gt;1&lt;/C&gt;&lt;D xsi:type="xsd:double"&gt;1.32273539493375&lt;/D&gt;&lt;D xsi:type="xsd:double"&gt;1.20771292580135&lt;/D&gt;&lt;D xsi:type="xsd:double"&gt;1.21614396894182&lt;/D&gt;&lt;D xsi:type="xsd:double"&gt;1.2356419380417&lt;/D&gt;&lt;D xsi:type="xsd:double"&gt;1.22694432320452&lt;/D&gt;&lt;D xsi:type="xsd:double"&gt;1.24719601365242&lt;/D&gt;&lt;D xsi:type="xsd:double"&gt;1.27587998522588&lt;/D&gt;&lt;D xsi:type="xsd:double"&gt;1.23385687586566&lt;/D&gt;&lt;D xsi:type="xsd:double"&gt;1.23619548283646&lt;/D&gt;&lt;D xsi:type="xsd:double"&gt;1.20494627732835&lt;/D&gt;&lt;D xsi:type="xsd:double"&gt;1.27896330519033&lt;/D&gt;&lt;D xsi:type="xsd:double"&gt;1.35073501088718&lt;/D&gt;&lt;D xsi:type="xsd:double"&gt;1.31890351116958&lt;/D&gt;&lt;D xsi:type="xsd:double"&gt;1.27537320258251&lt;/D&gt;&lt;D xsi:type="xsd:double"&gt;1.31749459218029&lt;/D&gt;&lt;D xsi:type="xsd:double"&gt;1.39902408568162&lt;/D&gt;&lt;D xsi:type="xsd:double"&gt;1.42378277712552&lt;/D&gt;&lt;D xsi:type="xsd:double"&gt;1.35619406980042&lt;/D&gt;&lt;D xsi:type="xsd:double"&gt;1.31698923386867&lt;/D&gt;&lt;D xsi:type="xsd:double"&gt;1.39635147287947&lt;/D&gt;&lt;D xsi:type="xsd:double"&gt;1.39085088142677&lt;/D&gt;&lt;D xsi:type="xsd:double"&gt;1.31731096725354&lt;/D&gt;&lt;D xsi:type="xsd:double"&gt;1.27597037574183&lt;/D&gt;&lt;D xsi:type="xsd:double"&gt;1.2805825751655&lt;/D&gt;&lt;D xsi:type="xsd:double"&gt;1.27263016391919&lt;/D&gt;&lt;D xsi:type="xsd:double"&gt;1.29414316509085&lt;/D&gt;&lt;D xsi:type="xsd:double"&gt;1.28330983663402&lt;/D&gt;&lt;D xsi:type="xsd:double"&gt;1.25611945277724&lt;/D&gt;&lt;D xsi:type="xsd:double"&gt;1.22228062311592&lt;/D&gt;&lt;D xsi:type="xsd:double"&gt;1.21153958318729&lt;/D&gt;&lt;D xsi:type="xsd:double"&gt;1.22407711765224&lt;/D&gt;&lt;D xsi:type="xsd:double"&gt;1.18816597570602&lt;/D&gt;&lt;D xsi:type="xsd:double"&gt;1.18417111945239&lt;/D&gt;&lt;D xsi:type="xsd:double"&gt;1.1705016148493&lt;/D&gt;&lt;D xsi:type="xsd:double"&gt;1.19792496937399&lt;/D&gt;&lt;D xsi:type="xsd:double"&gt;1.16243030629624&lt;/D&gt;&lt;D xsi:type="xsd:double"&gt;1.1406913341471&lt;/D&gt;&lt;D xsi:type="xsd:double"&gt;1.11039407428718&lt;/D&gt;&lt;D xsi:type="xsd:double"&gt;1.07906830380132&lt;/D&gt;&lt;D xsi:type="xsd:double"&gt;1.03928408122566&lt;/D&gt;&lt;D xsi:type="xsd:double"&gt;1.07551022921951&lt;/D&gt;&lt;D xsi:type="xsd:double"&gt;1.04764985965845&lt;/D&gt;&lt;D xsi:type="xsd:double"&gt;1.08673525098396&lt;/D&gt;&lt;D xsi:type="xsd:double"&gt;1.09757583560406&lt;/D&gt;&lt;D xsi:type="xsd:double"&gt;1.04018742267516&lt;/D&gt;&lt;D xsi:type="xsd:double"&gt;1.03121051046054&lt;/D&gt;&lt;D xsi:type="xsd:double"&gt;1.08343174443854&lt;/D&gt;&lt;D xsi:type="xsd:double"&gt;1.0784307480994&lt;/D&gt;&lt;D xsi:type="xsd:double"&gt;1.14540180133634&lt;/D&gt;&lt;D xsi:type="xsd:double"&gt;1.19460079800683&lt;/D&gt;&lt;D xsi:type="xsd:double"&gt;1.29028669272295&lt;/D&gt;&lt;D xsi:type="xsd:double"&gt;1.23608899103476&lt;/D&gt;&lt;D xsi:type="xsd:double"&gt;1.19597581977355&lt;/D&gt;&lt;D xsi:type="xsd:double"&gt;1.14126971613215&lt;/D&gt;&lt;D xsi:type="xsd:double"&gt;1.10041734651795&lt;/D&gt;&lt;D xsi:type="xsd:double"&gt;1.13461876556907&lt;/D&gt;&lt;D xsi:type="xsd:double"&gt;1.1182359623628&lt;/D&gt;&lt;D xsi:type="xsd:double"&gt;1.08562036995824&lt;/D&gt;&lt;D xsi:type="xsd:double"&gt;1.12853164751718&lt;/D&gt;&lt;D xsi:type="xsd:double"&gt;1.11606923085423&lt;/D&gt;&lt;D xsi:type="xsd:double"&gt;1.10380445986917&lt;/D&gt;&lt;D xsi:type="xsd:double"&gt;1.05706118503713&lt;/D&gt;&lt;D xsi:type="xsd:double"&gt;1.05979997492489&lt;/D&gt;&lt;D xsi:type="xsd:double"&gt;1.00119266047439&lt;/D&gt;&lt;D xsi:type="xsd:double"&gt;0.958579845215396&lt;/D&gt;&lt;D xsi:type="xsd:double"&gt;1.29438311000065&lt;/D&gt;&lt;D xsi:type="xsd:double"&gt;1.04959926262643&lt;/D&gt;&lt;D xsi:type="xsd:double"&gt;0.979145805502963&lt;/D&gt;&lt;D xsi:type="xsd:double"&gt;0.908037915668203&lt;/D&gt;&lt;D xsi:type="xsd:double"&gt;0.857788053524716&lt;/D&gt;&lt;D xsi:type="xsd:double"&gt;0.802072054852074&lt;/D&gt;&lt;D xsi:type="xsd:double"&gt;0.836947940526228&lt;/D&gt;&lt;D xsi:type="xsd:double"&gt;0.776618252785124&lt;/D&gt;&lt;D xsi:type="xsd:double"&gt;0.778944486363475&lt;/D&gt;&lt;D xsi:type="xsd:double"&gt;0.732490448533587&lt;/D&gt;&lt;D xsi:type="xsd:double"&gt;0.771151760637077&lt;/D&gt;&lt;D xsi:type="xsd:double"&gt;0.731494850383926&lt;/D&gt;&lt;D xsi:type="xsd:double"&gt;0.784879343480609&lt;/D&gt;&lt;D xsi:type="xsd:double"&gt;0.717547955641339&lt;/D&gt;&lt;D xsi:type="xsd:double"&gt;0.765263266273545&lt;/D&gt;&lt;D xsi:type="xsd:double"&gt;0.727450259034826&lt;/D&gt;&lt;D xsi:type="xsd:double"&gt;0.699884277428441&lt;/D&gt;&lt;D xsi:type="xsd:double"&gt;0.712179251402963&lt;/D&gt;&lt;D xsi:type="xsd:double"&gt;0.693417691610911&lt;/D&gt;&lt;D xsi:type="xsd:double"&gt;0.701090335335624&lt;/D&gt;&lt;D xsi:type="xsd:double"&gt;0.655356767046996&lt;/D&gt;&lt;D xsi:type="xsd:double"&gt;0.689016134913294&lt;/D&gt;&lt;D xsi:type="xsd:double"&gt;0.719023654944213&lt;/D&gt;&lt;D xsi:type="xsd:double"&gt;0.793258301484199&lt;/D&gt;&lt;D xsi:type="xsd:double"&gt;0.780664270876497&lt;/D&gt;&lt;D xsi:type="xsd:double"&gt;0.812192978017818&lt;/D&gt;&lt;D xsi:type="xsd:double"&gt;0.952252857794447&lt;/D&gt;&lt;D xsi:type="xsd:double"&gt;1.01538265484701&lt;/D&gt;&lt;D xsi:type="xsd:double"&gt;0.971428375868947&lt;/D&gt;&lt;D xsi:type="xsd:double"&gt;0.857918522007776&lt;/D&gt;&lt;D xsi:type="xsd:double"&gt;0.983945423447135&lt;/D&gt;&lt;D xsi:type="xsd:double"&gt;1.05760651256635&lt;/D&gt;&lt;D xsi:type="xsd:double"&gt;1.01802801990833&lt;/D&gt;&lt;D xsi:type="xsd:double"&gt;1.05213877084135&lt;/D&gt;&lt;D xsi:type="xsd:double"&gt;0.999873489740472&lt;/D&gt;&lt;D xsi:type="xsd:double"&gt;0.935291053455646&lt;/D&gt;&lt;D xsi:type="xsd:double"&gt;0.927523300993714&lt;/D&gt;&lt;D xsi:type="xsd:double"&gt;0.891029664112353&lt;/D&gt;&lt;D xsi:type="xsd:double"&gt;0.82837141896789&lt;/D&gt;&lt;D xsi:type="xsd:double"&gt;0.767372577291341&lt;/D&gt;&lt;D xsi:type="xsd:double"&gt;0.734041597449563&lt;/D&gt;&lt;D xsi:type="xsd:double"&gt;0.9196405490139&lt;/D&gt;&lt;D xsi:type="xsd:double"&gt;0.891068497596838&lt;/D&gt;&lt;D xsi:type="xsd:double"&gt;0.937996029447499&lt;/D&gt;&lt;D xsi:type="xsd:double"&gt;0.893474771427901&lt;/D&gt;&lt;D xsi:type="xsd:double"&gt;0.921159503438258&lt;/D&gt;&lt;D xsi:type="xsd:double"&gt;0.907819873415445&lt;/D&gt;&lt;D xsi:type="xsd:double"&gt;0.894317343140776&lt;/D&gt;&lt;D xsi:type="xsd:double"&gt;0.896369093058159&lt;/D&gt;&lt;D xsi:type="xsd:double"&gt;0.931473100199284&lt;/D&gt;&lt;D xsi:type="xsd:double"&gt;0.894421521009514&lt;/D&gt;&lt;D xsi:type="xsd:double"&gt;0.836617671796992&lt;/D&gt;&lt;D xsi:type="xsd:double"&gt;0.844023062323991&lt;/D&gt;&lt;D xsi:type="xsd:double"&gt;0.837492664270831&lt;/D&gt;&lt;D xsi:type="xsd:double"&gt;0.845719651691383&lt;/D&gt;&lt;D xsi:type="xsd:double"&gt;0.819402420782769&lt;/D&gt;&lt;/FQL&gt;&lt;FQL&gt;&lt;Q&gt;EWL^FMA_PE(NTMA,-10AY,0,AM,"PORTAGG","MEANR")&lt;/Q&gt;&lt;R&gt;121&lt;/R&gt;&lt;C&gt;1&lt;/C&gt;&lt;D xsi:type="xsd:double"&gt;14.9560518475671&lt;/D&gt;&lt;D xsi:type="xsd:double"&gt;16.1131739742&lt;/D&gt;&lt;D xsi:type="xsd:double"&gt;15.8170251034404&lt;/D&gt;&lt;D xsi:type="xsd:double"&gt;15.0684969938974&lt;/D&gt;&lt;D xsi:type="xsd:double"&gt;17.2324734944352&lt;/D&gt;&lt;D xsi:type="xsd:double"&gt;17.7511728847068&lt;/D&gt;&lt;D xsi:type="xsd:double"&gt;18.0300186729242&lt;/D&gt;&lt;D xsi:type="xsd:double"&gt;17.7896528954111&lt;/D&gt;&lt;D xsi:type="xsd:double"&gt;17.079843833113&lt;/D&gt;&lt;D xsi:type="xsd:double"&gt;17.7916840278546&lt;/D&gt;&lt;D xsi:type="xsd:double"&gt;17.4422754016202&lt;/D&gt;&lt;D xsi:type="xsd:double"&gt;16.4272544897483&lt;/D&gt;&lt;D xsi:type="xsd:double"&gt;16.6347215803529&lt;/D&gt;&lt;D xsi:type="xsd:double"&gt;16.9942165715685&lt;/D&gt;&lt;D xsi:type="xsd:double"&gt;16.5793536674705&lt;/D&gt;&lt;D xsi:type="xsd:double"&gt;15.6865596623357&lt;/D&gt;&lt;D xsi:type="xsd:double"&gt;16.2875773825402&lt;/D&gt;&lt;D xsi:type="xsd:double"&gt;16.4649299305242&lt;/D&gt;&lt;D xsi:type="xsd:double"&gt;16.9046857241127&lt;/D&gt;&lt;D xsi:type="xsd:double"&gt;16.6839023987451&lt;/D&gt;&lt;D xsi:type="xsd:double"&gt;16.2081043403575&lt;/D&gt;&lt;D xsi:type="xsd:double"&gt;16.9922760736844&lt;/D&gt;&lt;D xsi:type="xsd:double"&gt;17.4437443943942&lt;/D&gt;&lt;D xsi:type="xsd:double"&gt;17.0451400333788&lt;/D&gt;&lt;D xsi:type="xsd:double"&gt;16.81994511989&lt;/D&gt;&lt;D xsi:type="xsd:double"&gt;16.4152512498233&lt;/D&gt;&lt;D xsi:type="xsd:double"&gt;16.7363261949343&lt;/D&gt;&lt;D xsi:type="xsd:double"&gt;17.0428851924238&lt;/D&gt;&lt;D xsi:type="xsd:double"&gt;17.5057578485245&lt;/D&gt;&lt;D xsi:type="xsd:double"&gt;17.78664483832&lt;/D&gt;&lt;D xsi:type="xsd:double"&gt;17.1959098640233&lt;/D&gt;&lt;D xsi:type="xsd:double"&gt;17.8483372203613&lt;/D&gt;&lt;D xsi:type="xsd:double"&gt;18.0083303832634&lt;/D&gt;&lt;D xsi:type="xsd:double"&gt;17.901140782051&lt;/D&gt;&lt;D xsi:type="xsd:double"&gt;17.4238704641024&lt;/D&gt;&lt;D xsi:type="xsd:double"&gt;17.682909559415&lt;/D&gt;&lt;D xsi:type="xsd:double"&gt;17.9393732060245&lt;/D&gt;&lt;D xsi:type="xsd:double"&gt;17.6075578838931&lt;/D&gt;&lt;D xsi:type="xsd:double"&gt;17.8266139712804&lt;/D&gt;&lt;D xsi:type="xsd:double"&gt;17.8307879096938&lt;/D&gt;&lt;D xsi:type="xsd:double"&gt;16.906642917335&lt;/D&gt;&lt;D xsi:type="xsd:double"&gt;16.3443899736394&lt;/D&gt;&lt;D xsi:type="xsd:double"&gt;16.1500442553059&lt;/D&gt;&lt;D xsi:type="xsd:double"&gt;16.2786801961972&lt;/D&gt;&lt;D xsi:type="xsd:double"&gt;15.4693394129048&lt;/D&gt;&lt;D xsi:type="xsd:double"&gt;16.060394139477&lt;/D&gt;&lt;D xsi:type="xsd:double"&gt;15.9429735073554&lt;/D&gt;&lt;D xsi:type="xsd:double"&gt;15.9046489984745&lt;/D&gt;&lt;D xsi:type="xsd:double"&gt;15.271439293844&lt;/D&gt;&lt;D xsi:type="xsd:double"&gt;15.4614244484418&lt;/D&gt;&lt;D xsi:type="xsd:double"&gt;14.6842077272576&lt;/D&gt;&lt;D xsi:type="xsd:double"&gt;15.5836518380407&lt;/D&gt;&lt;D xsi:type="xsd:double"&gt;15.8878373452864&lt;/D&gt;&lt;D xsi:type="xsd:double"&gt;16.5566940354911&lt;/D&gt;&lt;D xsi:type="xsd:double"&gt;16.8729257710156&lt;/D&gt;&lt;D xsi:type="xsd:double"&gt;16.7232838614962&lt;/D&gt;&lt;D xsi:type="xsd:double"&gt;17.1760346126428&lt;/D&gt;&lt;D xsi:type="xsd:double"&gt;17.2425924101895&lt;/D&gt;&lt;D xsi:type="xsd:double"&gt;16.7193476877597&lt;/D&gt;&lt;D xsi:type="xsd:double"&gt;17.0462458125477&lt;/D&gt;&lt;D xsi:type="xsd:double"&gt;16.9761737979326&lt;/D&gt;&lt;D xsi:type="xsd:double"&gt;17.4310149737698&lt;/D&gt;&lt;D xsi:type="xsd:double"&gt;17.6976437301445&lt;/D&gt;&lt;D xsi:type="xsd:double"&gt;18.2229273399078&lt;/D&gt;&lt;D xsi:type="xsd:double"&gt;18.4785927254434&lt;/D&gt;&lt;D xsi:type="xsd:double"&gt;13.9790874264111&lt;/D&gt;&lt;D xsi:type="xsd:double"&gt;17.8451703911572&lt;/D&gt;&lt;D xsi:type="xsd:double"&gt;18.8150490075751&lt;/D&gt;&lt;D xsi:type="xsd:double"&gt;19.4679109990599&lt;/D&gt;&lt;D xsi:type="xsd:double"&gt;19.9635500254364&lt;/D&gt;&lt;D xsi:type="xsd:double"&gt;19.5324478393176&lt;/D&gt;&lt;D xsi:type="xsd:double"&gt;19.6375739130683&lt;/D&gt;&lt;D xsi:type="xsd:double"&gt;18.8835549768198&lt;/D&gt;&lt;D xsi:type="xsd:double"&gt;19.0863968398058&lt;/D&gt;&lt;D xsi:type="xsd:double"&gt;18.6406614987365&lt;/D&gt;&lt;D xsi:type="xsd:double"&gt;18.9722161656113&lt;/D&gt;&lt;D xsi:type="xsd:double"&gt;18.7302463070149&lt;/D&gt;&lt;D xsi:type="xsd:double"&gt;18.7133937702893&lt;/D&gt;&lt;D xsi:type="xsd:double"&gt;19.5032024652773&lt;/D&gt;&lt;D xsi:type="xsd:double"&gt;19.0370029902549&lt;/D&gt;&lt;D xsi:type="xsd:double"&gt;19.8191424538971&lt;/D&gt;&lt;D xsi:type="xsd:double"&gt;19.7852021477571&lt;/D&gt;&lt;D xsi:type="xsd:double"&gt;20.1285646599771&lt;/D&gt;&lt;D xsi:type="xsd:double"&gt;18.9321525249499&lt;/D&gt;&lt;D xsi:type="xsd:double"&gt;18.778482694756&lt;/D&gt;&lt;D xsi:type="xsd:double"&gt;19.3723139622992&lt;/D&gt;&lt;D xsi:type="xsd:double"&gt;19.4865517036619&lt;/D&gt;&lt;D xsi:type="xsd:double"&gt;18.8402516365198&lt;/D&gt;&lt;D xsi:type="xsd:double"&gt;18.083867978627&lt;/D&gt;&lt;D xsi:type="xsd:double"&gt;18.3097336506443&lt;/D&gt;&lt;D xsi:type="xsd:double"&gt;18.5222604368916&lt;/D&gt;&lt;D xsi:type="xsd:double"&gt;16.772701621807&lt;/D&gt;&lt;D xsi:type="xsd:double"&gt;15.1852769528944&lt;/D&gt;&lt;D xsi:type="xsd:double"&gt;16.1589367933536&lt;/D&gt;&lt;D xsi:type="xsd:double"&gt;16.7739438563327&lt;/D&gt;&lt;D xsi:type="xsd:double"&gt;15.6646012653244&lt;/D&gt;&lt;D xsi:type="xsd:double"&gt;15.4544358304208&lt;/D&gt;&lt;D xsi:type="xsd:double"&gt;16.7596316392863&lt;/D&gt;&lt;D xsi:type="xsd:double"&gt;16.3163836588258&lt;/D&gt;&lt;D xsi:type="xsd:double"&gt;17.4287427966833&lt;/D&gt;&lt;D xsi:type="xsd:double"&gt;17.3205236610997&lt;/D&gt;&lt;D xsi:type="xsd:double"&gt;16.3645322185771&lt;/D&gt;&lt;D xsi:type="xsd:double"&gt;17.495853576938&lt;/D&gt;&lt;D xsi:type="xsd:double"&gt;17.2214308842303&lt;/D&gt;&lt;D xsi:type="xsd:double"&gt;16.6682321101236&lt;/D&gt;&lt;D xsi:type="xsd:double"&gt;16.6274645193074&lt;/D&gt;&lt;D xsi:type="xsd:double"&gt;16.2027918837834&lt;/D&gt;&lt;D xsi:type="xsd:double"&gt;16.5169557755448&lt;/D&gt;&lt;D xsi:type="xsd:double"&gt;15.8665496222117&lt;/D&gt;&lt;D xsi:type="xsd:double"&gt;16.0999191003485&lt;/D&gt;&lt;D xsi:type="xsd:double"&gt;16.7662432648294&lt;/D&gt;&lt;D xsi:type="xsd:double"&gt;16.8321242776176&lt;/D&gt;&lt;D xsi:type="xsd:double"&gt;17.3797773319926&lt;/D&gt;&lt;D xsi:type="xsd:double"&gt;17.6581957218456&lt;/D&gt;&lt;D xsi:type="xsd:double"&gt;16.7753237056305&lt;/D&gt;&lt;D xsi:type="xsd:double"&gt;17.4190578711884&lt;/D&gt;&lt;D xsi:type="xsd:double"&gt;17.3347660447637&lt;/D&gt;&lt;D xsi:type="xsd:double"&gt;17.4711413673906&lt;/D&gt;&lt;D xsi:type="xsd:double"&gt;17.2956825455633&lt;/D&gt;&lt;D xsi:type="xsd:double"&gt;17.0578582704789&lt;/D&gt;&lt;D xsi:type="xsd:double"&gt;17.3089225155881&lt;/D&gt;&lt;/FQL&gt;&lt;FQL&gt;&lt;Q&gt;EWG^FMA_PE(LTMA,-10AY,0,AM,"PORTAGG","MEANR")&lt;/Q&gt;&lt;R&gt;121&lt;/R&gt;&lt;C&gt;1&lt;/C&gt;&lt;D xsi:type="xsd:double"&gt;13.3133070801076&lt;/D&gt;&lt;D xsi:type="xsd:double"&gt;13.8680020639399&lt;/D&gt;&lt;D xsi:type="xsd:double"&gt;14.3274752016473&lt;/D&gt;&lt;D xsi:type="xsd:double"&gt;14.8055038851887&lt;/D&gt;&lt;D xsi:type="xsd:double"&gt;15.8423132580922&lt;/D&gt;&lt;D xsi:type="xsd:double"&gt;16.5473614564742&lt;/D&gt;&lt;D xsi:type="xsd:double"&gt;16.3747459124872&lt;/D&gt;&lt;D xsi:type="xsd:double"&gt;16.1087832820778&lt;/D&gt;&lt;D xsi:type="xsd:double"&gt;15.5763272857302&lt;/D&gt;&lt;D xsi:type="xsd:double"&gt;15.7472214466477&lt;/D&gt;&lt;D xsi:type="xsd:double"&gt;14.956244257343&lt;/D&gt;&lt;D xsi:type="xsd:double"&gt;13.9542066140966&lt;/D&gt;&lt;D xsi:type="xsd:double"&gt;13.9467038416892&lt;/D&gt;&lt;D xsi:type="xsd:double"&gt;14.6122966100539&lt;/D&gt;&lt;D xsi:type="xsd:double"&gt;13.9837175566688&lt;/D&gt;&lt;D xsi:type="xsd:double"&gt;12.434742956048&lt;/D&gt;&lt;D xsi:type="xsd:double"&gt;12.567689872712&lt;/D&gt;&lt;D xsi:type="xsd:double"&gt;12.7545748693998&lt;/D&gt;&lt;D xsi:type="xsd:double"&gt;12.8685244955177&lt;/D&gt;&lt;D xsi:type="xsd:double"&gt;12.7863591338572&lt;/D&gt;&lt;D xsi:type="xsd:double"&gt;12.5866842655909&lt;/D&gt;&lt;D xsi:type="xsd:double"&gt;12.9253578752688&lt;/D&gt;&lt;D xsi:type="xsd:double"&gt;13.3878520722999&lt;/D&gt;&lt;D xsi:type="xsd:double"&gt;13.3211554879037&lt;/D&gt;&lt;D xsi:type="xsd:double"&gt;13.7562155141064&lt;/D&gt;&lt;D xsi:type="xsd:double"&gt;13.6579019858082&lt;/D&gt;&lt;D xsi:type="xsd:double"&gt;14.6056325425582&lt;/D&gt;&lt;D xsi:type="xsd:double"&gt;14.884557675974&lt;/D&gt;&lt;D xsi:type="xsd:double"&gt;14.6594529214376&lt;/D&gt;&lt;D xsi:type="xsd:double"&gt;14.973715831195&lt;/D&gt;&lt;D xsi:type="xsd:double"&gt;14.821316955789&lt;/D&gt;&lt;D xsi:type="xsd:double"&gt;14.7963761191792&lt;/D&gt;&lt;D xsi:type="xsd:double"&gt;14.7663496423781&lt;/D&gt;&lt;D xsi:type="xsd:double"&gt;14.5080249377468&lt;/D&gt;&lt;D xsi:type="xsd:double"&gt;14.2001079247127&lt;/D&gt;&lt;D xsi:type="xsd:double"&gt;14.3941402941889&lt;/D&gt;&lt;D xsi:type="xsd:double"&gt;14.855786893467&lt;/D&gt;&lt;D xsi:type="xsd:double"&gt;15.1453090005387&lt;/D&gt;&lt;D xsi:type="xsd:double"&gt;15.6932122745511&lt;/D&gt;&lt;D xsi:type="xsd:double"&gt;15.6167403998867&lt;/D&gt;&lt;D xsi:type="xsd:double"&gt;14.5329369343567&lt;/D&gt;&lt;D xsi:type="xsd:double"&gt;14.2028946496887&lt;/D&gt;&lt;D xsi:type="xsd:double"&gt;14.1798430341659&lt;/D&gt;&lt;D xsi:type="xsd:double"&gt;14.2225371908143&lt;/D&gt;&lt;D xsi:type="xsd:double"&gt;14.1483895297955&lt;/D&gt;&lt;D xsi:type="xsd:double"&gt;14.1544143569915&lt;/D&gt;&lt;D xsi:type="xsd:double"&gt;13.8665895518683&lt;/D&gt;&lt;D xsi:type="xsd:double"&gt;13.8608589509326&lt;/D&gt;&lt;D xsi:type="xsd:double"&gt;13.3297546101246&lt;/D&gt;&lt;D xsi:type="xsd:double"&gt;12.9794593873438&lt;/D&gt;&lt;D xsi:type="xsd:double"&gt;12.3118236845051&lt;/D&gt;&lt;D xsi:type="xsd:double"&gt;12.8123103489956&lt;/D&gt;&lt;D xsi:type="xsd:double"&gt;13.0500552139688&lt;/D&gt;&lt;D xsi:type="xsd:double"&gt;13.2248956997988&lt;/D&gt;&lt;D xsi:type="xsd:double"&gt;13.3621427418646&lt;/D&gt;&lt;D xsi:type="xsd:double"&gt;13.3042134624328&lt;/D&gt;&lt;D xsi:type="xsd:double"&gt;13.3120369989129&lt;/D&gt;&lt;D xsi:type="xsd:double"&gt;13.4554467928473&lt;/D&gt;&lt;D xsi:type="xsd:double"&gt;13.2410566979382&lt;/D&gt;&lt;D xsi:type="xsd:double"&gt;14.018352951129&lt;/D&gt;&lt;D xsi:type="xsd:double"&gt;14.4062145851497&lt;/D&gt;&lt;D xsi:type="xsd:double"&gt;15.0988201552567&lt;/D&gt;&lt;D xsi:type="xsd:double"&gt;15.4211954136116&lt;/D&gt;&lt;D xsi:type="xsd:double"&gt;15.8273695274935&lt;/D&gt;&lt;D xsi:type="xsd:double"&gt;16.1486247424439&lt;/D&gt;&lt;D xsi:type="xsd:double"&gt;13.2211588586225&lt;/D&gt;&lt;D xsi:type="xsd:double"&gt;14.4485993421041&lt;/D&gt;&lt;D xsi:type="xsd:double"&gt;15.5824533552123&lt;/D&gt;&lt;D xsi:type="xsd:double"&gt;17.3428629406065&lt;/D&gt;&lt;D xsi:type="xsd:double"&gt;18.8263641239288&lt;/D&gt;&lt;D xsi:type="xsd:double"&gt;19.6015106733223&lt;/D&gt;&lt;D xsi:type="xsd:double"&gt;20.5102551425297&lt;/D&gt;&lt;D xsi:type="xsd:double"&gt;20.6238676330243&lt;/D&gt;&lt;D xsi:type="xsd:double"&gt;20.8807451857842&lt;/D&gt;&lt;D xsi:type="xsd:double"&gt;21.6725532749046&lt;/D&gt;&lt;D xsi:type="xsd:double"&gt;21.8645449558947&lt;/D&gt;&lt;D xsi:type="xsd:double"&gt;21.103599339727&lt;/D&gt;&lt;D xsi:type="xsd:double"&gt;20.2033672760209&lt;/D&gt;&lt;D xsi:type="xsd:double"&gt;19.9074888286869&lt;/D&gt;&lt;D xsi:type="xsd:double"&gt;18.9898022192253&lt;/D&gt;&lt;D xsi:type="xsd:double"&gt;18.5298533283605&lt;/D&gt;&lt;D xsi:type="xsd:double"&gt;17.9624111563696&lt;/D&gt;&lt;D xsi:type="xsd:double"&gt;17.2281616641601&lt;/D&gt;&lt;D xsi:type="xsd:double"&gt;16.3896357364526&lt;/D&gt;&lt;D xsi:type="xsd:double"&gt;15.8886880495474&lt;/D&gt;&lt;D xsi:type="xsd:double"&gt;15.2910472400501&lt;/D&gt;&lt;D xsi:type="xsd:double"&gt;14.1632117300609&lt;/D&gt;&lt;D xsi:type="xsd:double"&gt;13.9706290642723&lt;/D&gt;&lt;D xsi:type="xsd:double"&gt;13.2241300498967&lt;/D&gt;&lt;D xsi:type="xsd:double"&gt;12.4841453627943&lt;/D&gt;&lt;D xsi:type="xsd:double"&gt;12.3338210714297&lt;/D&gt;&lt;D xsi:type="xsd:double"&gt;12.0523663321002&lt;/D&gt;&lt;D xsi:type="xsd:double"&gt;11.6165419685536&lt;/D&gt;&lt;D xsi:type="xsd:double"&gt;11.3197144262411&lt;/D&gt;&lt;D xsi:type="xsd:double"&gt;11.2142836119835&lt;/D&gt;&lt;D xsi:type="xsd:double"&gt;10.6291626838286&lt;/D&gt;&lt;D xsi:type="xsd:double"&gt;10.3154368324739&lt;/D&gt;&lt;D xsi:type="xsd:double"&gt;11.1554388294655&lt;/D&gt;&lt;D xsi:type="xsd:double"&gt;10.44949602345&lt;/D&gt;&lt;D xsi:type="xsd:double"&gt;11.4731347965632&lt;/D&gt;&lt;D xsi:type="xsd:double"&gt;11.6298046011716&lt;/D&gt;&lt;D xsi:type="xsd:double"&gt;11.2444887599476&lt;/D&gt;&lt;D xsi:type="xsd:double"&gt;11.4404021546338&lt;/D&gt;&lt;D xsi:type="xsd:double"&gt;11.3561656283206&lt;/D&gt;&lt;D xsi:type="xsd:double"&gt;11.3559360329898&lt;/D&gt;&lt;D xsi:type="xsd:double"&gt;11.2943113373798&lt;/D&gt;&lt;D xsi:type="xsd:double"&gt;11.0964326134096&lt;/D&gt;&lt;D xsi:type="xsd:double"&gt;11.2082511899218&lt;/D&gt;&lt;D xsi:type="xsd:double"&gt;10.8525905853509&lt;/D&gt;&lt;D xsi:type="xsd:double"&gt;11.3990878145322&lt;/D&gt;&lt;D xsi:type="xsd:double"&gt;11.8735039512071&lt;/D&gt;&lt;D xsi:type="xsd:double"&gt;11.7453578869871&lt;/D&gt;&lt;D xsi:type="xsd:double"&gt;12.1864174910534&lt;/D&gt;&lt;D xsi:type="xsd:double"&gt;12.5246561510718&lt;/D&gt;&lt;D xsi:type="xsd:double"&gt;12.4836498464248&lt;/D&gt;&lt;D xsi:type="xsd:double"&gt;12.5758465431534&lt;/D&gt;&lt;D xsi:type="xsd:double"&gt;12.4014150500942&lt;/D&gt;&lt;D xsi:type="xsd:double"&gt;12.5584108423358&lt;/D&gt;&lt;D xsi:type="xsd:double"&gt;12.5636614883757&lt;/D&gt;&lt;D xsi:type="xsd:double"&gt;13.0369319150981&lt;/D&gt;&lt;D xsi:type="xsd:double"&gt;13.7713918104847&lt;/D&gt;&lt;/FQL&gt;&lt;FQL&gt;&lt;Q&gt;WL-FDS^FG_PRICE_CHANGE(0,-6AM)&lt;/Q&gt;&lt;R&gt;1&lt;/R&gt;&lt;C&gt;1&lt;/C&gt;&lt;D xsi:type="xsd:double"&gt;-0.404288978730871&lt;/D&gt;&lt;/FQL&gt;&lt;FQL&gt;&lt;Q&gt;NI-FDS^FG_PRICE_CHANGE(0,-6AM)&lt;/Q&gt;&lt;R&gt;1&lt;/R&gt;&lt;C&gt;1&lt;/C&gt;&lt;D xsi:type="xsd:double"&gt;-7.85282811641955&lt;/D&gt;&lt;/FQL&gt;&lt;FQL&gt;&lt;Q&gt;CPALM-FDS^FG_PRICE_CHANGE(0,-6AM)&lt;/Q&gt;&lt;R&gt;1&lt;/R&gt;&lt;C&gt;1&lt;/C&gt;&lt;D xsi:type="xsd:double"&gt;4.67878787878788&lt;/D&gt;&lt;/FQL&gt;&lt;FQL&gt;&lt;Q&gt;BRENT-FDS^FG_PRICE_CHANGE(0,-6AM)&lt;/Q&gt;&lt;R&gt;1&lt;/R&gt;&lt;C&gt;1&lt;/C&gt;&lt;D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xsi:type="xsd:double"&gt;-2.39925891616489&lt;/D&gt;&lt;/FQL&gt;&lt;FQL&gt;&lt;Q&gt;EWQ^FG_COMPANY_NAME&lt;/Q&gt;&lt;R&gt;1&lt;/R&gt;&lt;C&gt;1&lt;/C&gt;&lt;D xsi:type="xsd:string"&gt;iShares MSCI France ETF&lt;/D&gt;&lt;/FQL&gt;&lt;FQL&gt;&lt;Q&gt;VWO^P_PRICE(0)/P_PRICE_LOW_PR(0,,,,,,"PRICE","INTRA","52W")-1&lt;/Q&gt;&lt;R&gt;1&lt;/R&gt;&lt;C&gt;1&lt;/C&gt;&lt;D xsi:type="xsd:double"&gt;0.276999&lt;/D&gt;&lt;/FQL&gt;&lt;FQL&gt;&lt;Q&gt;VGK^FMA_PCT_ABOVE_MAVG(200,0,,,,"PORTAGG")&lt;/Q&gt;&lt;R&gt;1&lt;/R&gt;&lt;C&gt;1&lt;/C&gt;&lt;D xsi:type="xsd:double"&gt;60.0317208564631&lt;/D&gt;&lt;/FQL&gt;&lt;FQL&gt;&lt;Q&gt;EWL^FG_TOTAL_RETURNC(0,-12AM)&lt;/Q&gt;&lt;R&gt;1&lt;/R&gt;&lt;C&gt;1&lt;/C&gt;&lt;D xsi:type="xsd:double"&gt;21.878422&lt;/D&gt;&lt;/FQL&gt;&lt;FQL&gt;&lt;Q&gt;EWJ^PERCENT_CHANGE(FMA_EPS(+1,0,,,,"PORTAGG","MEAN"),FMA_EPS(+1,-1AM,,,,"PORTAGG","MEAN"))&lt;/Q&gt;&lt;R&gt;1&lt;/R&gt;&lt;C&gt;1&lt;/C&gt;&lt;D xsi:type="xsd:double"&gt;-4.05134009801606&lt;/D&gt;&lt;/FQL&gt;&lt;FQL&gt;&lt;Q&gt;EWC^FG_TOTAL_RETURNC(0,-1AM)&lt;/Q&gt;&lt;R&gt;1&lt;/R&gt;&lt;C&gt;1&lt;/C&gt;&lt;D xsi:type="xsd:double"&gt;3.8281083&lt;/D&gt;&lt;/FQL&gt;&lt;FQL&gt;&lt;Q&gt;ENZL^FG_TOTAL_RETURNC(0,-6AM)&lt;/Q&gt;&lt;R&gt;1&lt;/R&gt;&lt;C&gt;1&lt;/C&gt;&lt;D xsi:type="xsd:double"&gt;12.697899&lt;/D&gt;&lt;/FQL&gt;&lt;FQL&gt;&lt;Q&gt;EWN^FMA_COS_UP("EPS","1M",+1,0,,,"PORTAGG","MEANR")&lt;/Q&gt;&lt;R&gt;1&lt;/R&gt;&lt;C&gt;1&lt;/C&gt;&lt;D xsi:type="xsd:double"&gt;14&lt;/D&gt;&lt;/FQL&gt;&lt;FQL&gt;&lt;Q&gt;SPY^FMA_RBICS_REV_CURRENT(30, LOC, "PORTAGG")&lt;/Q&gt;&lt;R&gt;1&lt;/R&gt;&lt;C&gt;1&lt;/C&gt;&lt;D xsi:type="xsd:double"&gt;12.4668204376818&lt;/D&gt;&lt;/FQL&gt;&lt;FQL&gt;&lt;Q&gt;TRYNZ10Y-FDS^PCTCHG(FG_YIELD(0,,,,"YTM"),FG_YIELD(-1AM,,,,"YTM"))&lt;/Q&gt;&lt;R&gt;1&lt;/R&gt;&lt;C&gt;1&lt;/C&gt;&lt;D xsi:type="xsd:double"&gt;7.368938&lt;/D&gt;&lt;/FQL&gt;&lt;FQL&gt;&lt;Q&gt;CC_FR^IMF_IFS_RCPI_Q(0)&lt;/Q&gt;&lt;R&gt;0&lt;/R&gt;&lt;C&gt;0&lt;/C&gt;&lt;/FQL&gt;&lt;FQL&gt;&lt;Q&gt;VWO^JULIAN(FMA_DIV_YLD(NTMA,NOW,NOW,M,"PORTAGG","MEANR").DATES)&lt;/Q&gt;&lt;R&gt;1&lt;/R&gt;&lt;C&gt;1&lt;/C&gt;&lt;D xsi:type="xsd:long"&gt;45534&lt;/D&gt;&lt;/FQL&gt;&lt;FQL&gt;&lt;Q&gt;EWD^FMA_EVAL_EBITDA(NTMA,0,,,"PORTAGG","MEANR")&lt;/Q&gt;&lt;R&gt;1&lt;/R&gt;&lt;C&gt;1&lt;/C&gt;&lt;D xsi:type="xsd:double"&gt;11.0831536370101&lt;/D&gt;&lt;/FQL&gt;&lt;FQL&gt;&lt;Q&gt;EWQ^FMA_DIV_YLD(NTMA,NOW,NOW,M,"PORTAGG","MEANR")&lt;/Q&gt;&lt;R&gt;1&lt;/R&gt;&lt;C&gt;1&lt;/C&gt;&lt;D xsi:type="xsd:double"&gt;3.33360249425087&lt;/D&gt;&lt;/FQL&gt;&lt;FQL&gt;&lt;Q&gt;EWJ^FMA_EVAL_EBIT(LTMA,NOW,NOW,M,"PORTAGG","MEANR")&lt;/Q&gt;&lt;R&gt;1&lt;/R&gt;&lt;C&gt;1&lt;/C&gt;&lt;D xsi:type="xsd:double"&gt;16.8118824423403&lt;/D&gt;&lt;/FQL&gt;&lt;FQL&gt;&lt;Q&gt;TLT^P_PRICE(0)/P_PRICE_HIGH_PR(0,,,USD,,,"PRICE","INTRA","52W")&lt;/Q&gt;&lt;R&gt;1&lt;/R&gt;&lt;C&gt;1&lt;/C&gt;&lt;D xsi:type="xsd:double"&gt;0.92355376&lt;/D&gt;&lt;/FQL&gt;&lt;FQL&gt;&lt;Q&gt;UUP^P_PRICE(0)/P_PRICE_HIGH_PR(0,,,USD,,,"PRICE","INTRA","52W")&lt;/Q&gt;&lt;R&gt;1&lt;/R&gt;&lt;C&gt;1&lt;/C&gt;&lt;D xsi:type="xsd:double"&gt;0.9623736&lt;/D&gt;&lt;/FQL&gt;&lt;FQL&gt;&lt;Q&gt;QQQ^FMA_ROE(NTMA,-20AY,NOW,FY,"PORTAGG","MEANR")&lt;/Q&gt;&lt;R&gt;20&lt;/R&gt;&lt;C&gt;1&lt;/C&gt;&lt;D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xsi:type="xsd:double"&gt;25.0117290637019&lt;/D&gt;&lt;D xsi:type="xsd:double"&gt;24.5344428355254&lt;/D&gt;&lt;D xsi:type="xsd:double"&gt;26.6372020899856&lt;/D&gt;&lt;D xsi:type="xsd:double"&gt;24.0483215664206&lt;/D&gt;&lt;D xsi:type="xsd:double"&gt;25.30628712435&lt;/D&gt;&lt;/FQL&gt;&lt;FQL&gt;&lt;Q&gt;TRYMY10Y-FDS^FG_YIELD(-10AY,0,Y,,"YTM")&lt;/Q&gt;&lt;R&gt;10&lt;/R&gt;&lt;C&gt;1&lt;/C&gt;&lt;D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xsi:type="xsd:double"&gt;3.955&lt;/D&gt;&lt;/FQL&gt;&lt;FQL&gt;&lt;Q&gt;USDSEK^STD(FG_PRICE_CHANGE(0,-3AY,M))&lt;/Q&gt;&lt;R&gt;1&lt;/R&gt;&lt;C&gt;1&lt;/C&gt;&lt;D xsi:type="xsd:double"&gt;3.09688558121638&lt;/D&gt;&lt;/FQL&gt;&lt;FQL&gt;&lt;Q&gt;USDCHF^STD(FG_PRICE_CHANGE(0,-3AY,M))&lt;/Q&gt;&lt;R&gt;1&lt;/R&gt;&lt;C&gt;1&lt;/C&gt;&lt;D xsi:type="xsd:double"&gt;2.45675419118825&lt;/D&gt;&lt;/FQL&gt;&lt;FQL&gt;&lt;Q&gt;USDUSD^STD(FG_PRICE_CHANGE(0,-3AY,M))&lt;/Q&gt;&lt;R&gt;1&lt;/R&gt;&lt;C&gt;1&lt;/C&gt;&lt;D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xsi:type="xsd:double"&gt;2.17172756290048&lt;/D&gt;&lt;/FQL&gt;&lt;FQL&gt;&lt;Q&gt;USDAUD^STD(FG_PRICE_CHANGE(0,-3AY,M))&lt;/Q&gt;&lt;R&gt;1&lt;/R&gt;&lt;C&gt;1&lt;/C&gt;&lt;D xsi:type="xsd:double"&gt;3.161718116431&lt;/D&gt;&lt;/FQL&gt;&lt;FQL&gt;&lt;Q&gt;EWI^FMA_EPS(NTMA,-20AY,0,CY,,"PORTAGG","MEANR")&lt;/Q&gt;&lt;R&gt;20&lt;/R&gt;&lt;C&gt;1&lt;/C&gt;&lt;D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xsi:type="xsd:double"&gt;3.81180271683843&lt;/D&gt;&lt;/FQL&gt;&lt;FQL&gt;&lt;Q&gt;EWN^P_PRICE_RETURNS_PR('52W',2,-10AY,0,AM)&lt;/Q&gt;&lt;R&gt;121&lt;/R&gt;&lt;C&gt;1&lt;/C&gt;&lt;D xsi:type="xsd:double"&gt;-5.97865&lt;/D&gt;&lt;D xsi:type="xsd:double"&gt;-0.6388724&lt;/D&gt;&lt;D xsi:type="xsd:double"&gt;0.17645359&lt;/D&gt;&lt;D xsi:type="xsd:double"&gt;-7.3286295&lt;/D&gt;&lt;D xsi:type="xsd:double"&gt;-1.1152208&lt;/D&gt;&lt;D xsi:type="xsd:double"&gt;3.667736&lt;/D&gt;&lt;D xsi:type="xsd:double"&gt;2.7065396&lt;/D&gt;&lt;D xsi:type="xsd:double"&gt;8.497047&lt;/D&gt;&lt;D xsi:type="xsd:double"&gt;2.6127815&lt;/D&gt;&lt;D xsi:type="xsd:double"&gt;10.036289&lt;/D&gt;&lt;D xsi:type="xsd:double"&gt;8.340001&lt;/D&gt;&lt;D xsi:type="xsd:double"&gt;-2.3271441&lt;/D&gt;&lt;D xsi:type="xsd:double"&gt;14.191604&lt;/D&gt;&lt;D xsi:type="xsd:double"&gt;3.401804&lt;/D&gt;&lt;D xsi:type="xsd:double"&gt;-1.437825&lt;/D&gt;&lt;D xsi:type="xsd:double"&gt;-3.3403575&lt;/D&gt;&lt;D xsi:type="xsd:double"&gt;-8.253652&lt;/D&gt;&lt;D xsi:type="xsd:double"&gt;-3.1541765&lt;/D&gt;&lt;D xsi:type="xsd:double"&gt;-1.0959327&lt;/D&gt;&lt;D xsi:type="xsd:double"&gt;-9.213406&lt;/D&gt;&lt;D xsi:type="xsd:double"&gt;-8.535862&lt;/D&gt;&lt;D xsi:type="xsd:double"&gt;-9.254206&lt;/D&gt;&lt;D xsi:type="xsd:double"&gt;-1.5373588&lt;/D&gt;&lt;D xsi:type="xsd:double"&gt;0.98258257&lt;/D&gt;&lt;D xsi:type="xsd:double"&gt;0.55185556&lt;/D&gt;&lt;D xsi:type="xsd:double"&gt;-3.449744&lt;/D&gt;&lt;D xsi:type="xsd:double"&gt;0.9749651&lt;/D&gt;&lt;D xsi:type="xsd:double"&gt;14.803219&lt;/D&gt;&lt;D xsi:type="xsd:double"&gt;16.661894&lt;/D&gt;&lt;D xsi:type="xsd:double"&gt;12.363982&lt;/D&gt;&lt;D xsi:type="xsd:double"&gt;10.522413&lt;/D&gt;&lt;D xsi:type="xsd:double"&gt;23.884285&lt;/D&gt;&lt;D xsi:type="xsd:double"&gt;28.891636&lt;/D&gt;&lt;D xsi:type="xsd:double"&gt;29.773129&lt;/D&gt;&lt;D xsi:type="xsd:double"&gt;25.603794&lt;/D&gt;&lt;D xsi:type="xsd:double"&gt;33.26821&lt;/D&gt;&lt;D xsi:type="xsd:double"&gt;33.40238&lt;/D&gt;&lt;D xsi:type="xsd:double"&gt;35.230614&lt;/D&gt;&lt;D xsi:type="xsd:double"&gt;36.5646&lt;/D&gt;&lt;D xsi:type="xsd:double"&gt;38.368584&lt;/D&gt;&lt;D xsi:type="xsd:double"&gt;29.565834&lt;/D&gt;&lt;D xsi:type="xsd:double"&gt;22.749638&lt;/D&gt;&lt;D xsi:type="xsd:double"&gt;25.43106&lt;/D&gt;&lt;D xsi:type="xsd:double"&gt;12.0769615&lt;/D&gt;&lt;D xsi:type="xsd:double"&gt;9.952486&lt;/D&gt;&lt;D xsi:type="xsd:double"&gt;8.302021&lt;/D&gt;&lt;D xsi:type="xsd:double"&gt;1.798296&lt;/D&gt;&lt;D xsi:type="xsd:double"&gt;-1.1846304&lt;/D&gt;&lt;D xsi:type="xsd:double"&gt;-9.367907&lt;/D&gt;&lt;D xsi:type="xsd:double"&gt;-6.7040563&lt;/D&gt;&lt;D xsi:type="xsd:double"&gt;-13.736052&lt;/D&gt;&lt;D xsi:type="xsd:double"&gt;-16.070097&lt;/D&gt;&lt;D xsi:type="xsd:double"&gt;-7.1129265&lt;/D&gt;&lt;D xsi:type="xsd:double"&gt;-4.4398427&lt;/D&gt;&lt;D xsi:type="xsd:double"&gt;-3.262037&lt;/D&gt;&lt;D xsi:type="xsd:double"&gt;-2.4794817&lt;/D&gt;&lt;D xsi:type="xsd:double"&gt;-0.19162893&lt;/D&gt;&lt;D xsi:type="xsd:double"&gt;2.0421386&lt;/D&gt;&lt;D xsi:type="xsd:double"&gt;1.6623616&lt;/D&gt;&lt;D xsi:type="xsd:double"&gt;7.432139&lt;/D&gt;&lt;D xsi:type="xsd:double"&gt;16.788435&lt;/D&gt;&lt;D xsi:type="xsd:double"&gt;18.289555&lt;/D&gt;&lt;D xsi:type="xsd:double"&gt;28.228485&lt;/D&gt;&lt;D xsi:type="xsd:double"&gt;29.560577&lt;/D&gt;&lt;D xsi:type="xsd:double"&gt;19.684649&lt;/D&gt;&lt;D xsi:type="xsd:double"&gt;-23.890465&lt;/D&gt;&lt;D xsi:type="xsd:double"&gt;-8.611637&lt;/D&gt;&lt;D xsi:type="xsd:double"&gt;-2.1006048&lt;/D&gt;&lt;D xsi:type="xsd:double"&gt;8.264959&lt;/D&gt;&lt;D xsi:type="xsd:double"&gt;11.530745&lt;/D&gt;&lt;D xsi:type="xsd:double"&gt;19.932854&lt;/D&gt;&lt;D xsi:type="xsd:double"&gt;12.241173&lt;/D&gt;&lt;D xsi:type="xsd:double"&gt;15.6577</t>
        </r>
      </text>
    </comment>
    <comment ref="A6" authorId="0" shapeId="0" xr:uid="{E990980C-EE23-4CD2-B35D-8B9A8506057F}">
      <text>
        <r>
          <rPr>
            <b/>
            <sz val="9"/>
            <color indexed="81"/>
            <rFont val="Tahoma"/>
            <charset val="1"/>
          </rPr>
          <t>22&lt;/D&gt;&lt;D xsi:type="xsd:double"&gt;17.552364&lt;/D&gt;&lt;D xsi:type="xsd:double"&gt;24.32072&lt;/D&gt;&lt;D xsi:type="xsd:double"&gt;27.292538&lt;/D&gt;&lt;D xsi:type="xsd:double"&gt;34.346306&lt;/D&gt;&lt;D xsi:type="xsd:double"&gt;100.37401&lt;/D&gt;&lt;D xsi:type="xsd:double"&gt;80.35062&lt;/D&gt;&lt;D xsi:type="xsd:double"&gt;67.5332&lt;/D&gt;&lt;D xsi:type="xsd:double"&gt;48.681713&lt;/D&gt;&lt;D xsi:type="xsd:double"&gt;41.246235&lt;/D&gt;&lt;D xsi:type="xsd:double"&gt;43.83445&lt;/D&gt;&lt;D xsi:type="xsd:double"&gt;50.076057&lt;/D&gt;&lt;D xsi:type="xsd:double"&gt;41.959274&lt;/D&gt;&lt;D xsi:type="xsd:double"&gt;39.89309&lt;/D&gt;&lt;D xsi:type="xsd:double"&gt;16.732048&lt;/D&gt;&lt;D xsi:type="xsd:double"&gt;13.743389&lt;/D&gt;&lt;D xsi:type="xsd:double"&gt;-0.11744499&lt;/D&gt;&lt;D xsi:type="xsd:double"&gt;-2.5025785&lt;/D&gt;&lt;D xsi:type="xsd:double"&gt;-16.007137&lt;/D&gt;&lt;D xsi:type="xsd:double"&gt;-23.013454&lt;/D&gt;&lt;D xsi:type="xsd:double"&gt;-28.855001&lt;/D&gt;&lt;D xsi:type="xsd:double"&gt;-26.274246&lt;/D&gt;&lt;D xsi:type="xsd:double"&gt;-24.740881&lt;/D&gt;&lt;D xsi:type="xsd:double"&gt;-36.393833&lt;/D&gt;&lt;D xsi:type="xsd:double"&gt;-37.692802&lt;/D&gt;&lt;D xsi:type="xsd:double"&gt;-27.320307&lt;/D&gt;&lt;D xsi:type="xsd:double"&gt;-20.539124&lt;/D&gt;&lt;D xsi:type="xsd:double"&gt;-11.968172&lt;/D&gt;&lt;D xsi:type="xsd:double"&gt;-4.926634&lt;/D&gt;&lt;D xsi:type="xsd:double"&gt;-4.4253054&lt;/D&gt;&lt;D xsi:type="xsd:double"&gt;7.191777&lt;/D&gt;&lt;D xsi:type="xsd:double"&gt;18.429111&lt;/D&gt;&lt;D xsi:type="xsd:double"&gt;29.884398&lt;/D&gt;&lt;D xsi:type="xsd:double"&gt;32.71264&lt;/D&gt;&lt;D xsi:type="xsd:double"&gt;11.428272&lt;/D&gt;&lt;D xsi:type="xsd:double"&gt;18.640541&lt;/D&gt;&lt;D xsi:type="xsd:double"&gt;20.063663&lt;/D&gt;&lt;D xsi:type="xsd:double"&gt;13.017821&lt;/D&gt;&lt;D xsi:type="xsd:double"&gt;19.215858&lt;/D&gt;&lt;D xsi:type="xsd:double"&gt;6.660211&lt;/D&gt;&lt;D xsi:type="xsd:double"&gt;13.934767&lt;/D&gt;&lt;D xsi:type="xsd:double"&gt;23.936499&lt;/D&gt;&lt;D xsi:type="xsd:double"&gt;13.334346&lt;/D&gt;&lt;D xsi:type="xsd:double"&gt;23.927652&lt;/D&gt;&lt;D xsi:type="xsd:double"&gt;21.455526&lt;/D&gt;&lt;D xsi:type="xsd:double"&gt;12.92218&lt;/D&gt;&lt;D xsi:type="xsd:double"&gt;21.24213&lt;/D&gt;&lt;D xsi:type="xsd:double"&gt;27.905296&lt;/D&gt;&lt;D xsi:type="xsd:double"&gt;33.67957&lt;/D&gt;&lt;/FQL&gt;&lt;FQL&gt;&lt;Q&gt;SPY^FG_TOTAL_RETURNC(-10AY,0,AM)&lt;/Q&gt;&lt;R&gt;121&lt;/R&gt;&lt;C&gt;1&lt;/C&gt;&lt;D xsi:type="xsd:double"&gt;-6.177807&lt;/D&gt;&lt;D xsi:type="xsd:double"&gt;9.062457&lt;/D&gt;&lt;D xsi:type="xsd:double"&gt;0.5983949&lt;/D&gt;&lt;D xsi:type="xsd:double"&gt;-1.9547045&lt;/D&gt;&lt;D xsi:type="xsd:double"&gt;4.215646&lt;/D&gt;&lt;D xsi:type="xsd:double"&gt;0.15704632&lt;/D&gt;&lt;D xsi:type="xsd:double"&gt;-0.7555306&lt;/D&gt;&lt;D xsi:type="xsd:double"&gt;2.476561&lt;/D&gt;&lt;D xsi:type="xsd:double"&gt;-0.15016794&lt;/D&gt;&lt;D xsi:type="xsd:double"&gt;0.34694672&lt;/D&gt;&lt;D xsi:type="xsd:double"&gt;-1.1765838&lt;/D&gt;&lt;D xsi:type="xsd:double"&gt;-6.4275503&lt;/D&gt;&lt;D xsi:type="xsd:double"&gt;4.0010214&lt;/D&gt;&lt;D xsi:type="xsd:double"&gt;2.6860833&lt;/D&gt;&lt;D xsi:type="xsd:double"&gt;-3.5920322&lt;/D&gt;&lt;D xsi:type="xsd:double"&gt;-6.1047673&lt;/D&gt;&lt;D xsi:type="xsd:double"&gt;2.2789001&lt;/D&gt;&lt;D xsi:type="xsd:double"&gt;6.9444537&lt;/D&gt;&lt;D xsi:type="xsd:double"&gt;2.377534&lt;/D&gt;&lt;D xsi:type="xsd:double"&gt;-2.0690143&lt;/D&gt;&lt;D xsi:type="xsd:double"&gt;1.3120055&lt;/D&gt;&lt;D xsi:type="xsd:double"&gt;4.788494&lt;/D&gt;&lt;D xsi:type="xsd:double"&gt;1.1324883&lt;/D&gt;&lt;D xsi:type="xsd:double"&gt;-2.014047&lt;/D&gt;&lt;D xsi:type="xsd:double"&gt;0.15935898&lt;/D&gt;&lt;D xsi:type="xsd:double"&gt;2.2413492&lt;/D&gt;&lt;D xsi:type="xsd:double"&gt;3.6013365&lt;/D&gt;&lt;D xsi:type="xsd:double"&gt;0.75986385&lt;/D&gt;&lt;D xsi:type="xsd:double"&gt;3.6780596&lt;/D&gt;&lt;D xsi:type="xsd:double"&gt;1.2646675&lt;/D&gt;&lt;D xsi:type="xsd:double"&gt;-1.3331652&lt;/D&gt;&lt;D xsi:type="xsd:double"&gt;1.240015&lt;/D&gt;&lt;D xsi:type="xsd:double"&gt;2.9788852&lt;/D&gt;&lt;D xsi:type="xsd:double"&gt;1.2446404&lt;/D&gt;&lt;D xsi:type="xsd:double"&gt;-1.2008429&lt;/D&gt;&lt;D xsi:type="xsd:double"&gt;3.3979654&lt;/D&gt;&lt;D xsi:type="xsd:double"&gt;2.402687&lt;/D&gt;&lt;D xsi:type="xsd:double"&gt;0.8368492&lt;/D&gt;&lt;D xsi:type="xsd:double"&gt;4.537308&lt;/D&gt;&lt;D xsi:type="xsd:double"&gt;4.079044&lt;/D&gt;&lt;D xsi:type="xsd:double"&gt;-2.1602154&lt;/D&gt;&lt;D xsi:type="xsd:double"&gt;0.80070496&lt;/D&gt;&lt;D xsi:type="xsd:double"&gt;-1.3894975&lt;/D&gt;&lt;D xsi:type="xsd:double"&gt;0.34763813&lt;/D&gt;&lt;D xsi:type="xsd:double"&gt;2.385664&lt;/D&gt;&lt;D xsi:type="xsd:double"&gt;1.6271353&lt;/D&gt;&lt;D xsi:type="xsd:double"&gt;1.4231801&lt;/D&gt;&lt;D xsi:type="xsd:double"&gt;2.0521998&lt;/D&gt;&lt;D xsi:type="xsd:double"&gt;-4.5574307&lt;/D&gt;&lt;D xsi:type="xsd:double"&gt;-0.9659827&lt;/D&gt;&lt;D xsi:type="xsd:double"&gt;-6.8132877&lt;/D&gt;&lt;D xsi:type="xsd:double"&gt;5.084312&lt;/D&gt;&lt;D xsi:type="xsd:double"&gt;4.094422&lt;/D&gt;&lt;D xsi:type="xsd:double"&gt;2.2344112&lt;/D&gt;&lt;D xsi:type="xsd:double"&gt;2.7237654&lt;/D&gt;&lt;D xsi:type="xsd:double"&gt;-1.4412761&lt;/D&gt;&lt;D xsi:type="xsd:double"&gt;2.2949934&lt;/D&gt;&lt;D xsi:type="xsd:double"&gt;2.696693&lt;/D&gt;&lt;D xsi:type="xsd:double"&gt;-3.339684&lt;/D&gt;&lt;D xsi:type="xsd:double"&gt;4.240954&lt;/D&gt;&lt;D xsi:type="xsd:double"&gt;-0.5804777&lt;/D&gt;&lt;D xsi:type="xsd:double"&gt;4.71524&lt;/D&gt;&lt;D xsi:type="xsd:double"&gt;2.4261236&lt;/D&gt;&lt;D xsi:type="xsd:double"&gt;4.375899&lt;/D&gt;&lt;D xsi:type="xsd:double"&gt;1.4399767&lt;/D&gt;&lt;D xsi:type="xsd:double"&gt;-28.72628&lt;/D&gt;&lt;D xsi:type="xsd:double"&gt;20.167042&lt;/D&gt;&lt;D xsi:type="xsd:double"&gt;2.9165506&lt;/D&gt;&lt;D xsi:type="xsd:double"&gt;5.688131&lt;/D&gt;&lt;D xsi:type="xsd:double"&gt;3.6449194&lt;/D&gt;&lt;D xsi:type="xsd:double"&gt;5.2592397&lt;/D&gt;&lt;D xsi:type="xsd:double"&gt;-1.963973&lt;/D&gt;&lt;D xsi:type="xsd:double"&gt;5.0325155&lt;/D&gt;&lt;D xsi:type="xsd:double"&gt;2.5886059&lt;/D&gt;&lt;D xsi:type="xsd:double"&gt;4.064214&lt;/D&gt;&lt;D xsi:type="xsd:double"&gt;1.7660856&lt;/D&gt;&lt;D xsi:type="xsd:double"&gt;3.9978623&lt;/D&gt;&lt;D xsi:type="xsd:double"&gt;0.1945138&lt;/D&gt;&lt;D xsi:type="xsd:double"&gt;6.9349527&lt;/D&gt;&lt;D xsi:type="xsd:double"&gt;-1.2749851&lt;/D&gt;&lt;D xsi:type="xsd:double"&gt;1.0574102&lt;/D&gt;&lt;D xsi:type="xsd:double"&gt;3.9573908&lt;/D&gt;&lt;D xsi:type="xsd:double"&gt;1.817596&lt;/D&gt;&lt;D xsi:type="xsd:double"&gt;0.83066225&lt;/D&gt;&lt;D xsi:type="xsd:double"&gt;1.3117433&lt;/D&gt;&lt;D xsi:type="xsd:double"&gt;5.0403595&lt;/D&gt;&lt;D xsi:type="xsd:double"&gt;-1.7507017&lt;/D&gt;&lt;D xsi:type="xsd:double"&gt;-0.73499084&lt;/D&gt;&lt;D xsi:type="xsd:double"&gt;-4.876333&lt;/D&gt;&lt;D xsi:type="xsd:double"&gt;2.6842833&lt;/D&gt;&lt;D xsi:type="xsd:double"&gt;-1.4734983&lt;/D&gt;&lt;D xsi:type="xsd:double"&gt;-10.528124&lt;/D&gt;&lt;D xsi:type="xsd:double"&gt;-6.2326136&lt;/D&gt;&lt;D xsi:type="xsd:double"&gt;4.397869&lt;/D&gt;&lt;D xsi:type="xsd:double"&gt;12.027752&lt;/D&gt;&lt;D xsi:type="xsd:double"&gt;-9.519649&lt;/D&gt;&lt;D xsi:type="xsd:double"&gt;-3.7426054&lt;/D&gt;&lt;D xsi:type="xsd:double"&gt;6.709242&lt;/D&gt;&lt;D xsi:type="xsd:double"&gt;-2.7721703&lt;/D&gt;&lt;D xsi:type="xsd:double"&gt;2.1447062&lt;/D&gt;&lt;D xsi:type="xsd:double"&gt;4.028201&lt;/D&gt;&lt;D xsi:type="xsd:double"&gt;-3.8706958&lt;/D&gt;&lt;D xsi:type="xsd:double"&gt;6.2104106&lt;/D&gt;&lt;D xsi:type="xsd:double"&gt;1.2119532&lt;/D&gt;&lt;D xsi:type="xsd:double"&gt;5.2163124&lt;/D&gt;&lt;D xsi:type="xsd:double"&gt;3.3518434&lt;/D&gt;&lt;D xsi:type="xsd:double"&gt;-3.8948476&lt;/D&gt;&lt;D xsi:type="xsd:double"&gt;1.9963503&lt;/D&gt;&lt;D xsi:type="xsd:double"&gt;-3.025049&lt;/D&gt;&lt;D xsi:type="xsd:double"&gt;4.783714&lt;/D&gt;&lt;D xsi:type="xsd:double"&gt;5.123639&lt;/D&gt;&lt;D xsi:type="xsd:double"&gt;0.95767975&lt;/D&gt;&lt;D xsi:type="xsd:double"&gt;4.831171&lt;/D&gt;&lt;D xsi:type="xsd:double"&gt;2.9938102&lt;/D&gt;&lt;D xsi:type="xsd:double"&gt;-2.601099&lt;/D&gt;&lt;D xsi:type="xsd:double"&gt;5.991757&lt;/D&gt;&lt;D xsi:type="xsd:double"&gt;3.5961747&lt;/D&gt;&lt;D xsi:type="xsd:double"&gt;1.0857701&lt;/D&gt;&lt;D xsi:type="xsd:double"&gt;0.29855967&lt;/D&gt;&lt;D xsi:type="xsd:double"&gt;1.279068&lt;/D&gt;&lt;D xsi:type="xsd:double"&gt;4.4505954&lt;/D&gt;&lt;/FQL&gt;&lt;FQL&gt;&lt;Q&gt;EWU^FMA_DIV_YLD(NTMA,-10AY,0,AM,"PORTAGG","MEANR")&lt;/Q&gt;&lt;R&gt;121&lt;/R&gt;&lt;C&gt;1&lt;/C&gt;&lt;D xsi:type="xsd:double"&gt;4.26193567242097&lt;/D&gt;&lt;D xsi:type="xsd:double"&gt;4.03557012702647&lt;/D&gt;&lt;D xsi:type="xsd:double"&gt;4.19085047379103&lt;/D&gt;&lt;D xsi:type="xsd:double"&gt;4.18156400273836&lt;/D&gt;&lt;D xsi:type="xsd:double"&gt;3.95102975231395&lt;/D&gt;&lt;D xsi:type="xsd:double"&gt;3.96108646061519&lt;/D&gt;&lt;D xsi:type="xsd:double"&gt;3.91161015513181&lt;/D&gt;&lt;D xsi:type="xsd:double"&gt;3.87814626370242&lt;/D&gt;&lt;D xsi:type="xsd:double"&gt;4.04268934715745&lt;/D&gt;&lt;D xsi:type="xsd:double"&gt;4.0630025934882&lt;/D&gt;&lt;D xsi:type="xsd:double"&gt;4.16909694767623&lt;/D&gt;&lt;D xsi:type="xsd:double"&gt;4.47555504630834&lt;/D&gt;&lt;D xsi:type="xsd:double"&gt;4.23594083779223&lt;/D&gt;&lt;D xsi:type="xsd:double"&gt;4.26510763919327&lt;/D&gt;&lt;D xsi:type="xsd:double"&gt;4.42822526048652&lt;/D&gt;&lt;D xsi:type="xsd:double"&gt;4.64280909726162&lt;/D&gt;&lt;D xsi:type="xsd:double"&gt;4.58508902454713&lt;/D&gt;&lt;D xsi:type="xsd:double"&gt;4.32588781983853&lt;/D&gt;&lt;D xsi:type="xsd:double"&gt;4.23696459969919&lt;/D&gt;&lt;D xsi:type="xsd:double"&gt;4.33347016560145&lt;/D&gt;&lt;D xsi:type="xsd:double"&gt;4.45903070632523&lt;/D&gt;&lt;D xsi:type="xsd:double"&gt;4.13233840695445&lt;/D&gt;&lt;D xsi:type="xsd:double"&gt;4.06404423146575&lt;/D&gt;&lt;D xsi:type="xsd:double"&gt;4.23036913893178&lt;/D&gt;&lt;D xsi:type="xsd:double"&gt;4.2629385153749&lt;/D&gt;&lt;D xsi:type="xsd:double"&gt;4.4472982744486&lt;/D&gt;&lt;D xsi:type="xsd:double"&gt;4.33122110045207&lt;/D&gt;&lt;D xsi:type="xsd:double"&gt;4.26341448919816&lt;/D&gt;&lt;D xsi:type="xsd:double"&gt;4.25662329518705&lt;/D&gt;&lt;D xsi:type="xsd:double"&gt;4.28516865662913&lt;/D&gt;&lt;D xsi:type="xsd:double"&gt;4.42515049196186&lt;/D&gt;&lt;D xsi:type="xsd:double"&gt;4.25061814088564&lt;/D&gt;&lt;D xsi:type="xsd:double"&gt;4.28056827801387&lt;/D&gt;&lt;D xsi:type="xsd:double"&gt;4.29745908717115&lt;/D&gt;&lt;D xsi:type="xsd:double"&gt;4.38942884212895&lt;/D&gt;&lt;D xsi:type="xsd:double"&gt;4.35154331254714&lt;/D&gt;&lt;D xsi:type="xsd:double"&gt;4.26817368488196&lt;/D&gt;&lt;D xsi:type="xsd:double"&gt;4.39059439903521&lt;/D&gt;&lt;D xsi:type="xsd:double"&gt;4.2855083461834&lt;/D&gt;&lt;D xsi:type="xsd:double"&gt;4.1824043665724&lt;/D&gt;&lt;D xsi:type="xsd:double"&gt;4.38697091576425&lt;/D&gt;&lt;D xsi:type="xsd:double"&gt;4.50795766771815&lt;/D&gt;&lt;D xsi:type="xsd:double"&gt;4.39452797446348&lt;/D&gt;&lt;D xsi:type="xsd:double"&gt;4.24892891335673&lt;/D&gt;&lt;D xsi:type="xsd:double"&gt;4.39098696544452&lt;/D&gt;&lt;D xsi:type="xsd:double"&gt;4.41646454454032&lt;/D&gt;&lt;D xsi:type="xsd:double"&gt;4.52744387050127&lt;/D&gt;&lt;D xsi:type="xsd:double"&gt;4.62479921225299&lt;/D&gt;&lt;D xsi:type="xsd:double"&gt;4.84337983689624&lt;/D&gt;&lt;D xsi:type="xsd:double"&gt;4.92840173717671&lt;/D&gt;&lt;D xsi:type="xsd:double"&gt;5.23428391027443&lt;/D&gt;&lt;D xsi:type="xsd:double"&gt;5.11487313328544&lt;/D&gt;&lt;D xsi:type="xsd:double"&gt;4.94298950696693&lt;/D&gt;&lt;D xsi:type="xsd:double"&gt;4.8577437808465&lt;/D&gt;&lt;D xsi:type="xsd:double"&gt;4.82207689741669&lt;/D&gt;&lt;D xsi:type="xsd:double"&gt;4.93330965937235&lt;/D&gt;&lt;D xsi:type="xsd:double"&gt;4.79352982239918&lt;/D&gt;&lt;D xsi:type="xsd:double"&gt;4.82496468181135&lt;/D&gt;&lt;D xsi:type="xsd:double"&gt;5.15456576607602&lt;/D&gt;&lt;D xsi:type="xsd:double"&gt;4.93645949101755&lt;/D&gt;&lt;D xsi:type="xsd:double"&gt;4.92963639526168&lt;/D&gt;&lt;D xsi:type="xsd:double"&gt;4.80430847188617&lt;/D&gt;&lt;D xsi:type="xsd:double"&gt;4.60000576750535&lt;/D&gt;&lt;D xsi:type="xsd:double"&gt;4.52720271875484&lt;/D&gt;&lt;D xsi:type="xsd:double"&gt;4.71010367245149&lt;/D&gt;&lt;D xsi:type="xsd:double"&gt;7.12975739807078&lt;/D&gt;&lt;D xsi:type="xsd:double"&gt;5.69080854749442&lt;/D&gt;&lt;D xsi:type="xsd:double"&gt;4.39529560963588&lt;/D&gt;&lt;D xsi:type="xsd:double"&gt;4.1028477350035&lt;/D&gt;&lt;D xsi:type="xsd:double"&gt;3.97888273908273&lt;/D&gt;&lt;D xsi:type="xsd:double"&gt;3.97854722173245&lt;/D&gt;&lt;D xsi:type="xsd:double"&gt;4.10262270817905&lt;/D&gt;&lt;D xsi:type="xsd:double"&gt;4.29571697090984&lt;/D&gt;&lt;D xsi:type="xsd:double"&gt;3.98902437860997&lt;/D&gt;&lt;D xsi:type="xsd:double"&gt;3.90525271910059&lt;/D&gt;&lt;D xsi:type="xsd:double"&gt;3.89256189541549&lt;/D&gt;&lt;D xsi:type="xsd:double"&gt;4.00594703666761&lt;/D&gt;&lt;D xsi:type="xsd:double"&gt;3.95388720241965&lt;/D&gt;&lt;D xsi:type="xsd:double"&gt;3.92854016714642&lt;/D&gt;&lt;D xsi:type="xsd:double"&gt;3.89707137184758&lt;/D&gt;&lt;D xsi:type="xsd:double"&gt;3.97802111481681&lt;/D&gt;&lt;D xsi:type="xsd:double"&gt;4.083600014877&lt;/D&gt;&lt;D xsi:type="xsd:double"&gt;4.16075245358305&lt;/D&gt;&lt;D xsi:type="xsd:double"&gt;4.28599650830811&lt;/D&gt;&lt;D xsi:type="xsd:double"&gt;4.06348867909723&lt;/D&gt;&lt;D xsi:type="xsd:double"&gt;4.0513452960385&lt;/D&gt;&lt;D xsi:type="xsd:double"&gt;4.0181180114556&lt;/D&gt;&lt;D xsi:type="xsd:double"&gt;3.83677243380237&lt;/D&gt;&lt;D xsi:type="xsd:double"&gt;3.83985343866348&lt;/D&gt;&lt;D xsi:type="xsd:double"&gt;3.9907296703925&lt;/D&gt;&lt;D xsi:type="xsd:double"&gt;3.94189466453504&lt;/D&gt;&lt;D xsi:type="xsd:double"&gt;4.12936894924461&lt;/D&gt;&lt;D xsi:type="xsd:double"&gt;4.43037374176312&lt;/D&gt;&lt;D xsi:type="xsd:double"&gt;4.30303668669364&lt;/D&gt;&lt;D xsi:type="xsd:double"&gt;4.18294627271641&lt;/D&gt;&lt;D xsi:type="xsd:double"&gt;4.49716574814704&lt;/D&gt;&lt;D xsi:type="xsd:double"&gt;4.62667150848332&lt;/D&gt;&lt;D xsi:type="xsd:double"&gt;4.29074678877507&lt;/D&gt;&lt;D xsi:type="xsd:double"&gt;4.34311824262294&lt;/D&gt;&lt;D xsi:type="xsd:double"&gt;4.03550223901626&lt;/D&gt;&lt;D xsi:type="xsd:double"&gt;4.05805289520881&lt;/D&gt;&lt;D xsi:type="xsd:double"&gt;4.44076377238357&lt;/D&gt;&lt;D xsi:type="xsd:double"&gt;4.13301979431345&lt;/D&gt;&lt;D xsi:type="xsd:double"&gt;4.29867410128507&lt;/D&gt;&lt;D xsi:type="xsd:double"&gt;4.30905147846693&lt;/D&gt;&lt;D xsi:type="xsd:double"&gt;4.37216118529881&lt;/D&gt;&lt;D xsi:type="xsd:double"&gt;4.5816743651943&lt;/D&gt;&lt;D xsi:type="xsd:double"&gt;4.38983802552929&lt;/D&gt;&lt;D xsi:type="xsd:double"&gt;4.4787615184391&lt;/D&gt;&lt;D xsi:type="xsd:double"&gt;4.49314112261213&lt;/D&gt;&lt;D xsi:type="xsd:double"&gt;4.34243284509264&lt;/D&gt;&lt;D xsi:type="xsd:double"&gt;4.45211786131066&lt;/D&gt;&lt;D xsi:type="xsd:double"&gt;4.22668573976728&lt;/D&gt;&lt;D xsi:type="xsd:double"&gt;4.13660335067567&lt;/D&gt;&lt;D xsi:type="xsd:double"&gt;4.07677908163533&lt;/D&gt;&lt;D xsi:type="xsd:double"&gt;3.8110272225609&lt;/D&gt;&lt;D xsi:type="xsd:double"&gt;3.95466660771176&lt;/D&gt;&lt;D xsi:type="xsd:double"&gt;3.90377535822845&lt;/D&gt;&lt;D xsi:type="xsd:double"&gt;3.87414201651275&lt;/D&gt;&lt;D xsi:type="xsd:double"&gt;3.89656349460749&lt;/D&gt;&lt;D xsi:type="xsd:double"&gt;3.90230592916666&lt;/D&gt;&lt;/FQL&gt;&lt;FQL&gt;&lt;Q&gt;WL-FDS^FG_PRICE_CHANGE(0,-3AM)&lt;/Q&gt;&lt;R&gt;1&lt;/R&gt;&lt;C&gt;1&lt;/C&gt;&lt;D xsi:type="xsd:double"&gt;3.8680109990834&lt;/D&gt;&lt;/FQL&gt;&lt;FQL&gt;&lt;Q&gt;EWU^FMA_ROE(NTMA,-20AY,NOW,FY,"PORTAGG","MEANR")&lt;/Q&gt;&lt;R&gt;20&lt;/R&gt;&lt;C&gt;1&lt;/C&gt;&lt;D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xsi:type="xsd:double"&gt;12.870966472555&lt;/D&gt;&lt;D xsi:type="xsd:double"&gt;11.2077122027496&lt;/D&gt;&lt;D xsi:type="xsd:double"&gt;13.9227366843934&lt;/D&gt;&lt;D xsi:type="xsd:double"&gt;15.8583479057593&lt;/D&gt;&lt;D xsi:type="xsd:double"&gt;14.7202942014685&lt;/D&gt;&lt;/FQL&gt;&lt;FQL&gt;&lt;Q&gt;TRYMX10Y-FDS^FG_YIELD(-10AY,0,Y,,"YTM")&lt;/Q&gt;&lt;R&gt;10&lt;/R&gt;&lt;C&gt;1&lt;/C&gt;&lt;D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xsi:type="xsd:double"&gt;6.6087&lt;/D&gt;&lt;/FQL&gt;&lt;FQL&gt;&lt;Q&gt;CAGDPY@GB^EE_ACTUAL_ANNUAL(MED,+1)&lt;/Q&gt;&lt;R&gt;1&lt;/R&gt;&lt;C&gt;1&lt;/C&gt;&lt;D xsi:type="xsd:double"&gt;-3&lt;/D&gt;&lt;/FQL&gt;&lt;FQL&gt;&lt;Q&gt;CC_GB^FG_COMPANY_NAME&lt;/Q&gt;&lt;R&gt;1&lt;/R&gt;&lt;C&gt;1&lt;/C&gt;&lt;D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xsi:type="xsd:double"&gt;2.77863424292404&lt;/D&gt;&lt;/FQL&gt;&lt;FQL&gt;&lt;Q&gt;USDUSD^STD(FG_PRICE_CHANGE(0,-1AY,AM))&lt;/Q&gt;&lt;R&gt;1&lt;/R&gt;&lt;C&gt;1&lt;/C&gt;&lt;D xsi:type="xsd:double"&gt;0&lt;/D&gt;&lt;/FQL&gt;&lt;FQL&gt;&lt;Q&gt;USDCHF^STD(FG_PRICE_CHANGE(0,-1AY,AM))&lt;/Q&gt;&lt;R&gt;1&lt;/R&gt;&lt;C&gt;1&lt;/C&gt;&lt;D xsi:type="xsd:double"&gt;1.76509846963417&lt;/D&gt;&lt;/FQL&gt;&lt;FQL&gt;&lt;Q&gt;USDEUR^STD(FG_PRICE_CHANGE(0,-1AY,AM))&lt;/Q&gt;&lt;R&gt;1&lt;/R&gt;&lt;C&gt;1&lt;/C&gt;&lt;D xsi:type="xsd:double"&gt;1.69260538047474&lt;/D&gt;&lt;/FQL&gt;&lt;FQL&gt;&lt;Q&gt;USDAUD^STD(FG_PRICE_CHANGE(0,-1AY,AM))&lt;/Q&gt;&lt;R&gt;1&lt;/R&gt;&lt;C&gt;1&lt;/C&gt;&lt;D xsi:type="xsd:double"&gt;1.98131805496393&lt;/D&gt;&lt;/FQL&gt;&lt;FQL&gt;&lt;Q&gt;QQQ^FG_TOTAL_RETURNC(-10AY,0,AM)&lt;/Q&gt;&lt;R&gt;121&lt;/R&gt;&lt;C&gt;1&lt;/C&gt;&lt;D xsi:type="xsd:double"&gt;-7.0390882&lt;/D&gt;&lt;D xsi:type="xsd:double"&gt;11.483871&lt;/D&gt;&lt;D xsi:type="xsd:double"&gt;0.5497694&lt;/D&gt;&lt;D xsi:type="xsd:double"&gt;-2.931571&lt;/D&gt;&lt;D xsi:type="xsd:double"&gt;6.288433&lt;/D&gt;&lt;D xsi:type="xsd:double"&gt;0.7092118&lt;/D&gt;&lt;D xsi:type="xsd:double"&gt;-1.54531&lt;/D&gt;&lt;D xsi:type="xsd:double"&gt;3.8203955&lt;/D&gt;&lt;D xsi:type="xsd:double"&gt;0.57241917&lt;/D&gt;&lt;D xsi:type="xsd:double"&gt;2.8572679&lt;/D&gt;&lt;D xsi:type="xsd:double"&gt;-2.4033785&lt;/D&gt;&lt;D xsi:type="xsd:double"&gt;-4.7356844&lt;/D&gt;&lt;D xsi:type="xsd:double"&gt;2.6293397&lt;/D&gt;&lt;D xsi:type="xsd:double"&gt;5.096185&lt;/D&gt;&lt;D xsi:type="xsd:double"&gt;-3.0429184&lt;/D&gt;&lt;D xsi:type="xsd:double"&gt;-8.185381&lt;/D&gt;&lt;D xsi:type="xsd:double"&gt;0.4859209&lt;/D&gt;&lt;D xsi:type="xsd:double"&gt;6.2743545&lt;/D&gt;&lt;D xsi:type="xsd:double"&gt;3.5950422&lt;/D&gt;&lt;D xsi:type="xsd:double"&gt;-4.827839&lt;/D&gt;&lt;D xsi:type="xsd:double"&gt;0.86591244&lt;/D&gt;&lt;D xsi:type="xsd:double"&gt;5.6812882&lt;/D&gt;&lt;D xsi:type="xsd:double"&gt;4.220724&lt;/D&gt;&lt;D xsi:type="xsd:double"&gt;0.25055408&lt;/D&gt;&lt;D xsi:type="xsd:double"&gt;0.4859805&lt;/D&gt;&lt;D xsi:type="xsd:double"&gt;-0.45816898&lt;/D&gt;&lt;D xsi:type="xsd:double"&gt;2.2459388&lt;/D&gt;&lt;D xsi:type="xsd:double"&gt;2.876258&lt;/D&gt;&lt;D xsi:type="xsd:double"&gt;5.5022717&lt;/D&gt;&lt;D xsi:type="xsd:double"&gt;1.6594648&lt;/D&gt;&lt;D xsi:type="xsd:double"&gt;-0.3113389&lt;/D&gt;&lt;D xsi:type="xsd:double"&gt;4.555142&lt;/D&gt;&lt;D xsi:type="xsd:double"&gt;0.9240985&lt;/D&gt;&lt;D xsi:type="xsd:double"&gt;3.6120176&lt;/D&gt;&lt;D xsi:type="xsd:double"&gt;-1.3343632&lt;/D&gt;&lt;D xsi:type="xsd:double"&gt;3.2849908&lt;/D&gt;&lt;D xsi:type="xsd:double"&gt;2.2741318&lt;/D&gt;&lt;D xsi:type="xsd:double"&gt;3.4193158&lt;/D&gt;&lt;D xsi:type="xsd:double"&gt;3.2604098&lt;/D&gt;&lt;D xsi:type="xsd:double"&gt;4.5259714&lt;/D&gt;&lt;D xsi:type="xsd:double"&gt;-0.5186379&lt;/D&gt;&lt;D xsi:type="xsd:double"&gt;3.673613&lt;/D&gt;&lt;D xsi:type="xsd:double"&gt;-2.516979&lt;/D&gt;&lt;D xsi:type="xsd:double"&gt;0.6128311&lt;/D&gt;&lt;D xsi:type="xsd:double"&gt;5.6242466&lt;/D&gt;&lt;D xsi:type="xsd:double"&gt;1.9433379&lt;/D&gt;&lt;D xsi:type="xsd:double"&gt;-0.03889799&lt;/D&gt;&lt;D xsi:type="xsd:double"&gt;1.6568422&lt;/D&gt;&lt;D xsi:type="xsd:double"&gt;-5.1134586&lt;/D&gt;&lt;D xsi:type="xsd:double"&gt;-3.279823&lt;/D&gt;&lt;D xsi:type="xsd:double"&gt;-5.4208994&lt;/D&gt;&lt;D xsi:type="xsd:double"&gt;4.617071&lt;/D&gt;&lt;D xsi:type="xsd:double"&gt;4.048407&lt;/D&gt;&lt;D xsi:type="xsd:double"&gt;3.9747715&lt;/D&gt;&lt;D xsi:type="xsd:double"&gt;5.009806&lt;/D&gt;&lt;D xsi:type="xsd:double"&gt;-2.3213625&lt;/D&gt;&lt;D xsi:type="xsd:double"&gt;1.8411279&lt;/D&gt;&lt;D xsi:type="xsd:double"&gt;3.4520507&lt;/D&gt;&lt;D xsi:type="xsd:double"&gt;-3.606695&lt;/D&gt;&lt;D xsi:type="xsd:double"&gt;3.7955642&lt;/D&gt;&lt;D xsi:type="xsd:double"&gt;-0.23034811&lt;/D&gt;&lt;D xsi:type="xsd:double"&gt;5.9366703&lt;/D&gt;&lt;D xsi:type="xsd:double"&gt;3.191018&lt;/D&gt;&lt;D xsi:type="xsd:double"&gt;6.8301797&lt;/D&gt;&lt;D xsi:type="xsd:double"&gt;5.081022&lt;/D&gt;&lt;D xsi:type="xsd:double"&gt;-24.764622&lt;/D&gt;&lt;D xsi:type="xsd:double"&gt;22.167646&lt;/D&gt;&lt;D xsi:type="xsd:double"&gt;5.6389093&lt;/D&gt;&lt;D xsi:type="xsd:double"&gt;7.408881&lt;/D&gt;&lt;D xsi:type="xsd:double"&gt;6.380415&lt;/D&gt;&lt;D xsi:type="xsd:double"&gt;7.1505666&lt;/D&gt;&lt;D xsi:type="xsd:double"&gt;-3.993237&lt;/D&gt;&lt;D xsi:type="xsd:double"&gt;8.265722&lt;/D&gt;&lt;D xsi:type="xsd:double"&gt;0.5545616&lt;/D&gt;&lt;D xsi:type="xsd:double"&gt;6.876707&lt;/D&gt;&lt;D xsi:type="xsd:double"&gt;0.7632971&lt;/D&gt;&lt;D xsi:type="xsd:double"&gt;6.6087365&lt;/D&gt;&lt;D xsi:type="xsd:double"&gt;-6.144911&lt;/D&gt;&lt;D xsi:type="xsd:double"&gt;9.740305&lt;/D&gt;&lt;D xsi:type="xsd:double"&gt;-5.786383&lt;/D&gt;&lt;D xsi:type="xsd:double"&gt;6.3341856&lt;/D&gt;&lt;D xsi:type="xsd:double"&gt;4.48941&lt;/D&gt;&lt;D xsi:type="xsd:double"&gt;1.2891412&lt;/D&gt;&lt;D xsi:type="xsd:double"&gt;3.208077&lt;/D&gt;&lt;D xsi:type="xsd:double"&gt;-0.20282269&lt;/D&gt;&lt;D xsi:type="xsd:double"&gt;7.8089356&lt;/D&gt;&lt;D xsi:type="xsd:double"&gt;-4.191661&lt;/D&gt;&lt;D xsi:type="xsd:double"&gt;-3.6064804&lt;/D&gt;&lt;D xsi:type="xsd:double"&gt;-7.8369913&lt;/D&gt;&lt;D xsi:type="xsd:double"&gt;2.9223084&lt;/D&gt;&lt;D xsi:type="xsd:double"&gt;-3.522265&lt;/D&gt;&lt;D xsi:type="xsd:double"&gt;-14.039385&lt;/D&gt;&lt;D xsi:type="xsd:double"&gt;-5.6502047&lt;/D&gt;&lt;D xsi:type="xsd:double"&gt;5.5528045&lt;/D&gt;&lt;D xsi:type="xsd:double"&gt;13.780236&lt;/D&gt;&lt;D xsi:type="xsd:double"&gt;-12.135565&lt;/D&gt;&lt;D xsi:type="xsd:double"&gt;-5.999005&lt;/D&gt;&lt;D xsi:type="xsd:double"&gt;4.913807&lt;/D&gt;&lt;D xsi:type="xsd:double"&gt;-3.7111163&lt;/D&gt;&lt;D xsi:type="xsd:double"&gt;1.5698075&lt;/D&gt;&lt;D xsi:type="xsd:double"&gt;8.377719&lt;/D&gt;&lt;D xsi:type="xsd:double"&gt;1.3946056&lt;/D&gt;&lt;D xsi:type="xsd:double"&gt;4.5821667&lt;/D&gt;&lt;D xsi:type="xsd:double"&gt;5.7736993&lt;/D&gt;&lt;D xsi:type="xsd:double"&gt;9.090638&lt;/D&gt;&lt;D xsi:type="xsd:double"&gt;4.9845934&lt;/D&gt;&lt;D xsi:type="xsd:double"&gt;-7.1576653&lt;/D&gt;&lt;D xsi:type="xsd:double"&gt;3.6482692&lt;/D&gt;&lt;D xsi:type="xsd:double"&gt;-1.9667625&lt;/D&gt;&lt;D xsi:type="xsd:double"&gt;6.238818&lt;/D&gt;&lt;D xsi:type="xsd:double"&gt;5.6595683&lt;/D&gt;&lt;D xsi:type="xsd:double"&gt;1.5050173&lt;/D&gt;&lt;D xsi:type="xsd:double"&gt;4.256761&lt;/D&gt;&lt;D xsi:type="xsd:double"&gt;1.7380357&lt;/D&gt;&lt;D xsi:type="xsd:double"&gt;-3.2161474&lt;/D&gt;&lt;D xsi:type="xsd:double"&gt;6.69564&lt;/D&gt;&lt;D xsi:type="xsd:double"&gt;7.404375&lt;/D&gt;&lt;D xsi:type="xsd:double"&gt;-1.0201037&lt;/D&gt;&lt;D xsi:type="xsd:double"&gt;-0.9301543&lt;/D&gt;&lt;D xsi:type="xsd:double"&gt;-0.7557392&lt;/D&gt;&lt;D xsi:type="xsd:double"&gt;5.032003&lt;/D&gt;&lt;/FQL&gt;&lt;FQL&gt;&lt;Q&gt;EWL^FMA_DIV_YLD(NTMA,-10AY,0,AM,"PORTAGG","MEANR")&lt;/Q&gt;&lt;R&gt;121&lt;/R&gt;&lt;C&gt;1&lt;/C&gt;&lt;D xsi:type="xsd:double"&gt;3.54645452129457&lt;/D&gt;&lt;D xsi:type="xsd:double"&gt;3.25719147172654&lt;/D&gt;&lt;D xsi:type="xsd:double"&gt;3.28629028709389&lt;/D&gt;&lt;D xsi:type="xsd:double"&gt;3.5452035248247&lt;/D&gt;&lt;D xsi:type="xsd:double"&gt;3.23678233314757&lt;/D&gt;&lt;D xsi:type="xsd:double"&gt;3.12283106663936&lt;/D&gt;&lt;D xsi:type="xsd:double"&gt;3.07147860181488&lt;/D&gt;&lt;D xsi:type="xsd:double"&gt;3.08975605373956&lt;/D&gt;&lt;D xsi:type="xsd:double"&gt;3.22876970439316&lt;/D&gt;&lt;D xsi:type="xsd:double"&gt;3.1078588723757&lt;/D&gt;&lt;D xsi:type="xsd:double"&gt;3.13948453863329&lt;/D&gt;&lt;D xsi:type="xsd:double"&gt;3.34838821557798&lt;/D&gt;&lt;D xsi:type="xsd:double"&gt;3.33290528003426&lt;/D&gt;&lt;D xsi:type="xsd:double"&gt;3.24209646510552&lt;/D&gt;&lt;D xsi:type="xsd:double"&gt;3.34250773285587&lt;/D&gt;&lt;D xsi:type="xsd:double"&gt;3.55952169820058&lt;/D&gt;&lt;D xsi:type="xsd:double"&gt;3.52536211616592&lt;/D&gt;&lt;D xsi:type="xsd:double"&gt;3.51909946379534&lt;/D&gt;&lt;D xsi:type="xsd:double"&gt;3.46789405056409&lt;/D&gt;&lt;D xsi:type="xsd:double"&gt;3.54445566580022&lt;/D&gt;&lt;D xsi:type="xsd:double"&gt;3.6457634453746&lt;/D&gt;&lt;D xsi:type="xsd:double"&gt;3.50120242717039&lt;/D&gt;&lt;D xsi:type="xsd:double"&gt;3.44054388613625&lt;/D&gt;&lt;D xsi:type="xsd:double"&gt;3.51145934261591&lt;/D&gt;&lt;D xsi:type="xsd:double"&gt;3.55264314414984&lt;/D&gt;&lt;D xsi:type="xsd:double"&gt;3.63805827482229&lt;/D&gt;&lt;D xsi:type="xsd:double"&gt;3.57244797468013&lt;/D&gt;&lt;D xsi:type="xsd:double"&gt;3.50070965308228&lt;/D&gt;&lt;D xsi:type="xsd:double"&gt;3.37887043631587&lt;/D&gt;&lt;D xsi:type="xsd:double"&gt;3.323669932443&lt;/D&gt;&lt;D xsi:type="xsd:double"&gt;3.46438664289369&lt;/D&gt;&lt;D xsi:type="xsd:double"&gt;3.33151073296673&lt;/D&gt;&lt;D xsi:type="xsd:double"&gt;3.27060393818847&lt;/D&gt;&lt;D xsi:type="xsd:double"&gt;3.26621746699063&lt;/D&gt;&lt;D xsi:type="xsd:double"&gt;3.33854731677605&lt;/D&gt;&lt;D xsi:type="xsd:double"&gt;3.28118621975913&lt;/D&gt;&lt;D xsi:type="xsd:double"&gt;3.23773228237997&lt;/D&gt;&lt;D xsi:type="xsd:double"&gt;3.27458560052576&lt;/D&gt;&lt;D xsi:type="xsd:double"&gt;3.19530609284126&lt;/D&gt;&lt;D xsi:type="xsd:double"&gt;3.18152425609597&lt;/D&gt;&lt;D xsi:type="xsd:double"&gt;3.32727490180322&lt;/D&gt;&lt;D xsi:type="xsd:double"&gt;3.44272333089131&lt;/D&gt;&lt;D xsi:type="xsd:double"&gt;3.4239825596324&lt;/D&gt;&lt;D xsi:type="xsd:double"&gt;3.43705209392803&lt;/D&gt;&lt;D xsi:type="xsd:double"&gt;3.5972210675629&lt;/D&gt;&lt;D xsi:type="xsd:double"&gt;3.44786313898022&lt;/D&gt;&lt;D xsi:type="xsd:double"&gt;3.44436241737707&lt;/D&gt;&lt;D xsi:type="xsd:double"&gt;3.43006110629678&lt;/D&gt;&lt;D xsi:type="xsd:double"&gt;3.5851459567318&lt;/D&gt;&lt;D xsi:type="xsd:double"&gt;3.56578872563424&lt;/D&gt;&lt;D xsi:type="xsd:double"&gt;3.69058736012018&lt;/D&gt;&lt;D xsi:type="xsd:double"&gt;3.46354294014338&lt;/D&gt;&lt;D xsi:type="xsd:double"&gt;3.37669559867037&lt;/D&gt;&lt;D xsi:type="xsd:double"&gt;3.3116531475673&lt;/D&gt;&lt;D xsi:type="xsd:double"&gt;3.28800706694223&lt;/D&gt;&lt;D xsi:type="xsd:double"&gt;3.2914434844968&lt;/D&gt;&lt;D xsi:type="xsd:double"&gt;3.21003685849989&lt;/D&gt;&lt;D xsi:type="xsd:double"&gt;3.19870640978022&lt;/D&gt;&lt;D xsi:type="xsd:double"&gt;3.29323438479681&lt;/D&gt;&lt;D xsi:type="xsd:double"&gt;3.21831526598451&lt;/D&gt;&lt;D xsi:type="xsd:double"&gt;3.22751445493823&lt;/D&gt;&lt;D xsi:type="xsd:double"&gt;3.12120591475967&lt;/D&gt;&lt;D xsi:type="xsd:double"&gt;3.07009863648479&lt;/D&gt;&lt;D xsi:type="xsd:double"&gt;2.9842273900564&lt;/D&gt;&lt;D xsi:type="xsd:double"&gt;2.93216835831735&lt;/D&gt;&lt;D xsi:type="xsd:double"&gt;3.93093542649074&lt;/D&gt;&lt;D xsi:type="xsd:double"&gt;3.33388939220045&lt;/D&gt;&lt;D xsi:type="xsd:double"&gt;3.21577102108364&lt;/D&gt;&lt;D xsi:type="xsd:double"&gt;3.05901856713528&lt;/D&gt;&lt;D xsi:type="xsd:double"&gt;2.9938220006511&lt;/D&gt;&lt;D xsi:type="xsd:double"&gt;2.94914005292073&lt;/D&gt;&lt;D xsi:type="xsd:double"&gt;2.8787582461228&lt;/D&gt;&lt;D xsi:type="xsd:double"&gt;2.9640610033212&lt;/D&gt;&lt;D xsi:type="xsd:double"&gt;2.86715145213776&lt;/D&gt;&lt;D xsi:type="xsd:double"&gt;2.86796468733837&lt;/D&gt;&lt;D xsi:type="xsd:double"&gt;2.8036622943743&lt;/D&gt;&lt;D xsi:type="xsd:double"&gt;2.84539367358077&lt;/D&gt;&lt;D xsi:type="xsd:double"&gt;2.82070277581892&lt;/D&gt;&lt;D xsi:type="xsd:double"&gt;2.71758254894283&lt;/D&gt;&lt;D xsi:type="xsd:double"&gt;2.75339638691851&lt;/D&gt;&lt;D xsi:type="xsd:double"&gt;2.63491211338451&lt;/D&gt;&lt;D xsi:type="xsd:double"&gt;2.62195490085393&lt;/D&gt;&lt;D xsi:type="xsd:double"&gt;2.53677680783492&lt;/D&gt;&lt;D xsi:type="xsd:double"&gt;2.67484877095208&lt;/D&gt;&lt;D xsi:type="xsd:double"&gt;2.692769378087&lt;/D&gt;&lt;D xsi:type="xsd:double"&gt;2.5785957714341&lt;/D&gt;&lt;D xsi:type="xsd:double"&gt;2.56679183636541&lt;/D&gt;&lt;D xsi:type="xsd:double"&gt;2.63746842941633&lt;/D&gt;&lt;D xsi:type="xsd:double"&gt;2.79053229671724&lt;/D&gt;&lt;D xsi:type="xsd:double"&gt;2.77198717068382&lt;/D&gt;&lt;D xsi:type="xsd:double"&gt;2.752664311459&lt;/D&gt;&lt;D xsi:type="xsd:double"&gt;2.99036375158156&lt;/D&gt;&lt;D xsi:type="xsd:double"&gt;3.30026022203637&lt;/D&gt;&lt;D xsi:type="xsd:double"&gt;3.13674010254617&lt;/D&gt;&lt;D xsi:type="xsd:double"&gt;3.08401111235922&lt;/D&gt;&lt;D xsi:type="xsd:double"&gt;3.2865422619023&lt;/D&gt;&lt;D xsi:type="xsd:double"&gt;3.33141242200921&lt;/D&gt;&lt;D xsi:type="xsd:double"&gt;3.13582975070287&lt;/D&gt;&lt;D xsi:type="xsd:double"&gt;3.22598460770487&lt;/D&gt;&lt;D xsi:type="xsd:double"&gt;3.03228918937856&lt;/D&gt;&lt;D xsi:type="xsd:double"&gt;3.07750839379525&lt;/D&gt;&lt;D xsi:type="xsd:double"&gt;3.29865056090426&lt;/D&gt;&lt;D xsi:type="xsd:double"&gt;3.09175296003258&lt;/D&gt;&lt;D xsi:type="xsd:double"&gt;3.11834434164922&lt;/D&gt;&lt;D xsi:type="xsd:double"&gt;3.13594939452627&lt;/D&gt;&lt;D xsi:type="xsd:double"&gt;3.16836354380106&lt;/D&gt;&lt;D xsi:type="xsd:double"&gt;3.29864954331485&lt;/D&gt;&lt;D xsi:type="xsd:double"&gt;3.28555651344209&lt;/D&gt;&lt;D xsi:type="xsd:double"&gt;3.43402049963393&lt;/D&gt;&lt;D xsi:type="xsd:double"&gt;3.4102648121656&lt;/D&gt;&lt;D xsi:type="xsd:double"&gt;3.2955286416916&lt;/D&gt;&lt;D xsi:type="xsd:double"&gt;3.33233385032946&lt;/D&gt;&lt;D xsi:type="xsd:double"&gt;3.32765437048938&lt;/D&gt;&lt;D xsi:type="xsd:double"&gt;3.27099845662559&lt;/D&gt;&lt;D xsi:type="xsd:double"&gt;3.4050660572709&lt;/D&gt;&lt;D xsi:type="xsd:double"&gt;3.19304708210948&lt;/D&gt;&lt;D xsi:type="xsd:double"&gt;3.19600154078039&lt;/D&gt;&lt;D xsi:type="xsd:double"&gt;3.16840896867891&lt;/D&gt;&lt;D xsi:type="xsd:double"&gt;3.16196082541005&lt;/D&gt;&lt;D xsi:type="xsd:double"&gt;3.19871300798336&lt;/D&gt;&lt;D xsi:type="xsd:double"&gt;3.16045679206132&lt;/D&gt;&lt;/FQL&gt;&lt;FQL&gt;&lt;Q&gt;EWD^FMA_EPS(NTMA,-20AY,0,CY,,"PORTAGG","MEANR")&lt;/Q&gt;&lt;R&gt;20&lt;/R&gt;&lt;C&gt;1&lt;/C&gt;&lt;D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xsi:type="xsd:double"&gt;2.51009258677616&lt;/D&gt;&lt;/FQL&gt;&lt;FQL&gt;&lt;Q&gt;EWQ^P_PRICE_RETURNS_PR('52W',2,-10AY,0,AM)&lt;/Q&gt;&lt;R&gt;121&lt;/R&gt;&lt;C&gt;1&lt;/C&gt;&lt;D xsi:type="xsd:double"&gt;-9.189707&lt;/D&gt;&lt;D xsi:type="xsd:double"&gt;-4.894197&lt;/D&gt;&lt;D xsi:type="xsd:double"&gt;-5.0677595&lt;/D&gt;&lt;D xsi:type="xsd:double"&gt;-10.725755&lt;/D&gt;&lt;D xsi:type="xsd:double"&gt;-5.04486&lt;/D&gt;&lt;D xsi:type="xsd:double"&gt;-6.7549524&lt;/D&gt;&lt;D xsi:type="xsd:double"&gt;-7.022524&lt;/D&gt;&lt;D xsi:type="xsd:double"&gt;-4.3790936&lt;/D&gt;&lt;D xsi:type="xsd:double"&gt;-9.1613&lt;/D&gt;&lt;D xsi:type="xsd:double"&gt;-1.9997418&lt;/D&gt;&lt;D xsi:type="xsd:double"&gt;-0.3728509&lt;/D&gt;&lt;D xsi:type="xsd:double"&gt;-8.208251&lt;/D&gt;&lt;D xsi:type="xsd:double"&gt;10.109425&lt;/D&gt;&lt;D xsi:type="xsd:double"&gt;0.64741373&lt;/D&gt;&lt;D xsi:type="xsd:double"&gt;-2.8313994&lt;/D&gt;&lt;D xsi:type="xsd:double"&gt;-6.1715784&lt;/D&gt;&lt;D xsi:type="xsd:double"&gt;-11.665857&lt;/D&gt;&lt;D xsi:type="xsd:double"&gt;-4.758459&lt;/D&gt;&lt;D xsi:type="xsd:double"&gt;-5.5924177&lt;/D&gt;&lt;D xsi:type="xsd:double"&gt;-11.731839&lt;/D&gt;&lt;D xsi:type="xsd:double"&gt;-8.816057&lt;/D&gt;&lt;D xsi:type="xsd:double"&gt;-10.217237&lt;/D&gt;&lt;D xsi:type="xsd:double"&gt;-5.019486&lt;/D&gt;&lt;D xsi:type="xsd:double"&gt;-4.1632595&lt;/D&gt;&lt;D xsi:type="xsd:double"&gt;-4.3542624&lt;/D&gt;&lt;D xsi:type="xsd:double"&gt;-5.8722973&lt;/D&gt;&lt;D xsi:type="xsd:double"&gt;1.2059689&lt;/D&gt;&lt;D xsi:type="xsd:double"&gt;16.589428&lt;/D&gt;&lt;D xsi:type="xsd:double"&gt;12.379289&lt;/D&gt;&lt;D xsi:type="xsd:double"&gt;10.342598&lt;/D&gt;&lt;D xsi:type="xsd:double"&gt;8.413565&lt;/D&gt;&lt;D xsi:type="xsd:double"&gt;24.985481&lt;/D&gt;&lt;D xsi:type="xsd:double"&gt;29.555225&lt;/D&gt;&lt;D xsi:type="xsd:double"&gt;28.924538&lt;/D&gt;&lt;D xsi:type="xsd:double"&gt;23.470974&lt;/D&gt;&lt;D xsi:type="xsd:double"&gt;33.236862&lt;/D&gt;&lt;D xsi:type="xsd:double"&gt;32.774044&lt;/D&gt;&lt;D xsi:type="xsd:double"&gt;34.146477&lt;/D&gt;&lt;D xsi:type="xsd:double"&gt;31.306314&lt;/D&gt;&lt;D xsi:type="xsd:double"&gt;34.271442&lt;/D&gt;&lt;D xsi:type="xsd:double"&gt;29.562653&lt;/D&gt;&lt;D xsi:type="xsd:double"&gt;24.492&lt;/D&gt;&lt;D xsi:type="xsd:double"&gt;29.0205&lt;/D&gt;&lt;D xsi:type="xsd:double"&gt;15.136218&lt;/D&gt;&lt;D xsi:type="xsd:double"&gt;10.935211&lt;/D&gt;&lt;D xsi:type="xsd:double"&gt;9.374785&lt;/D&gt;&lt;D xsi:type="xsd:double"&gt;5.681145&lt;/D&gt;&lt;D xsi:type="xsd:double"&gt;3.7383318&lt;/D&gt;&lt;D xsi:type="xsd:double"&gt;-5.0604286&lt;/D&gt;&lt;D xsi:type="xsd:double"&gt;-5.600089&lt;/D&gt;&lt;D xsi:type="xsd:double"&gt;-12.496257&lt;/D&gt;&lt;D xsi:type="xsd:double"&gt;-15.058523&lt;/D&gt;&lt;D xsi:type="xsd:double"&gt;-8.435613&lt;/D&gt;&lt;D xsi:type="xsd:double"&gt;-3.103435&lt;/D&gt;&lt;D xsi:type="xsd:double"&gt;-3.9040685&lt;/D&gt;&lt;D xsi:type="xsd:double"&gt;-6.363696&lt;/D&gt;&lt;D xsi:type="xsd:double"&gt;-1.0557532&lt;/D&gt;&lt;D xsi:type="xsd:double"&gt;0.3245473&lt;/D&gt;&lt;D xsi:type="xsd:double"&gt;-1.4402509&lt;/D&gt;&lt;D xsi:type="xsd:double"&gt;0.69185495&lt;/D&gt;&lt;D xsi:type="xsd:double"&gt;9.329605&lt;/D&gt;&lt;D xsi:type="xsd:double"&gt;15.765405&lt;/D&gt;&lt;D xsi:type="xsd:double"&gt;24.12368&lt;/D&gt;&lt;D xsi:type="xsd:double"&gt;25.320984&lt;/D&gt;&lt;D xsi:type="xsd:double"&gt;15.387165&lt;/D&gt;&lt;D xsi:type="xsd:double"&gt;-31.705278&lt;/D&gt;&lt;D xsi:type="xsd:double"&gt;-19.731976&lt;/D&gt;&lt;D xsi:type="xsd:double"&gt;-16.324116&lt;/D&gt;&lt;D xsi:type="xsd:double"&gt;-8.631647&lt;/D&gt;&lt;D xsi:type="xsd:double"&gt;-4.6919227&lt;/D&gt;&lt;D xsi:type="xsd:double"&gt;2.6582599&lt;/D&gt;&lt;D xsi:type="xsd:double"&gt;-3.0591726&lt;/D&gt;&lt;D xsi:type="xsd:double"&gt;-5.4467974&lt;/D&gt;&lt;D xsi:type="xsd:double"&gt;1.3092875&lt;/D&gt;&lt;D xsi:type="xsd:double"&gt;4.6060205&lt;/D&gt;&lt;D xsi:type="xsd:double"&gt;3.5334587&lt;/D&gt;&lt;D xsi:type="xsd:double"&gt;7.499099&lt;/D&gt;&lt;D xsi:type="xsd:double"&gt;76.80067&lt;/D&gt;&lt;D xsi:type="xsd:double"&gt;62.14005&lt;/D&gt;&lt;D xsi:type="xsd:double"&gt;58.181656&lt;/D&gt;&lt;D xsi:type="xsd:double"&gt;42.04806&lt;/D&gt;&lt;D xsi:type="xsd:double"&gt;31.805206&lt;/D&gt;&lt;D xsi:type="xsd:double"&gt;33.69452&lt;/D&gt;&lt;D xsi:type="xsd:double"&gt;30.685556&lt;/D&gt;&lt;D xsi:type="xsd:double"&gt;35.79639&lt;/D&gt;&lt;D xsi:type="xsd:double"&gt;26.927053&lt;/D&gt;&lt;D xsi:type="xsd:double"&gt;15.239679&lt;/D&gt;&lt;D xsi:type="xsd:double"&gt;20.245016&lt;/D&gt;&lt;D xsi:type="xsd:double"&gt;13.938189&lt;/D&gt;&lt;D xsi:type="xsd:double"&gt;4.478252&lt;/D&gt;&lt;D xsi:type="xsd:double"&gt;-3.7965477&lt;/D&gt;&lt;D xsi:type="xsd:double"&gt;-11.709648&lt;/D&gt;&lt;D xsi:type="xsd:double"&gt;-18.84843&lt;/D&gt;&lt;D xsi:type="xsd:double"&gt;-15.873843&lt;/D&gt;&lt;D xsi:type="xsd:double"&gt;-12.16076&lt;/D&gt;&lt;D xsi:type="xsd:double"&gt;-19.333447&lt;/D&gt;&lt;D xsi:type="xsd:double"&gt;-20.720636&lt;/D&gt;&lt;D xsi:type="xsd:double"&gt;-13.373595&lt;/D&gt;&lt;D xsi:type="xsd:double"&gt;-10.338593&lt;/D&gt;&lt;D xsi:type="xsd:double"&gt;-2.9215038&lt;/D&gt;&lt;D xsi:type="xsd:double"&gt;3.265965&lt;/D&gt;&lt;D xsi:type="xsd:double"&gt;3.0863643&lt;/D&gt;&lt;D xsi:type="xsd:double"&gt;18.618858&lt;/D&gt;&lt;D xsi:type="xsd:double"&gt;23.646938&lt;/D&gt;&lt;D xsi:type="xsd:double"&gt;32.05789&lt;/D&gt;&lt;D xsi:type="xsd:double"&gt;36.216187&lt;/D&gt;&lt;D xsi:type="xsd:double"&gt;18.987692&lt;/D&gt;&lt;D xsi:type="xsd:double"&gt;28.456366&lt;/D&gt;&lt;D xsi:type="xsd:double"&gt;22.918583&lt;/D&gt;&lt;D xsi:type="xsd:double"&gt;16.748095&lt;/D&gt;&lt;D xsi:type="xsd:double"&gt;21.548891&lt;/D&gt;&lt;D xsi:type="xsd:double"&gt;7.199681&lt;/D&gt;&lt;D xsi:type="xsd:double"&gt;7.6664805&lt;/D&gt;&lt;D xsi:type="xsd:double"&gt;20.759224&lt;/D&gt;&lt;D xsi:type="xsd:double"&gt;3.9987087&lt;/D&gt;&lt;D xsi:type="xsd:double"&gt;11.907042&lt;/D&gt;&lt;D xsi:type="xsd:double"&gt;3.9040208&lt;/D&gt;&lt;D xsi:type="xsd:double"&gt;1.9667029&lt;/D&gt;&lt;D xsi:type="xsd:double"&gt;6.930506&lt;/D&gt;&lt;D xsi:type="xsd:double"&gt;9.795737&lt;/D&gt;&lt;D xsi:type="xsd:double"&gt;17.203188&lt;/D&gt;&lt;/FQL&gt;&lt;FQL&gt;&lt;Q&gt;EWG^FMA_PE(NTMA,-10AY,0,AM,"PORTAGG","MEANR")&lt;/Q&gt;&lt;R&gt;121&lt;/R&gt;&lt;C&gt;1&lt;/C&gt;&lt;D xsi:type="xsd:double"&gt;11.6960462198589&lt;/D&gt;&lt;D xsi:type="xsd:double"&gt;12.4550576049887&lt;/D&gt;&lt;D xsi:type="xsd:double"&gt;12.8745425977393&lt;/D&gt;&lt;D xsi:type="xsd:double"&gt;13.3310697659629&lt;/D&gt;&lt;D xsi:type="xsd:double"&gt;14.2566776141772&lt;/D&gt;&lt;D xsi:type="xsd:double"&gt;15.4347565705434&lt;/D&gt;&lt;D xsi:type="xsd:double"&gt;15.0004046304314&lt;/D&gt;&lt;D xsi:type="xsd:double"&gt;14.449482267157&lt;/D&gt;&lt;D xsi:type="xsd:double"&gt;13.5606436749507&lt;/D&gt;&lt;D xsi:type="xsd:double"&gt;14.150343345255&lt;/D&gt;&lt;D xsi:type="xsd:double"&gt;13.1872358951879&lt;/D&gt;&lt;D xsi:type="xsd:double"&gt;12.0281615264763&lt;/D&gt;&lt;D xsi:type="xsd:double"&gt;12.4512656761967&lt;/D&gt;&lt;D xsi:type="xsd:double"&gt;13.6542118398273&lt;/D&gt;&lt;D xsi:type="xsd:double"&gt;13.1989785674518&lt;/D&gt;&lt;D xsi:type="xsd:double"&gt;11.9224051099086&lt;/D&gt;&lt;D xsi:type="xsd:double"&gt;12.035881812425&lt;/D&gt;&lt;D xsi:type="xsd:double"&gt;12.6772453328285&lt;/D&gt;&lt;D xsi:type="xsd:double"&gt;12.8818394614971&lt;/D&gt;&lt;D xsi:type="xsd:double"&gt;12.4135694872223&lt;/D&gt;&lt;D xsi:type="xsd:double"&gt;11.8602820036598&lt;/D&gt;&lt;D xsi:type="xsd:double"&gt;12.4171198016082&lt;/D&gt;&lt;D xsi:type="xsd:double"&gt;13.0157574238191&lt;/D&gt;&lt;D xsi:type="xsd:double"&gt;12.6510087153016&lt;/D&gt;&lt;D xsi:type="xsd:double"&gt;12.9804191076117&lt;/D&gt;&lt;D xsi:type="xsd:double"&gt;12.7710283801612&lt;/D&gt;&lt;D xsi:type="xsd:double"&gt;13.582688290161&lt;/D&gt;&lt;D xsi:type="xsd:double"&gt;13.7187646423552&lt;/D&gt;&lt;D xsi:type="xsd:double"&gt;13.3332944813125&lt;/D&gt;&lt;D xsi:type="xsd:double"&gt;13.9558543848311&lt;/D&gt;&lt;D xsi:type="xsd:double"&gt;13.6417405631765&lt;/D&gt;&lt;D xsi:type="xsd:double"&gt;13.7577457192801&lt;/D&gt;&lt;D xsi:type="xsd:double"&gt;13.7864069181796&lt;/D&gt;&lt;D xsi:type="xsd:double"&gt;13.3777553708844&lt;/D&gt;&lt;D xsi:type="xsd:double"&gt;13.0382852891774&lt;/D&gt;&lt;D xsi:type="xsd:double"&gt;13.415274456916&lt;/D&gt;&lt;D xsi:type="xsd:double"&gt;13.8827283504737&lt;/D&gt;&lt;D xsi:type="xsd:double"&gt;13.8003083422623&lt;/D&gt;&lt;D xsi:type="xsd:double"&gt;14.1818869564723&lt;/D&gt;&lt;D xsi:type="xsd:double"&gt;14.0806015880163&lt;/D&gt;&lt;D xsi:type="xsd:double"&gt;13.1979830615009&lt;/D&gt;&lt;D xsi:type="xsd:double"&gt;13.0514223679959&lt;/D&gt;&lt;D xsi:type="xsd:double"&gt;13.2169129223246&lt;/D&gt;&lt;D xsi:type="xsd:double"&gt;13.451970542583&lt;/D&gt;&lt;D xsi:type="xsd:double"&gt;13.2645802346851&lt;/D&gt;&lt;D xsi:type="xsd:double"&gt;13.1892300630685&lt;/D&gt;&lt;D xsi:type="xsd:double"&gt;12.6642</t>
        </r>
      </text>
    </comment>
    <comment ref="A7" authorId="0" shapeId="0" xr:uid="{ACB61809-A7FB-4507-990F-E740BD6FC0B1}">
      <text>
        <r>
          <rPr>
            <b/>
            <sz val="9"/>
            <color indexed="81"/>
            <rFont val="Tahoma"/>
            <charset val="1"/>
          </rPr>
          <t>4486454&lt;/D&gt;&lt;D xsi:type="xsd:double"&gt;12.60955818196&lt;/D&gt;&lt;D xsi:type="xsd:double"&gt;11.995739449476&lt;/D&gt;&lt;D xsi:type="xsd:double"&gt;11.6359773118956&lt;/D&gt;&lt;D xsi:type="xsd:double"&gt;11.134280981007&lt;/D&gt;&lt;D xsi:type="xsd:double"&gt;11.7177722778855&lt;/D&gt;&lt;D xsi:type="xsd:double"&gt;11.9185768447603&lt;/D&gt;&lt;D xsi:type="xsd:double"&gt;12.3339784944811&lt;/D&gt;&lt;D xsi:type="xsd:double"&gt;12.8911577902584&lt;/D&gt;&lt;D xsi:type="xsd:double"&gt;12.6271601906133&lt;/D&gt;&lt;D xsi:type="xsd:double"&gt;12.5796601411307&lt;/D&gt;&lt;D xsi:type="xsd:double"&gt;12.7145316061491&lt;/D&gt;&lt;D xsi:type="xsd:double"&gt;12.2222510663755&lt;/D&gt;&lt;D xsi:type="xsd:double"&gt;13.0441752305882&lt;/D&gt;&lt;D xsi:type="xsd:double"&gt;13.2868953541734&lt;/D&gt;&lt;D xsi:type="xsd:double"&gt;13.9988849745769&lt;/D&gt;&lt;D xsi:type="xsd:double"&gt;14.1454819323748&lt;/D&gt;&lt;D xsi:type="xsd:double"&gt;14.3807475088946&lt;/D&gt;&lt;D xsi:type="xsd:double"&gt;14.4426943170963&lt;/D&gt;&lt;D xsi:type="xsd:double"&gt;9.16728358255597&lt;/D&gt;&lt;D xsi:type="xsd:double"&gt;13.9304384358285&lt;/D&gt;&lt;D xsi:type="xsd:double"&gt;15.758069359091&lt;/D&gt;&lt;D xsi:type="xsd:double"&gt;17.8276210030733&lt;/D&gt;&lt;D xsi:type="xsd:double"&gt;18.5494296933798&lt;/D&gt;&lt;D xsi:type="xsd:double"&gt;17.9310397548773&lt;/D&gt;&lt;D xsi:type="xsd:double"&gt;17.527691035181&lt;/D&gt;&lt;D xsi:type="xsd:double"&gt;16.6823550704092&lt;/D&gt;&lt;D xsi:type="xsd:double"&gt;16.163230146622&lt;/D&gt;&lt;D xsi:type="xsd:double"&gt;16.1863520661928&lt;/D&gt;&lt;D xsi:type="xsd:double"&gt;15.9906949715668&lt;/D&gt;&lt;D xsi:type="xsd:double"&gt;15.5795536923694&lt;/D&gt;&lt;D xsi:type="xsd:double"&gt;16.148025442278&lt;/D&gt;&lt;D xsi:type="xsd:double"&gt;16.1946485060954&lt;/D&gt;&lt;D xsi:type="xsd:double"&gt;14.8221915460657&lt;/D&gt;&lt;D xsi:type="xsd:double"&gt;14.7598256987226&lt;/D&gt;&lt;D xsi:type="xsd:double"&gt;14.4734767396826&lt;/D&gt;&lt;D xsi:type="xsd:double"&gt;14.3770147840595&lt;/D&gt;&lt;D xsi:type="xsd:double"&gt;13.857473215634&lt;/D&gt;&lt;D xsi:type="xsd:double"&gt;13.6966044297527&lt;/D&gt;&lt;D xsi:type="xsd:double"&gt;13.8674916931724&lt;/D&gt;&lt;D xsi:type="xsd:double"&gt;13.1674918642206&lt;/D&gt;&lt;D xsi:type="xsd:double"&gt;13.2385190625275&lt;/D&gt;&lt;D xsi:type="xsd:double"&gt;12.3538809362173&lt;/D&gt;&lt;D xsi:type="xsd:double"&gt;11.7115488766027&lt;/D&gt;&lt;D xsi:type="xsd:double"&gt;11.3094315179405&lt;/D&gt;&lt;D xsi:type="xsd:double"&gt;10.7318910611898&lt;/D&gt;&lt;D xsi:type="xsd:double"&gt;10.0151253326242&lt;/D&gt;&lt;D xsi:type="xsd:double"&gt;9.87520669152919&lt;/D&gt;&lt;D xsi:type="xsd:double"&gt;10.2077653012886&lt;/D&gt;&lt;D xsi:type="xsd:double"&gt;9.51145340132924&lt;/D&gt;&lt;D xsi:type="xsd:double"&gt;9.50557688877763&lt;/D&gt;&lt;D xsi:type="xsd:double"&gt;10.7669243695386&lt;/D&gt;&lt;D xsi:type="xsd:double"&gt;10.3649605417887&lt;/D&gt;&lt;D xsi:type="xsd:double"&gt;11.4933237346299&lt;/D&gt;&lt;D xsi:type="xsd:double"&gt;11.6785518489004&lt;/D&gt;&lt;D xsi:type="xsd:double"&gt;10.8973742046174&lt;/D&gt;&lt;D xsi:type="xsd:double"&gt;11.4757580695553&lt;/D&gt;&lt;D xsi:type="xsd:double"&gt;11.1010914690437&lt;/D&gt;&lt;D xsi:type="xsd:double"&gt;11.0082365751899&lt;/D&gt;&lt;D xsi:type="xsd:double"&gt;10.7946258682249&lt;/D&gt;&lt;D xsi:type="xsd:double"&gt;10.4528948677586&lt;/D&gt;&lt;D xsi:type="xsd:double"&gt;10.5538907446254&lt;/D&gt;&lt;D xsi:type="xsd:double"&gt;10.062409512831&lt;/D&gt;&lt;D xsi:type="xsd:double"&gt;10.7779755963863&lt;/D&gt;&lt;D xsi:type="xsd:double"&gt;11.1534840875054&lt;/D&gt;&lt;D xsi:type="xsd:double"&gt;11.0144775059341&lt;/D&gt;&lt;D xsi:type="xsd:double"&gt;11.6613299894699&lt;/D&gt;&lt;D xsi:type="xsd:double"&gt;12.0680520391392&lt;/D&gt;&lt;D xsi:type="xsd:double"&gt;11.8806350916628&lt;/D&gt;&lt;D xsi:type="xsd:double"&gt;12.0805398569884&lt;/D&gt;&lt;D xsi:type="xsd:double"&gt;11.6174992715515&lt;/D&gt;&lt;D xsi:type="xsd:double"&gt;11.8340214995899&lt;/D&gt;&lt;D xsi:type="xsd:double"&gt;11.7334592232267&lt;/D&gt;&lt;D xsi:type="xsd:double"&gt;12.2094587433853&lt;/D&gt;&lt;D xsi:type="xsd:double"&gt;12.914296507962&lt;/D&gt;&lt;/FQL&gt;&lt;FQL&gt;&lt;Q&gt;EWA^FMA_PE(LTMA,-10AY,0,AM,"PORTAGG","MEANR")&lt;/Q&gt;&lt;R&gt;121&lt;/R&gt;&lt;C&gt;1&lt;/C&gt;&lt;D xsi:type="xsd:double"&gt;14.770733588586&lt;/D&gt;&lt;D xsi:type="xsd:double"&gt;14.950062880727&lt;/D&gt;&lt;D xsi:type="xsd:double"&gt;14.1050361869075&lt;/D&gt;&lt;D xsi:type="xsd:double"&gt;14.4967175436913&lt;/D&gt;&lt;D xsi:type="xsd:double"&gt;16.13460799206&lt;/D&gt;&lt;D xsi:type="xsd:double"&gt;16.1929545740673&lt;/D&gt;&lt;D xsi:type="xsd:double"&gt;16.3460728609376&lt;/D&gt;&lt;D xsi:type="xsd:double"&gt;16.2110579217244&lt;/D&gt;&lt;D xsi:type="xsd:double"&gt;15.9890016028357&lt;/D&gt;&lt;D xsi:type="xsd:double"&gt;16.1138307346702&lt;/D&gt;&lt;D xsi:type="xsd:double"&gt;15.6343801905984&lt;/D&gt;&lt;D xsi:type="xsd:double"&gt;15.4908590452119&lt;/D&gt;&lt;D xsi:type="xsd:double"&gt;15.673842823259&lt;/D&gt;&lt;D xsi:type="xsd:double"&gt;15.2758238244005&lt;/D&gt;&lt;D xsi:type="xsd:double"&gt;15.3771286118973&lt;/D&gt;&lt;D xsi:type="xsd:double"&gt;14.6889113285286&lt;/D&gt;&lt;D xsi:type="xsd:double"&gt;15.3010371665802&lt;/D&gt;&lt;D xsi:type="xsd:double"&gt;15.1977188308522&lt;/D&gt;&lt;D xsi:type="xsd:double"&gt;15.2719363884714&lt;/D&gt;&lt;D xsi:type="xsd:double"&gt;15.6940497593603&lt;/D&gt;&lt;D xsi:type="xsd:double"&gt;15.5692454246995&lt;/D&gt;&lt;D xsi:type="xsd:double"&gt;16.1987888402927&lt;/D&gt;&lt;D xsi:type="xsd:double"&gt;16.6270963462566&lt;/D&gt;&lt;D xsi:type="xsd:double"&gt;16.2787634815342&lt;/D&gt;&lt;D xsi:type="xsd:double"&gt;16.7795898506328&lt;/D&gt;&lt;D xsi:type="xsd:double"&gt;16.9238085569079&lt;/D&gt;&lt;D xsi:type="xsd:double"&gt;17.2656872029063&lt;/D&gt;&lt;D xsi:type="xsd:double"&gt;17.7397495473702&lt;/D&gt;&lt;D xsi:type="xsd:double"&gt;17.9848459005171&lt;/D&gt;&lt;D xsi:type="xsd:double"&gt;17.4331567442892&lt;/D&gt;&lt;D xsi:type="xsd:double"&gt;17.2753173865868&lt;/D&gt;&lt;D xsi:type="xsd:double"&gt;16.9969307979923&lt;/D&gt;&lt;D xsi:type="xsd:double"&gt;16.881450139886&lt;/D&gt;&lt;D xsi:type="xsd:double"&gt;16.7637901132942&lt;/D&gt;&lt;D xsi:type="xsd:double"&gt;16.7369887310334&lt;/D&gt;&lt;D xsi:type="xsd:double"&gt;16.5250188545042&lt;/D&gt;&lt;D xsi:type="xsd:double"&gt;16.6965155733437&lt;/D&gt;&lt;D xsi:type="xsd:double"&gt;16.6239095729351&lt;/D&gt;&lt;D xsi:type="xsd:double"&gt;16.705963547109&lt;/D&gt;&lt;D xsi:type="xsd:double"&gt;16.5858066313716&lt;/D&gt;&lt;D xsi:type="xsd:double"&gt;16.348062710048&lt;/D&gt;&lt;D xsi:type="xsd:double"&gt;16.4564602181154&lt;/D&gt;&lt;D xsi:type="xsd:double"&gt;16.2770754805869&lt;/D&gt;&lt;D xsi:type="xsd:double"&gt;16.3362761995317&lt;/D&gt;&lt;D xsi:type="xsd:double"&gt;16.1499585347885&lt;/D&gt;&lt;D xsi:type="xsd:double"&gt;16.2857000437326&lt;/D&gt;&lt;D xsi:type="xsd:double"&gt;16.4391420629147&lt;/D&gt;&lt;D xsi:type="xsd:double"&gt;15.9966462411476&lt;/D&gt;&lt;D xsi:type="xsd:double"&gt;15.5210668312867&lt;/D&gt;&lt;D xsi:type="xsd:double"&gt;15.0557026032624&lt;/D&gt;&lt;D xsi:type="xsd:double"&gt;14.5352094066554&lt;/D&gt;&lt;D xsi:type="xsd:double"&gt;15.2609966992131&lt;/D&gt;&lt;D xsi:type="xsd:double"&gt;15.6489885190806&lt;/D&gt;&lt;D xsi:type="xsd:double"&gt;15.8758635735665&lt;/D&gt;&lt;D xsi:type="xsd:double"&gt;15.8513450872888&lt;/D&gt;&lt;D xsi:type="xsd:double"&gt;15.8752874777956&lt;/D&gt;&lt;D xsi:type="xsd:double"&gt;16.1347521770382&lt;/D&gt;&lt;D xsi:type="xsd:double"&gt;16.3125382393314&lt;/D&gt;&lt;D xsi:type="xsd:double"&gt;16.0557866071596&lt;/D&gt;&lt;D xsi:type="xsd:double"&gt;16.753542872633&lt;/D&gt;&lt;D xsi:type="xsd:double"&gt;17.0351838022535&lt;/D&gt;&lt;D xsi:type="xsd:double"&gt;17.5579423236004&lt;/D&gt;&lt;D xsi:type="xsd:double"&gt;18.0415802234058&lt;/D&gt;&lt;D xsi:type="xsd:double"&gt;18.6674392454495&lt;/D&gt;&lt;D xsi:type="xsd:double"&gt;18.9124797565104&lt;/D&gt;&lt;D xsi:type="xsd:double"&gt;16.149247174815&lt;/D&gt;&lt;D xsi:type="xsd:double"&gt;17.0030633637596&lt;/D&gt;&lt;D xsi:type="xsd:double"&gt;17.4797906832076&lt;/D&gt;&lt;D xsi:type="xsd:double"&gt;18.4560776964501&lt;/D&gt;&lt;D xsi:type="xsd:double"&gt;18.8459478931299&lt;/D&gt;&lt;D xsi:type="xsd:double"&gt;19.7146189362093&lt;/D&gt;&lt;D xsi:type="xsd:double"&gt;19.2718145053405&lt;/D&gt;&lt;D xsi:type="xsd:double"&gt;19.8796492628879&lt;/D&gt;&lt;D xsi:type="xsd:double"&gt;21.726615364602&lt;/D&gt;&lt;D xsi:type="xsd:double"&gt;22.9942020482168&lt;/D&gt;&lt;D xsi:type="xsd:double"&gt;23.2571726968264&lt;/D&gt;&lt;D xsi:type="xsd:double"&gt;22.7186531810587&lt;/D&gt;&lt;D xsi:type="xsd:double"&gt;21.5732771288029&lt;/D&gt;&lt;D xsi:type="xsd:double"&gt;21.2724060534572&lt;/D&gt;&lt;D xsi:type="xsd:double"&gt;20.7769225494313&lt;/D&gt;&lt;D xsi:type="xsd:double"&gt;20.4486110142513&lt;/D&gt;&lt;D xsi:type="xsd:double"&gt;19.4227864866588&lt;/D&gt;&lt;D xsi:type="xsd:double"&gt;19.1454065636874&lt;/D&gt;&lt;D xsi:type="xsd:double"&gt;18.7168136694203&lt;/D&gt;&lt;D xsi:type="xsd:double"&gt;18.7102685078925&lt;/D&gt;&lt;D xsi:type="xsd:double"&gt;18.0373488151477&lt;/D&gt;&lt;D xsi:type="xsd:double"&gt;17.5953739913341&lt;/D&gt;&lt;D xsi:type="xsd:double"&gt;17.6818066896991&lt;/D&gt;&lt;D xsi:type="xsd:double"&gt;15.9806795416142&lt;/D&gt;&lt;D xsi:type="xsd:double"&gt;15.7582393014989&lt;/D&gt;&lt;D xsi:type="xsd:double"&gt;15.6331614134452&lt;/D&gt;&lt;D xsi:type="xsd:double"&gt;15.1564948649929&lt;/D&gt;&lt;D xsi:type="xsd:double"&gt;14.116385456412&lt;/D&gt;&lt;D xsi:type="xsd:double"&gt;14.0899543353664&lt;/D&gt;&lt;D xsi:type="xsd:double"&gt;14.6077251509028&lt;/D&gt;&lt;D xsi:type="xsd:double"&gt;13.7976637553685&lt;/D&gt;&lt;D xsi:type="xsd:double"&gt;13.4069575626763&lt;/D&gt;&lt;D xsi:type="xsd:double"&gt;14.2023106711506&lt;/D&gt;&lt;D xsi:type="xsd:double"&gt;13.9821392520852&lt;/D&gt;&lt;D xsi:type="xsd:double"&gt;14.6980296082152&lt;/D&gt;&lt;D xsi:type="xsd:double"&gt;14.4395982576794&lt;/D&gt;&lt;D xsi:type="xsd:double"&gt;14.1599251896837&lt;/D&gt;&lt;D xsi:type="xsd:double"&gt;14.3585728439577&lt;/D&gt;&lt;D xsi:type="xsd:double"&gt;14.3322485316534&lt;/D&gt;&lt;D xsi:type="xsd:double"&gt;14.6091501741021&lt;/D&gt;&lt;D xsi:type="xsd:double"&gt;14.8519232569286&lt;/D&gt;&lt;D xsi:type="xsd:double"&gt;14.7166403173059&lt;/D&gt;&lt;D xsi:type="xsd:double"&gt;15.1413073156496&lt;/D&gt;&lt;D xsi:type="xsd:double"&gt;14.8332820273902&lt;/D&gt;&lt;D xsi:type="xsd:double"&gt;15.0206015653112&lt;/D&gt;&lt;D xsi:type="xsd:double"&gt;16.0212631093486&lt;/D&gt;&lt;D xsi:type="xsd:double"&gt;15.8044539396016&lt;/D&gt;&lt;D xsi:type="xsd:double"&gt;16.5334594849504&lt;/D&gt;&lt;D xsi:type="xsd:double"&gt;16.5809870085088&lt;/D&gt;&lt;D xsi:type="xsd:double"&gt;16.5512768202059&lt;/D&gt;&lt;D xsi:type="xsd:double"&gt;16.7752674510412&lt;/D&gt;&lt;D xsi:type="xsd:double"&gt;16.8418723778453&lt;/D&gt;&lt;D xsi:type="xsd:double"&gt;17.2870008046005&lt;/D&gt;&lt;D xsi:type="xsd:double"&gt;17.2702252832009&lt;/D&gt;&lt;D xsi:type="xsd:double"&gt;17.8896409973001&lt;/D&gt;&lt;D xsi:type="xsd:double"&gt;18.2121664242789&lt;/D&gt;&lt;/FQL&gt;&lt;FQL&gt;&lt;Q&gt;WL-FDS^FG_PRICE_CHANGE(0,-1AM)&lt;/Q&gt;&lt;R&gt;1&lt;/R&gt;&lt;C&gt;1&lt;/C&gt;&lt;D xsi:type="xsd:double"&gt;1.99819981998199&lt;/D&gt;&lt;/FQL&gt;&lt;FQL&gt;&lt;Q&gt;NI-FDS^FG_PRICE_CHANGE(0,-1AM)&lt;/Q&gt;&lt;R&gt;1&lt;/R&gt;&lt;C&gt;1&lt;/C&gt;&lt;D xsi:type="xsd:double"&gt;5.03912363067294&lt;/D&gt;&lt;/FQL&gt;&lt;FQL&gt;&lt;Q&gt;CPALM-FDS^FG_PRICE_CHANGE(0,-1AM)&lt;/Q&gt;&lt;R&gt;1&lt;/R&gt;&lt;C&gt;1&lt;/C&gt;&lt;D xsi:type="xsd:double"&gt;10.2374266019913&lt;/D&gt;&lt;/FQL&gt;&lt;FQL&gt;&lt;Q&gt;BRENT-FDS^FG_PRICE_CHANGE(0,-1AM)&lt;/Q&gt;&lt;R&gt;1&lt;/R&gt;&lt;C&gt;1&lt;/C&gt;&lt;D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xsi:type="xsd:double"&gt;15.0595173091624&lt;/D&gt;&lt;/FQL&gt;&lt;FQL&gt;&lt;Q&gt;SPY^FG_COMPANY_NAME&lt;/Q&gt;&lt;R&gt;1&lt;/R&gt;&lt;C&gt;1&lt;/C&gt;&lt;D xsi:type="xsd:string"&gt;SPDR S&amp;amp;P 500 ETF Trust&lt;/D&gt;&lt;/FQL&gt;&lt;FQL&gt;&lt;Q&gt;EWL^FMA_ROE(NTMA,-20AY,NOW,FY,"PORTAGG","MEANR")&lt;/Q&gt;&lt;R&gt;20&lt;/R&gt;&lt;C&gt;1&lt;/C&gt;&lt;D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xsi:type="xsd:double"&gt;3.099&lt;/D&gt;&lt;/FQL&gt;&lt;FQL&gt;&lt;Q&gt;SPY^P_PRICE_RETURNS_PR('52W',2,-10AY,0,AM)&lt;/Q&gt;&lt;R&gt;121&lt;/R&gt;&lt;C&gt;1&lt;/C&gt;&lt;D xsi:type="xsd:double"&gt;10.917616&lt;/D&gt;&lt;D xsi:type="xsd:double"&gt;16.789282&lt;/D&gt;&lt;D xsi:type="xsd:double"&gt;16.013872&lt;/D&gt;&lt;D xsi:type="xsd:double"&gt;11.466682&lt;/D&gt;&lt;D xsi:type="xsd:double"&gt;16.279198&lt;/D&gt;&lt;D xsi:type="xsd:double"&gt;14.339363&lt;/D&gt;&lt;D xsi:type="xsd:double"&gt;13.744938&lt;/D&gt;&lt;D xsi:type="xsd:double"&gt;15.53297&lt;/D&gt;&lt;D xsi:type="xsd:double"&gt;10.536539&lt;/D&gt;&lt;D xsi:type="xsd:double"&gt;10.699725&lt;/D&gt;&lt;D xsi:type="xsd:double"&gt;8.482671&lt;/D&gt;&lt;D xsi:type="xsd:double"&gt;-0.7333815&lt;/D&gt;&lt;D xsi:type="xsd:double"&gt;11.335730999999999&lt;/D&gt;&lt;D xsi:type="xsd:double"&gt;3.6028147&lt;/D&gt;&lt;D xsi:type="xsd:double"&gt;-0.71275234&lt;/D&gt;&lt;D xsi:type="xsd:double"&gt;-3.668362&lt;/D&gt;&lt;D xsi:type="xsd:double"&gt;-6.6824255&lt;/D&gt;&lt;D xsi:type="xsd:double"&gt;-0.35851002&lt;/D&gt;&lt;D xsi:type="xsd:double"&gt;2.7870774&lt;/D&gt;&lt;D xsi:type="xsd:double"&gt;-1.7722785&lt;/D&gt;&lt;D xsi:type="xsd:double"&gt;0.70261955&lt;/D&gt;&lt;D xsi:type="xsd:double"&gt;4.0775776&lt;/D&gt;&lt;D xsi:type="xsd:double"&gt;6.5094113&lt;/D&gt;&lt;D xsi:type="xsd:double"&gt;9.473515&lt;/D&gt;&lt;D xsi:type="xsd:double"&gt;7.4132204&lt;/D&gt;&lt;D xsi:type="xsd:double"&gt;6.948006&lt;/D&gt;&lt;D xsi:type="xsd:double"&gt;11.17239&lt;/D&gt;&lt;D xsi:type="xsd:double"&gt;23.330128&lt;/D&gt;&lt;D xsi:type="xsd:double"&gt;24.505222&lt;/D&gt;&lt;D xsi:type="xsd:double"&gt;18.840206&lt;/D&gt;&lt;D xsi:type="xsd:double"&gt;14.087009&lt;/D&gt;&lt;D xsi:type="xsd:double"&gt;17.941929&lt;/D&gt;&lt;D xsi:type="xsd:double"&gt;19.43853&lt;/D&gt;&lt;D xsi:type="xsd:double"&gt;15.828109&lt;/D&gt;&lt;D xsi:type="xsd:double"&gt;13.155723&lt;/D&gt;&lt;D xsi:type="xsd:double"&gt;19.405592&lt;/D&gt;&lt;D xsi:type="xsd:double"&gt;22.080004&lt;/D&gt;&lt;D xsi:type="xsd:double"&gt;20.133554&lt;/D&gt;&lt;D xsi:type="xsd:double"&gt;21.490742&lt;/D&gt;&lt;D xsi:type="xsd:double"&gt;25.492823&lt;/D&gt;&lt;D xsi:type="xsd:double"&gt;18.612814&lt;/D&gt;&lt;D xsi:type="xsd:double"&gt;17.677475&lt;/D&gt;&lt;D xsi:type="xsd:double"&gt;17.816221&lt;/D&gt;&lt;D xsi:type="xsd:double"&gt;16.777742&lt;/D&gt;&lt;D xsi:type="xsd:double"&gt;16.105032&lt;/D&gt;&lt;D xsi:type="xsd:double"&gt;16.543663&lt;/D&gt;&lt;D xsi:type="xsd:double"&gt;19.451963&lt;/D&gt;&lt;D xsi:type="xsd:double"&gt;18.081844&lt;/D&gt;&lt;D xsi:type="xsd:double"&gt;10.056019&lt;/D&gt;&lt;D xsi:type="xsd:double"&gt;7.770729&lt;/D&gt;&lt;D xsi:type="xsd:double"&gt;-3.6478043&lt;/D&gt;&lt;D xsi:type="xsd:double"&gt;-2.717179&lt;/D&gt;&lt;D xsi:type="xsd:double"&gt;3.5321832&lt;/D&gt;&lt;D xsi:type="xsd:double"&gt;4.973972&lt;/D&gt;&lt;D xsi:type="xsd:double"&gt;9.35266&lt;/D&gt;&lt;D xsi:type="xsd:double"&gt;7.1347117&lt;/D&gt;&lt;D xsi:type="xsd:double"&gt;7.3081017&lt;/D&gt;&lt;D xsi:type="xsd:double"&gt;8.437454&lt;/D&gt;&lt;D xsi:type="xsd:double"&gt;3.7090182&lt;/D&gt;&lt;D xsi:type="xsd:double"&gt;5.5616856&lt;/D&gt;&lt;D xsi:type="xsd:double"&gt;9.960281&lt;/D&gt;&lt;D xsi:type="xsd:double"&gt;16.268301&lt;/D&gt;&lt;D xsi:type="xsd:double"&gt;27.796257&lt;/D&gt;&lt;D xsi:type="xsd:double"&gt;28.624249&lt;/D&gt;&lt;D xsi:type="xsd:double"&gt;23.697865&lt;/D&gt;&lt;D xsi:type="xsd:double"&gt;-13.762826&lt;/D&gt;&lt;D xsi:type="xsd:double"&gt;1.0795474&lt;/D&gt;&lt;D xsi:type="xsd:double"&gt;5.3413987&lt;/D&gt;&lt;D xsi:type="xsd:double"&gt;8.835602&lt;/D&gt;&lt;D xsi:type="xsd:double"&gt;10.242605&lt;/D&gt;&lt;D xsi:type="xsd:double"&gt;19.61193&lt;/D&gt;&lt;D xsi:type="xsd:double"&gt;12.492048&lt;/D&gt;&lt;D xsi:type="xsd:double"&gt;18.671822&lt;/D&gt;&lt;D xsi:type="xsd:double"&gt;16.429556&lt;/D&gt;&lt;D xsi:type="xsd:double"&gt;18.29158&lt;/D&gt;&lt;D xsi:type="xsd:double"&gt;16.655182&lt;/D&gt;&lt;D xsi:type="xsd:double"&gt;18.242062&lt;/D&gt;&lt;D xsi:type="xsd:double"&gt;66.22124&lt;/D&gt;&lt;D xsi:type="xsd:double"&gt;51.914&lt;/D&gt;&lt;D xsi:type="xsd:double"&gt;41.893612&lt;/D&gt;&lt;D xsi:type="xsd:double"&gt;35.67654&lt;/D&gt;&lt;D xsi:type="xsd:double"&gt;36.480095&lt;/D&gt;&lt;D xsi:type="xsd:double"&gt;31.636&lt;/D&gt;&lt;D xsi:type="xsd:double"&gt;33.83608&lt;/D&gt;&lt;D xsi:type="xsd:double"&gt;30.592323&lt;/D&gt;&lt;D xsi:type="xsd:double"&gt;33.71333&lt;/D&gt;&lt;D xsi:type="xsd:double"&gt;25.739742&lt;/D&gt;&lt;D xsi:type="xsd:double"&gt;23.13906&lt;/D&gt;&lt;D xsi:type="xsd:double"&gt;12.631536&lt;/D&gt;&lt;D xsi:type="xsd:double"&gt;15.430355&lt;/D&gt;&lt;D xsi:type="xsd:double"&gt;6.353903&lt;/D&gt;&lt;D xsi:type="xsd:double"&gt;-3.6142588&lt;/D&gt;&lt;D xsi:type="xsd:double"&gt;-11.7698555&lt;/D&gt;&lt;D xsi:type="xsd:double"&gt;-10.188341&lt;/D&gt;&lt;D xsi:type="xsd:double"&gt;-1.1821389&lt;/D&gt;&lt;D xsi:type="xsd:double"&gt;-12.186831&lt;/D&gt;&lt;D xsi:type="xsd:double"&gt;-15.749699&lt;/D&gt;&lt;D xsi:type="xsd:double"&gt;-14.411134&lt;/D&gt;&lt;D xsi:type="xsd:double"&gt;-16.198635&lt;/D&gt;&lt;D xsi:type="xsd:double"&gt;-12.843836&lt;/D&gt;&lt;D xsi:type="xsd:double"&gt;-5.3023043&lt;/D&gt;&lt;D xsi:type="xsd:double"&gt;-9.7954035&lt;/D&gt;&lt;D xsi:type="xsd:double"&gt;-3.8107812&lt;/D&gt;&lt;D xsi:type="xsd:double"&gt;8.810711&lt;/D&gt;&lt;D xsi:type="xsd:double"&gt;22.358454&lt;/D&gt;&lt;D xsi:type="xsd:double"&gt;20.873081&lt;/D&gt;&lt;D xsi:type="xsd:double"&gt;3.6932826&lt;/D&gt;&lt;D xsi:type="xsd:double"&gt;16.89098&lt;/D&gt;&lt;D xsi:type="xsd:double"&gt;17.762363&lt;/D&gt;&lt;D xsi:type="xsd:double"&gt;16.162418&lt;/D&gt;&lt;D xsi:type="xsd:double"&gt;25.028206&lt;/D&gt;&lt;D xsi:type="xsd:double"&gt;23.575258&lt;/D&gt;&lt;D xsi:type="xsd:double"&gt;24.217987&lt;/D&gt;&lt;D xsi:type="xsd:double"&gt;33.42161&lt;/D&gt;&lt;D xsi:type="xsd:double"&gt;22.352589&lt;/D&gt;&lt;D xsi:type="xsd:double"&gt;29.365086&lt;/D&gt;&lt;D xsi:type="xsd:double"&gt;26.157797&lt;/D&gt;&lt;D xsi:type="xsd:double"&gt;23.391687&lt;/D&gt;&lt;D xsi:type="xsd:double"&gt;27.855957&lt;/D&gt;&lt;D xsi:type="xsd:double"&gt;27.870083&lt;/D&gt;&lt;D xsi:type="xsd:double"&gt;37.72739&lt;/D&gt;&lt;/FQL&gt;&lt;FQL&gt;&lt;Q&gt;EWU^FG_TOTAL_RETURNC(-10AY,0,AM)&lt;/Q&gt;&lt;R&gt;121&lt;/R&gt;&lt;C&gt;1&lt;/C&gt;&lt;D xsi:type="xsd:double"&gt;-9.189725&lt;/D&gt;&lt;D xsi:type="xsd:double"&gt;3.9173126&lt;/D&gt;&lt;D xsi:type="xsd:double"&gt;-3.0982435&lt;/D&gt;&lt;D xsi:type="xsd:double"&gt;-1.9834638&lt;/D&gt;&lt;D xsi:type="xsd:double"&gt;6.7453504&lt;/D&gt;&lt;D xsi:type="xsd:double"&gt;-1.843077&lt;/D&gt;&lt;D xsi:type="xsd:double"&gt;1.072967&lt;/D&gt;&lt;D xsi:type="xsd:double"&gt;4.72399&lt;/D&gt;&lt;D xsi:type="xsd:double"&gt;-1.9766808&lt;/D&gt;&lt;D xsi:type="xsd:double"&gt;-1.1258066&lt;/D&gt;&lt;D xsi:type="xsd:double"&gt;-2.9819012&lt;/D&gt;&lt;D xsi:type="xsd:double"&gt;-7.3545575&lt;/D&gt;&lt;D xsi:type="xsd:double"&gt;4.502368&lt;/D&gt;&lt;D xsi:type="xsd:double"&gt;-2.4376452&lt;/D&gt;&lt;D xsi:type="xsd:double"&gt;-6.7983627&lt;/D&gt;&lt;D xsi:type="xsd:double"&gt;-7.795924&lt;/D&gt;&lt;D xsi:type="xsd:double"&gt;4.206896&lt;/D&gt;&lt;D xsi:type="xsd:double"&gt;5.1621437&lt;/D&gt;&lt;D xsi:type="xsd:double"&gt;1.5103817&lt;/D&gt;&lt;D xsi:type="xsd:double"&gt;-0.8059442&lt;/D&gt;&lt;D xsi:type="xsd:double"&gt;-2.4999976&lt;/D&gt;&lt;D xsi:type="xsd:double"&gt;2.204883&lt;/D&gt;&lt;D xsi:type="xsd:double"&gt;2.8277636&lt;/D&gt;&lt;D xsi:type="xsd:double"&gt;-3.125&lt;/D&gt;&lt;D xsi:type="xsd:double"&gt;-1.935488&lt;/D&gt;&lt;D xsi:type="xsd:double"&gt;-2.3684204&lt;/D&gt;&lt;D xsi:type="xsd:double"&gt;4.5822144&lt;/D&gt;&lt;D xsi:type="xsd:double"&gt;2.0053387&lt;/D&gt;&lt;D xsi:type="xsd:double"&gt;2.3054838&lt;/D&gt;&lt;D xsi:type="xsd:double"&gt;2.2222161&lt;/D&gt;&lt;D xsi:type="xsd:double"&gt;-0.3674209&lt;/D&gt;&lt;D xsi:type="xsd:double"&gt;5.961883&lt;/D&gt;&lt;D xsi:type="xsd:double"&gt;-0.7250607&lt;/D&gt;&lt;D xsi:type="xsd:double"&gt;0.9287715&lt;/D&gt;&lt;D xsi:type="xsd:double"&gt;-1.775682&lt;/D&gt;&lt;D xsi:type="xsd:double"&gt;4.0674925&lt;/D&gt;&lt;D xsi:type="xsd:double"&gt;1.6502619&lt;/D&gt;&lt;D xsi:type="xsd:double"&gt;-1.9082963&lt;/D&gt;&lt;D xsi:type="xsd:double"&gt;3.6875725&lt;/D&gt;&lt;D xsi:type="xsd:double"&gt;6.255007&lt;/D&gt;&lt;D xsi:type="xsd:double"&gt;-4.3501673&lt;/D&gt;&lt;D xsi:type="xsd:double"&gt;-2.1336257&lt;/D&gt;&lt;D xsi:type="xsd:double"&gt;4.733217&lt;/D&gt;&lt;D xsi:type="xsd:double"&gt;1.1777639&lt;/D&gt;&lt;D xsi:type="xsd:double"&gt;-3.140229&lt;/D&gt;&lt;D xsi:type="xsd:double"&gt;-0.8833349&lt;/D&gt;&lt;D xsi:type="xsd:double"&gt;-3.2621264&lt;/D&gt;&lt;D xsi:type="xsd:double"&gt;-0.1193583&lt;/D&gt;&lt;D xsi:type="xsd:double"&gt;-4.571259&lt;/D&gt;&lt;D xsi:type="xsd:double"&gt;-0.72010756&lt;/D&gt;&lt;D xsi:type="xsd:double"&gt;-6.0635567&lt;/D&gt;&lt;D xsi:type="xsd:double"&gt;6.209266&lt;/D&gt;&lt;D xsi:type="xsd:double"&gt;4.0697694&lt;/D&gt;&lt;D xsi:type="xsd:double"&gt;4.2830467&lt;/D&gt;&lt;D xsi:type="xsd:double"&gt;0.6250143&lt;/D&gt;&lt;D xsi:type="xsd:double"&gt;-3.3422112&lt;/D&gt;&lt;D xsi:type="xsd:double"&gt;0.30653477&lt;/D&gt;&lt;D xsi:type="xsd:double"&gt;0.62578917&lt;/D&gt;&lt;D xsi:type="xsd:double"&gt;-7.3383093&lt;/D&gt;&lt;D xsi:type="xsd:double"&gt;5.771816&lt;/D&gt;&lt;D xsi:type="xsd:double"&gt;1.5228391&lt;/D&gt;&lt;D xsi:type="xsd:double"&gt;2.3125052&lt;/D&gt;&lt;D xsi:type="xsd:double"&gt;4.5478463&lt;/D&gt;&lt;D xsi:type="xsd:double"&gt;1.3376951&lt;/D&gt;&lt;D xsi:type="xsd:double"&gt;-3.90144&lt;/D&gt;&lt;D xsi:type="xsd:double"&gt;-38.217335&lt;/D&gt;&lt;D xsi:type="xsd:double"&gt;22.776688&lt;/D&gt;&lt;D xsi:type="xsd:double"&gt;1.7303824&lt;/D&gt;&lt;D xsi:type="xsd:double"&gt;4.286611&lt;/D&gt;&lt;D xsi:type="xsd:double"&gt;2.4258852&lt;/D&gt;&lt;D xsi:type="xsd:double"&gt;1.5789509&lt;/D&gt;&lt;D xsi:type="xsd:double"&gt;-3.367877&lt;/D&gt;&lt;D xsi:type="xsd:double"&gt;-1.6851783&lt;/D&gt;&lt;D xsi:type="xsd:double"&gt;10.479164&lt;/D&gt;&lt;D xsi:type="xsd:double"&gt;4.783571&lt;/D&gt;&lt;D xsi:type="xsd:double"&gt;3.9823055&lt;/D&gt;&lt;D xsi:type="xsd:double"&gt;1.4729977&lt;/D&gt;&lt;D xsi:type="xsd:double"&gt;1.7096758&lt;/D&gt;&lt;D xsi:type="xsd:double"&gt;4.0596247&lt;/D&gt;&lt;D xsi:type="xsd:double"&gt;3.0783296&lt;/D&gt;&lt;D xsi:type="xsd:double"&gt;-2.6100338&lt;/D&gt;&lt;D xsi:type="xsd:double"&gt;-0.24698377&lt;/D&gt;&lt;D xsi:type="xsd:double"&gt;2.3212671&lt;/D&gt;&lt;D xsi:type="xsd:double"&gt;-2.1173656&lt;/D&gt;&lt;D xsi:type="xsd:double"&gt;3.646481&lt;/D&gt;&lt;D xsi:type="xsd:double"&gt;-0.56649446&lt;/D&gt;&lt;D xsi:type="xsd:double"&gt;-1.8686533&lt;/D&gt;&lt;D xsi:type="xsd:double"&gt;8.006287&lt;/D&gt;&lt;D xsi:type="xsd:double"&gt;-0.37791133&lt;/D&gt;&lt;D xsi:type="xsd:double"&gt;-2.7137458&lt;/D&gt;&lt;D xsi:type="xsd:double"&gt;1.7996311&lt;/D&gt;&lt;D xsi:type="xsd:double"&gt;-6.776661&lt;/D&gt;&lt;D xsi:type="xsd:double"&gt;-6.0817537&lt;/D&gt;&lt;D xsi:type="xsd:double"&gt;0.23988485&lt;/D&gt;&lt;D xsi:type="xsd:double"&gt;5.709398&lt;/D&gt;&lt;D xsi:type="xsd:double"&gt;-8.247089&lt;/D&gt;&lt;D xsi:type="xsd:double"&gt;-4.5823097&lt;/D&gt;&lt;D xsi:type="xsd:double"&gt;11.821211&lt;/D&gt;&lt;D xsi:type="xsd:double"&gt;1.9657135&lt;/D&gt;&lt;D xsi:type="xsd:double"&gt;7.234466&lt;/D&gt;&lt;D xsi:type="xsd:double"&gt;0.61330795&lt;/D&gt;&lt;D xsi:type="xsd:double"&gt;-7.253891&lt;/D&gt;&lt;D xsi:type="xsd:double"&gt;10.778832&lt;/D&gt;&lt;D xsi:type="xsd:double"&gt;-1.8095553&lt;/D&gt;&lt;D xsi:type="xsd:double"&gt;1.5421867&lt;/D&gt;&lt;D xsi:type="xsd:double"&gt;-0.51562786&lt;/D&gt;&lt;D xsi:type="xsd:double"&gt;-4.05488&lt;/D&gt;&lt;D xsi:type="xsd:double"&gt;2.7327657&lt;/D&gt;&lt;D xsi:type="xsd:double"&gt;-2.5363505&lt;/D&gt;&lt;D xsi:type="xsd:double"&gt;1.8724203&lt;/D&gt;&lt;D xsi:type="xsd:double"&gt;3.0529737&lt;/D&gt;&lt;D xsi:type="xsd:double"&gt;-1.1924505&lt;/D&gt;&lt;D xsi:type="xsd:double"&gt;2.284813&lt;/D&gt;&lt;D xsi:type="xsd:double"&gt;1.9889832&lt;/D&gt;&lt;D xsi:type="xsd:double"&gt;0&lt;/D&gt;&lt;D xsi:type="xsd:double"&gt;10.231018&lt;/D&gt;&lt;D xsi:type="xsd:double"&gt;-2.7038813&lt;/D&gt;&lt;D xsi:type="xsd:double"&gt;1.5687346&lt;/D&gt;&lt;D xsi:type="xsd:double"&gt;2.4712205&lt;/D&gt;&lt;D xsi:type="xsd:double"&gt;1.3702393&lt;/D&gt;&lt;D xsi:type="xsd:double"&gt;0.054061413&lt;/D&gt;&lt;/FQL&gt;&lt;FQL&gt;&lt;Q&gt;EWJ^FMA_DIV_YLD(NTMA,-10AY,0,AM,"PORTAGG","MEANR")&lt;/Q&gt;&lt;R&gt;121&lt;/R&gt;&lt;C&gt;1&lt;/C&gt;&lt;D xsi:type="xsd:double"&gt;2.29140445203823&lt;/D&gt;&lt;D xsi:type="xsd:double"&gt;1.95113057667888&lt;/D&gt;&lt;D xsi:type="xsd:double"&gt;2.02187610245672&lt;/D&gt;&lt;D xsi:type="xsd:double"&gt;2.06373440990518&lt;/D&gt;&lt;D xsi:type="xsd:double"&gt;1.92468316343739&lt;/D&gt;&lt;D xsi:type="xsd:double"&gt;1.82298778811567&lt;/D&gt;&lt;D xsi:type="xsd:double"&gt;1.84768452478315&lt;/D&gt;&lt;D xsi:type="xsd:double"&gt;1.85990308308611&lt;/D&gt;&lt;D xsi:type="xsd:double"&gt;1.92556115809751&lt;/D&gt;&lt;D xsi:type="xsd:double"&gt;1.89250052145139&lt;/D&gt;&lt;D xsi:type="xsd:double"&gt;1.90107230229826&lt;/D&gt;&lt;D xsi:type="xsd:double"&gt;2.18369333257475&lt;/D&gt;&lt;D xsi:type="xsd:double"&gt;2.1166005519027&lt;/D&gt;&lt;D xsi:type="xsd:double"&gt;2.02382627720614&lt;/D&gt;&lt;D xsi:type="xsd:double"&gt;2.10067244513418&lt;/D&gt;&lt;D xsi:type="xsd:double"&gt;2.32247062199098&lt;/D&gt;&lt;D xsi:type="xsd:double"&gt;2.47639551184688&lt;/D&gt;&lt;D xsi:type="xsd:double"&gt;2.40351552637257&lt;/D&gt;&lt;D xsi:type="xsd:double"&gt;2.43950883612942&lt;/D&gt;&lt;D xsi:type="xsd:double"&gt;2.39145235306432&lt;/D&gt;&lt;D xsi:type="xsd:double"&gt;2.52035690022553&lt;/D&gt;&lt;D xsi:type="xsd:double"&gt;2.38540902628952&lt;/D&gt;&lt;D xsi:type="xsd:double"&gt;2.43740033626131&lt;/D&gt;&lt;D xsi:type="xsd:double"&gt;2.41694927701799&lt;/D&gt;&lt;D xsi:type="xsd:double"&gt;2.35751218955186&lt;/D&gt;&lt;D xsi:type="xsd:double"&gt;2.24889876127156&lt;/D&gt;&lt;D xsi:type="xsd:double"&gt;2.07486561142846&lt;/D&gt;&lt;D xsi:type="xsd:double"&gt;2.14542683385218&lt;/D&gt;&lt;D xsi:type="xsd:double"&gt;2.14000132546178&lt;/D&gt;&lt;D xsi:type="xsd:double"&gt;2.13465831319679&lt;/D&gt;&lt;D xsi:type="xsd:double"&gt;2.29242085462331&lt;/D&gt;&lt;D xsi:type="xsd:double"&gt;2.20374306051427&lt;/D&gt;&lt;D xsi:type="xsd:double"&gt;2.18180930940393&lt;/D&gt;&lt;D xsi:type="xsd:double"&gt;2.16637089543639&lt;/D&gt;&lt;D xsi:type="xsd:double"&gt;2.21752944055933&lt;/D&gt;&lt;D xsi:type="xsd:double"&gt;2.1973656864569&lt;/D&gt;&lt;D xsi:type="xsd:double"&gt;2.10244149037919&lt;/D&gt;&lt;D xsi:type="xsd:double"&gt;2.08956127012899&lt;/D&gt;&lt;D xsi:type="xsd:double"&gt;2.0528279083484&lt;/D&gt;&lt;D xsi:type="xsd:double"&gt;1.99662930881877&lt;/D&gt;&lt;D xsi:type="xsd:double"&gt;2.19871468312943&lt;/D&gt;&lt;D xsi:type="xsd:double"&gt;2.23127629619239&lt;/D&gt;&lt;D xsi:type="xsd:double"&gt;2.23420832973445&lt;/D&gt;&lt;D xsi:type="xsd:double"&gt;2.1760897238028&lt;/D&gt;&lt;D xsi:type="xsd:double"&gt;2.2502745938235&lt;/D&gt;&lt;D xsi:type="xsd:double"&gt;2.27516761885478&lt;/D&gt;&lt;D xsi:type="xsd:double"&gt;2.35713631676121&lt;/D&gt;&lt;D xsi:type="xsd:double"&gt;2.28404177661752&lt;/D&gt;&lt;D xsi:type="xsd:double"&gt;2.3685616797053&lt;/D&gt;&lt;D xsi:type="xsd:double"&gt;2.50288888893973&lt;/D&gt;&lt;D xsi:type="xsd:double"&gt;2.6054153579176&lt;/D&gt;&lt;D xsi:type="xsd:double"&gt;2.64761940495709&lt;/D&gt;&lt;D xsi:type="xsd:double"&gt;2.61644662750196&lt;/D&gt;&lt;D xsi:type="xsd:double"&gt;2.55858727766166&lt;/D&gt;&lt;D xsi:type="xsd:double"&gt;2.56631366895633&lt;/D&gt;&lt;D xsi:type="xsd:double"&gt;2.66662261397865&lt;/D&gt;&lt;D xsi:type="xsd:double"&gt;2.72531430073328&lt;/D&gt;&lt;D xsi:type="xsd:double"&gt;2.71558064741082&lt;/D&gt;&lt;D xsi:type="xsd:double"&gt;2.80384154090776&lt;/D&gt;&lt;D xsi:type="xsd:double"&gt;2.58664696693296&lt;/D&gt;&lt;D xsi:type="xsd:double"&gt;2.57324362832635&lt;/D&gt;&lt;D xsi:type="xsd:double"&gt;2.47136194440671&lt;/D&gt;&lt;D xsi:type="xsd:double"&gt;2.41660075677626&lt;/D&gt;&lt;D xsi:type="xsd:double"&gt;2.42292596118131&lt;/D&gt;&lt;D xsi:type="xsd:double"&gt;2.52015897029808&lt;/D&gt;&lt;D xsi:type="xsd:double"&gt;3.29190607966391&lt;/D&gt;&lt;D xsi:type="xsd:double"&gt;2.84660472691411&lt;/D&gt;&lt;D xsi:type="xsd:double"&gt;2.79924696018562&lt;/D&gt;&lt;D xsi:type="xsd:double"&gt;2.4780788671298&lt;/D&gt;&lt;D xsi:type="xsd:double"&gt;2.48300221644356&lt;/D&gt;&lt;D xsi:type="xsd:double"&gt;2.40329410712533&lt;/D&gt;&lt;D xsi:type="xsd:double"&gt;2.34997262551921&lt;/D&gt;&lt;D xsi:type="xsd:double"&gt;2.39945104733439&lt;/D&gt;&lt;D xsi:type="xsd:double"&gt;2.25592011822643&lt;/D&gt;&lt;D xsi:type="xsd:double"&gt;2.15321693573977&lt;/D&gt;&lt;D xsi:type="xsd:double"&gt;2.08552423780485&lt;/D&gt;&lt;D xsi:type="xsd:double"&gt;2.02397939010865&lt;/D&gt;&lt;D xsi:type="xsd:double"&gt;2.0076395737588&lt;/D&gt;&lt;D xsi:type="xsd:double"&gt;2.0749365642255&lt;/D&gt;&lt;D xsi:type="xsd:double"&gt;2.18041414445464&lt;/D&gt;&lt;D xsi:type="xsd:double"&gt;2.17826344396927&lt;/D&gt;&lt;D xsi:type="xsd:double"&gt;2.22545580746512&lt;/D&gt;&lt;D xsi:type="xsd:double"&gt;2.2709275802179&lt;/D&gt;&lt;D xsi:type="xsd:double"&gt;2.12690369398993&lt;/D&gt;&lt;D xsi:type="xsd:double"&gt;2.21625784804029&lt;/D&gt;&lt;D xsi:type="xsd:double"&gt;2.22329005006295&lt;/D&gt;&lt;D xsi:type="xsd:double"&gt;2.31808807933467&lt;/D&gt;&lt;D xsi:type="xsd:double"&gt;2.35006349974704&lt;/D&gt;&lt;D xsi:type="xsd:double"&gt;2.47669580859239&lt;/D&gt;&lt;D xsi:type="xsd:double"&gt;2.5549983161112&lt;/D&gt;&lt;D xsi:type="xsd:double"&gt;2.60515526701755&lt;/D&gt;&lt;D xsi:type="xsd:double"&gt;2.63045078838057&lt;/D&gt;&lt;D xsi:type="xsd:double"&gt;2.74569896674752&lt;/D&gt;&lt;D xsi:type="xsd:double"&gt;2.67359767102896&lt;/D&gt;&lt;D xsi:type="xsd:double"&gt;2.55238564807383&lt;/D&gt;&lt;D xsi:type="xsd:double"&gt;2.64386903740038&lt;/D&gt;&lt;D xsi:type="xsd:double"&gt;2.71741485423799&lt;/D&gt;&lt;D xsi:type="xsd:double"&gt;2.6188371093381&lt;/D&gt;&lt;D xsi:type="xsd:double"&gt;2.66612803946177&lt;/D&gt;&lt;D xsi:type="xsd:double"&gt;2.67821114333775&lt;/D&gt;&lt;D xsi:type="xsd:double"&gt;2.60869802189516&lt;/D&gt;&lt;D xsi:type="xsd:double"&gt;2.66458572491732&lt;/D&gt;&lt;D xsi:type="xsd:double"&gt;2.57166123613084&lt;/D&gt;&lt;D xsi:type="xsd:double"&gt;2.45370111991674&lt;/D&gt;&lt;D xsi:type="xsd:double"&gt;2.30829761746953&lt;/D&gt;&lt;D xsi:type="xsd:double"&gt;2.38436924033257&lt;/D&gt;&lt;D xsi:type="xsd:double"&gt;2.44248860854124&lt;/D&gt;&lt;D xsi:type="xsd:double"&gt;2.27078122695692&lt;/D&gt;&lt;D xsi:type="xsd:double"&gt;2.41495739396154&lt;/D&gt;&lt;D xsi:type="xsd:double"&gt;2.34792468435354&lt;/D&gt;&lt;D xsi:type="xsd:double"&gt;2.47147525087335&lt;/D&gt;&lt;D xsi:type="xsd:double"&gt;2.29934850947812&lt;/D&gt;&lt;D xsi:type="xsd:double"&gt;2.22345959547182&lt;/D&gt;&lt;D xsi:type="xsd:double"&gt;2.17795874263724&lt;/D&gt;&lt;D xsi:type="xsd:double"&gt;2.25268216808555&lt;/D&gt;&lt;D xsi:type="xsd:double"&gt;2.21974949280752&lt;/D&gt;&lt;D xsi:type="xsd:double"&gt;2.3083871688596&lt;/D&gt;&lt;D xsi:type="xsd:double"&gt;2.20873182742623&lt;/D&gt;&lt;D xsi:type="xsd:double"&gt;2.38984232012912&lt;/D&gt;&lt;D xsi:type="xsd:double"&gt;2.5387189751379&lt;/D&gt;&lt;D xsi:type="xsd:double"&gt;2.42057293787723&lt;/D&gt;&lt;/FQL&gt;&lt;FQL&gt;&lt;Q&gt;EWC^FMA_PE(NTMA,-10AY,0,AM,"PORTAGG","MEANR")&lt;/Q&gt;&lt;R&gt;121&lt;/R&gt;&lt;C&gt;1&lt;/C&gt;&lt;D xsi:type="xsd:double"&gt;13.7889254230146&lt;/D&gt;&lt;D xsi:type="xsd:double"&gt;14.7509239527322&lt;/D&gt;&lt;D xsi:type="xsd:double"&gt;15.1360417351592&lt;/D&gt;&lt;D xsi:type="xsd:double"&gt;15.5026934232119&lt;/D&gt;&lt;D xsi:type="xsd:double"&gt;17.3366935088553&lt;/D&gt;&lt;D xsi:type="xsd:double"&gt;17.176283950015&lt;/D&gt;&lt;D xsi:type="xsd:double"&gt;17.4436986898473&lt;/D&gt;&lt;D xsi:type="xsd:double"&gt;16.7726263176108&lt;/D&gt;&lt;D xsi:type="xsd:double"&gt;16.1948334405385&lt;/D&gt;&lt;D xsi:type="xsd:double"&gt;15.8584294860784&lt;/D&gt;&lt;D xsi:type="xsd:double"&gt;15.3340457946164&lt;/D&gt;&lt;D xsi:type="xsd:double"&gt;14.8540775433958&lt;/D&gt;&lt;D xsi:type="xsd:double"&gt;15.1105735831615&lt;/D&gt;&lt;D xsi:type="xsd:double"&gt;14.6058209798219&lt;/D&gt;&lt;D xsi:type="xsd:double"&gt;14.2871955974656&lt;/D&gt;&lt;D xsi:type="xsd:double"&gt;13.3180754183939&lt;/D&gt;&lt;D xsi:type="xsd:double"&gt;14.8682375708018&lt;/D&gt;&lt;D xsi:type="xsd:double"&gt;16.1056287442589&lt;/D&gt;&lt;D xsi:type="xsd:double"&gt;16.2859807051735&lt;/D&gt;&lt;D xsi:type="xsd:double"&gt;16.5676373062362&lt;/D&gt;&lt;D xsi:type="xsd:double"&gt;16.2998758884347&lt;/D&gt;&lt;D xsi:type="xsd:double"&gt;16.5952648962916&lt;/D&gt;&lt;D xsi:type="xsd:double"&gt;16.4555562045682&lt;/D&gt;&lt;D xsi:type="xsd:double"&gt;15.9464251882732&lt;/D&gt;&lt;D xsi:type="xsd:double"&gt;16.0442935652958&lt;/D&gt;&lt;D xsi:type="xsd:double"&gt;15.8956600143823&lt;/D&gt;&lt;D xsi:type="xsd:double"&gt;15.9218787295197&lt;/D&gt;&lt;D xsi:type="xsd:double"&gt;16.0681837005714&lt;/D&gt;&lt;D xsi:type="xsd:double"&gt;16.3850759989601&lt;/D&gt;&lt;D xsi:type="xsd:double"&gt;15.8361930356761&lt;/D&gt;&lt;D xsi:type="xsd:double"&gt;15.8006709925046&lt;/D&gt;&lt;D xsi:type="xsd:double"&gt;15.3297375501217&lt;/D&gt;&lt;D xsi:type="xsd:double"&gt;15.2326677864307&lt;/D&gt;&lt;D xsi:type="xsd:double"&gt;15.4605385989897&lt;/D&gt;&lt;D xsi:type="xsd:double"&gt;15.3500408549878&lt;/D&gt;&lt;D xsi:type="xsd:double"&gt;15.3763705096186&lt;/D&gt;&lt;D xsi:type="xsd:double"&gt;15.7074135106905&lt;/D&gt;&lt;D xsi:type="xsd:double"&gt;15.8463516639139&lt;/D&gt;&lt;D xsi:type="xsd:double"&gt;15.9536173082333&lt;/D&gt;&lt;D xsi:type="xsd:double"&gt;15.7499103770313&lt;/D&gt;&lt;D xsi:type="xsd:double"&gt;14.5794402462917&lt;/D&gt;&lt;D xsi:type="xsd:double"&gt;14.5510696313716&lt;/D&gt;&lt;D xsi:type="xsd:double"&gt;14.1853197638159&lt;/D&gt;&lt;D xsi:type="xsd:double"&gt;14.3911530738027&lt;/D&gt;&lt;D xsi:type="xsd:double"&gt;14.4393303732443&lt;/D&gt;&lt;D xsi:type="xsd:double"&gt;14.3021097297957&lt;/D&gt;&lt;D xsi:type="xsd:double"&gt;13.9971465026428&lt;/D&gt;&lt;D xsi:type="xsd:double"&gt;13.6810380214929&lt;/D&gt;&lt;D xsi:type="xsd:double"&gt;12.8292645475736&lt;/D&gt;&lt;D xsi:type="xsd:double"&gt;12.6451568470615&lt;/D&gt;&lt;D xsi:type="xsd:double"&gt;12.2155097922308&lt;/D&gt;&lt;D xsi:type="xsd:double"&gt;13.3283988257423&lt;/D&gt;&lt;D xsi:type="xsd:double"&gt;13.9455945451503&lt;/D&gt;&lt;D xsi:type="xsd:double"&gt;14.3045053660433&lt;/D&gt;&lt;D xsi:type="xsd:double"&gt;13.9994623415739&lt;/D&gt;&lt;D xsi:type="xsd:double"&gt;13.6603926710374&lt;/D&gt;&lt;D xsi:type="xsd:double"&gt;13.7437106928285&lt;/D&gt;&lt;D xsi:type="xsd:double"&gt;13.6812563715776&lt;/D&gt;&lt;D xsi:type="xsd:double"&gt;13.4515578282522&lt;/D&gt;&lt;D xsi:type="xsd:double"&gt;14.0472751188545&lt;/D&gt;&lt;D xsi:type="xsd:double"&gt;13.7798048680918&lt;/D&gt;&lt;D xsi:type="xsd:double"&gt;14.4186551853884&lt;/D&gt;&lt;D xsi:type="xsd:double"&gt;14.4806873767752&lt;/D&gt;&lt;D xsi:type="xsd:double"&gt;14.7530421357872&lt;/D&gt;&lt;D xsi:type="xsd:double"&gt;15.0301828197611&lt;/D&gt;&lt;D xsi:type="xsd:double"&gt;10.758813388843&lt;/D&gt;&lt;D xsi:type="xsd:double"&gt;15.450151189866&lt;/D&gt;&lt;D xsi:type="xsd:double"&gt;17.5852235210892&lt;/D&gt;&lt;D xsi:type="xsd:double"&gt;17.9711338609561&lt;/D&gt;&lt;D xsi:type="xsd:double"&gt;17.8231654350729&lt;/D&gt;&lt;D xsi:type="xsd:double"&gt;17.626900779497&lt;/D&gt;&lt;D xsi:type="xsd:double"&gt;16.5593697131521&lt;/D&gt;&lt;D xsi:type="xsd:double"&gt;16.2895742017241&lt;/D&gt;&lt;D xsi:type="xsd:double"&gt;16.1358344252842&lt;/D&gt;&lt;D xsi:type="xsd:double"&gt;16.070862142634&lt;/D&gt;&lt;D xsi:type="xsd:double"&gt;16.092144030818&lt;/D&gt;&lt;D xsi:type="xsd:double"&gt;16.0611891721102&lt;/D&gt;&lt;D xsi:type="xsd:double"&gt;15.5461786209532&lt;/D&gt;&lt;D xsi:type="xsd:double"&gt;15.7257648479138&lt;/D&gt;&lt;D xsi:type="xsd:double"&gt;15.4437969977087&lt;/D&gt;&lt;D xsi:type="xsd:double"&gt;15.5522876764388&lt;/D&gt;&lt;D xsi:type="xsd:double"&gt;15.1048948339321&lt;/D&gt;&lt;D xsi:type="xsd:double"&gt;14.9121481393581&lt;/D&gt;&lt;D xsi:type="xsd:double"&gt;14.7352005257576&lt;/D&gt;&lt;D xsi:type="xsd:double"&gt;14.9462970426314&lt;/D&gt;&lt;D xsi:type="xsd:double"&gt;14.9693879237352&lt;/D&gt;&lt;D xsi:type="xsd:double"&gt;14.1798439727755&lt;/D&gt;&lt;D xsi:type="xsd:double"&gt;14.3441724650674&lt;/D&gt;&lt;D xsi:type="xsd:double"&gt;13.8971984645125&lt;/D&gt;&lt;D xsi:type="xsd:double"&gt;13.7836321444228&lt;/D&gt;&lt;D xsi:type="xsd:double"&gt;13.4160649396495&lt;/D&gt;&lt;D xsi:type="xsd:double"&gt;12.1746198482115&lt;/D&gt;&lt;D xsi:type="xsd:double"&gt;11.2587151191629&lt;/D&gt;&lt;D xsi:type="xsd:double"&gt;10.946257254717&lt;/D&gt;&lt;D xsi:type="xsd:double"&gt;11.9547783487126&lt;/D&gt;&lt;D xsi:type="xsd:double"&gt;11.3497496815832&lt;/D&gt;&lt;D xsi:type="xsd:double"&gt;11.0770211423985&lt;/D&gt;&lt;D xsi:type="xsd:double"&gt;11.9489910280939&lt;/D&gt;&lt;D xsi:type="xsd:double"&gt;11.8780626407887&lt;/D&gt;&lt;D xsi:type="xsd:double"&gt;12.8020614835487&lt;/D&gt;&lt;D xsi:type="xsd:double"&gt;12.9138954224174&lt;/D&gt;&lt;D xsi:type="xsd:double"&gt;12.2162958766131&lt;/D&gt;&lt;D xsi:type="xsd:double"&gt;13.1637060174845&lt;/D&gt;&lt;D xsi:type="xsd:double"&gt;12.994975090909&lt;/D&gt;&lt;D xsi:type="xsd:double"&gt;12.9433581148255&lt;/D&gt;&lt;D xsi:type="xsd:double"&gt;13.3910886718502&lt;/D&gt;&lt;D xsi:type="xsd:double"&gt;12.9100074323467&lt;/D&gt;&lt;D xsi:type="xsd:double"&gt;13.2541275430701&lt;/D&gt;&lt;D xsi:type="xsd:double"&gt;12.5042464280746&lt;/D&gt;&lt;D xsi:type="xsd:double"&gt;12.842768978484&lt;/D&gt;&lt;D xsi:type="xsd:double"&gt;13.4372363376074&lt;/D&gt;&lt;D xsi:type="xsd:double"&gt;13.5472472887993&lt;/D&gt;&lt;D xsi:type="xsd:double"&gt;14.1003004650223&lt;/D&gt;&lt;D xsi:type="xsd:double"&gt;14.502460952598&lt;/D&gt;&lt;D xsi:type="xsd:double"&gt;14.20204055725&lt;/D&gt;&lt;D xsi:type="xsd:double"&gt;14.5382130772282&lt;/D&gt;&lt;D xsi:type="xsd:double"&gt;13.8027379075625&lt;/D&gt;&lt;D xsi:type="xsd:double"&gt;14.3601341877491&lt;/D&gt;&lt;D xsi:type="xsd:double"&gt;14.3739612060259&lt;/D&gt;&lt;D xsi:type="xsd:double"&gt;14.8747191404314&lt;/D&gt;&lt;D xsi:type="xsd:double"&gt;15.4600398345513&lt;/D&gt;&lt;/FQL&gt;&lt;FQL&gt;&lt;Q&gt;BRENT-FDS^FG_PRICE_MAVG(0,,,,30)&lt;/Q&gt;&lt;R&gt;1&lt;/R&gt;&lt;C&gt;1&lt;/C&gt;&lt;D xsi:type="xsd:double"&gt;85.86&lt;/D&gt;&lt;/FQL&gt;&lt;FQL&gt;&lt;Q&gt;FC0000CH^FG_PRICE(0)&lt;/Q&gt;&lt;R&gt;1&lt;/R&gt;&lt;C&gt;1&lt;/C&gt;&lt;D xsi:type="xsd:double"&gt;350.4804&lt;/D&gt;&lt;/FQL&gt;&lt;FQL&gt;&lt;Q&gt;QQQ^FG_COMPANY_NAME&lt;/Q&gt;&lt;R&gt;1&lt;/R&gt;&lt;C&gt;1&lt;/C&gt;&lt;D xsi:type="xsd:string"&gt;Invesco QQQ Trust Series I&lt;/D&gt;&lt;/FQL&gt;&lt;FQL&gt;&lt;Q&gt;EWI^P_PRICE(0)/P_PRICE_HIGH_PR(0,,,,,,"PRICE","INTRA","52W")&lt;/Q&gt;&lt;R&gt;1&lt;/R&gt;&lt;C&gt;1&lt;/C&gt;&lt;D xsi:type="xsd:double"&gt;0.98889726&lt;/D&gt;&lt;/FQL&gt;&lt;FQL&gt;&lt;Q&gt;EWN^FG_TOTAL_RETURNC(0,-12AM)&lt;/Q&gt;&lt;R&gt;1&lt;/R&gt;&lt;C&gt;1&lt;/C&gt;&lt;D xsi:type="xsd:double"&gt;33.67957&lt;/D&gt;&lt;/FQL&gt;&lt;FQL&gt;&lt;Q&gt;QQQ^FG_TOTAL_RETURNC(0,-1AM)&lt;/Q&gt;&lt;R&gt;1&lt;/R&gt;&lt;C&gt;1&lt;/C&gt;&lt;D xsi:type="xsd:double"&gt;5.032003&lt;/D&gt;&lt;/FQL&gt;&lt;FQL&gt;&lt;Q&gt;EWL^FG_TOTAL_RETURNC(0,-6AM)&lt;/Q&gt;&lt;R&gt;1&lt;/R&gt;&lt;C&gt;1&lt;/C&gt;&lt;D xsi:type="xsd:double"&gt;16.402256&lt;/D&gt;&lt;/FQL&gt;&lt;FQL&gt;&lt;Q&gt;EWQ^FMA_COS_UP("EPS","1M",+1,0,,,"PORTAGG","MEANR")&lt;/Q&gt;&lt;R&gt;1&lt;/R&gt;&lt;C&gt;1&lt;/C&gt;&lt;D xsi:type="xsd:double"&gt;17&lt;/D&gt;&lt;/FQL&gt;&lt;FQL&gt;&lt;Q&gt;EWG^SIZE(FG_CONSTITUENTS)&lt;/Q&gt;&lt;R&gt;1&lt;/R&gt;&lt;C&gt;1&lt;/C&gt;&lt;D xsi:type="xsd:long"&gt;57&lt;/D&gt;&lt;/FQL&gt;&lt;FQL&gt;&lt;Q&gt;EWL^FMA_RBICS_REV_CURRENT(30, LOC, "PORTAGG")&lt;/Q&gt;&lt;R&gt;1&lt;/R&gt;&lt;C&gt;1&lt;/C&gt;&lt;D xsi:type="xsd:double"&gt;18.3792371327833&lt;/D&gt;&lt;/FQL&gt;&lt;FQL&gt;&lt;Q&gt;CAGDPY@GB^EE_ACTUAL_</t>
        </r>
      </text>
    </comment>
    <comment ref="A8" authorId="0" shapeId="0" xr:uid="{3E2AABF9-6E27-4DD0-8B59-A9CD655528E5}">
      <text>
        <r>
          <rPr>
            <b/>
            <sz val="9"/>
            <color indexed="81"/>
            <rFont val="Tahoma"/>
            <charset val="1"/>
          </rPr>
          <t>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xsi:type="xsd:double"&gt;-3.7084281&lt;/D&gt;&lt;/FQL&gt;&lt;FQL&gt;&lt;Q&gt;USDCHF^FG_PRICE_CHANGE(0,-6AM)&lt;/Q&gt;&lt;R&gt;1&lt;/R&gt;&lt;C&gt;1&lt;/C&gt;&lt;D xsi:type="xsd:double"&gt;-5.131018&lt;/D&gt;&lt;/FQL&gt;&lt;FQL&gt;&lt;Q&gt;USDUSD^FG_PRICE_CHANGE(0,-6AM)&lt;/Q&gt;&lt;R&gt;1&lt;/R&gt;&lt;C&gt;1&lt;/C&gt;&lt;D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xsi:type="xsd:double"&gt;-1.8604636&lt;/D&gt;&lt;/FQL&gt;&lt;FQL&gt;&lt;Q&gt;USDAUD^FG_PRICE_CHANGE(0,-6AM)&lt;/Q&gt;&lt;R&gt;1&lt;/R&gt;&lt;C&gt;1&lt;/C&gt;&lt;D xsi:type="xsd:double"&gt;-4.063219&lt;/D&gt;&lt;/FQL&gt;&lt;FQL&gt;&lt;Q&gt;EWN^FMA_EPS(NTMA,-20AY,0,CY,,"PORTAGG","MEANR")&lt;/Q&gt;&lt;R&gt;20&lt;/R&gt;&lt;C&gt;1&lt;/C&gt;&lt;D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xsi:type="xsd:double"&gt;2.95668122593824&lt;/D&gt;&lt;/FQL&gt;&lt;FQL&gt;&lt;Q&gt;ENZL^FMA_PE(LTMA,-10AY,0,AM,"PORTAGG","MEANR")&lt;/Q&gt;&lt;R&gt;121&lt;/R&gt;&lt;C&gt;1&lt;/C&gt;&lt;D xsi:type="xsd:double"&gt;17.6385485902579&lt;/D&gt;&lt;D xsi:type="xsd:double"&gt;18.8377461926237&lt;/D&gt;&lt;D xsi:type="xsd:double"&gt;18.9969463879188&lt;/D&gt;&lt;D xsi:type="xsd:double"&gt;19.4178331283541&lt;/D&gt;&lt;D xsi:type="xsd:double"&gt;19.8529688803707&lt;/D&gt;&lt;D xsi:type="xsd:double"&gt;20.3688063141357&lt;/D&gt;&lt;D xsi:type="xsd:double"&gt;20.1863890287462&lt;/D&gt;&lt;D xsi:type="xsd:double"&gt;20.0122692960068&lt;/D&gt;&lt;D xsi:type="xsd:double"&gt;19.7284292383101&lt;/D&gt;&lt;D xsi:type="xsd:double"&gt;19.7907254696102&lt;/D&gt;&lt;D xsi:type="xsd:double"&gt;19.3515454677995&lt;/D&gt;&lt;D xsi:type="xsd:double"&gt;19.1891217402598&lt;/D&gt;&lt;D xsi:type="xsd:double"&gt;19.1368195551428&lt;/D&gt;&lt;D xsi:type="xsd:double"&gt;19.3393543754336&lt;/D&gt;&lt;D xsi:type="xsd:double"&gt;19.44496233533&lt;/D&gt;&lt;D xsi:type="xsd:double"&gt;19.2866706508681&lt;/D&gt;&lt;D xsi:type="xsd:double"&gt;19.1750667673687&lt;/D&gt;&lt;D xsi:type="xsd:double"&gt;19.3108693452294&lt;/D&gt;&lt;D xsi:type="xsd:double"&gt;19.4676664456764&lt;/D&gt;&lt;D xsi:type="xsd:double"&gt;19.7220990516029&lt;/D&gt;&lt;D xsi:type="xsd:double"&gt;19.6036139677742&lt;/D&gt;&lt;D xsi:type="xsd:double"&gt;20.0439265022868&lt;/D&gt;&lt;D xsi:type="xsd:double"&gt;20.7226893119105&lt;/D&gt;&lt;D xsi:type="xsd:double"&gt;20.7799639113457&lt;/D&gt;&lt;D xsi:type="xsd:double"&gt;20.1044883052814&lt;/D&gt;&lt;D xsi:type="xsd:double"&gt;20.0041637422518&lt;/D&gt;&lt;D xsi:type="xsd:double"&gt;19.550714252456&lt;/D&gt;&lt;D xsi:type="xsd:double"&gt;20.4261595638738&lt;/D&gt;&lt;D xsi:type="xsd:double"&gt;20.3505065577855&lt;/D&gt;&lt;D xsi:type="xsd:double"&gt;19.7516889647336&lt;/D&gt;&lt;D xsi:type="xsd:double"&gt;19.8156364033115&lt;/D&gt;&lt;D xsi:type="xsd:double"&gt;19.9020529938396&lt;/D&gt;&lt;D xsi:type="xsd:double"&gt;20.0777917390615&lt;/D&gt;&lt;D xsi:type="xsd:double"&gt;20.2703503118862&lt;/D&gt;&lt;D xsi:type="xsd:double"&gt;20.8004019814587&lt;/D&gt;&lt;D xsi:type="xsd:double"&gt;20.4328189080726&lt;/D&gt;&lt;D xsi:type="xsd:double"&gt;20.971094719315&lt;/D&gt;&lt;D xsi:type="xsd:double"&gt;21.3020750296269&lt;/D&gt;&lt;D xsi:type="xsd:double"&gt;22.1536763149793&lt;/D&gt;&lt;D xsi:type="xsd:double"&gt;21.955691569471&lt;/D&gt;&lt;D xsi:type="xsd:double"&gt;21.8745133611313&lt;/D&gt;&lt;D xsi:type="xsd:double"&gt;22.5700914670495&lt;/D&gt;&lt;D xsi:type="xsd:double"&gt;22.3342488865492&lt;/D&gt;&lt;D xsi:type="xsd:double"&gt;22.4377334770156&lt;/D&gt;&lt;D xsi:type="xsd:double"&gt;22.8362471614615&lt;/D&gt;&lt;D xsi:type="xsd:double"&gt;22.8413884893077&lt;/D&gt;&lt;D xsi:type="xsd:double"&gt;23.1392678848738&lt;/D&gt;&lt;D xsi:type="xsd:double"&gt;23.6764457109069&lt;/D&gt;&lt;D xsi:type="xsd:double"&gt;22.8689256741023&lt;/D&gt;&lt;D xsi:type="xsd:double"&gt;22.7207778810362&lt;/D&gt;&lt;D xsi:type="xsd:double"&gt;22.6064835236337&lt;/D&gt;&lt;D xsi:type="xsd:double"&gt;23.6043249880053&lt;/D&gt;&lt;D xsi:type="xsd:double"&gt;23.8210197523605&lt;/D&gt;&lt;D xsi:type="xsd:double"&gt;24.0815029277118&lt;/D&gt;&lt;D xsi:type="xsd:double"&gt;24.1795180117208&lt;/D&gt;&lt;D xsi:type="xsd:double"&gt;24.3509707040085&lt;/D&gt;&lt;D xsi:type="xsd:double"&gt;24.2795118930777&lt;/D&gt;&lt;D xsi:type="xsd:double"&gt;25.1175095437909&lt;/D&gt;&lt;D xsi:type="xsd:double"&gt;25.0322735008327&lt;/D&gt;&lt;D xsi:type="xsd:double"&gt;28.4121521058491&lt;/D&gt;&lt;D xsi:type="xsd:double"&gt;29.1113278578983&lt;/D&gt;&lt;D xsi:type="xsd:double"&gt;29.1945796725162&lt;/D&gt;&lt;D xsi:type="xsd:double"&gt;31.8399632216408&lt;/D&gt;&lt;D xsi:type="xsd:double"&gt;33.0303772122411&lt;/D&gt;&lt;D xsi:type="xsd:double"&gt;33.5395935669278&lt;/D&gt;&lt;D xsi:type="xsd:double"&gt;29.9712046243081&lt;/D&gt;&lt;D xsi:type="xsd:double"&gt;31.6003858629154&lt;/D&gt;&lt;D xsi:type="xsd:double"&gt;32.2133524166958&lt;/D&gt;&lt;D xsi:type="xsd:double"&gt;32.3075989231661&lt;/D&gt;&lt;D xsi:type="xsd:double"&gt;33.4813233764455&lt;/D&gt;&lt;D xsi:type="xsd:double"&gt;34.2979413476371&lt;/D&gt;&lt;D xsi:type="xsd:double"&gt;33.0898242327516&lt;/D&gt;&lt;D xsi:type="xsd:double"&gt;35.1876283464168&lt;/D&gt;&lt;D xsi:type="xsd:double"&gt;35.8007895610041&lt;/D&gt;&lt;D xsi:type="xsd:double"&gt;36.523837583168&lt;/D&gt;&lt;D xsi:type="xsd:double"&gt;37.4582799472887&lt;/D&gt;&lt;D xsi:type="xsd:double"&gt;35.2818268304344&lt;/D&gt;&lt;D xsi:type="xsd:double"&gt;34.4928470331165&lt;/D&gt;&lt;D xsi:type="xsd:double"&gt;34.5250602174757&lt;/D&gt;&lt;D xsi:type="xsd:double"&gt;34.7389122089865&lt;/D&gt;&lt;D xsi:type="xsd:double"&gt;35.6980200271692&lt;/D&gt;&lt;D xsi:type="xsd:double"&gt;36.4841008346817&lt;/D&gt;&lt;D xsi:type="xsd:double"&gt;36.9476703282622&lt;/D&gt;&lt;D xsi:type="xsd:double"&gt;38.7933502524843&lt;/D&gt;&lt;D xsi:type="xsd:double"&gt;38.5251222284649&lt;/D&gt;&lt;D xsi:type="xsd:double"&gt;38.5861701727458&lt;/D&gt;&lt;D xsi:type="xsd:double"&gt;38.3685352016371&lt;/D&gt;&lt;D xsi:type="xsd:double"&gt;38.1258785321605&lt;/D&gt;&lt;D xsi:type="xsd:double"&gt;36.1299184554615&lt;/D&gt;&lt;D xsi:type="xsd:double"&gt;35.1068497302745&lt;/D&gt;&lt;D xsi:type="xsd:double"&gt;34.518490550079&lt;/D&gt;&lt;D xsi:type="xsd:double"&gt;34.0040167517344&lt;/D&gt;&lt;D xsi:type="xsd:double"&gt;32.7121798885689&lt;/D&gt;&lt;D xsi:type="xsd:double"&gt;32.9887198635787&lt;/D&gt;&lt;D xsi:type="xsd:double"&gt;34.018636993285&lt;/D&gt;&lt;D xsi:type="xsd:double"&gt;33.7357829339803&lt;/D&gt;&lt;D xsi:type="xsd:double"&gt;31.1088427212464&lt;/D&gt;&lt;D xsi:type="xsd:double"&gt;30.419378978208&lt;/D&gt;&lt;D xsi:type="xsd:double"&gt;29.579550519023&lt;/D&gt;&lt;D xsi:type="xsd:double"&gt;30.0355661356587&lt;/D&gt;&lt;D xsi:type="xsd:double"&gt;30.178710387365&lt;/D&gt;&lt;D xsi:type="xsd:double"&gt;29.074110958336&lt;/D&gt;&lt;D xsi:type="xsd:double"&gt;28.5907254302491&lt;/D&gt;&lt;D xsi:type="xsd:double"&gt;28.1913008769824&lt;/D&gt;&lt;D xsi:type="xsd:double"&gt;26.36167586459&lt;/D&gt;&lt;D xsi:type="xsd:double"&gt;25.6289235580248&lt;/D&gt;&lt;D xsi:type="xsd:double"&gt;24.4330671459104&lt;/D&gt;&lt;D xsi:type="xsd:double"&gt;24.0167626084674&lt;/D&gt;&lt;D xsi:type="xsd:double"&gt;23.183383253238&lt;/D&gt;&lt;D xsi:type="xsd:double"&gt;22.2681537549413&lt;/D&gt;&lt;D xsi:type="xsd:double"&gt;23.8682803685447&lt;/D&gt;&lt;D xsi:type="xsd:double"&gt;23.0968157830323&lt;/D&gt;&lt;D xsi:type="xsd:double"&gt;23.0635502453688&lt;/D&gt;&lt;D xsi:type="xsd:double"&gt;23.8378518107408&lt;/D&gt;&lt;D xsi:type="xsd:double"&gt;24.0883577816641&lt;/D&gt;&lt;D xsi:type="xsd:double"&gt;24.6399162512134&lt;/D&gt;&lt;D xsi:type="xsd:double"&gt;24.3919054335455&lt;/D&gt;&lt;D xsi:type="xsd:double"&gt;25.1345699805832&lt;/D&gt;&lt;D xsi:type="xsd:double"&gt;25.8696449699361&lt;/D&gt;&lt;D xsi:type="xsd:double"&gt;24.1712194629446&lt;/D&gt;&lt;D xsi:type="xsd:double"&gt;24.6022989046027&lt;/D&gt;&lt;/FQL&gt;&lt;FQL&gt;&lt;Q&gt;WL-FDS^FG_PRICE_MAVG(0,,,,30)&lt;/Q&gt;&lt;R&gt;1&lt;/R&gt;&lt;C&gt;1&lt;/C&gt;&lt;D xsi:type="xsd:double"&gt;565.5733&lt;/D&gt;&lt;/FQL&gt;&lt;FQL&gt;&lt;Q&gt;NI-FDS^FG_PRICE_MAVG(0,,,,30)&lt;/Q&gt;&lt;R&gt;1&lt;/R&gt;&lt;C&gt;1&lt;/C&gt;&lt;D xsi:type="xsd:double"&gt;16700.334&lt;/D&gt;&lt;/FQL&gt;&lt;FQL&gt;&lt;Q&gt;CPALM-FDS^FG_PRICE_MAVG(0,,,,30)&lt;/Q&gt;&lt;R&gt;1&lt;/R&gt;&lt;C&gt;1&lt;/C&gt;&lt;D xsi:type="xsd:double"&gt;4164.433&lt;/D&gt;&lt;/FQL&gt;&lt;FQL&gt;&lt;Q&gt;TIOS-FDS^FG_PRICE_MAVG(0,,,,30)&lt;/Q&gt;&lt;R&gt;1&lt;/R&gt;&lt;C&gt;1&lt;/C&gt;&lt;D xsi:type="xsd:double"&gt;99.28333&lt;/D&gt;&lt;/FQL&gt;&lt;FQL&gt;&lt;Q&gt;FC0000AU^FG_PRICE(0)&lt;/Q&gt;&lt;R&gt;1&lt;/R&gt;&lt;C&gt;1&lt;/C&gt;&lt;D xsi:type="xsd:double"&gt;388.3211&lt;/D&gt;&lt;/FQL&gt;&lt;FQL&gt;&lt;Q&gt;EWN^FG_PRICE_MAVG(0,,,,30)&lt;/Q&gt;&lt;R&gt;1&lt;/R&gt;&lt;C&gt;1&lt;/C&gt;&lt;D xsi:type="xsd:double"&gt;49.55934&lt;/D&gt;&lt;/FQL&gt;&lt;FQL&gt;&lt;Q&gt;EWU^FG_PRICE_MAVG(0,,,,30)&lt;/Q&gt;&lt;R&gt;1&lt;/R&gt;&lt;C&gt;1&lt;/C&gt;&lt;D xsi:type="xsd:double"&gt;36.991333&lt;/D&gt;&lt;/FQL&gt;&lt;FQL&gt;&lt;Q&gt;EWC^FG_PRICE_MAVG(0,,,,30)&lt;/Q&gt;&lt;R&gt;1&lt;/R&gt;&lt;C&gt;1&lt;/C&gt;&lt;D xsi:type="xsd:double"&gt;41.190666&lt;/D&gt;&lt;/FQL&gt;&lt;FQL&gt;&lt;Q&gt;FXI^FMA_PCT_ABOVE_MAVG(200,0,,,,"PORTAGG")&lt;/Q&gt;&lt;R&gt;1&lt;/R&gt;&lt;C&gt;1&lt;/C&gt;&lt;D xsi:type="xsd:double"&gt;82&lt;/D&gt;&lt;/FQL&gt;&lt;FQL&gt;&lt;Q&gt;EWQ^PERCENT_CHANGE(FMA_EPS(+1,0,,,,"PORTAGG","MEAN"),FMA_EPS(+1,-1AM,,,,"PORTAGG","MEAN"))&lt;/Q&gt;&lt;R&gt;1&lt;/R&gt;&lt;C&gt;1&lt;/C&gt;&lt;D xsi:type="xsd:double"&gt;-3.32270584768984&lt;/D&gt;&lt;/FQL&gt;&lt;FQL&gt;&lt;Q&gt;EWG^P_PRICE(0)/P_PRICE_LOW_PR(0,,,,,,"PRICE","INTRA","52W")-1&lt;/Q&gt;&lt;R&gt;1&lt;/R&gt;&lt;C&gt;1&lt;/C&gt;&lt;D xsi:type="xsd:double"&gt;0.35033393&lt;/D&gt;&lt;/FQL&gt;&lt;FQL&gt;&lt;Q&gt;EWC^FMA_PCT_ABOVE_MAVG(200,0,,,,"PORTAGG")&lt;/Q&gt;&lt;R&gt;1&lt;/R&gt;&lt;C&gt;1&lt;/C&gt;&lt;D xsi:type="xsd:double"&gt;77.9069767441861&lt;/D&gt;&lt;/FQL&gt;&lt;FQL&gt;&lt;Q&gt;ENZL^PERCENT_CHANGE(FMA_EPS(+1,0,,,,"PORTAGG","MEAN"),FMA_EPS(+1,-3AM,,,,"PORTAGG","MEAN"))&lt;/Q&gt;&lt;R&gt;1&lt;/R&gt;&lt;C&gt;1&lt;/C&gt;&lt;D xsi:type="xsd:double"&gt;10.9622952386155&lt;/D&gt;&lt;/FQL&gt;&lt;FQL&gt;&lt;Q&gt;VWO^FMA_COS_DOWN("EPS","1M",+1,0,,,"PORTAGG","MEANR")&lt;/Q&gt;&lt;R&gt;1&lt;/R&gt;&lt;C&gt;1&lt;/C&gt;&lt;D xsi:type="xsd:double"&gt;1672&lt;/D&gt;&lt;/FQL&gt;&lt;FQL&gt;&lt;Q&gt;EWC^FG_ROE(0)&lt;/Q&gt;&lt;R&gt;1&lt;/R&gt;&lt;C&gt;1&lt;/C&gt;&lt;D xsi:type="xsd:double"&gt;10.5557156840225&lt;/D&gt;&lt;/FQL&gt;&lt;FQL&gt;&lt;Q&gt;EWJ^FMA_ROE(NTMA,-20AY,NOW,FY,"PORTAGG","MEANR")&lt;/Q&gt;&lt;R&gt;20&lt;/R&gt;&lt;C&gt;1&lt;/C&gt;&lt;D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xsi:type="xsd:double"&gt;8.35596275667646&lt;/D&gt;&lt;D xsi:type="xsd:double"&gt;7.43859925247352&lt;/D&gt;&lt;D xsi:type="xsd:double"&gt;9.22076555096594&lt;/D&gt;&lt;D xsi:type="xsd:double"&gt;9.2254454729258&lt;/D&gt;&lt;D xsi:type="xsd:double"&gt;9.29976861764373&lt;/D&gt;&lt;/FQL&gt;&lt;FQL&gt;&lt;Q&gt;TRYQA10Y-FDS^FG_YIELD(-10AY,0,Y,,"YTM")&lt;/Q&gt;&lt;R&gt;10&lt;/R&gt;&lt;C&gt;1&lt;/C&gt;&lt;D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xsi:type="xsd:double"&gt;0.703&lt;/D&gt;&lt;/FQL&gt;&lt;FQL&gt;&lt;Q&gt;USDSEK^FG_PRICE_CHANGE(0,-3AM)&lt;/Q&gt;&lt;R&gt;1&lt;/R&gt;&lt;C&gt;1&lt;/C&gt;&lt;D xsi:type="xsd:double"&gt;-0.190413&lt;/D&gt;&lt;/FQL&gt;&lt;FQL&gt;&lt;Q&gt;USDCHF^FG_PRICE_CHANGE(0,-3AM)&lt;/Q&gt;&lt;R&gt;1&lt;/R&gt;&lt;C&gt;1&lt;/C&gt;&lt;D xsi:type="xsd:double"&gt;-2.1319926&lt;/D&gt;&lt;/FQL&gt;&lt;FQL&gt;&lt;Q&gt;USDEUR^FG_PRICE_CHANGE(0,-3AM)&lt;/Q&gt;&lt;R&gt;1&lt;/R&gt;&lt;C&gt;1&lt;/C&gt;&lt;D xsi:type="xsd:double"&gt;0.52958727&lt;/D&gt;&lt;/FQL&gt;&lt;FQL&gt;&lt;Q&gt;USDAUD^FG_PRICE_CHANGE(0,-3AM)&lt;/Q&gt;&lt;R&gt;1&lt;/R&gt;&lt;C&gt;1&lt;/C&gt;&lt;D xsi:type="xsd:double"&gt;0.4100561&lt;/D&gt;&lt;/FQL&gt;&lt;FQL&gt;&lt;Q&gt;CPALM-FDS^FG_PRICE(0)&lt;/Q&gt;&lt;R&gt;1&lt;/R&gt;&lt;C&gt;1&lt;/C&gt;&lt;D xsi:type="xsd:double"&gt;4318&lt;/D&gt;&lt;/FQL&gt;&lt;FQL&gt;&lt;Q&gt;TIOS-FDS^FG_PRICE(0)&lt;/Q&gt;&lt;R&gt;1&lt;/R&gt;&lt;C&gt;1&lt;/C&gt;&lt;D xsi:type="xsd:double"&gt;105.36&lt;/D&gt;&lt;/FQL&gt;&lt;FQL&gt;&lt;Q&gt;EWN^FG_PRICE(0)&lt;/Q&gt;&lt;R&gt;1&lt;/R&gt;&lt;C&gt;1&lt;/C&gt;&lt;D xsi:type="xsd:double"&gt;48.55&lt;/D&gt;&lt;/FQL&gt;&lt;FQL&gt;&lt;Q&gt;EWC^FG_PRICE(0)&lt;/Q&gt;&lt;R&gt;1&lt;/R&gt;&lt;C&gt;1&lt;/C&gt;&lt;D xsi:type="xsd:double"&gt;42.04&lt;/D&gt;&lt;/FQL&gt;&lt;FQL&gt;&lt;Q&gt;EWU^FG_COMPANY_NAME&lt;/Q&gt;&lt;R&gt;1&lt;/R&gt;&lt;C&gt;1&lt;/C&gt;&lt;D xsi:type="xsd:string"&gt;iShares MSCI United Kingdom ETF&lt;/D&gt;&lt;/FQL&gt;&lt;FQL&gt;&lt;Q&gt;VWO^FG_TOTAL_RETURNC(0,-1AM)&lt;/Q&gt;&lt;R&gt;1&lt;/R&gt;&lt;C&gt;1&lt;/C&gt;&lt;D xsi:type="xsd:double"&gt;7.753682&lt;/D&gt;&lt;/FQL&gt;&lt;FQL&gt;&lt;Q&gt;EWI^FG_TOTAL_RETURNC(0,-6AM)&lt;/Q&gt;&lt;R&gt;1&lt;/R&gt;&lt;C&gt;1&lt;/C&gt;&lt;D xsi:type="xsd:double"&gt;11.248064&lt;/D&gt;&lt;/FQL&gt;&lt;FQL&gt;&lt;Q&gt;EWL^FG_TOTAL_RETURNC(0,-3AM)&lt;/Q&gt;&lt;R&gt;1&lt;/R&gt;&lt;C&gt;1&lt;/C&gt;&lt;D xsi:type="xsd:double"&gt;3.8089514&lt;/D&gt;&lt;/FQL&gt;&lt;FQL&gt;&lt;Q&gt;CAGDPY@CH^EE_ACTUAL_ANNUAL(MED,+1)&lt;/Q&gt;&lt;R&gt;1&lt;/R&gt;&lt;C&gt;1&lt;/C&gt;&lt;D xsi:type="xsd:double"&gt;8&lt;/D&gt;&lt;/FQL&gt;&lt;FQL&gt;&lt;Q&gt;CC_JP^FG_COMPANY_NAME&lt;/Q&gt;&lt;R&gt;1&lt;/R&gt;&lt;C&gt;1&lt;/C&gt;&lt;D xsi:type="xsd:string"&gt;Japan&lt;/D&gt;&lt;/FQL&gt;&lt;FQL&gt;&lt;Q&gt;EWQ^FMA_EPS(NTMA,-20AY,0,CY,,"PORTAGG","MEANR")&lt;/Q&gt;&lt;R&gt;20&lt;/R&gt;&lt;C&gt;1&lt;/C&gt;&lt;D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xsi:type="xsd:double"&gt;2.19705970678672&lt;/D&gt;&lt;D xsi:type="xsd:double"&gt;1.85109750448731&lt;/D&gt;&lt;D xsi:type="xsd:double"&gt;2.46081748725315&lt;/D&gt;&lt;D xsi:type="xsd:double"&gt;2.80266519059803&lt;/D&gt;&lt;D xsi:type="xsd:double"&gt;2.92070467941154&lt;/D&gt;&lt;/FQL&gt;&lt;FQL&gt;&lt;Q&gt;QQQ^P_PRICE_RETURNS_PR('52W',2,-10AY,0,AM)&lt;/Q&gt;&lt;R&gt;121&lt;/R&gt;&lt;C&gt;1&lt;/C&gt;&lt;D xsi:type="xsd:double"&gt;16.737652&lt;/D&gt;&lt;D xsi:type="xsd:double"&gt;26.543331&lt;/D&gt;&lt;D xsi:type="xsd:double"&gt;22.80767&lt;/D&gt;&lt;D xsi:type="xsd:double"&gt;15.821398&lt;/D&gt;&lt;D xsi:type="xsd:double"&gt;20.553982&lt;/D&gt;&lt;D xsi:type="xsd:double"&gt;20.536173&lt;/D&gt;&lt;D xsi:type="xsd:double"&gt;24.346851&lt;/D&gt;&lt;D xsi:type="xsd:double"&gt;26.874865&lt;/D&gt;&lt;D xsi:type="xsd:double"&gt;20.381773&lt;/D&gt;&lt;D xsi:type="xsd:double"&gt;21.337664&lt;/D&gt;&lt;D xsi:type="xsd:double"&gt;14.161181&lt;/D&gt;&lt;D xsi:type="xsd:double"&gt;6.4448714&lt;/D&gt;&lt;D xsi:type="xsd:double"&gt;19.06483&lt;/D&gt;&lt;D xsi:type="xsd:double"&gt;10.782396&lt;/D&gt;&lt;D xsi:type="xsd:double"&gt;6.824112&lt;/D&gt;&lt;D xsi:type="xsd:double"&gt;2.2286057&lt;/D&gt;&lt;D xsi:type="xsd:double"&gt;-4.4738474&lt;/D&gt;&lt;D xsi:type="xsd:double"&gt;0.8048773&lt;/D&gt;&lt;D xsi:type="xsd:double"&gt;6.0679317&lt;/D&gt;&lt;D xsi:type="xsd:double"&gt;-2.7675152&lt;/D&gt;&lt;D xsi:type="xsd:double"&gt;-1.0625899&lt;/D&gt;&lt;D xsi:type="xsd:double"&gt;0.19359589&lt;/D&gt;&lt;D xsi:type="xsd:double"&gt;6.9939613&lt;/D&gt;&lt;D xsi:type="xsd:double"&gt;11.038101&lt;/D&gt;&lt;D xsi:type="xsd:double"&gt;10.242677&lt;/D&gt;&lt;D xsi:type="xsd:double"&gt;4.4163346&lt;/D&gt;&lt;D xsi:type="xsd:double"&gt;6.433618&lt;/D&gt;&lt;D xsi:type="xsd:double"&gt;23.378159&lt;/D&gt;&lt;D xsi:type="xsd:double"&gt;28.058683&lt;/D&gt;&lt;D xsi:type="xsd:double"&gt;24.105633&lt;/D&gt;&lt;D xsi:type="xsd:double"&gt;19.239735&lt;/D&gt;&lt;D xsi:type="xsd:double"&gt;30.995537&lt;/D&gt;&lt;D xsi:type="xsd:double"&gt;29.53844&lt;/D&gt;&lt;D xsi:type="xsd:double"&gt;28.504694&lt;/D&gt;&lt;D xsi:type="xsd:double"&gt;21.65525&lt;/D&gt;&lt;D xsi:type="xsd:double"&gt;25.337564&lt;/D&gt;&lt;D xsi:type="xsd:double"&gt;27.567959&lt;/D&gt;&lt;D xsi:type="xsd:double"&gt;32.041943&lt;/D&gt;&lt;D xsi:type="xsd:double"&gt;33.852184&lt;/D&gt;&lt;D xsi:type="xsd:double"&gt;35.99863&lt;/D&gt;&lt;D xsi:type="xsd:double"&gt;28.792942&lt;/D&gt;&lt;D xsi:type="xsd:double"&gt;30.732632&lt;/D&gt;&lt;D xsi:type="xsd:double"&gt;27.884542&lt;/D&gt;&lt;D xsi:type="xsd:double"&gt;23.062574&lt;/D&gt;&lt;D xsi:type="xsd:double"&gt;28.79374&lt;/D&gt;&lt;D xsi:type="xsd:double"&gt;26.719498&lt;/D&gt;&lt;D xsi:type="xsd:double"&gt;28.292477&lt;/D&gt;&lt;D xsi:type="xsd:double"&gt;26.359522&lt;/D&gt;&lt;D xsi:type="xsd:double"&gt;17.232168&lt;/D&gt;&lt;D xsi:type="xsd:double"&gt;9.219694&lt;/D&gt;&lt;D xsi:type="xsd:double"&gt;0.4207611&lt;/D&gt;&lt;D xsi:type="xsd:double"&gt;0.50828457&lt;/D&gt;&lt;D xsi:type="xsd:double"&gt;4.6530247&lt;/D&gt;&lt;D xsi:type="xsd:double"&gt;5.4278374&lt;/D&gt;&lt;D xsi:type="xsd:double"&gt;13.568056&lt;/D&gt;&lt;D xsi:type="xsd:double"&gt;9.686184&lt;/D&gt;&lt;D xsi:type="xsd:double"&gt;6.3070297&lt;/D&gt;&lt;D xsi:type="xsd:double"&gt;7.88033&lt;/D&gt;&lt;D xsi:type="xsd:double"&gt;4.0530205&lt;/D&gt;&lt;D xsi:type="xsd:double"&gt;6.2185407&lt;/D&gt;&lt;D xsi:type="xsd:double"&gt;11.684823&lt;/D&gt;&lt;D xsi:type="xsd:double"&gt;22.327305&lt;/D&gt;&lt;D xsi:type="xsd:double"&gt;33.46584&lt;/D&gt;&lt;D xsi:type="xsd:double"&gt;37.638535&lt;/D&gt;&lt;D xsi:type="xsd:double"&gt;37.64181&lt;/D&gt;&lt;D xsi:type="xsd:double"&gt;-0.40339231&lt;/D&gt;&lt;D xsi:type="xsd:double"&gt;16.01857&lt;/D&gt;&lt;D xsi:type="xsd:double"&gt;25.312733&lt;/D&gt;&lt;D xsi:type="xsd:double"&gt;32.16368&lt;/D&gt;&lt;D xsi:type="xsd:double"&gt;36.060333&lt;/D&gt;&lt;D xsi:type="xsd:double"&gt;51.071404&lt;/D&gt;&lt;D xsi:type="xsd:double"&gt;39.735043&lt;/D&gt;&lt;D xsi:type="xsd:double"&gt;50.573994&lt;/D&gt;&lt;D xsi:type="xsd:double"&gt;43.93065&lt;/D&gt;&lt;D xsi:type="xsd:double"&gt;49.07144&lt;/D&gt;&lt;D xsi:type="xsd:double"&gt;42.655647&lt;/D&gt;&lt;D xsi:type="xsd:double"&gt;42.649853&lt;/D&gt;&lt;D xsi:type="xsd:double"&gt;77.9537&lt;/D&gt;&lt;D xsi:type="xsd:double"&gt;61.38079&lt;/D&gt;&lt;D xsi:type="xsd:double"&gt;42.562984&lt;/D&gt;&lt;D xsi:type="xsd:double"&gt;41.13655&lt;/D&gt;&lt;D xsi:type="xsd:double"&gt;38.788246&lt;/D&gt;&lt;D xsi:type="xsd:double"&gt;31.044436&lt;/D&gt;&lt;D xsi:type="xsd:double"&gt;39.075947&lt;/D&gt;&lt;D xsi:type="xsd:double"&gt;29.854727&lt;/D&gt;&lt;D xsi:type="xsd:double"&gt;39.222908&lt;/D&gt;&lt;D xsi:type="xsd:double"&gt;24.427486&lt;/D&gt;&lt;D xsi:type="xsd:double"&gt;19.392347&lt;/D&gt;&lt;D xsi:type="xsd:double"&gt;3.214395&lt;/D&gt;&lt;D xsi:type="xsd:double"&gt;13.185811&lt;/D&gt;&lt;D xsi:type="xsd:double"&gt;-0.49316287&lt;/D&gt;&lt;D xsi:type="xsd:double"&gt;-9.209842&lt;/D&gt;&lt;D xsi:type="xsd:double"&gt;-20.07451&lt;/D&gt;&lt;D xsi:type="xsd:double"&gt;-18.6225&lt;/D&gt;&lt;D xsi:type="xsd:double"&gt;-8.586943&lt;/D&gt;&lt;D xsi:type="xsd:double"&gt;-23.098648&lt;/D&gt;&lt;D xsi:type="xsd:double"&gt;-26.69698&lt;/D&gt;&lt;D xsi:type="xsd:double"&gt;-28.665483&lt;/D&gt;&lt;D xsi:type="xsd:double"&gt;-28.665369&lt;/D&gt;&lt;D xsi:type="xsd:double"&gt;-24.457853&lt;/D&gt;&lt;D xsi:type="xsd:double"&gt;-12.180513&lt;/D&gt;&lt;D xsi:type="xsd:double"&gt;-10.694676&lt;/D&gt;&lt;D xsi:type="xsd:double"&gt;-5.134445&lt;/D&gt;&lt;D xsi:type="xsd:double"&gt;16.73113&lt;/D&gt;&lt;D xsi:type="xsd:double"&gt;36.609913&lt;/D&gt;&lt;D xsi:type="xsd:double"&gt;34.242188&lt;/D&gt;&lt;D xsi:type="xsd:double"&gt;9.538853&lt;/D&gt;&lt;D xsi:type="xsd:double"&gt;29.216253&lt;/D&gt;&lt;D xsi:type="xsd:double"&gt;34.75908&lt;/D&gt;&lt;D xsi:type="xsd:double"&gt;36.465824&lt;/D&gt;&lt;D xsi:type="xsd:double"&gt;49.74122&lt;/D&gt;&lt;D xsi:type="xsd:double"&gt;49.6457&lt;/D&gt;&lt;D xsi:type="xsd:double"&gt;42.939877&lt;/D&gt;&lt;D xsi:type="xsd:double"&gt;44.443176&lt;/D&gt;&lt;D xsi:type="xsd:double"&gt;33.672558&lt;/D&gt;&lt;D xsi:type="xsd:double"&gt;37.34207&lt;/D&gt;&lt;D xsi:type="xsd:double"&gt;32.753433&lt;/D&gt;&lt;D xsi:type="xsd:double"&gt;25.160467&lt;/D&gt;&lt;D xsi:type="xsd:double"&gt;31.931173&lt;/D&gt;&lt;D xsi:type="xsd:double"&gt;27.880991&lt;/D&gt;&lt;D xsi:type="xsd:double"&gt;37.010647&lt;/D&gt;&lt;/FQL&gt;&lt;FQL&gt;&lt;Q&gt;EWL^FG_TOTAL_RETURNC(-10AY,0,AM)&lt;/Q&gt;&lt;R&gt;121&lt;/R&gt;&lt;C&gt;1&lt;/C&gt;&lt;D xsi:type="xsd:double"&gt;-8.231068&lt;/D&gt;&lt;D xsi:type="xsd:double"&gt;7.208085&lt;/D&gt;&lt;D xsi:type="xsd:double"&gt;-1.3081849&lt;/D&gt;&lt;D xsi:type="xsd:double"&gt;0.52405596&lt;/D&gt;&lt;D xsi:type="xsd:double"&gt;1.0732889&lt;/D&gt;&lt;D xsi:type="xsd:double"&gt;1.7293692&lt;/D&gt;&lt;D xsi:type="xsd:double"&gt;3.2209992&lt;/D&gt;&lt;D xsi:type="xsd:double"&gt;3.4094214&lt;/D&gt;&lt;D xsi:type="xsd:double"&gt;-3.2411277&lt;/D&gt;&lt;D xsi:type="xsd:double"&gt;1.3535619&lt;/D&gt;&lt;D xsi:type="xsd:double"&gt;-2.4504066&lt;/D&gt;&lt;D xsi:type="xsd:double"&gt;-5.4425774&lt;/D&gt;&lt;D xsi:type="xsd:double"&gt;1.6445279&lt;/D&gt;&lt;D xsi:type="xsd:double"&gt;-2.893591&lt;/D&gt;&lt;D xsi:type="xsd:double"&gt;-2.2428691&lt;/D&gt;&lt;D xsi:type="xsd:double"&gt;-6.26024&lt;/D&gt;&lt;D xsi:type="xsd:double"&gt;-0.034964085&lt;/D&gt;&lt;D xsi:type="xsd:double"&gt;3.7425637&lt;/D&gt;&lt;D xsi:type="xsd:double"&gt;3.573835&lt;/D&gt;&lt;D xsi:type="xsd:double"&gt;-2.5390565&lt;/D&gt;&lt;D xsi:type="xsd:double"&gt;0.1670003&lt;/D&gt;&lt;D xsi:type="xsd:double"&gt;2.251339&lt;/D&gt;&lt;D xsi:type="xsd:double"&gt;3.7495732&lt;/D&gt;&lt;D xsi:type="xsd:double"&gt;-3.0009687&lt;/D&gt;&lt;D xsi:type="xsd:double"&gt;-1.0312676&lt;/D&gt;&lt;D xsi:type="xsd:double"&gt;-3.7647069&lt;/D&gt;&lt;D xsi:type="xsd:double"&gt;1.7464161&lt;/D&gt;&lt;D xsi:type="xsd:double"&gt;3.978324&lt;/D&gt;&lt;D xsi:type="xsd:double"&gt;2.5768042&lt;/D&gt;&lt;D xsi:type="xsd:double"&gt;3.413856&lt;/D&gt;&lt;D xsi:type="xsd:double"&gt;-0.34257174&lt;/D&gt;&lt;D xsi:type="xsd:double"&gt;7.2812557&lt;/D&gt;&lt;D xsi:type="xsd:double"&gt;1.3399363&lt;/D&gt;&lt;D xsi:type="xsd:double"&gt;1.7857909&lt;/D&gt;&lt;D xsi:type="xsd:double"&gt;-2.192092&lt;/D&gt;&lt;D xsi:type="xsd:double"&gt;2.5951028&lt;/D&gt;&lt;D xsi:type="xsd:double"&gt;0.9772897&lt;/D&gt;&lt;D xsi:type="xsd:double"&gt;-2.106464&lt;/D&gt;&lt;D xsi:type="xsd:double"&gt;2.99505&lt;/D&gt;&lt;D xsi:type="xsd:double"&gt;3.4726262&lt;/D&gt;&lt;D xsi:type="xsd:double"&gt;-1.9099593&lt;/D&gt;&lt;D xsi:type="xsd:double"&gt;-3.0041754&lt;/D&gt;&lt;D xsi:type="xsd:double"&gt;-0.54487586&lt;/D&gt;&lt;D xsi:type="xsd:double"&gt;-0.86504817&lt;/D&gt;&lt;D xsi:type="xsd:double"&gt;-3.2867968&lt;/D&gt;&lt;D xsi:type="xsd:double"&gt;3.5558343&lt;/D&gt;&lt;D xsi:type="xsd:double"&gt;1.2205958&lt;/D&gt;&lt;D xsi:type="xsd:double"&gt;2.382362&lt;/D&gt;&lt;D xsi:type="xsd:double"&gt;-6.4923944&lt;/D&gt;&lt;D xsi:type="xsd:double"&gt;1.105988&lt;/D&gt;&lt;D xsi:type="xsd:double"&gt;-4.497111&lt;/D&gt;&lt;D xsi:type="xsd:double"&gt;6.1724424&lt;/D&gt;&lt;D xsi:type="xsd:double"&gt;1.7980337&lt;/D&gt;&lt;D xsi:type="xsd:double"&gt;4.0329695&lt;/D&gt;&lt;D xsi:type="xsd:double"&gt;1.3016343&lt;/D&gt;&lt;D xsi:type="xsd:double"&gt;0.6145239&lt;/D&gt;&lt;D xsi:type="xsd:double"&gt;4.6049237&lt;/D&gt;&lt;D xsi:type="xsd:double"&gt;2.2481084&lt;/D&gt;&lt;D xsi:type="xsd:double"&gt;-2.092719&lt;/D&gt;&lt;D xsi:type="xsd:double"&gt;1.5422106&lt;/D&gt;&lt;D xsi:type="xsd:double"&gt;0.15987158&lt;/D&gt;&lt;D xsi:type="xsd:double"&gt;3.3785582&lt;/D&gt;&lt;D xsi:type="xsd:double"&gt;2.9593349&lt;/D&gt;&lt;D xsi:type="xsd:double"&gt;3.9490223&lt;/D&gt;&lt;D xsi:type="xsd:double"&gt;0.7694125&lt;/D&gt;&lt;D xsi:type="xsd:double"&gt;-25.17299&lt;/D&gt;&lt;D xsi:type="xsd:double"&gt;18.207909&lt;/D&gt;&lt;D xsi:type="xsd:double"&gt;0.9981036&lt;/D&gt;&lt;D xsi:type="xsd:double"&gt;6.376195&lt;/D&gt;&lt;D xsi:type="xsd:double"&gt;4.4143915&lt;/D&gt;&lt;D xsi:type="xsd:double"&gt;2.297175&lt;/D&gt;&lt;D xsi:type="xsd:double"&gt;1.9350171&lt;/D&gt;&lt;D xsi:type="xsd:double"&gt;-2.929461&lt;/D&gt;&lt;D xsi:type="xsd:double"&gt;3.2351494&lt;/D&gt;&lt;D xsi:type="xsd:double"&gt;3.679037&lt;/D&gt;&lt;D xsi:type="xsd:double"&gt;1.8280268&lt;/D&gt;&lt;D xsi:type="xsd:double"&gt;-0.79787374&lt;/D&gt;&lt;D xsi:type="xsd:double"&gt;-1.6309202&lt;/D&gt;&lt;D xsi:type="xsd:double"&gt;6.2684536&lt;/D&gt;&lt;D xsi:type="xsd:double"&gt;1.517415&lt;/D&gt;&lt;D xsi:type="xsd:double"&gt;4.2244315&lt;/D&gt;&lt;D xsi:type="xsd:double"&gt;1.049161&lt;/D&gt;&lt;D xsi:type="xsd:double"&gt;3.7255764&lt;/D&gt;&lt;D xsi:type="xsd:double"&gt;-5.0049067&lt;/D&gt;&lt;D xsi:type="xsd:double"&gt;0.45454502&lt;/D&gt;&lt;D xsi:type="xsd:double"&gt;4.9568057&lt;/D&gt;&lt;D xsi:type="xsd:double"&gt;0.3723383&lt;/D&gt;&lt;D xsi:type="xsd:double"&gt;-0.937134&lt;/D&gt;&lt;D xsi:type="xsd:double"&gt;-4.808831&lt;/D&gt;&lt;D xsi:type="xsd:double"&gt;1.387167&lt;/D&gt;&lt;D xsi:type="xsd:double"&gt;0.24504662&lt;/D&gt;&lt;D xsi:type="xsd:double"&gt;-11.000204&lt;/D&gt;&lt;D xsi:type="xsd:double"&gt;-7.745683&lt;/D&gt;&lt;D xsi:type="xsd:double"&gt;4.0506244&lt;/D&gt;&lt;D xsi:type="xsd:double"&gt;4.7445297&lt;/D&gt;&lt;D xsi:type="xsd:double"&gt;-6.852502&lt;/D&gt;&lt;D xsi:type="xsd:double"&gt;-3.6907732&lt;/D&gt;&lt;D xsi:type="xsd:double"&gt;9.010876&lt;/D&gt;&lt;D xsi:type="xsd:double"&gt;-0.71258545&lt;/D&gt;&lt;D xsi:type="xsd:double"&gt;7.799053&lt;/D&gt;&lt;D xsi:type="xsd:double"&gt;-0.33289194&lt;/D&gt;&lt;D xsi:type="xsd:double"&gt;-5.165887&lt;/D&gt;&lt;D xsi:type="xsd:double"&gt;11.152851&lt;/D&gt;&lt;D xsi:type="xsd:double"&gt;1.119554&lt;/D&gt;&lt;D xsi:type="xsd:double"&gt;-0.7452965&lt;/D&gt;&lt;D xsi:type="xsd:double"&gt;2.281034&lt;/D&gt;&lt;D xsi:type="xsd:double"&gt;-5.1546335&lt;/D&gt;&lt;D xsi:type="xsd:double"&gt;0.22182465&lt;/D&gt;&lt;D xsi:type="xsd:double"&gt;-4.4931355&lt;/D&gt;&lt;D xsi:type="xsd:double"&gt;3.1749725&lt;/D&gt;&lt;D xsi:type="xsd:double"&gt;5.503142&lt;/D&gt;&lt;D xsi:type="xsd:double"&gt;-0.17032623&lt;/D&gt;&lt;D xsi:type="xsd:double"&gt;-0.46918392&lt;/D&gt;&lt;D xsi:type="xsd:double"&gt;2.1855593&lt;/D&gt;&lt;D xsi:type="xsd:double"&gt;-5.263156&lt;/D&gt;&lt;D xsi:type="xsd:double"&gt;8.388674&lt;/D&gt;&lt;D xsi:type="xsd:double"&gt;2.7648926&lt;/D&gt;&lt;D xsi:type="xsd:double"&gt;0.6695032&lt;/D&gt;&lt;D xsi:type="xsd:double"&gt;2.297461&lt;/D&gt;&lt;D xsi:type="xsd:double"&gt;0.7880211&lt;/D&gt;&lt;D xsi:type="xsd:double"&gt;0.6841302&lt;/D&gt;&lt;/FQL&gt;&lt;FQL&gt;&lt;Q&gt;EWG^FMA_DIV_YLD(NTMA,-10AY,0,AM,"PORTAGG","MEANR")&lt;/Q&gt;&lt;R&gt;121&lt;/R&gt;&lt;C&gt;1&lt;/C&gt;&lt;D xsi:type="xsd:double"&gt;3.4220880623056&lt;/D&gt;&lt;D xsi:type="xsd:double"&gt;3.28653014644088&lt;/D&gt;&lt;D xsi:type="xsd:double"&gt;3.18536574383235&lt;/D&gt;&lt;D xsi:type="xsd:double"&gt;3.08590128961542&lt;/D&gt;&lt;D xsi:type="xsd:double"&gt;2.87618421017995&lt;/D&gt;&lt;D xsi:type="xsd:double"&gt;2.67373680991806&lt;/D&gt;&lt;D xsi:type="xsd:double"&gt;2.76424074100679&lt;/D&gt;&lt;D xsi:type="xsd:double"&gt;2.86794978451431&lt;/D&gt;&lt;D xsi:type="xsd:double"&gt;3.04371884362411&lt;/D&gt;&lt;D xsi:type="xsd:double"&gt;2.91049228103939&lt;/D&gt;&lt;D xsi:type="xsd:double"&gt;3.12619945034466&lt;/D&gt;&lt;D xsi:type="xsd:double"&gt;3.44090001248301&lt;/D&gt;&lt;D xsi:type="xsd:double"&gt;3.31652362997191&lt;/D&gt;&lt;D xsi:type="xsd:double"&gt;2.95535398254811&lt;/D&gt;&lt;D xsi:type="xsd:double"&gt;3.07318208695764&lt;/D&gt;&lt;D xsi:type="xsd:double"&gt;3.42500558004797&lt;/D&gt;&lt;D xsi:type="xsd:double"&gt;3.47155136012871&lt;/D&gt;&lt;D xsi:type="xsd:double"&gt;3.30419866262761&lt;/D&gt;&lt;D xsi:type="xsd:double"&gt;3.25137495960422&lt;/D&gt;&lt;D xsi:type="xsd:double"&gt;3.3614923495679&lt;/D&gt;&lt;D xsi:type="xsd:double"&gt;3.50515725063525&lt;/D&gt;&lt;D xsi:type="xsd:double"&gt;3.35075186455563&lt;/D&gt;&lt;D xsi:type="xsd:double"&gt;3.17504929758571&lt;/D&gt;&lt;D xsi:type="xsd:double"&gt;3.26531861693927&lt;/D&gt;&lt;D xsi:type="xsd:double"&gt;3.12948328121217&lt;/D&gt;&lt;D xsi:type="xsd:double"&gt;3.17988647226837&lt;/D&gt;&lt;D xsi:type="xsd:double"&gt;2.98869973323847&lt;/D&gt;&lt;D xsi:type="xsd:double"&gt;2.95310918629551&lt;/D&gt;&lt;D xsi:type="xsd:double"&gt;2.93697685304883&lt;/D&gt;&lt;D xsi:type="xsd:double"&gt;2.93582510261744&lt;/D&gt;&lt;D xsi:type="xsd:double"&gt;2.97068681728641&lt;/D&gt;&lt;D xsi:type="xsd:double"&gt;2.93079698618164&lt;/D&gt;&lt;D xsi:type="xsd:double"&gt;2.92392191708105&lt;/D&gt;&lt;D xsi:type="xsd:double"&gt;3.01523066392216&lt;/D&gt;&lt;D xsi:type="xsd:double"&gt;3.1177176948963&lt;/D&gt;&lt;D xsi:type="xsd:double"&gt;3.042417819834&lt;/D&gt;&lt;D xsi:type="xsd:double"&gt;2.94511052862043&lt;/D&gt;&lt;D xsi:type="xsd:double"&gt;2.95719677474329&lt;/D&gt;&lt;D xsi:type="xsd:double"&gt;2.86364956293989&lt;/D&gt;&lt;D xsi:type="xsd:double"&gt;2.8801871274447&lt;/D&gt;&lt;D xsi:type="xsd:double"&gt;3.11430430654098&lt;/D&gt;&lt;D xsi:type="xsd:double"&gt;3.16067180542612&lt;/D&gt;&lt;D xsi:type="xsd:double"&gt;3.14762392385229&lt;/D&gt;&lt;D xsi:type="xsd:double"&gt;3.09424852060369&lt;/D&gt;&lt;D xsi:type="xsd:double"&gt;3.13805354113238&lt;/D&gt;&lt;D xsi:type="xsd:double"&gt;3.16367037237914&lt;/D&gt;&lt;D xsi:type="xsd:double"&gt;3.30404631047552&lt;/D&gt;&lt;D xsi:type="xsd:double"&gt;3.32161276605737&lt;/D&gt;&lt;D xsi:type="xsd:double"&gt;3.51172059860775&lt;/D&gt;&lt;D xsi:type="xsd:double"&gt;3.63652245238099&lt;/D&gt;&lt;D xsi:type="xsd:double"&gt;3.8878840839689&lt;/D&gt;&lt;D xsi:type="xsd:double"&gt;3.71411516331461&lt;/D&gt;&lt;D xsi:type="xsd:double"&gt;3.67149104071305&lt;/D&gt;&lt;D xsi:type="xsd:double"&gt;3.56751756417327&lt;/D&gt;&lt;D xsi:type="xsd:double"&gt;3.41653387691734&lt;/D&gt;&lt;D xsi:type="xsd:double"&gt;3.50502238892625&lt;/D&gt;&lt;D xsi:type="xsd:double"&gt;3.51175863679063&lt;/D&gt;&lt;D xsi:type="xsd:double"&gt;3.48570311267477&lt;/D&gt;&lt;D xsi:type="xsd:double"&gt;3.63925440864288&lt;/D&gt;&lt;D xsi:type="xsd:double"&gt;3.40148424619104&lt;/D&gt;&lt;D xsi:type="xsd:double"&gt;3.33763277826815&lt;/D&gt;&lt;D xsi:type="xsd:double"&gt;3.12058324061507&lt;/D&gt;&lt;D xsi:type="xsd:double"&gt;3.09466067346845&lt;/D&gt;&lt;D xsi:type="xsd:double"&gt;3.0382588387476&lt;/D&gt;&lt;D xsi:type="xsd:double"&gt;3.01719655436079&lt;/D&gt;&lt;D xsi:type="xsd:double"&gt;4.84178212563649&lt;/D&gt;&lt;D xsi:type="xsd:double"&gt;3.49349703415107&lt;/D&gt;&lt;D xsi:type="xsd:double"&gt;3.2752319075673&lt;/D&gt;&lt;D xsi:type="xsd:double"&gt;2.90445415936478&lt;/D&gt;&lt;D xsi:type="xsd:double"&gt;2.80681755893813&lt;/D&gt;&lt;D xsi:type="xsd:double"&gt;2.81395460558255&lt;/D&gt;&lt;D xsi:type="xsd:double"&gt;2.8129441910771&lt;/D&gt;&lt;D xsi:type="xsd:double"&gt;2.81305167363034&lt;/D&gt;&lt;D xsi:type="xsd:double"&gt;2.82592670791488&lt;/D&gt;&lt;D xsi:type="xsd:double"&gt;2.72254404192985&lt;/D&gt;&lt;D xsi:type="xsd:double"&gt;2.73319995329037&lt;/D&gt;&lt;D xsi:type="xsd:double"&gt;2.77301122368926&lt;/D&gt;&lt;D xsi:type="xsd:double"&gt;2.7219216175739&lt;/D&gt;&lt;D xsi:type="xsd:double"&gt;2.66769544526083&lt;/D&gt;&lt;D xsi:type="xsd:double"&gt;2.81898267867862&lt;/D&gt;&lt;D xsi:type="xsd:double"&gt;2.82074645057286&lt;/D&gt;&lt;D xsi:type="xsd:double"&gt;2.83447633691451&lt;/D&gt;&lt;D xsi:type="xsd:double"&gt;2.82168458081837&lt;/D&gt;&lt;D xsi:type="xsd:double"&gt;2.9137904762881&lt;/D&gt;&lt;D xsi:type="xsd:double"&gt;2.96002320802678&lt;/D&gt;&lt;D xsi:type="xsd:double"&gt;2.93023477658387&lt;/D&gt;&lt;D xsi:type="xsd:double"&gt;3.08326122309408&lt;/D&gt;&lt;D xsi:type="xsd:double"&gt;3.09099881434699&lt;/D&gt;&lt;D xsi:type="xsd:double"&gt;3.30030622875635&lt;/D&gt;&lt;D xsi:type="xsd:double"&gt;3.50962915452128&lt;/D&gt;&lt;D xsi:type="xsd:double"&gt;3.62973193495605&lt;/D&gt;&lt;D xsi:type="xsd:double"&gt;3.84700833516122&lt;/D&gt;&lt;D xsi:type="xsd:double"&gt;4.09883634768671&lt;/D&gt;&lt;D xsi:type="xsd:double"&gt;4.16806063927056&lt;/D&gt;&lt;D xsi:type="xsd:double"&gt;3.9525424273891&lt;/D&gt;&lt;D xsi:type="xsd:double"&gt;4.24125825017283&lt;/D&gt;&lt;D xsi:type="xsd:double"&gt;4.23738178609858&lt;/D&gt;&lt;D xsi:type="xsd:double"&gt;3.74976860434257&lt;/D&gt;&lt;D xsi:type="xsd:double"&gt;3.87110529147815&lt;/D&gt;&lt;D xsi:type="xsd:double"&gt;3.50026893413263&lt;/D&gt;&lt;D xsi:type="xsd:double"&gt;3.45665631255926&lt;/D&gt;&lt;D xsi:type="xsd:double"&gt;3.72225811670849&lt;/D&gt;&lt;D xsi:type="xsd:double"&gt;3.4968228018492&lt;/D&gt;&lt;D xsi:type="xsd:double"&gt;3.56103122496401&lt;/D&gt;&lt;D xsi:type="xsd:double"&gt;3.56402672129097&lt;/D&gt;&lt;D xsi:type="xsd:double"&gt;3.64736111211975&lt;/D&gt;&lt;D xsi:type="xsd:double"&gt;3.77701230797563&lt;/D&gt;&lt;D xsi:type="xsd:double"&gt;3.7594833952784&lt;/D&gt;&lt;D xsi:type="xsd:double"&gt;3.95532367601128&lt;/D&gt;&lt;D xsi:type="xsd:double"&gt;3.70744938261105&lt;/D&gt;&lt;D xsi:type="xsd:double"&gt;3.56437963684788&lt;/D&gt;&lt;D xsi:type="xsd:double"&gt;3.63386501538131&lt;/D&gt;&lt;D xsi:type="xsd:double"&gt;3.48692752684115&lt;/D&gt;&lt;D xsi:type="xsd:double"&gt;3.32131280077981&lt;/D&gt;&lt;D xsi:type="xsd:double"&gt;3.39182584181085&lt;/D&gt;&lt;D xsi:type="xsd:double"&gt;3.32094526335217&lt;/D&gt;&lt;D xsi:type="xsd:double"&gt;3.45208784019989&lt;/D&gt;&lt;D xsi:type="xsd:double"&gt;3.40941952056294&lt;/D&gt;&lt;D xsi:type="xsd:double"&gt;3.44087928755804&lt;/D&gt;&lt;D xsi:type="xsd:double"&gt;3.32235390015967&lt;/D&gt;&lt;D xsi:type="xsd:double"&gt;3.09803295555833&lt;/D&gt;&lt;/FQL&gt;&lt;FQL&gt;&lt;Q&gt;EWA^FMA_PE(NTMA,-10AY,0,AM,"PORTAGG","MEANR")&lt;/Q&gt;&lt;R&gt;121&lt;/R&gt;&lt;C&gt;1&lt;/C&gt;&lt;D xsi:type="xsd:double"&gt;13.9235147185662&lt;/D&gt;&lt;D xsi:type="xsd:double"&gt;14.2143522569018&lt;/D&gt;&lt;D xsi:type="xsd:double"&gt;13.8865226993557&lt;/D&gt;&lt;D xsi:type="xsd:double"&gt;14.4484274764468&lt;/D&gt;&lt;D xsi:type="xsd:double"&gt;16.2594857148758&lt;/D&gt;&lt;D xsi:type="xsd:double"&gt;16.0517149494305&lt;/D&gt;&lt;D xsi:type="xsd:double"&gt;16.4311562951369&lt;/D&gt;&lt;D xsi:type="xsd:double"&gt;15.8840228831958&lt;/D&gt;&lt;D xsi:type="xsd:double"&gt;15.3156530870609&lt;/D&gt;&lt;D xsi:type="xsd:double"&gt;15.5780870981543&lt;/D&gt;&lt;D xsi:type="xsd:double"&gt;14.7778917780462&lt;/D&gt;&lt;D xsi:type="xsd:double"&gt;14.6497971243511&lt;/D&gt;&lt;D xsi:type="xsd:double"&gt;15.0738126732397&lt;/D&gt;&lt;D xsi:type="xsd:double"&gt;14.7432291458896&lt;/D&gt;&lt;D xsi:type="xsd:double"&gt;15.0527535956953&lt;/D&gt;&lt;D xsi:type="xsd:double"&gt;14.5769176103174&lt;/D&gt;&lt;D xsi:type="xsd:double"&gt;15.415856193594&lt;/D&gt;&lt;D xsi:type="xsd:double"&gt;16.1506061467616&lt;/D&gt;&lt;D xsi:type="xsd:double"&gt;15.8418266757079&lt;/D&gt;&lt;D xsi:type="xsd:double"&gt;16.4968885856731&lt;/D&gt;&lt;D xsi:type="xsd:double"&gt;15.7630738048685&lt;/D&gt;&lt;D xsi:type="xsd:double"&gt;16.5215551682704&lt;/D&gt;&lt;D xsi:type="xsd:double"&gt;16.720156518589&lt;/D&gt;&lt;D xsi:type="xsd:double"&gt;15.8920567278143&lt;/D&gt;&lt;D xsi:type="xsd:double"&gt;16.0813323264946&lt;/D&gt;&lt;D xsi:type="xsd:double"&gt;15.725058158022&lt;/D&gt;&lt;D xsi:type="xsd:double"&gt;15.5675462201942&lt;/D&gt;&lt;D xsi:type="xsd:double"&gt;15.8102062197153&lt;/D&gt;&lt;D xsi:type="xsd:double"&gt;16.0601710720143&lt;/D&gt;&lt;D xsi:type="xsd:double"&gt;15.7588330907249&lt;/D&gt;&lt;D xsi:type="xsd:double"&gt;15.7529645687295&lt;/D&gt;&lt;D xsi:type="xsd:double"&gt;15.3786816826317&lt;/D&gt;&lt;D xsi:type="xsd:double"&gt;15.4931070075755&lt;/D&gt;&lt;D xsi:type="xsd:double"&gt;15.527511543296&lt;/D&gt;&lt;D xsi:type="xsd:double"&gt;15.7267693305031&lt;/D&gt;&lt;D xsi:type="xsd:double"&gt;15.5867213235601&lt;/D&gt;&lt;D xsi:type="xsd:double"&gt;15.8802002637073&lt;/D&gt;&lt;D xsi:type="xsd:double"&gt;15.8505622006117&lt;/D&gt;&lt;D xsi:type="xsd:double"&gt;15.9188657215044&lt;/D&gt;&lt;D xsi:type="xsd:double"&gt;15.7263856102845&lt;/D&gt;&lt;D xsi:type="xsd:double"&gt;15.3536324233092&lt;/D&gt;&lt;D xsi:type="xsd:double"&gt;15.2802382453732&lt;/D&gt;&lt;D xsi:type="xsd:double"&gt;15.0133301232438&lt;/D&gt;&lt;D xsi:type="xsd:double"&gt;15.4546380810113&lt;/D&gt;&lt;D xsi:type="xsd:double"&gt;15.1487236634042&lt;/D&gt;&lt;D xsi:type="xsd:double"&gt;15.5485480176819&lt;/D&gt;&lt;D xsi:type="xsd:double"&gt;15.7882168000345&lt;/D&gt;&lt;D xsi:type="xsd:double"&gt;15.1858530349023&lt;/D&gt;&lt;D xsi:type="xsd:double"&gt;14.5476794991797&lt;/D&gt;&lt;D xsi:type="xsd:double"&gt;14.1756193041024&lt;/D&gt;&lt;D xsi:type="xsd:double"&gt;13.8268893206285&lt;/D&gt;&lt;D xsi:type="xsd:double"&gt;14.7056799229484&lt;/D&gt;&lt;D xsi:type="xsd:double"&gt;15.0265526899971&lt;/D&gt;&lt;D xsi:type="xsd:double"&gt;15.2874582417404&lt;/D&gt;&lt;D xsi:type="xsd:double"&gt;15.3050573638258&lt;/D&gt;&lt;D xsi:type="xsd:double"&gt;15.4211261748783&lt;/D&gt;&lt;D xsi:type="xsd:double"&gt;15.9813320732357&lt;/D&gt;&lt;D xsi:type="xsd:double"&gt;16.158992742916&lt;/D&gt;&lt;D xsi:type="xsd:double"&gt;15.6315583818044&lt;/D&gt;&lt;D xsi:type="xsd:double"&gt;16.6038791556273&lt;/D&gt;&lt;D xsi:type="xsd:double"&gt;16.7442536794559&lt;/D&gt;&lt;D xsi:type="xsd:double"&gt;17.2038690780042&lt;/D&gt;&lt;D xsi:type="xsd:double"&gt;17.5504845025163&lt;/D&gt;&lt;D xsi:type="xsd:double"&gt;18.0366424178214&lt;/D&gt;&lt;D xsi:type="xsd:double"&gt;18.3084043353822&lt;/D&gt;&lt;D xsi:type="xsd:double"&gt;12.8567765744637&lt;/D&gt;&lt;D xsi:type="xsd:double"&gt;16.5885771870724&lt;/D&gt;&lt;D xsi:type="xsd:double"&gt;17.4356243155013&lt;/D&gt;&lt;D xsi:type="xsd:double"&gt;19.0548410005757&lt;/D&gt;&lt;D xsi:type="xsd:double"&gt;19.1954402167833&lt;/D&gt;&lt;D xsi:type="xsd:double"&gt;19.7254312938205&lt;/D&gt;&lt;D xsi:type="xsd:double"&gt;18.4361011985897&lt;/D&gt;&lt;D xsi:type="xsd:double"&gt;18.5841508828969&lt;/D&gt;&lt;D xsi:type="xsd:double"&gt;19.4659217346811&lt;/D&gt;&lt;D xsi:type="xsd:double"&gt;19.3743939355789&lt;/D&gt;&lt;D xsi:type="xsd:double"&gt;19.1787307901296&lt;/D&gt;&lt;D xsi:type="xsd:double"&gt;18.6336393140522&lt;/D&gt;&lt;D xsi:type="xsd:double"&gt;18.0099400265711&lt;/D&gt;&lt;D xsi:type="xsd:double"&gt;18.2188081801904&lt;/D&gt;&lt;D xsi:type="xsd:double"&gt;17.8958608234105&lt;/D&gt;&lt;D xsi:type="xsd:double"&gt;18.0435982414031&lt;/D&gt;&lt;D xsi:type="xsd:double"&gt;16.7966839471323&lt;/D&gt;&lt;D xsi:type="xsd:double"&gt;17.0978053734999&lt;/D&gt;&lt;D xsi:type="xsd:double"&gt;16.9877472315411&lt;/D&gt;&lt;D xsi:type="xsd:double"&gt;17.4322074921263&lt;/D&gt;&lt;D xsi:type="xsd:double"&gt;17.1710352398768&lt;/D&gt;&lt;D xsi:type="xsd:double"&gt;17.1221553450961&lt;/D&gt;&lt;D xsi:type="xsd:double"&gt;17.4010127740468&lt;/D&gt;&lt;D xsi:type="xsd:double"&gt;15.7619702805984&lt;/D&gt;&lt;D xsi:type="xsd:double"&gt;16.0050291911414&lt;/D&gt;&lt;D xsi:type="xsd:double"&gt;15.5931052104297&lt;/D&gt;&lt;D xsi:type="xsd:double"&gt;14.3987195192137&lt;/D&gt;&lt;D xsi:type="xsd:double"&gt;12.4496745403917&lt;/D&gt;&lt;D xsi:type="xsd:double"&gt;12.9927089330318&lt;/D&gt;&lt;D xsi:type="xsd:double"&gt;14.1590277535445&lt;/D&gt;&lt;D xsi:type="xsd:double"&gt;13.1795041024959&lt;/D&gt;&lt;D xsi:type="xsd:double"&gt;13.0507092361876&lt;/D&gt;&lt;D xsi:type="xsd:double"&gt;14.2856401395551&lt;/D&gt;&lt;D xsi:type="xsd:double"&gt;14.0589367730007&lt;/D&gt;&lt;D xsi:type="xsd:double"&gt;14.8075917411143&lt;/D&gt;&lt;D xsi:type="xsd:double"&gt;14.6878779855471&lt;/D&gt;&lt;D xsi:type="xsd:double"&gt;13.9201466758633&lt;/D&gt;&lt;D xsi:type="xsd:double"&gt;14.7069147570802&lt;/D&gt;&lt;D xsi:type="xsd:double"&gt;14.5169657813233&lt;/D&gt;&lt;D xsi:type="xsd:double"&gt;15.0516797816379&lt;/D&gt;&lt;D xsi:type="xsd:double"&gt;15.3367142145221&lt;/D&gt;&lt;D xsi:type="xsd:double"&gt;14.9345129982042&lt;/D&gt;&lt;D xsi:type="xsd:double"&gt;15.399</t>
        </r>
      </text>
    </comment>
    <comment ref="A9" authorId="0" shapeId="0" xr:uid="{993DCAEF-D38E-4EED-A002-A8271BCB7F60}">
      <text>
        <r>
          <rPr>
            <b/>
            <sz val="9"/>
            <color indexed="81"/>
            <rFont val="Tahoma"/>
            <charset val="1"/>
          </rPr>
          <t>2115539184&lt;/D&gt;&lt;D xsi:type="xsd:double"&gt;14.8662497799562&lt;/D&gt;&lt;D xsi:type="xsd:double"&gt;15.0578424581463&lt;/D&gt;&lt;D xsi:type="xsd:double"&gt;15.9748243526547&lt;/D&gt;&lt;D xsi:type="xsd:double"&gt;15.7130657337964&lt;/D&gt;&lt;D xsi:type="xsd:double"&gt;16.449760072945&lt;/D&gt;&lt;D xsi:type="xsd:double"&gt;16.4254761765787&lt;/D&gt;&lt;D xsi:type="xsd:double"&gt;16.2812924440028&lt;/D&gt;&lt;D xsi:type="xsd:double"&gt;16.8619618471708&lt;/D&gt;&lt;D xsi:type="xsd:double"&gt;16.8630878062666&lt;/D&gt;&lt;D xsi:type="xsd:double"&gt;17.5567964737721&lt;/D&gt;&lt;D xsi:type="xsd:double"&gt;17.3886933541019&lt;/D&gt;&lt;D xsi:type="xsd:double"&gt;18.2149587743954&lt;/D&gt;&lt;D xsi:type="xsd:double"&gt;18.4106160368686&lt;/D&gt;&lt;/FQL&gt;&lt;FQL&gt;&lt;Q&gt;ENZL^JULIAN(FMA_DIV_YLD(LTMA,-10AY,0,AM,"PORTAGG","MEANR").DATES)&lt;/Q&gt;&lt;R&gt;121&lt;/R&gt;&lt;C&gt;1&lt;/C&gt;&lt;D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xsi:type="xsd:long"&gt;43784&lt;/D&gt;&lt;D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xsi:type="xsd:long"&gt;45400&lt;/D&gt;&lt;D xsi:type="xsd:long"&gt;45429&lt;/D&gt;&lt;D xsi:type="xsd:long"&gt;45461&lt;/D&gt;&lt;D xsi:type="xsd:long"&gt;45491&lt;/D&gt;&lt;D xsi:type="xsd:long"&gt;45520&lt;/D&gt;&lt;D xsi:type="xsd:long"&gt;45553&lt;/D&gt;&lt;D xsi:type="xsd:long"&gt;45581&lt;/D&gt;&lt;/FQL&gt;&lt;FQL&gt;&lt;Q&gt;WL-FDS^FG_PRICE(0)&lt;/Q&gt;&lt;R&gt;1&lt;/R&gt;&lt;C&gt;1&lt;/C&gt;&lt;D xsi:type="xsd:double"&gt;566.6&lt;/D&gt;&lt;/FQL&gt;&lt;FQL&gt;&lt;Q&gt;NI-FDS^FG_PRICE(0)&lt;/Q&gt;&lt;R&gt;1&lt;/R&gt;&lt;C&gt;1&lt;/C&gt;&lt;D xsi:type="xsd:double"&gt;16780&lt;/D&gt;&lt;/FQL&gt;&lt;FQL&gt;&lt;Q&gt;BRENT-FDS^FG_PRICE(0)&lt;/Q&gt;&lt;R&gt;1&lt;/R&gt;&lt;C&gt;1&lt;/C&gt;&lt;D xsi:type="xsd:double"&gt;85.86&lt;/D&gt;&lt;/FQL&gt;&lt;FQL&gt;&lt;Q&gt;EWU^FG_PRICE(0)&lt;/Q&gt;&lt;R&gt;1&lt;/R&gt;&lt;C&gt;1&lt;/C&gt;&lt;D xsi:type="xsd:double"&gt;37.01&lt;/D&gt;&lt;/FQL&gt;&lt;FQL&gt;&lt;Q&gt;SPY^FG_TOTAL_RETURNC(0,-12AM)&lt;/Q&gt;&lt;R&gt;1&lt;/R&gt;&lt;C&gt;1&lt;/C&gt;&lt;D xsi:type="xsd:double"&gt;37.72739&lt;/D&gt;&lt;/FQL&gt;&lt;FQL&gt;&lt;Q&gt;EWN^P_PRICE(0)/P_PRICE_LOW_PR(0,,,,,,"PRICE","INTRA","52W")-1&lt;/Q&gt;&lt;R&gt;1&lt;/R&gt;&lt;C&gt;1&lt;/C&gt;&lt;D xsi:type="xsd:double"&gt;0.337834&lt;/D&gt;&lt;/FQL&gt;&lt;FQL&gt;&lt;Q&gt;EWQ^FMA_PCT_ABOVE_MAVG(200,0,,,,"PORTAGG")&lt;/Q&gt;&lt;R&gt;1&lt;/R&gt;&lt;C&gt;1&lt;/C&gt;&lt;D xsi:type="xsd:double"&gt;50.8196721311475&lt;/D&gt;&lt;/FQL&gt;&lt;FQL&gt;&lt;Q&gt;QQQ^PERCENT_CHANGE(FMA_EPS(+1,0,,,,"PORTAGG","MEAN"),FMA_EPS(+1,-3AM,,,,"PORTAGG","MEAN"))&lt;/Q&gt;&lt;R&gt;1&lt;/R&gt;&lt;C&gt;1&lt;/C&gt;&lt;D xsi:type="xsd:double"&gt;-2.74316407328421&lt;/D&gt;&lt;/FQL&gt;&lt;FQL&gt;&lt;Q&gt;EWG^P_PRICE(0)/P_PRICE_HIGH_PR(0,,,,,,"PRICE","INTRA","52W")&lt;/Q&gt;&lt;R&gt;1&lt;/R&gt;&lt;C&gt;1&lt;/C&gt;&lt;D xsi:type="xsd:double"&gt;0.97772574&lt;/D&gt;&lt;/FQL&gt;&lt;FQL&gt;&lt;Q&gt;EWA^FG_TOTAL_RETURNC(0,-12AM)&lt;/Q&gt;&lt;R&gt;1&lt;/R&gt;&lt;C&gt;1&lt;/C&gt;&lt;D xsi:type="xsd:double"&gt;30.171633&lt;/D&gt;&lt;/FQL&gt;&lt;FQL&gt;&lt;Q&gt;ENZL^PERCENT_CHANGE(FMA_EPS(+1,0,,,,"PORTAGG","MEAN"),FMA_EPS(+1,-1AM,,,,"PORTAGG","MEAN"))&lt;/Q&gt;&lt;R&gt;1&lt;/R&gt;&lt;C&gt;1&lt;/C&gt;&lt;D xsi:type="xsd:double"&gt;-3.50506135963737&lt;/D&gt;&lt;/FQL&gt;&lt;FQL&gt;&lt;Q&gt;VWO^FMA_COS_UP("EPS","1M",+1,0,,,"PORTAGG","MEANR")&lt;/Q&gt;&lt;R&gt;1&lt;/R&gt;&lt;C&gt;1&lt;/C&gt;&lt;D xsi:type="xsd:double"&gt;1023&lt;/D&gt;&lt;/FQL&gt;&lt;FQL&gt;&lt;Q&gt;SPY^SIZE(FG_CONSTITUENTS)&lt;/Q&gt;&lt;R&gt;1&lt;/R&gt;&lt;C&gt;1&lt;/C&gt;&lt;D xsi:type="xsd:long"&gt;503&lt;/D&gt;&lt;/FQL&gt;&lt;FQL&gt;&lt;Q&gt;EWG^FMA_COS_DOWN("EPS","1M",+1,0,,,"PORTAGG","MEANR")&lt;/Q&gt;&lt;R&gt;1&lt;/R&gt;&lt;C&gt;1&lt;/C&gt;&lt;D xsi:type="xsd:double"&gt;31&lt;/D&gt;&lt;/FQL&gt;&lt;FQL&gt;&lt;Q&gt;EWG^FMA_ROE(NTMA,-20AY,NOW,FY,"PORTAGG","MEANR")&lt;/Q&gt;&lt;R&gt;20&lt;/R&gt;&lt;C&gt;1&lt;/C&gt;&lt;D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xsi:type="xsd:double"&gt;10.447567210817&lt;/D&gt;&lt;D xsi:type="xsd:double"&gt;9.71471543630714&lt;/D&gt;&lt;D xsi:type="xsd:double"&gt;12.1997093940908&lt;/D&gt;&lt;D xsi:type="xsd:double"&gt;11.8187115519998&lt;/D&gt;&lt;D xsi:type="xsd:double"&gt;11.9387928650957&lt;/D&gt;&lt;/FQL&gt;&lt;FQL&gt;&lt;Q&gt;TRYUS10Y-FDS^FG_YIELD(-10AY,0,Y,,"YTM")&lt;/Q&gt;&lt;R&gt;10&lt;/R&gt;&lt;C&gt;1&lt;/C&gt;&lt;D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xsi:type="xsd:long"&gt;45289&lt;/D&gt;&lt;/FQL&gt;&lt;FQL&gt;&lt;Q&gt;CC_DE^FG_COMPANY_NAME&lt;/Q&gt;&lt;R&gt;1&lt;/R&gt;&lt;C&gt;1&lt;/C&gt;&lt;D xsi:type="xsd:string"&gt;Germany&lt;/D&gt;&lt;/FQL&gt;&lt;FQL&gt;&lt;Q&gt;USDCHF^FG_PRICE_CHANGE(0,-1AM)&lt;/Q&gt;&lt;R&gt;1&lt;/R&gt;&lt;C&gt;1&lt;/C&gt;&lt;D xsi:type="xsd:double"&gt;2.2994637&lt;/D&gt;&lt;/FQL&gt;&lt;FQL&gt;&lt;Q&gt;USDEUR^FG_PRICE_CHANGE(0,-1AM)&lt;/Q&gt;&lt;R&gt;1&lt;/R&gt;&lt;C&gt;1&lt;/C&gt;&lt;D xsi:type="xsd:double"&gt;2.3992658&lt;/D&gt;&lt;/FQL&gt;&lt;FQL&gt;&lt;Q&gt;ENZL^FMA_PE(NTMA,-10AY,0,AM,"PORTAGG","MEANR")&lt;/Q&gt;&lt;R&gt;121&lt;/R&gt;&lt;C&gt;1&lt;/C&gt;&lt;D xsi:type="xsd:double"&gt;16.7401097983836&lt;/D&gt;&lt;D xsi:type="xsd:double"&gt;18.1143159255858&lt;/D&gt;&lt;D xsi:type="xsd:double"&gt;18.0847357453527&lt;/D&gt;&lt;D xsi:type="xsd:double"&gt;18.5478301470677&lt;/D&gt;&lt;D xsi:type="xsd:double"&gt;18.9270334933425&lt;/D&gt;&lt;D xsi:type="xsd:double"&gt;18.7412794877628&lt;/D&gt;&lt;D xsi:type="xsd:double"&gt;18.4332732653751&lt;/D&gt;&lt;D xsi:type="xsd:double"&gt;18.2181894539528&lt;/D&gt;&lt;D xsi:type="xsd:double"&gt;17.8581635355801&lt;/D&gt;&lt;D xsi:type="xsd:double"&gt;18.1715087899683&lt;/D&gt;&lt;D xsi:type="xsd:double"&gt;17.6511614231856&lt;/D&gt;&lt;D xsi:type="xsd:double"&gt;17.6180809178897&lt;/D&gt;&lt;D xsi:type="xsd:double"&gt;17.6236065596109&lt;/D&gt;&lt;D xsi:type="xsd:double"&gt;17.8732518950287&lt;/D&gt;&lt;D xsi:type="xsd:double"&gt;17.9093627245329&lt;/D&gt;&lt;D xsi:type="xsd:double"&gt;17.7346036848985&lt;/D&gt;&lt;D xsi:type="xsd:double"&gt;17.3276760496274&lt;/D&gt;&lt;D xsi:type="xsd:double"&gt;18.181524816871&lt;/D&gt;&lt;D xsi:type="xsd:double"&gt;18.8903653548927&lt;/D&gt;&lt;D xsi:type="xsd:double"&gt;19.435032795185&lt;/D&gt;&lt;D xsi:type="xsd:double"&gt;18.9217504725008&lt;/D&gt;&lt;D xsi:type="xsd:double"&gt;19.5752481293212&lt;/D&gt;&lt;D xsi:type="xsd:double"&gt;20.3342648919915&lt;/D&gt;&lt;D xsi:type="xsd:double"&gt;20.1995497998947&lt;/D&gt;&lt;D xsi:type="xsd:double"&gt;19.0920874953932&lt;/D&gt;&lt;D xsi:type="xsd:double"&gt;18.7461524724985&lt;/D&gt;&lt;D xsi:type="xsd:double"&gt;18.1634957042499&lt;/D&gt;&lt;D xsi:type="xsd:double"&gt;18.9449209526694&lt;/D&gt;&lt;D xsi:type="xsd:double"&gt;18.9227869332119&lt;/D&gt;&lt;D xsi:type="xsd:double"&gt;18.7962032498598&lt;/D&gt;&lt;D xsi:type="xsd:double"&gt;19.1325259851472&lt;/D&gt;&lt;D xsi:type="xsd:double"&gt;19.3382519089278&lt;/D&gt;&lt;D xsi:type="xsd:double"&gt;19.5568107789944&lt;/D&gt;&lt;D xsi:type="xsd:double"&gt;19.7334513527682&lt;/D&gt;&lt;D xsi:type="xsd:double"&gt;20.288293392972&lt;/D&gt;&lt;D xsi:type="xsd:double"&gt;19.5731256707439&lt;/D&gt;&lt;D xsi:type="xsd:double"&gt;20.1075555513208&lt;/D&gt;&lt;D xsi:type="xsd:double"&gt;20.1973244525382&lt;/D&gt;&lt;D xsi:type="xsd:double"&gt;20.8116084504574&lt;/D&gt;&lt;D xsi:type="xsd:double"&gt;20.5036014843541&lt;/D&gt;&lt;D xsi:type="xsd:double"&gt;20.2818365986933&lt;/D&gt;&lt;D xsi:type="xsd:double"&gt;20.4977190042163&lt;/D&gt;&lt;D xsi:type="xsd:double"&gt;20.0407895226211&lt;/D&gt;&lt;D xsi:type="xsd:double"&gt;20.5097721667799&lt;/D&gt;&lt;D xsi:type="xsd:double"&gt;21.3595746025419&lt;/D&gt;&lt;D xsi:type="xsd:double"&gt;21.0699127799248&lt;/D&gt;&lt;D xsi:type="xsd:double"&gt;21.3168575086892&lt;/D&gt;&lt;D xsi:type="xsd:double"&gt;21.7118863674173&lt;/D&gt;&lt;D xsi:type="xsd:double"&gt;20.4752200229331&lt;/D&gt;&lt;D xsi:type="xsd:double"&gt;20.0735276404331&lt;/D&gt;&lt;D xsi:type="xsd:double"&gt;19.8115779637316&lt;/D&gt;&lt;D xsi:type="xsd:double"&gt;20.6437248611298&lt;/D&gt;&lt;D xsi:type="xsd:double"&gt;21.018988736511&lt;/D&gt;&lt;D xsi:type="xsd:double"&gt;21.6878148063428&lt;/D&gt;&lt;D xsi:type="xsd:double"&gt;22.5484485911005&lt;/D&gt;&lt;D xsi:type="xsd:double"&gt;23.1098901534411&lt;/D&gt;&lt;D xsi:type="xsd:double"&gt;22.8956250753916&lt;/D&gt;&lt;D xsi:type="xsd:double"&gt;24.4134344861906&lt;/D&gt;&lt;D xsi:type="xsd:double"&gt;24.0303312312609&lt;/D&gt;&lt;D xsi:type="xsd:double"&gt;25.6166269537834&lt;/D&gt;&lt;D xsi:type="xsd:double"&gt;25.4870890155572&lt;/D&gt;&lt;D xsi:type="xsd:double"&gt;24.6853755368425&lt;/D&gt;&lt;D xsi:type="xsd:double"&gt;25.726892416134&lt;/D&gt;&lt;D xsi:type="xsd:double"&gt;26.3438276206084&lt;/D&gt;&lt;D xsi:type="xsd:double"&gt;27.1780935134441&lt;/D&gt;&lt;D xsi:type="xsd:double"&gt;21.8280537670457&lt;/D&gt;&lt;D xsi:type="xsd:double"&gt;29.2371302090133&lt;/D&gt;&lt;D xsi:type="xsd:double"&gt;30.5854975295775&lt;/D&gt;&lt;D xsi:type="xsd:double"&gt;30.4751726421114&lt;/D&gt;&lt;D xsi:type="xsd:double"&gt;31.8749261314963&lt;/D&gt;&lt;D xsi:type="xsd:double"&gt;32.6162343737652&lt;/D&gt;&lt;D xsi:type="xsd:double"&gt;31.2049053408225&lt;/D&gt;&lt;D xsi:type="xsd:double"&gt;33.0706454280964&lt;/D&gt;&lt;D xsi:type="xsd:double"&gt;32.8466425138826&lt;/D&gt;&lt;D xsi:type="xsd:double"&gt;33.0709292431466&lt;/D&gt;&lt;D xsi:type="xsd:double"&gt;33.6408251908922&lt;/D&gt;&lt;D xsi:type="xsd:double"&gt;32.1069001307265&lt;/D&gt;&lt;D xsi:type="xsd:double"&gt;32.440518155677&lt;/D&gt;&lt;D xsi:type="xsd:double"&gt;32.3808060087412&lt;/D&gt;&lt;D xsi:type="xsd:double"&gt;32.3352643844093&lt;/D&gt;&lt;D xsi:type="xsd:double"&gt;33.5443861299797&lt;/D&gt;&lt;D xsi:type="xsd:double"&gt;34.2078055893869&lt;/D&gt;&lt;D xsi:type="xsd:double"&gt;33.6675233507757&lt;/D&gt;&lt;D xsi:type="xsd:double"&gt;34.9638426930048&lt;/D&gt;&lt;D xsi:type="xsd:double"&gt;33.4491553738435&lt;/D&gt;&lt;D xsi:type="xsd:double"&gt;32.6668299681578&lt;/D&gt;&lt;D xsi:type="xsd:double"&gt;31.9105481567702&lt;/D&gt;&lt;D xsi:type="xsd:double"&gt;31.1447632831221&lt;/D&gt;&lt;D xsi:type="xsd:double"&gt;29.457225535925&lt;/D&gt;&lt;D xsi:type="xsd:double"&gt;29.2951194891629&lt;/D&gt;&lt;D xsi:type="xsd:double"&gt;28.3730182822958&lt;/D&gt;&lt;D xsi:type="xsd:double"&gt;27.4193247971621&lt;/D&gt;&lt;D xsi:type="xsd:double"&gt;25.0638710038032&lt;/D&gt;&lt;D xsi:type="xsd:double"&gt;25.8656427013362&lt;/D&gt;&lt;D xsi:type="xsd:double"&gt;27.3354845581015&lt;/D&gt;&lt;D xsi:type="xsd:double"&gt;26.2433275354478&lt;/D&gt;&lt;D xsi:type="xsd:double"&gt;23.4579179719183&lt;/D&gt;&lt;D xsi:type="xsd:double"&gt;23.6882724542119&lt;/D&gt;&lt;D xsi:type="xsd:double"&gt;23.4464201525563&lt;/D&gt;&lt;D xsi:type="xsd:double"&gt;23.9513431523945&lt;/D&gt;&lt;D xsi:type="xsd:double"&gt;24.8437661422741&lt;/D&gt;&lt;D xsi:type="xsd:double"&gt;22.7621781547549&lt;/D&gt;&lt;D xsi:type="xsd:double"&gt;23.2690553006698&lt;/D&gt;&lt;D xsi:type="xsd:double"&gt;23.5845492855403&lt;/D&gt;&lt;D xsi:type="xsd:double"&gt;20.8172027469798&lt;/D&gt;&lt;D xsi:type="xsd:double"&gt;20.9309481935184&lt;/D&gt;&lt;D xsi:type="xsd:double"&gt;20.0747090220639&lt;/D&gt;&lt;D xsi:type="xsd:double"&gt;20.4111152173599&lt;/D&gt;&lt;D xsi:type="xsd:double"&gt;19.7310823516257&lt;/D&gt;&lt;D xsi:type="xsd:double"&gt;20.1270026211924&lt;/D&gt;&lt;D xsi:type="xsd:double"&gt;22.5962071158015&lt;/D&gt;&lt;D xsi:type="xsd:double"&gt;22.1770089207442&lt;/D&gt;&lt;D xsi:type="xsd:double"&gt;22.2964805687954&lt;/D&gt;&lt;D xsi:type="xsd:double"&gt;24.7592283832825&lt;/D&gt;&lt;D xsi:type="xsd:double"&gt;24.7407313100305&lt;/D&gt;&lt;D xsi:type="xsd:double"&gt;25.3800496446806&lt;/D&gt;&lt;D xsi:type="xsd:double"&gt;24.3421603024779&lt;/D&gt;&lt;D xsi:type="xsd:double"&gt;25.3521032666396&lt;/D&gt;&lt;D xsi:type="xsd:double"&gt;26.1354451218198&lt;/D&gt;&lt;D xsi:type="xsd:double"&gt;23.941196794893&lt;/D&gt;&lt;D xsi:type="xsd:double"&gt;24.2217974660233&lt;/D&gt;&lt;/FQL&gt;&lt;FQL&gt;&lt;Q&gt;CAGDPY@CH^EE_ACTUAL_ANNUAL(MED,0)&lt;/Q&gt;&lt;R&gt;1&lt;/R&gt;&lt;C&gt;1&lt;/C&gt;&lt;D xsi:type="xsd:double"&gt;6.51381088906606&lt;/D&gt;&lt;/FQL&gt;&lt;FQL&gt;&lt;Q&gt;USDSEK^FG_PRICE_CHANGE(0,-1AM)&lt;/Q&gt;&lt;R&gt;1&lt;/R&gt;&lt;C&gt;1&lt;/C&gt;&lt;D xsi:type="xsd:double"&gt;3.313005&lt;/D&gt;&lt;/FQL&gt;&lt;FQL&gt;&lt;Q&gt;USDAUD^FG_PRICE_CHANGE(0,-1AM)&lt;/Q&gt;&lt;R&gt;1&lt;/R&gt;&lt;C&gt;1&lt;/C&gt;&lt;D xsi:type="xsd:double"&gt;0.92447996&lt;/D&gt;&lt;/FQL&gt;&lt;FQL&gt;&lt;Q&gt;SPY^FMA_EPS(NTMA,-20AY,0,CY,,"PORTAGG","MEANR")&lt;/Q&gt;&lt;R&gt;20&lt;/R&gt;&lt;C&gt;1&lt;/C&gt;&lt;D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xsi:type="xsd:double"&gt;17.7294355767522&lt;/D&gt;&lt;D xsi:type="xsd:double"&gt;16.6617704734143&lt;/D&gt;&lt;D xsi:type="xsd:double"&gt;22.276701045882&lt;/D&gt;&lt;D xsi:type="xsd:double"&gt;22.9687105537545&lt;/D&gt;&lt;D xsi:type="xsd:double"&gt;24.3452681588177&lt;/D&gt;&lt;/FQL&gt;&lt;FQL&gt;&lt;Q&gt;EWU^P_PRICE_RETURNS_PR('52W',2,-10AY,0,AM)&lt;/Q&gt;&lt;R&gt;121&lt;/R&gt;&lt;C&gt;1&lt;/C&gt;&lt;D xsi:type="xsd:double"&gt;-2.7335227&lt;/D&gt;&lt;D xsi:type="xsd:double"&gt;-0.2656877&lt;/D&gt;&lt;D xsi:type="xsd:double"&gt;-3.2941043&lt;/D&gt;&lt;D xsi:type="xsd:double"&gt;-8.800268&lt;/D&gt;&lt;D xsi:type="xsd:double"&gt;-3.846407&lt;/D&gt;&lt;D xsi:type="xsd:double"&gt;-2.6230931&lt;/D&gt;&lt;D xsi:type="xsd:double"&gt;-3.5561144&lt;/D&gt;&lt;D xsi:type="xsd:double"&gt;-3.4356296&lt;/D&gt;&lt;D xsi:type="xsd:double"&gt;-5.646527&lt;/D&gt;&lt;D xsi:type="xsd:double"&gt;-5.934888&lt;/D&gt;&lt;D xsi:type="xsd:double"&gt;-7.5355053&lt;/D&gt;&lt;D xsi:type="xsd:double"&gt;-13.404733&lt;/D&gt;&lt;D xsi:type="xsd:double"&gt;1.6426563&lt;/D&gt;&lt;D xsi:type="xsd:double"&gt;-6.4422607&lt;/D&gt;&lt;D xsi:type="xsd:double"&gt;-10.0146885&lt;/D&gt;&lt;D xsi:type="xsd:double"&gt;-13.99728&lt;/D&gt;&lt;D xsi:type="xsd:double"&gt;-17.3639&lt;/D&gt;&lt;D xsi:type="xsd:double"&gt;-11.466354&lt;/D&gt;&lt;D xsi:type="xsd:double"&gt;-11.08321&lt;/D&gt;&lt;D xsi:type="xsd:double"&gt;-15.778452&lt;/D&gt;&lt;D xsi:type="xsd:double"&gt;-15.396923&lt;/D&gt;&lt;D xsi:type="xsd:double"&gt;-13.406122&lt;/D&gt;&lt;D xsi:type="xsd:double"&gt;-8.220684&lt;/D&gt;&lt;D xsi:type="xsd:double"&gt;-6.252199&lt;/D&gt;&lt;D xsi:type="xsd:double"&gt;-9.942854&lt;/D&gt;&lt;D xsi:type="xsd:double"&gt;-9.878951&lt;/D&gt;&lt;D xsi:type="xsd:double"&gt;-1.5744865&lt;/D&gt;&lt;D xsi:type="xsd:double"&gt;11.875057&lt;/D&gt;&lt;D xsi:type="xsd:double"&gt;9.255278&lt;/D&gt;&lt;D xsi:type="xsd:double"&gt;6.36158&lt;/D&gt;&lt;D xsi:type="xsd:double"&gt;4.788232&lt;/D&gt;&lt;D xsi:type="xsd:double"&gt;11.937761&lt;/D&gt;&lt;D xsi:type="xsd:double"&gt;16.438652&lt;/D&gt;&lt;D xsi:type="xsd:double"&gt;12.552452&lt;/D&gt;&lt;D xsi:type="xsd:double"&gt;7.513654&lt;/D&gt;&lt;D xsi:type="xsd:double"&gt;15.496027&lt;/D&gt;&lt;D xsi:type="xsd:double"&gt;19.71916&lt;/D&gt;&lt;D xsi:type="xsd:double"&gt;19.00035&lt;/D&gt;&lt;D xsi:type="xsd:double"&gt;19.25441&lt;/D&gt;&lt;D xsi:type="xsd:double"&gt;24.222708&lt;/D&gt;&lt;D xsi:type="xsd:double"&gt;15.814948&lt;/D&gt;&lt;D xsi:type="xsd:double"&gt;11.670923&lt;/D&gt;&lt;D xsi:type="xsd:double"&gt;16.88466&lt;/D&gt;&lt;D xsi:type="xsd:double"&gt;11.607361&lt;/D&gt;&lt;D xsi:type="xsd:double"&gt;8.892179&lt;/D&gt;&lt;D xsi:type="xsd:double"&gt;6.9370866&lt;/D&gt;&lt;D xsi:type="xsd:double"&gt;5.03397&lt;/D&gt;&lt;D xsi:type="xsd:double"&gt;1.0815859&lt;/D&gt;&lt;D xsi:type="xsd:double"&gt;-5.1051197&lt;/D&gt;&lt;D xsi:type="xsd:double"&gt;-3.8719296&lt;/D&gt;&lt;D xsi:type="xsd:double"&gt;-12.987995&lt;/D&gt;&lt;D xsi:type="xsd:double"&gt;-13.025451&lt;/D&gt;&lt;D xsi:type="xsd:double"&gt;-5.44883&lt;/D&gt;&lt;D xsi:type="xsd:double"&gt;0.83533525&lt;/D&gt;&lt;D xsi:type="xsd:double"&gt;-3.1199574&lt;/D&gt;&lt;D xsi:type="xsd:double"&gt;-7.79739&lt;/D&gt;&lt;D xsi:type="xsd:double"&gt;-4.1544676&lt;/D&gt;&lt;D xsi:type="xsd:double"&gt;-2.6951492&lt;/D&gt;&lt;D xsi:type="xsd:double"&gt;-6.3761415&lt;/D&gt;&lt;D xsi:type="xsd:double"&gt;-1.2978017&lt;/D&gt;&lt;D xsi:type="xsd:double"&gt;5.0053477&lt;/D&gt;&lt;D xsi:type="xsd:double"&gt;8.212841&lt;/D&gt;&lt;D xsi:type="xsd:double"&gt;20.436966&lt;/D&gt;&lt;D xsi:type="xsd:double"&gt;15.96154&lt;/D&gt;&lt;D xsi:type="xsd:double"&gt;6.1110616&lt;/D&gt;&lt;D xsi:type="xsd:double"&gt;-37.134327&lt;/D&gt;&lt;D xsi:type="xsd:double"&gt;-23.566305&lt;/D&gt;&lt;D xsi:type="xsd:double"&gt;-19.269556&lt;/D&gt;&lt;D xsi:type="xsd:double"&gt;-16.066235&lt;/D&gt;&lt;D xsi:type="xsd:double"&gt;-14.137566&lt;/D&gt;&lt;D xsi:type="xsd:double"&gt;-6.3429174&lt;/D&gt;&lt;D xsi:type="xsd:double"&gt;-14.43578&lt;/D&gt;&lt;D xsi:type="xsd:double"&gt;-16.592163&lt;/D&gt;&lt;D xsi:type="xsd:double"&gt;-10.525549&lt;/D&gt;&lt;D xsi:type="xsd:double"&gt;-10.323805&lt;/D&gt;&lt;D xsi:type="xsd:double"&gt;-7.303733&lt;/D&gt;&lt;D xsi:type="xsd:double"&gt;-2.8373837&lt;/D&gt;&lt;D xsi:type="xsd:double"&gt;59.953915&lt;/D&gt;&lt;D xsi:type="xsd:double"&gt;40.19542&lt;/D&gt;&lt;D xsi:type="xsd:double"&gt;37.365555&lt;/D&gt;&lt;D xsi:type="xsd:double"&gt;28.281343&lt;/D&gt;&lt;D xsi:type="xsd:double"&gt;25.689804&lt;/D&gt;&lt;D xsi:type="xsd:double"&gt;25.846756&lt;/D&gt;&lt;D xsi:type="xsd:double"&gt;25.93193&lt;/D&gt;&lt;D xsi:type="xsd:double"&gt;34.388374&lt;/D&gt;&lt;D xsi:type="xsd:double"&gt;20.952297&lt;/D&gt;&lt;D xsi:type="xsd:double"&gt;11.977732&lt;/D&gt;&lt;D xsi:type="xsd:double"&gt;17.657125&lt;/D&gt;&lt;D xsi:type="xsd:double"&gt;15.511012&lt;/D&gt;&lt;D xsi:type="xsd:double"&gt;10.487366&lt;/D&gt;&lt;D xsi:type="xsd:double"&gt;8.087778&lt;/D&gt;&lt;D xsi:type="xsd:double"&gt;-2.2461534&lt;/D&gt;&lt;D xsi:type="xsd:double"&gt;-8.362007&lt;/D&gt;&lt;D xsi:type="xsd:double"&gt;-5.2707376&lt;/D&gt;&lt;D xsi:type="xsd:double"&gt;-2.1339834&lt;/D&gt;&lt;D xsi:type="xsd:double"&gt;-9.768391&lt;/D&gt;&lt;D xsi:type="xsd:double"&gt;-15.545952&lt;/D&gt;&lt;D xsi:type="xsd:double"&gt;-5.024439&lt;/D&gt;&lt;D xsi:type="xsd:double"&gt;-2.2646487&lt;/D&gt;&lt;D xsi:type="xsd:double"&gt;-2.0186126&lt;/D&gt;&lt;D xsi:type="xsd:double"&gt;-1.130259&lt;/D&gt;&lt;D xsi:type="xsd:double"&gt;-4.9203215&lt;/D&gt;&lt;D xsi:type="xsd:double"&gt;2.659285&lt;/D&gt;&lt;D xsi:type="xsd:double"&gt;8.129144&lt;/D&gt;&lt;D xsi:type="xsd:double"&gt;15.131187&lt;/D&gt;&lt;D xsi:type="xsd:double"&gt;16.025532&lt;/D&gt;&lt;D xsi:type="xsd:double"&gt;5.308366&lt;/D&gt;&lt;D xsi:type="xsd:double"&gt;17.910362&lt;/D&gt;&lt;D xsi:type="xsd:double"&gt;20.438623&lt;/D&gt;&lt;D xsi:type="xsd:double"&gt;10.269558&lt;/D&gt;&lt;D xsi:type="xsd:double"&gt;10.893118&lt;/D&gt;&lt;D xsi:type="xsd:double"&gt;2.1786928&lt;/D&gt;&lt;D xsi:type="xsd:double"&gt;4.385245&lt;/D&gt;&lt;D xsi:type="xsd:double"&gt;14.228285&lt;/D&gt;&lt;D xsi:type="xsd:double"&gt;3.1138182&lt;/D&gt;&lt;D xsi:type="xsd:double"&gt;15.028334&lt;/D&gt;&lt;D xsi:type="xsd:double"&gt;10.917616&lt;/D&gt;&lt;D xsi:type="xsd:double"&gt;13.241518&lt;/D&gt;&lt;D xsi:type="xsd:double"&gt;20.142387&lt;/D&gt;&lt;D xsi:type="xsd:double"&gt;19.340038&lt;/D&gt;&lt;D xsi:type="xsd:double"&gt;22.511875&lt;/D&gt;&lt;/FQL&gt;&lt;FQL&gt;&lt;Q&gt;EWJ^FG_TOTAL_RETURNC(-10AY,0,AM)&lt;/Q&gt;&lt;R&gt;121&lt;/R&gt;&lt;C&gt;1&lt;/C&gt;&lt;D xsi:type="xsd:double"&gt;-7.2095037&lt;/D&gt;&lt;D xsi:type="xsd:double"&gt;7.3126197&lt;/D&gt;&lt;D xsi:type="xsd:double"&gt;-1.8962502&lt;/D&gt;&lt;D xsi:type="xsd:double"&gt;-0.96069574&lt;/D&gt;&lt;D xsi:type="xsd:double"&gt;6.9664955&lt;/D&gt;&lt;D xsi:type="xsd:double"&gt;5.1525116&lt;/D&gt;&lt;D xsi:type="xsd:double"&gt;1.3328075&lt;/D&gt;&lt;D xsi:type="xsd:double"&gt;2.5145054&lt;/D&gt;&lt;D xsi:type="xsd:double"&gt;-3.0943394&lt;/D&gt;&lt;D xsi:type="xsd:double"&gt;1.6003728&lt;/D&gt;&lt;D xsi:type="xsd:double"&gt;-0.92449784&lt;/D&gt;&lt;D xsi:type="xsd:double"&gt;-10.497665&lt;/D&gt;&lt;D xsi:type="xsd:double"&gt;6.0816646&lt;/D&gt;&lt;D xsi:type="xsd:double"&gt;2.8665066&lt;/D&gt;&lt;D xsi:type="xsd:double"&gt;-3.7022293&lt;/D&gt;&lt;D xsi:type="xsd:double"&gt;-6.933832&lt;/D&gt;&lt;D xsi:type="xsd:double"&gt;-2.6398242&lt;/D&gt;&lt;D xsi:type="xsd:double"&gt;5.238962&lt;/D&gt;&lt;D xsi:type="xsd:double"&gt;3.6681175&lt;/D&gt;&lt;D xsi:type="xsd:double"&gt;-2.106148&lt;/D&gt;&lt;D xsi:type="xsd:double"&gt;-1.6351104&lt;/D&gt;&lt;D xsi:type="xsd:double"&gt;5.0263047&lt;/D&gt;&lt;D xsi:type="xsd:double"&gt;3.5264492&lt;/D&gt;&lt;D xsi:type="xsd:double"&gt;-1.9464731&lt;/D&gt;&lt;D xsi:type="xsd:double"&gt;2.7295232&lt;/D&gt;&lt;D xsi:type="xsd:double"&gt;-0.5837381&lt;/D&gt;&lt;D xsi:type="xsd:double"&gt;1.4780283&lt;/D&gt;&lt;D xsi:type="xsd:double"&gt;1.5564084&lt;/D&gt;&lt;D xsi:type="xsd:double"&gt;1.749146&lt;/D&gt;&lt;D xsi:type="xsd:double"&gt;1.2502551&lt;/D&gt;&lt;D xsi:type="xsd:double"&gt;-1.620686&lt;/D&gt;&lt;D xsi:type="xsd:double"&gt;3.1967044&lt;/D&gt;&lt;D xsi:type="xsd:double"&gt;3.0406713&lt;/D&gt;&lt;D xsi:type="xsd:double"&gt;-0.061166286&lt;/D&gt;&lt;D xsi:type="xsd:double"&gt;1.1329889&lt;/D&gt;&lt;D xsi:type="xsd:double"&gt;1.4692307&lt;/D&gt;&lt;D xsi:type="xsd:double"&gt;4.108596&lt;/D&gt;&lt;D xsi:type="xsd:double"&gt;2.034068&lt;/D&gt;&lt;D xsi:type="xsd:double"&gt;3.2884598&lt;/D&gt;&lt;D xsi:type="xsd:double"&gt;5.336535&lt;/D&gt;&lt;D xsi:type="xsd:double"&gt;-2.8850734&lt;/D&gt;&lt;D xsi:type="xsd:double"&gt;-1.4772713&lt;/D&gt;&lt;D xsi:type="xsd:double"&gt;0.5767107&lt;/D&gt;&lt;D xsi:type="xsd:double"&gt;-0.04914999&lt;/D&gt;&lt;D xsi:type="xsd:double"&gt;-1.8521488&lt;/D&gt;&lt;D xsi:type="xsd:double"&gt;-2.3810446&lt;/D&gt;&lt;D xsi:type="xsd:double"&gt;-1.3965547&lt;/D&gt;&lt;D xsi:type="xsd:double"&gt;4.1091084&lt;/D&gt;&lt;D xsi:type="xsd:double"&gt;-5.0554276&lt;/D&gt;&lt;D xsi:type="xsd:double"&gt;-3.2372177&lt;/D&gt;&lt;D xsi:type="xsd:double"&gt;-3.6828697&lt;/D&gt;&lt;D xsi:type="xsd:double"&gt;3.5768986&lt;/D&gt;&lt;D xsi:type="xsd:double"&gt;0.62788725&lt;/D&gt;&lt;D xsi:type="xsd:double"&gt;-0.05506277&lt;/D&gt;&lt;D xsi:type="xsd:double"&gt;1.6342282&lt;/D&gt;&lt;D xsi:type="xsd:double"&gt;-2.999097&lt;/D&gt;&lt;D xsi:type="xsd:double"&gt;1.4717817&lt;/D&gt;&lt;D xsi:type="xsd:double"&gt;1.0001779&lt;/D&gt;&lt;D xsi:type="xsd:double"&gt;-2.0539105&lt;/D&gt;&lt;D xsi:type="xsd:double"&gt;6.0850024&lt;/D&gt;&lt;D xsi:type="xsd:double"&gt;1.2530923&lt;/D&gt;&lt;D xsi:type="xsd:double"&gt;4.3053865&lt;/D&gt;&lt;D xsi:type="xsd:double"&gt;1.3228536&lt;/D&gt;&lt;D xsi:type="xsd:double"&gt;-0.3003955&lt;/D&gt;&lt;D xsi:type="xsd:double"&gt;-3.6156654&lt;/D&gt;&lt;D xsi:type="xsd:double"&gt;-22.924625&lt;/D&gt;&lt;D xsi:type="xsd:double"&gt;14.511037&lt;/D&gt;&lt;D xsi:type="xsd:double"&gt;4.289651&lt;/D&gt;&lt;D xsi:type="xsd:double"&gt;7.0780635&lt;/D&gt;&lt;D xsi:type="xsd:double"&gt;-0.24866462&lt;/D&gt;&lt;D xsi:type="xsd:double"&gt;3.792739&lt;/D&gt;&lt;D xsi:type="xsd:double"&gt;1.6640902&lt;/D&gt;&lt;D xsi:type="xsd:double"&gt;-0.6074846&lt;/D&gt;&lt;D xsi:type="xsd:double"&gt;7.9796195&lt;/D&gt;&lt;D xsi:type="xsd:double"&gt;5.079961&lt;/D&gt;&lt;D xsi:type="xsd:double"&gt;3.2296896&lt;/D&gt;&lt;D xsi:type="xsd:double"&gt;3.1722903&lt;/D&gt;&lt;D xsi:type="xsd:double"&gt;-1.0155141&lt;/D&gt;&lt;D xsi:type="xsd:double"&gt;-0.3134787&lt;/D&gt;&lt;D xsi:type="xsd:double"&gt;-3.8164616&lt;/D&gt;&lt;D xsi:type="xsd:double"&gt;0.67412853&lt;/D&gt;&lt;D xsi:type="xsd:double"&gt;-0.044608116&lt;/D&gt;&lt;D xsi:type="xsd:double"&gt;0.044631958&lt;/D&gt;&lt;D xsi:type="xsd:double"&gt;9.189594&lt;/D&gt;&lt;D xsi:type="xsd:double"&gt;-6.441516&lt;/D&gt;&lt;D xsi:type="xsd:double"&gt;1.5574932&lt;/D&gt;&lt;D xsi:type="xsd:double"&gt;-2.3901582&lt;/D&gt;&lt;D xsi:type="xsd:double"&gt;-1.5473902&lt;/D&gt;&lt;D xsi:type="xsd:double"&gt;-3.8385928&lt;/D&gt;&lt;D xsi:type="xsd:double"&gt;-2.137357&lt;/D&gt;&lt;D xsi:type="xsd:double"&gt;-7.3390064&lt;/D&gt;&lt;D xsi:type="xsd:double"&gt;-3.136915&lt;/D&gt;&lt;D xsi:type="xsd:double"&gt;-5.9414682&lt;/D&gt;&lt;D xsi:type="xsd:double"&gt;1.5366912&lt;/D&gt;&lt;D xsi:type="xsd:double"&gt;7.0942163&lt;/D&gt;&lt;D xsi:type="xsd:double"&gt;-8.797031&lt;/D&gt;&lt;D xsi:type="xsd:double"&gt;-5.520052&lt;/D&gt;&lt;D xsi:type="xsd:double"&gt;11.193121&lt;/D&gt;&lt;D xsi:type="xsd:double"&gt;0.79505444&lt;/D&gt;&lt;D xsi:type="xsd:double"&gt;4.912925&lt;/D&gt;&lt;D xsi:type="xsd:double"&gt;-0.3669381&lt;/D&gt;&lt;D xsi:type="xsd:double"&gt;-2.2974432&lt;/D&gt;&lt;D xsi:type="xsd:double"&gt;5.833781&lt;/D&gt;&lt;D xsi:type="xsd:double"&gt;3.2225251&lt;/D&gt;&lt;D xsi:type="xsd:double"&gt;4.412532&lt;/D&gt;&lt;D xsi:type="xsd:double"&gt;0.3328085&lt;/D&gt;&lt;D xsi:type="xsd:double"&gt;-6.302327&lt;/D&gt;&lt;D xsi:type="xsd:double"&gt;6.43965&lt;/D&gt;&lt;D xsi:type="xsd:double"&gt;-6.6360474&lt;/D&gt;&lt;D xsi:type="xsd:double"&gt;5.767596&lt;/D&gt;&lt;D xsi:type="xsd:double"&gt;1.1227012&lt;/D&gt;&lt;D xsi:type="xsd:double"&gt;5.7200074&lt;/D&gt;&lt;D xsi:type="xsd:double"&gt;2.8905988&lt;/D&gt;&lt;D xsi:type="xsd:double"&gt;4.4654846&lt;/D&gt;&lt;D xsi:type="xsd:double"&gt;-5.3220153&lt;/D&gt;&lt;D xsi:type="xsd:double"&gt;2.75079&lt;/D&gt;&lt;D xsi:type="xsd:double"&gt;-2.2869349&lt;/D&gt;&lt;D xsi:type="xsd:double"&gt;5.6105614&lt;/D&gt;&lt;D xsi:type="xsd:double"&gt;-1.4630675&lt;/D&gt;&lt;D xsi:type="xsd:double"&gt;0.028824806&lt;/D&gt;&lt;D xsi:type="xsd:double"&gt;1.0664344&lt;/D&gt;&lt;/FQL&gt;&lt;FQL&gt;&lt;Q&gt;EWC^FMA_DIV_YLD(NTMA,-10AY,0,AM,"PORTAGG","MEANR")&lt;/Q&gt;&lt;R&gt;121&lt;/R&gt;&lt;C&gt;1&lt;/C&gt;&lt;D xsi:type="xsd:double"&gt;3.04579480898147&lt;/D&gt;&lt;D xsi:type="xsd:double"&gt;2.90419296432011&lt;/D&gt;&lt;D xsi:type="xsd:double"&gt;2.99971628089149&lt;/D&gt;&lt;D xsi:type="xsd:double"&gt;3.02490215774651&lt;/D&gt;&lt;D xsi:type="xsd:double"&gt;2.85448162851626&lt;/D&gt;&lt;D xsi:type="xsd:double"&gt;2.90202090771268&lt;/D&gt;&lt;D xsi:type="xsd:double"&gt;2.83053741302833&lt;/D&gt;&lt;D xsi:type="xsd:double"&gt;2.87644855134732&lt;/D&gt;&lt;D xsi:type="xsd:double"&gt;2.95367546889931&lt;/D&gt;&lt;D xsi:type="xsd:double"&gt;3.00539281565567&lt;/D&gt;&lt;D xsi:type="xsd:double"&gt;3.09073106527157&lt;/D&gt;&lt;D xsi:type="xsd:double"&gt;3.21983972855359&lt;/D&gt;&lt;D xsi:type="xsd:double"&gt;3.17867320621897&lt;/D&gt;&lt;D xsi:type="xsd:double"&gt;3.29813836001413&lt;/D&gt;&lt;D xsi:type="xsd:double"&gt;3.38316276804437&lt;/D&gt;&lt;D xsi:type="xsd:double"&gt;3.64412404871095&lt;/D&gt;&lt;D xsi:type="xsd:double"&gt;3.30930861964524&lt;/D&gt;&lt;D xsi:type="xsd:double"&gt;3.14164519980974&lt;/D&gt;&lt;D xsi:type="xsd:double"&gt;3.09993812559022&lt;/D&gt;&lt;D xsi:type="xsd:double"&gt;3.07292009351019&lt;/D&gt;&lt;D xsi:type="xsd:double"&gt;3.0980306284358&lt;/D&gt;&lt;D xsi:type="xsd:double"&gt;2.98700031790168&lt;/D&gt;&lt;D xsi:type="xsd:double"&gt;2.95567481480653&lt;/D&gt;&lt;D xsi:type="xsd:double"&gt;3.00052497913214&lt;/D&gt;&lt;D xsi:type="xsd:double"&gt;2.93486998414884&lt;/D&gt;&lt;D xsi:type="xsd:double"&gt;2.90861573950751&lt;/D&gt;&lt;D xsi:type="xsd:double"&gt;2.8392288205718&lt;/D&gt;&lt;D xsi:type="xsd:double"&gt;2.83107301605413&lt;/D&gt;&lt;D xsi:type="xsd:double"&gt;2.7799235385461&lt;/D&gt;&lt;D xsi:type="xsd:double"&gt;2.91681891170469&lt;/D&gt;&lt;D xsi:type="xsd:double"&gt;2.92164313635441&lt;/D&gt;&lt;D xsi:type="xsd:double"&gt;3.01294781425565&lt;/D&gt;&lt;D xsi:type="xsd:double"&gt;3.03561012837462&lt;/D&gt;&lt;D xsi:type="xsd:double"&gt;3.04708869850316&lt;/D&gt;&lt;D xsi:type="xsd:double"&gt;3.09023776149447&lt;/D&gt;&lt;D xsi:type="xsd:double"&gt;3.06305262300815&lt;/D&gt;&lt;D xsi:type="xsd:double"&gt;2.95453118688667&lt;/D&gt;&lt;D xsi:type="xsd:double"&gt;2.92741102375636&lt;/D&gt;&lt;D xsi:type="xsd:double"&gt;2.91178706250022&lt;/D&gt;&lt;D xsi:type="xsd:double"&gt;2.90264749799026&lt;/D&gt;&lt;D xsi:type="xsd:double"&gt;3.11203558435758&lt;/D&gt;&lt;D xsi:type="xsd:double"&gt;3.10563011661686&lt;/D&gt;&lt;D xsi:type="xsd:double"&gt;3.16663565156527&lt;/D&gt;&lt;D xsi:type="xsd:double"&gt;3.0510189842002&lt;/D&gt;&lt;D xsi:type="xsd:double"&gt;3.0425261356792&lt;/D&gt;&lt;D xsi:type="xsd:double"&gt;3.04873652785464&lt;/D&gt;&lt;D xsi:type="xsd:double"&gt;3.0875653910289&lt;/D&gt;&lt;D xsi:type="xsd:double"&gt;3.14686994112018&lt;/D&gt;&lt;D xsi:type="xsd:double"&gt;3.34268182880634&lt;/D&gt;&lt;D xsi:type="xsd:double"&gt;3.39395448359306&lt;/D&gt;&lt;D xsi:type="xsd:double"&gt;3.57252846107522&lt;/D&gt;&lt;D xsi:type="xsd:double"&gt;3.36494241515796&lt;/D&gt;&lt;D xsi:type="xsd:double"&gt;3.30233583513369&lt;/D&gt;&lt;D xsi:type="xsd:double"&gt;3.23867018644986&lt;/D&gt;&lt;D xsi:type="xsd:double"&gt;3.17814092642641&lt;/D&gt;&lt;D xsi:type="xsd:double"&gt;3.29691206358231&lt;/D&gt;&lt;D xsi:type="xsd:double"&gt;3.29317487992407&lt;/D&gt;&lt;D xsi:type="xsd:double"&gt;3.31695781063219&lt;/D&gt;&lt;D xsi:type="xsd:double"&gt;3.43608433709241&lt;/D&gt;&lt;D xsi:type="xsd:double"&gt;3.29903661802115&lt;/D&gt;&lt;D xsi:type="xsd:double"&gt;3.36603868791653&lt;/D&gt;&lt;D xsi:type="xsd:double"&gt;3.23235909506325&lt;/D&gt;&lt;D xsi:type="xsd:double"&gt;3.24463058287338&lt;/D&gt;&lt;D xsi:type="xsd:double"&gt;3.19811286338455&lt;/D&gt;&lt;D xsi:type="xsd:double"&gt;3.20184658787725&lt;/D&gt;&lt;D xsi:type="xsd:double"&gt;4.93944314125628&lt;/D&gt;&lt;D xsi:type="xsd:double"&gt;3.99998130962547&lt;/D&gt;&lt;D xsi:type="xsd:double"&gt;3.78329246152012&lt;/D&gt;&lt;D xsi:type="xsd:double"&gt;3.53077605579011&lt;/D&gt;&lt;D xsi:type="xsd:double"&gt;3.40793362744083&lt;/D&gt;&lt;D xsi:type="xsd:double"&gt;3.31572001374703&lt;/D&gt;&lt;D xsi:type="xsd:double"&gt;3.42260437719597&lt;/D&gt;&lt;D xsi:type="xsd:double"&gt;3.38128534251414&lt;/D&gt;&lt;D xsi:type="xsd:double"&gt;3.24993057913247&lt;/D&gt;&lt;D xsi:type="xsd:double"&gt;3.09956486980296&lt;/D&gt;&lt;D xsi:type="xsd:double"&gt;3.02002163799052&lt;/D&gt;&lt;D xsi:type="xsd:double"&gt;2.93619246909243&lt;/D&gt;&lt;D xsi:type="xsd:double"&gt;2.82421401333162&lt;/D&gt;&lt;D xsi:type="xsd:double"&gt;2.72307417786816&lt;/D&gt;&lt;D xsi:type="xsd:double"&gt;2.69682280433861&lt;/D&gt;&lt;D xsi:type="xsd:double"&gt;2.56969875938412&lt;/D&gt;&lt;D xsi:type="xsd:double"&gt;2.72965925709473&lt;/D&gt;&lt;D xsi:type="xsd:double"&gt;2.70579216535866&lt;/D&gt;&lt;D xsi:type="xsd:double"&gt;2.75738985113443&lt;/D&gt;&lt;D xsi:type="xsd:double"&gt;2.69170345429983&lt;/D&gt;&lt;D xsi:type="xsd:double"&gt;2.68086898752643&lt;/D&gt;&lt;D xsi:type="xsd:double"&gt;2.83039680654851&lt;/D&gt;&lt;D xsi:type="xsd:double"&gt;2.77441363450314&lt;/D&gt;&lt;D xsi:type="xsd:double"&gt;2.8585204937617&lt;/D&gt;&lt;D xsi:type="xsd:double"&gt;2.79287808343662&lt;/D&gt;&lt;D xsi:type="xsd:double"&gt;2.82709055141858&lt;/D&gt;&lt;D xsi:type="xsd:double"&gt;3.18218162720891&lt;/D&gt;&lt;D xsi:type="xsd:double"&gt;3.40099127361418&lt;/D&gt;&lt;D xsi:type="xsd:double"&gt;3.47421925525848&lt;/D&gt;&lt;D xsi:type="xsd:double"&gt;3.27426288186574&lt;/D&gt;&lt;D xsi:type="xsd:double"&gt;3.43896910863685&lt;/D&gt;&lt;D xsi:type="xsd:double"&gt;3.55324376848517&lt;/D&gt;&lt;D xsi:type="xsd:double"&gt;3.3173595650546&lt;/D&gt;&lt;D xsi:type="xsd:double"&gt;3.4478167458828&lt;/D&gt;&lt;D xsi:type="xsd:double"&gt;3.33175573895974&lt;/D&gt;&lt;D xsi:type="xsd:double"&gt;3.2829227937189&lt;/D&gt;&lt;D xsi:type="xsd:double"&gt;3.47557402671735&lt;/D&gt;&lt;D xsi:type="xsd:double"&gt;3.2173004953046&lt;/D&gt;&lt;D xsi:type="xsd:double"&gt;3.26555427272627&lt;/D&gt;&lt;D xsi:type="xsd:double"&gt;3.28267450993607&lt;/D&gt;&lt;D xsi:type="xsd:double"&gt;3.18201487244839&lt;/D&gt;&lt;D xsi:type="xsd:double"&gt;3.56282929975788&lt;/D&gt;&lt;D xsi:type="xsd:double"&gt;3.44655248158788&lt;/D&gt;&lt;D xsi:type="xsd:double"&gt;3.64298659972106&lt;/D&gt;&lt;D xsi:type="xsd:double"&gt;3.48978730376384&lt;/D&gt;&lt;D xsi:type="xsd:double"&gt;3.40375803333048&lt;/D&gt;&lt;D xsi:type="xsd:double"&gt;3.37251652354836&lt;/D&gt;&lt;D xsi:type="xsd:double"&gt;3.26961869037505&lt;/D&gt;&lt;D xsi:type="xsd:double"&gt;3.13646982327515&lt;/D&gt;&lt;D xsi:type="xsd:double"&gt;3.13946144527094&lt;/D&gt;&lt;D xsi:type="xsd:double"&gt;3.02270665268878&lt;/D&gt;&lt;D xsi:type="xsd:double"&gt;3.3881557502339&lt;/D&gt;&lt;D xsi:type="xsd:double"&gt;3.22270333988692&lt;/D&gt;&lt;D xsi:type="xsd:double"&gt;3.18404411921674&lt;/D&gt;&lt;D xsi:type="xsd:double"&gt;3.10639679391903&lt;/D&gt;&lt;D xsi:type="xsd:double"&gt;2.98331479454736&lt;/D&gt;&lt;/FQL&gt;&lt;FQL&gt;&lt;Q&gt;DDR3512M-FDS^MAX(FG_PRICE(0,-5AY))&lt;/Q&gt;&lt;R&gt;1&lt;/R&gt;&lt;C&gt;1&lt;/C&gt;&lt;D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xsi:type="xsd:double"&gt;5.119&lt;/D&gt;&lt;/FQL&gt;&lt;FQL&gt;&lt;Q&gt;FC0000JP^FG_PRICE(0)&lt;/Q&gt;&lt;R&gt;1&lt;/R&gt;&lt;C&gt;1&lt;/C&gt;&lt;D xsi:type="xsd:double"&gt;177.1307&lt;/D&gt;&lt;/FQL&gt;&lt;FQL&gt;&lt;Q&gt;FC0000NZ^FG_PRICE(0)&lt;/Q&gt;&lt;R&gt;1&lt;/R&gt;&lt;C&gt;1&lt;/C&gt;&lt;D xsi:type="xsd:double"&gt;414.97614&lt;/D&gt;&lt;/FQL&gt;&lt;FQL&gt;&lt;Q&gt;EWQ^FG_PRICE_MAVG(0,,,,200)&lt;/Q&gt;&lt;R&gt;1&lt;/R&gt;&lt;C&gt;1&lt;/C&gt;&lt;D xsi:type="xsd:double"&gt;39.6557&lt;/D&gt;&lt;/FQL&gt;&lt;FQL&gt;&lt;Q&gt;EWL^FG_PRICE_MAVG(0,,,,200)&lt;/Q&gt;&lt;R&gt;1&lt;/R&gt;&lt;C&gt;1&lt;/C&gt;&lt;D xsi:type="xsd:double"&gt;48.73215&lt;/D&gt;&lt;/FQL&gt;&lt;FQL&gt;&lt;Q&gt;EWA^FG_PRICE_MAVG(0,,,,200)&lt;/Q&gt;&lt;R&gt;1&lt;/R&gt;&lt;C&gt;1&lt;/C&gt;&lt;D xsi:type="xsd:double"&gt;24.6529&lt;/D&gt;&lt;/FQL&gt;&lt;FQL&gt;&lt;Q&gt;SPY^P_PRICE(0)/P_PRICE_LOW_PR(0,,,,,,"PRICE","INTRA","52W")-1&lt;/Q&gt;&lt;R&gt;1&lt;/R&gt;&lt;C&gt;1&lt;/C&gt;&lt;D xsi:type="xsd:double"&gt;0.42858195&lt;/D&gt;&lt;/FQL&gt;&lt;FQL&gt;&lt;Q&gt;EWJ^FMA_PCT_ABOVE_MAVG(200,0,,,,"PORTAGG")&lt;/Q&gt;&lt;R&gt;1&lt;/R&gt;&lt;C&gt;1&lt;/C&gt;&lt;D xsi:type="xsd:double"&gt;46.7336683417085&lt;/D&gt;&lt;/FQL&gt;&lt;FQL&gt;&lt;Q&gt;VWO^PERCENT_CHANGE(FMA_EPS(+1,0,,,,"PORTAGG","MEAN"),FMA_EPS(+1,-3AM,,,,"PORTAGG","MEAN"))&lt;/Q&gt;&lt;R&gt;1&lt;/R&gt;&lt;C&gt;1&lt;/C&gt;&lt;D xsi:type="xsd:double"&gt;0.961283532773294&lt;/D&gt;&lt;/FQL&gt;&lt;FQL&gt;&lt;Q&gt;EWC^FMA_ROE(NTMA,-20AY,NOW,FY,"PORTAGG","MEANR")&lt;/Q&gt;&lt;R&gt;20&lt;/R&gt;&lt;C&gt;1&lt;/C&gt;&lt;D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xsi:type="xsd:double"&gt;11.9757277563434&lt;/D&gt;&lt;D xsi:type="xsd:double"&gt;11.1869789498459&lt;/D&gt;&lt;D xsi:type="xsd:double"&gt;14.1059285156531&lt;/D&gt;&lt;D xsi:type="xsd:double"&gt;14.0067090394</t>
        </r>
      </text>
    </comment>
    <comment ref="A10" authorId="0" shapeId="0" xr:uid="{D044DC32-8FBF-4AB2-9410-7792A424A8CC}">
      <text>
        <r>
          <rPr>
            <b/>
            <sz val="9"/>
            <color indexed="81"/>
            <rFont val="Tahoma"/>
            <charset val="1"/>
          </rPr>
          <t>672&lt;/D&gt;&lt;D xsi:type="xsd:double"&gt;13.1479323697033&lt;/D&gt;&lt;/FQL&gt;&lt;FQL&gt;&lt;Q&gt;TIPSCL10Y-FDS^FG_YIELD(-10AY,0,Y,,"YTM")&lt;/Q&gt;&lt;R&gt;10&lt;/R&gt;&lt;C&gt;1&lt;/C&gt;&lt;D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xsi:type="xsd:string"&gt;@NA&lt;/D&gt;&lt;/FQL&gt;&lt;FQL&gt;&lt;Q&gt;USDAUD^FG_PRICE_CHANGE(0,-1AY)&lt;/Q&gt;&lt;R&gt;1&lt;/R&gt;&lt;C&gt;1&lt;/C&gt;&lt;D xsi:type="xsd:double"&gt;-5.412662&lt;/D&gt;&lt;/FQL&gt;&lt;FQL&gt;&lt;Q&gt;EWL^P_PRICE_RETURNS_PR('52W',2,-10AY,0,AM)&lt;/Q&gt;&lt;R&gt;121&lt;/R&gt;&lt;C&gt;1&lt;/C&gt;&lt;D xsi:type="xsd:double"&gt;-0.8076787&lt;/D&gt;&lt;D xsi:type="xsd:double"&gt;4.006803&lt;/D&gt;&lt;D xsi:type="xsd:double"&gt;4.3897986&lt;/D&gt;&lt;D xsi:type="xsd:double"&gt;0.5256176&lt;/D&gt;&lt;D xsi:type="xsd:double"&gt;0.17073154&lt;/D&gt;&lt;D xsi:type="xsd:double"&gt;1.0326028&lt;/D&gt;&lt;D xsi:type="xsd:double"&gt;2.6987433&lt;/D&gt;&lt;D xsi:type="xsd:double"&gt;3.8063765&lt;/D&gt;&lt;D xsi:type="xsd:double"&gt;0.2712965&lt;/D&gt;&lt;D xsi:type="xsd:double"&gt;3.811705&lt;/D&gt;&lt;D xsi:type="xsd:double"&gt;2.9734492&lt;/D&gt;&lt;D xsi:type="xsd:double"&gt;-3.097248&lt;/D&gt;&lt;D xsi:type="xsd:double"&gt;9.400368&lt;/D&gt;&lt;D xsi:type="xsd:double"&gt;-2.7824283&lt;/D&gt;&lt;D xsi:type="xsd:double"&gt;-3.7031472&lt;/D&gt;&lt;D xsi:type="xsd:double"&gt;-11.074763&lt;/D&gt;&lt;D xsi:type="xsd:double"&gt;-11.186767&lt;/D&gt;&lt;D xsi:type="xsd:double"&gt;-9.429174&lt;/D&gt;&lt;D xsi:type="xsd:double"&gt;-9.119582&lt;/D&gt;&lt;D xsi:type="xsd:double"&gt;-14.347351&lt;/D&gt;&lt;D xsi:type="xsd:double"&gt;-10.841232&lt;/D&gt;&lt;D xsi:type="xsd:double"&gt;-10.544986&lt;/D&gt;&lt;D xsi:type="xsd:double"&gt;-4.8594713&lt;/D&gt;&lt;D xsi:type="xsd:double"&gt;-3.7422538&lt;/D&gt;&lt;D xsi:type="xsd:double"&gt;-4.9720407&lt;/D&gt;&lt;D xsi:type="xsd:double"&gt;-5.8245125&lt;/D&gt;&lt;D xsi:type="xsd:double"&gt;-4.4248104&lt;/D&gt;&lt;D xsi:type="xsd:double"&gt;8.724523&lt;/D&gt;&lt;D xsi:type="xsd:double"&gt;11.098862&lt;/D&gt;&lt;D xsi:type="xsd:double"&gt;10.726333&lt;/D&gt;&lt;D xsi:type="xsd:double"&gt;7.0064425&lt;/D&gt;&lt;D xsi:type="xsd:double"&gt;17.78859&lt;/D&gt;&lt;D xsi:type="xsd:double"&gt;20.656443&lt;/D&gt;&lt;D xsi:type="xsd:double"&gt;18.62527&lt;/D&gt;&lt;D xsi:type="xsd:double"&gt;11.8316765&lt;/D&gt;&lt;D xsi:type="xsd:double"&gt;18.283485&lt;/D&gt;&lt;D xsi:type="xsd:double"&gt;20.68404&lt;/D&gt;&lt;D xsi:type="xsd:double"&gt;21.490515&lt;/D&gt;&lt;D xsi:type="xsd:double"&gt;24.270105&lt;/D&gt;&lt;D xsi:type="xsd:double"&gt;23.665714&lt;/D&gt;&lt;D xsi:type="xsd:double"&gt;18.25651&lt;/D&gt;&lt;D xsi:type="xsd:double"&gt;11.05566&lt;/D&gt;&lt;D xsi:type="xsd:double"&gt;10.692156&lt;/D&gt;&lt;D xsi:type="xsd:double"&gt;2.2868395&lt;/D&gt;&lt;D xsi:type="xsd:double"&gt;-2.383113&lt;/D&gt;&lt;D xsi:type="xsd:double"&gt;-0.68556666&lt;/D&gt;&lt;D xsi:type="xsd:double"&gt;2.477491&lt;/D&gt;&lt;D xsi:type="xsd:double"&gt;2.5665522&lt;/D&gt;&lt;D xsi:type="xsd:double"&gt;-5.02069&lt;/D&gt;&lt;D xsi:type="xsd:double"&gt;-1.3877213&lt;/D&gt;&lt;D xsi:type="xsd:double"&gt;-9.039664&lt;/D&gt;&lt;D xsi:type="xsd:double"&gt;-6.6663265&lt;/D&gt;&lt;D xsi:type="xsd:double"&gt;-3.3263624&lt;/D&gt;&lt;D xsi:type="xsd:double"&gt;3.8892984&lt;/D&gt;&lt;D xsi:type="xsd:double"&gt;5.8181405&lt;/D&gt;&lt;D xsi:type="xsd:double"&gt;7.210362&lt;/D&gt;&lt;D xsi:type="xsd:double"&gt;16.161024&lt;/D&gt;&lt;D xsi:type="xsd:double"&gt;14.6941185&lt;/D&gt;&lt;D xsi:type="xsd:double"&gt;11.431384&lt;/D&gt;&lt;D xsi:type="xsd:double"&gt;10.029387&lt;/D&gt;&lt;D xsi:type="xsd:double"&gt;17.857038&lt;/D&gt;&lt;D xsi:type="xsd:double"&gt;20.506119&lt;/D&gt;&lt;D xsi:type="xsd:double"&gt;29.914713&lt;/D&gt;&lt;D xsi:type="xsd:double"&gt;28.347946&lt;/D&gt;&lt;D xsi:type="xsd:double"&gt;25.908863&lt;/D&gt;&lt;D xsi:type="xsd:double"&gt;-9.438485&lt;/D&gt;&lt;D xsi:type="xsd:double"&gt;5.6458354&lt;/D&gt;&lt;D xsi:type="xsd:double"&gt;6.0782313&lt;/D&gt;&lt;D xsi:type="xsd:double"&gt;7.874453&lt;/D&gt;&lt;D xsi:type="xsd:double"&gt;11.2801075&lt;/D&gt;&lt;D xsi:type="xsd:double"&gt;15.099203&lt;/D&gt;&lt;D xsi:type="xsd:double"&gt;15.544451&lt;/D&gt;&lt;D xsi:type="xsd:double"&gt;11.950815&lt;/D&gt;&lt;D xsi:type="xsd:double"&gt;11.825252&lt;/D&gt;&lt;D xsi:type="xsd:double"&gt;12.606943&lt;/D&gt;&lt;D xsi:type="xsd:double"&gt;11.896658&lt;/D&gt;&lt;D xsi:type="xsd:double"&gt;8.593618&lt;/D&gt;&lt;D xsi:type="xsd:double"&gt;42.759335&lt;/D&gt;&lt;D xsi:type="xsd:double"&gt;31.606281&lt;/D&gt;&lt;D xsi:type="xsd:double"&gt;28.999996&lt;/D&gt;&lt;D xsi:type="xsd:double"&gt;26.390589&lt;/D&gt;&lt;D xsi:type="xsd:double"&gt;22.917843&lt;/D&gt;&lt;D xsi:type="xsd:double"&gt;24.025011&lt;/D&gt;&lt;D xsi:type="xsd:double"&gt;15.20319&lt;/D&gt;&lt;D xsi:type="xsd:double"&gt;19.610477&lt;/D&gt;&lt;D xsi:type="xsd:double"&gt;21.605217&lt;/D&gt;&lt;D xsi:type="xsd:double"&gt;17.779945&lt;/D&gt;&lt;D xsi:type="xsd:double"&gt;14.529896&lt;/D&gt;&lt;D xsi:type="xsd:double"&gt;9.899199&lt;/D&gt;&lt;D xsi:type="xsd:double"&gt;13.271046&lt;/D&gt;&lt;D xsi:type="xsd:double"&gt;6.8507195&lt;/D&gt;&lt;D xsi:type="xsd:double"&gt;-6.3245177&lt;/D&gt;&lt;D xsi:type="xsd:double"&gt;-18.044102&lt;/D&gt;&lt;D xsi:type="xsd:double"&gt;-14.620209&lt;/D&gt;&lt;D xsi:type="xsd:double"&gt;-13.781482&lt;/D&gt;&lt;D xsi:type="xsd:double"&gt;-16.883707&lt;/D&gt;&lt;D xsi:type="xsd:double"&gt;-18.94703&lt;/D&gt;&lt;D xsi:type="xsd:double"&gt;-15.8162775&lt;/D&gt;&lt;D xsi:type="xsd:double"&gt;-17.769735&lt;/D&gt;&lt;D xsi:type="xsd:double"&gt;-9.382433&lt;/D&gt;&lt;D xsi:type="xsd:double"&gt;-5.219674&lt;/D&gt;&lt;D xsi:type="xsd:double"&gt;-9.836197&lt;/D&gt;&lt;D xsi:type="xsd:double"&gt;-1.597333&lt;/D&gt;&lt;D xsi:type="xsd:double"&gt;11.802888&lt;/D&gt;&lt;D xsi:type="xsd:double"&gt;20.104206&lt;/D&gt;&lt;D xsi:type="xsd:double"&gt;18.24094&lt;/D&gt;&lt;D xsi:type="xsd:double"&gt;7.066262&lt;/D&gt;&lt;D xsi:type="xsd:double"&gt;15.19767&lt;/D&gt;&lt;D xsi:type="xsd:double"&gt;14.237952&lt;/D&gt;&lt;D xsi:type="xsd:double"&gt;8.638298&lt;/D&gt;&lt;D xsi:type="xsd:double"&gt;14.891028&lt;/D&gt;&lt;D xsi:type="xsd:double"&gt;6.3973546&lt;/D&gt;&lt;D xsi:type="xsd:double"&gt;7.3997617&lt;/D&gt;&lt;D xsi:type="xsd:double"&gt;14.4883995&lt;/D&gt;&lt;D xsi:type="xsd:double"&gt;-2.4202228&lt;/D&gt;&lt;D xsi:type="xsd:double"&gt;4.485297&lt;/D&gt;&lt;D xsi:type="xsd:double"&gt;8.293462&lt;/D&gt;&lt;D xsi:type="xsd:double"&gt;6.5872073&lt;/D&gt;&lt;D xsi:type="xsd:double"&gt;13.675821&lt;/D&gt;&lt;D xsi:type="xsd:double"&gt;15.611339&lt;/D&gt;&lt;D xsi:type="xsd:double"&gt;21.878422&lt;/D&gt;&lt;/FQL&gt;&lt;FQL&gt;&lt;Q&gt;EWG^FG_TOTAL_RETURNC(-10AY,0,AM)&lt;/Q&gt;&lt;R&gt;121&lt;/R&gt;&lt;C&gt;1&lt;/C&gt;&lt;D xsi:type="xsd:double"&gt;-10.655743&lt;/D&gt;&lt;D xsi:type="xsd:double"&gt;3.172779&lt;/D&gt;&lt;D xsi:type="xsd:double"&gt;4.1496873&lt;/D&gt;&lt;D xsi:type="xsd:double"&gt;-1.4941275&lt;/D&gt;&lt;D xsi:type="xsd:double"&gt;5.2004337&lt;/D&gt;&lt;D xsi:type="xsd:double"&gt;2.8149724&lt;/D&gt;&lt;D xsi:type="xsd:double"&gt;-1.8697858&lt;/D&gt;&lt;D xsi:type="xsd:double"&gt;3.6406875&lt;/D&gt;&lt;D xsi:type="xsd:double"&gt;-3.9067566&lt;/D&gt;&lt;D xsi:type="xsd:double"&gt;0.31039715&lt;/D&gt;&lt;D xsi:type="xsd:double"&gt;-4.712409&lt;/D&gt;&lt;D xsi:type="xsd:double"&gt;-6.3272715&lt;/D&gt;&lt;D xsi:type="xsd:double"&gt;1.8633485&lt;/D&gt;&lt;D xsi:type="xsd:double"&gt;1.753056&lt;/D&gt;&lt;D xsi:type="xsd:double"&gt;-2.284646&lt;/D&gt;&lt;D xsi:type="xsd:double"&gt;-9.428906&lt;/D&gt;&lt;D xsi:type="xsd:double"&gt;1.4388442&lt;/D&gt;&lt;D xsi:type="xsd:double"&gt;6.5915704&lt;/D&gt;&lt;D xsi:type="xsd:double"&gt;2.1135092&lt;/D&gt;&lt;D xsi:type="xsd:double"&gt;-2.8746665&lt;/D&gt;&lt;D xsi:type="xsd:double"&gt;-1.6179919&lt;/D&gt;&lt;D xsi:type="xsd:double"&gt;1.6493201&lt;/D&gt;&lt;D xsi:type="xsd:double"&gt;8.08407&lt;/D&gt;&lt;D xsi:type="xsd:double"&gt;-4.5624495&lt;/D&gt;&lt;D xsi:type="xsd:double"&gt;1.4498353&lt;/D&gt;&lt;D xsi:type="xsd:double"&gt;-3.9783657&lt;/D&gt;&lt;D xsi:type="xsd:double"&gt;5.108607&lt;/D&gt;&lt;D xsi:type="xsd:double"&gt;4.054117&lt;/D&gt;&lt;D xsi:type="xsd:double"&gt;1.3245106&lt;/D&gt;&lt;D xsi:type="xsd:double"&gt;3.1590343&lt;/D&gt;&lt;D xsi:type="xsd:double"&gt;-0.56318045&lt;/D&gt;&lt;D xsi:type="xsd:double"&gt;8.42477&lt;/D&gt;&lt;D xsi:type="xsd:double"&gt;1.9588709&lt;/D&gt;&lt;D xsi:type="xsd:double"&gt;0.60908794&lt;/D&gt;&lt;D xsi:type="xsd:double"&gt;-0.5840361&lt;/D&gt;&lt;D xsi:type="xsd:double"&gt;4.76501&lt;/D&gt;&lt;D xsi:type="xsd:double"&gt;2.4922252&lt;/D&gt;&lt;D xsi:type="xsd:double"&gt;-0.57751536&lt;/D&gt;&lt;D xsi:type="xsd:double"&gt;2.5374532&lt;/D&gt;&lt;D xsi:type="xsd:double"&gt;4.1680455&lt;/D&gt;&lt;D xsi:type="xsd:double"&gt;-4.50502&lt;/D&gt;&lt;D xsi:type="xsd:double"&gt;-1.953119&lt;/D&gt;&lt;D xsi:type="xsd:double"&gt;2.2372007&lt;/D&gt;&lt;D xsi:type="xsd:double"&gt;-1.4388502&lt;/D&gt;&lt;D xsi:type="xsd:double"&gt;-2.8588831&lt;/D&gt;&lt;D xsi:type="xsd:double"&gt;-0.5354941&lt;/D&gt;&lt;D xsi:type="xsd:double"&gt;-5.1579657&lt;/D&gt;&lt;D xsi:type="xsd:double"&gt;1.7335176&lt;/D&gt;&lt;D xsi:type="xsd:double"&gt;-7.4173093&lt;/D&gt;&lt;D xsi:type="xsd:double"&gt;-1.5517831&lt;/D&gt;&lt;D xsi:type="xsd:double"&gt;-6.4516125&lt;/D&gt;&lt;D xsi:type="xsd:double"&gt;4.5846343&lt;/D&gt;&lt;D xsi:type="xsd:double"&gt;0.03746748&lt;/D&gt;&lt;D xsi:type="xsd:double"&gt;3.3707857&lt;/D&gt;&lt;D xsi:type="xsd:double"&gt;3.5144925&lt;/D&gt;&lt;D xsi:type="xsd:double"&gt;-1.8200934&lt;/D&gt;&lt;D xsi:type="xsd:double"&gt;0.4331708&lt;/D&gt;&lt;D xsi:type="xsd:double"&gt;0.109410286&lt;/D&gt;&lt;D xsi:type="xsd:double"&gt;-6.7395267&lt;/D&gt;&lt;D xsi:type="xsd:double"&gt;6.60156&lt;/D&gt;&lt;D xsi:type="xsd:double"&gt;2.9314756&lt;/D&gt;&lt;D xsi:type="xsd:double"&gt;3.2751918&lt;/D&gt;&lt;D xsi:type="xsd:double"&gt;0.8617759&lt;/D&gt;&lt;D xsi:type="xsd:double"&gt;2.0164013&lt;/D&gt;&lt;D xsi:type="xsd:double"&gt;-2.1440566&lt;/D&gt;&lt;D xsi:type="xsd:double"&gt;-38.274555&lt;/D&gt;&lt;D xsi:type="xsd:double"&gt;27.787018&lt;/D&gt;&lt;D xsi:type="xsd:double"&gt;4.3836713&lt;/D&gt;&lt;D xsi:type="xsd:double"&gt;13.352882&lt;/D&gt;&lt;D xsi:type="xsd:double"&gt;6.8939924&lt;/D&gt;&lt;D xsi:type="xsd:double"&gt;3.952837&lt;/D&gt;&lt;D xsi:type="xsd:double"&gt;0.96731186&lt;/D&gt;&lt;D xsi:type="xsd:double"&gt;-2.1803737&lt;/D&gt;&lt;D xsi:type="xsd:double"&gt;1.2495756&lt;/D&gt;&lt;D xsi:type="xsd:double"&gt;8.217692&lt;/D&gt;&lt;D xsi:type="xsd:double"&gt;-0.62422156&lt;/D&gt;&lt;D xsi:type="xsd:double"&gt;2.3555279&lt;/D&gt;&lt;D xsi:type="xsd:double"&gt;2.5467873&lt;/D&gt;&lt;D xsi:type="xsd:double"&gt;5.894673&lt;/D&gt;&lt;D xsi:type="xsd:double"&gt;0.11303425&lt;/D&gt;&lt;D xsi:type="xsd:double"&gt;-1.3148248&lt;/D&gt;&lt;D xsi:type="xsd:double"&gt;-0.2036035&lt;/D&gt;&lt;D xsi:type="xsd:double"&gt;1.6613245&lt;/D&gt;&lt;D xsi:type="xsd:double"&gt;-2.40826&lt;/D&gt;&lt;D xsi:type="xsd:double"&gt;-1.7332554&lt;/D&gt;&lt;D xsi:type="xsd:double"&gt;2.3617387&lt;/D&gt;&lt;D xsi:type="xsd:double"&gt;-6.2053323&lt;/D&gt;&lt;D xsi:type="xsd:double"&gt;2.7329683&lt;/D&gt;&lt;D xsi:type="xsd:double"&gt;-4.61632&lt;/D&gt;&lt;D xsi:type="xsd:double"&gt;-7.3397455&lt;/D&gt;&lt;D xsi:type="xsd:double"&gt;-6.2262177&lt;/D&gt;&lt;D xsi:type="xsd:double"&gt;-5.71745&lt;/D&gt;&lt;D xsi:type="xsd:double"&gt;-4.5309663&lt;/D&gt;&lt;D xsi:type="xsd:double"&gt;-6.210393&lt;/D&gt;&lt;D xsi:type="xsd:double"&gt;5.360353&lt;/D&gt;&lt;D xsi:type="xsd:double"&gt;-7.6100826&lt;/D&gt;&lt;D xsi:type="xsd:double"&gt;-2.0360947&lt;/D&gt;&lt;D xsi:type="xsd:double"&gt;17.76098&lt;/D&gt;&lt;D xsi:type="xsd:double"&gt;-1.2905419&lt;/D&gt;&lt;D xsi:type="xsd:double"&gt;12.601625&lt;/D&gt;&lt;D xsi:type="xsd:double"&gt;1.6245484&lt;/D&gt;&lt;D xsi:type="xsd:double"&gt;-6.0745955&lt;/D&gt;&lt;D xsi:type="xsd:double"&gt;10.438728&lt;/D&gt;&lt;D xsi:type="xsd:double"&gt;-0.4109621&lt;/D&gt;&lt;D xsi:type="xsd:double"&gt;2.1452427&lt;/D&gt;&lt;D xsi:type="xsd:double"&gt;1.4873743&lt;/D&gt;&lt;D xsi:type="xsd:double"&gt;-6.4758005&lt;/D&gt;&lt;D xsi:type="xsd:double"&gt;-1.1297405&lt;/D&gt;&lt;D xsi:type="xsd:double"&gt;-6.118685&lt;/D&gt;&lt;D xsi:type="xsd:double"&gt;9.89399&lt;/D&gt;&lt;D xsi:type="xsd:double"&gt;4.465878&lt;/D&gt;&lt;D xsi:type="xsd:double"&gt;-1.739043&lt;/D&gt;&lt;D xsi:type="xsd:double"&gt;2.714932&lt;/D&gt;&lt;D xsi:type="xsd:double"&gt;5.015242&lt;/D&gt;&lt;D xsi:type="xsd:double"&gt;-3.0655026&lt;/D&gt;&lt;D xsi:type="xsd:double"&gt;7.9227567&lt;/D&gt;&lt;D xsi:type="xsd:double"&gt;-4.2654753&lt;/D&gt;&lt;D xsi:type="xsd:double"&gt;2.9382586&lt;/D&gt;&lt;D xsi:type="xsd:double"&gt;0.70557594&lt;/D&gt;&lt;D xsi:type="xsd:double"&gt;3.7579656&lt;/D&gt;&lt;D xsi:type="xsd:double"&gt;2.394104&lt;/D&gt;&lt;/FQL&gt;&lt;FQL&gt;&lt;Q&gt;PASP-FDS^FG_PRICE(0)/MAX(FG_PRICE(0,-1AY))&lt;/Q&gt;&lt;R&gt;1&lt;/R&gt;&lt;C&gt;1&lt;/C&gt;&lt;D xsi:type="xsd:double"&gt;0.830952380952381&lt;/D&gt;&lt;/FQL&gt;&lt;FQL&gt;&lt;Q&gt;COPP-FDS^FG_PRICE(0)/MAX(FG_PRICE(0,-1AY))&lt;/Q&gt;&lt;R&gt;1&lt;/R&gt;&lt;C&gt;1&lt;/C&gt;&lt;D xsi:type="xsd:double"&gt;0.848993944129713&lt;/D&gt;&lt;/FQL&gt;&lt;FQL&gt;&lt;Q&gt;EWQ^FG_PRICE_MAVG(0,,,,60)&lt;/Q&gt;&lt;R&gt;1&lt;/R&gt;&lt;C&gt;1&lt;/C&gt;&lt;D xsi:type="xsd:double"&gt;39.044666&lt;/D&gt;&lt;/FQL&gt;&lt;FQL&gt;&lt;Q&gt;EWJ^FG_COMPANY_NAME&lt;/Q&gt;&lt;R&gt;1&lt;/R&gt;&lt;C&gt;1&lt;/C&gt;&lt;D xsi:type="xsd:string"&gt;iShares MSCI Japan ETF&lt;/D&gt;&lt;/FQL&gt;&lt;FQL&gt;&lt;Q&gt;SPY^P_PRICE(0)/P_PRICE_HIGH_PR(0,,,,,,"PRICE","INTRA","52W")&lt;/Q&gt;&lt;R&gt;1&lt;/R&gt;&lt;C&gt;1&lt;/C&gt;&lt;D xsi:type="xsd:double"&gt;0.9973897&lt;/D&gt;&lt;/FQL&gt;&lt;FQL&gt;&lt;Q&gt;URTH^FG_TOTAL_RETURNC(0,-12AM)&lt;/Q&gt;&lt;R&gt;1&lt;/R&gt;&lt;C&gt;1&lt;/C&gt;&lt;D xsi:type="xsd:double"&gt;34.1182&lt;/D&gt;&lt;/FQL&gt;&lt;FQL&gt;&lt;Q&gt;VWO^PERCENT_CHANGE(FMA_EPS(+1,0,,,,"PORTAGG","MEAN"),FMA_EPS(+1,-1AM,,,,"PORTAGG","MEAN"))&lt;/Q&gt;&lt;R&gt;1&lt;/R&gt;&lt;C&gt;1&lt;/C&gt;&lt;D xsi:type="xsd:double"&gt;0&lt;/D&gt;&lt;/FQL&gt;&lt;FQL&gt;&lt;Q&gt;EWI^FG_TOTAL_RETURNC(0,-1AM)&lt;/Q&gt;&lt;R&gt;1&lt;/R&gt;&lt;C&gt;1&lt;/C&gt;&lt;D xsi:type="xsd:double"&gt;2.2970438&lt;/D&gt;&lt;/FQL&gt;&lt;FQL&gt;&lt;Q&gt;EWN^FG_TOTAL_RETURNC(0,-6AM)&lt;/Q&gt;&lt;R&gt;1&lt;/R&gt;&lt;C&gt;1&lt;/C&gt;&lt;D xsi:type="xsd:double"&gt;3.998518&lt;/D&gt;&lt;/FQL&gt;&lt;FQL&gt;&lt;Q&gt;QQQ^FMA_PCT_ABOVE_MAVG(200,0,,,,"PORTAGG")&lt;/Q&gt;&lt;R&gt;1&lt;/R&gt;&lt;C&gt;1&lt;/C&gt;&lt;D xsi:type="xsd:double"&gt;64.7058823529412&lt;/D&gt;&lt;/FQL&gt;&lt;FQL&gt;&lt;Q&gt;EWL^PERCENT_CHANGE(FMA_EPS(+1,0,,,,"PORTAGG","MEAN"),FMA_EPS(+1,-3AM,,,,"PORTAGG","MEAN"))&lt;/Q&gt;&lt;R&gt;1&lt;/R&gt;&lt;C&gt;1&lt;/C&gt;&lt;D xsi:type="xsd:double"&gt;2.88776237856061&lt;/D&gt;&lt;/FQL&gt;&lt;FQL&gt;&lt;Q&gt;EWG^FG_TOTAL_RETURNC(0,-3AM)&lt;/Q&gt;&lt;R&gt;1&lt;/R&gt;&lt;C&gt;1&lt;/C&gt;&lt;D xsi:type="xsd:double"&gt;6.9916606&lt;/D&gt;&lt;/FQL&gt;&lt;FQL&gt;&lt;Q&gt;EWA^P_PRICE(0)/P_PRICE_HIGH_PR(0,,,,,,"PRICE","INTRA","52W")&lt;/Q&gt;&lt;R&gt;1&lt;/R&gt;&lt;C&gt;1&lt;/C&gt;&lt;D xsi:type="xsd:double"&gt;0.9753948&lt;/D&gt;&lt;/FQL&gt;&lt;FQL&gt;&lt;Q&gt;FXI^SIZE(FG_CONSTITUENTS)&lt;/Q&gt;&lt;R&gt;1&lt;/R&gt;&lt;C&gt;1&lt;/C&gt;&lt;D xsi:type="xsd:long"&gt;52&lt;/D&gt;&lt;/FQL&gt;&lt;FQL&gt;&lt;Q&gt;VGK^FMA_COS_DOWN("EPS","1M",+1,0,,,"PORTAGG","MEANR")&lt;/Q&gt;&lt;R&gt;1&lt;/R&gt;&lt;C&gt;1&lt;/C&gt;&lt;D xsi:type="xsd:double"&gt;507&lt;/D&gt;&lt;/FQL&gt;&lt;FQL&gt;&lt;Q&gt;SPY^FMA_COS_UP("EPS","1M",+1,0,,,"PORTAGG","MEANR")&lt;/Q&gt;&lt;R&gt;1&lt;/R&gt;&lt;C&gt;1&lt;/C&gt;&lt;D xsi:type="xsd:double"&gt;159&lt;/D&gt;&lt;/FQL&gt;&lt;FQL&gt;&lt;Q&gt;EWC^SIZE(FG_CONSTITUENTS)&lt;/Q&gt;&lt;R&gt;1&lt;/R&gt;&lt;C&gt;1&lt;/C&gt;&lt;D xsi:type="xsd:long"&gt;86&lt;/D&gt;&lt;/FQL&gt;&lt;FQL&gt;&lt;Q&gt;EWC^FMA_RBICS_REV_CURRENT(30, LOC, "PORTAGG")&lt;/Q&gt;&lt;R&gt;1&lt;/R&gt;&lt;C&gt;1&lt;/C&gt;&lt;D xsi:type="xsd:double"&gt;42.3593959954102&lt;/D&gt;&lt;/FQL&gt;&lt;FQL&gt;&lt;Q&gt;CAGDPY@IT^EE_ACTUAL_ANNUAL(MED,+1)&lt;/Q&gt;&lt;R&gt;1&lt;/R&gt;&lt;C&gt;1&lt;/C&gt;&lt;D xsi:type="xsd:double"&gt;1.4&lt;/D&gt;&lt;/FQL&gt;&lt;FQL&gt;&lt;Q&gt;CAGDPY@JP^EE_ACTUAL_ANNUAL(MED,+1)&lt;/Q&gt;&lt;R&gt;1&lt;/R&gt;&lt;C&gt;1&lt;/C&gt;&lt;D xsi:type="xsd:double"&gt;4&lt;/D&gt;&lt;/FQL&gt;&lt;FQL&gt;&lt;Q&gt;CC_CA^FG_COMPANY_NAME&lt;/Q&gt;&lt;R&gt;1&lt;/R&gt;&lt;C&gt;1&lt;/C&gt;&lt;D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xsi:type="xsd:double"&gt;-4.437727&lt;/D&gt;&lt;/FQL&gt;&lt;FQL&gt;&lt;Q&gt;USDCHF^FG_PRICE_CHANGE(0,-1AY)&lt;/Q&gt;&lt;R&gt;1&lt;/R&gt;&lt;C&gt;1&lt;/C&gt;&lt;D xsi:type="xsd:double"&gt;-3.6360621&lt;/D&gt;&lt;/FQL&gt;&lt;FQL&gt;&lt;Q&gt;USDEUR^FG_PRICE_CHANGE(0,-1AY)&lt;/Q&gt;&lt;R&gt;1&lt;/R&gt;&lt;C&gt;1&lt;/C&gt;&lt;D xsi:type="xsd:double"&gt;-2.938062&lt;/D&gt;&lt;/FQL&gt;&lt;FQL&gt;&lt;Q&gt;QQQ^FMA_EPS(NTMA,-20AY,0,CY,,"PORTAGG","MEANR")&lt;/Q&gt;&lt;R&gt;20&lt;/R&gt;&lt;C&gt;1&lt;/C&gt;&lt;D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xsi:type="xsd:double"&gt;9.35231861811&lt;/D&gt;&lt;D xsi:type="xsd:double"&gt;10.4260784199943&lt;/D&gt;&lt;D xsi:type="xsd:double"&gt;13.6402698151639&lt;/D&gt;&lt;D xsi:type="xsd:double"&gt;12.7503134076109&lt;/D&gt;&lt;D xsi:type="xsd:double"&gt;16.3257356453403&lt;/D&gt;&lt;/FQL&gt;&lt;FQL&gt;&lt;Q&gt;EWA^FMA_DIV_YLD(NTMA,-10AY,0,AM,"PORTAGG","MEANR")&lt;/Q&gt;&lt;R&gt;121&lt;/R&gt;&lt;C&gt;1&lt;/C&gt;&lt;D xsi:type="xsd:double"&gt;5.0655415651363&lt;/D&gt;&lt;D xsi:type="xsd:double"&gt;4.96768400094698&lt;/D&gt;&lt;D xsi:type="xsd:double"&gt;5.16313847558668&lt;/D&gt;&lt;D xsi:type="xsd:double"&gt;5.07826404210497&lt;/D&gt;&lt;D xsi:type="xsd:double"&gt;4.5867940554626&lt;/D&gt;&lt;D xsi:type="xsd:double"&gt;4.6513853193405&lt;/D&gt;&lt;D xsi:type="xsd:double"&gt;4.60128995658797&lt;/D&gt;&lt;D xsi:type="xsd:double"&gt;4.75718247294113&lt;/D&gt;&lt;D xsi:type="xsd:double"&gt;4.90081231750078&lt;/D&gt;&lt;D xsi:type="xsd:double"&gt;4.81765920522461&lt;/D&gt;&lt;D xsi:type="xsd:double"&gt;5.18998660911578&lt;/D&gt;&lt;D xsi:type="xsd:double"&gt;5.31321803080802&lt;/D&gt;&lt;D xsi:type="xsd:double"&gt;5.17781929203322&lt;/D&gt;&lt;D xsi:type="xsd:double"&gt;5.35316670105698&lt;/D&gt;&lt;D xsi:type="xsd:double"&gt;5.32536243434874&lt;/D&gt;&lt;D xsi:type="xsd:double"&gt;5.57444278315214&lt;/D&gt;&lt;D xsi:type="xsd:double"&gt;5.06569901704711&lt;/D&gt;&lt;D xsi:type="xsd:double"&gt;4.71052050457261&lt;/D&gt;&lt;D xsi:type="xsd:double"&gt;4.76632684168503&lt;/D&gt;&lt;D xsi:type="xsd:double"&gt;4.57128520061198&lt;/D&gt;&lt;D xsi:type="xsd:double"&gt;4.7553197926033&lt;/D&gt;&lt;D xsi:type="xsd:double"&gt;4.50408072473317&lt;/D&gt;&lt;D xsi:type="xsd:double"&gt;4.46139303801457&lt;/D&gt;&lt;D xsi:type="xsd:double"&gt;4.66560174717176&lt;/D&gt;&lt;D xsi:type="xsd:double"&gt;4.56043362664248&lt;/D&gt;&lt;D xsi:type="xsd:double"&gt;4.63444114827181&lt;/D&gt;&lt;D xsi:type="xsd:double"&gt;4.60882932854851&lt;/D&gt;&lt;D xsi:type="xsd:double"&gt;4.50792332120316&lt;/D&gt;&lt;D xsi:type="xsd:double"&gt;4.45976471142303&lt;/D&gt;&lt;D xsi:type="xsd:double"&gt;4.55232794586758&lt;/D&gt;&lt;D xsi:type="xsd:double"&gt;4.53669617458827&lt;/D&gt;&lt;D xsi:type="xsd:double"&gt;4.63876556500603&lt;/D&gt;&lt;D xsi:type="xsd:double"&gt;4.60557263210598&lt;/D&gt;&lt;D xsi:type="xsd:double"&gt;4.61514441749311&lt;/D&gt;&lt;D xsi:type="xsd:double"&gt;4.54507692948587&lt;/D&gt;&lt;D xsi:type="xsd:double"&gt;4.58276776137191&lt;/D&gt;&lt;D xsi:type="xsd:double"&gt;4.49018195654982&lt;/D&gt;&lt;D xsi:type="xsd:double"&gt;4.49201546880016&lt;/D&gt;&lt;D xsi:type="xsd:double"&gt;4.48020229566627&lt;/D&gt;&lt;D xsi:type="xsd:double"&gt;4.52926826096864&lt;/D&gt;&lt;D xsi:type="xsd:double"&gt;4.64556705569957&lt;/D&gt;&lt;D xsi:type="xsd:double"&gt;4.67978048313108&lt;/D&gt;&lt;D xsi:type="xsd:double"&gt;4.76815216379812&lt;/D&gt;&lt;D xsi:type="xsd:double"&gt;4.62891811807485&lt;/D&gt;&lt;D xsi:type="xsd:double"&gt;4.72436666011873&lt;/D&gt;&lt;D xsi:type="xsd:double"&gt;4.60430427507157&lt;/D&gt;&lt;D xsi:type="xsd:double"&gt;4.55468585283681&lt;/D&gt;&lt;D xsi:type="xsd:double"&gt;4.76618478168238&lt;/D&gt;&lt;D xsi:type="xsd:double"&gt;4.97674056487448&lt;/D&gt;&lt;D xsi:type="xsd:double"&gt;5.22372835161489&lt;/D&gt;&lt;D xsi:type="xsd:double"&gt;5.42544083248843&lt;/D&gt;&lt;D xsi:type="xsd:double"&gt;5.08322022534321&lt;/D&gt;&lt;D xsi:type="xsd:double"&gt;4.95936250542958&lt;/D&gt;&lt;D xsi:type="xsd:double"&gt;4.945032682567&lt;/D&gt;&lt;D xsi:type="xsd:double"&gt;4.90718907492549&lt;/D&gt;&lt;D xsi:type="xsd:double"&gt;4.85541330209604&lt;/D&gt;&lt;D xsi:type="xsd:double"&gt;4.66479218382375&lt;/D&gt;&lt;D xsi:type="xsd:double"&gt;4.60366493040885&lt;/D&gt;&lt;D xsi:type="xsd:double"&gt;4.77194841129488&lt;/D&gt;&lt;D xsi:type="xsd:double"&gt;4.4532013524383&lt;/D&gt;&lt;D xsi:type="xsd:double"&gt;4.43716154272097&lt;/D&gt;&lt;D xsi:type="xsd:double"&gt;4.32655033288796&lt;/D&gt;&lt;D xsi:type="xsd:double"&gt;4.22446762308668&lt;/D&gt;&lt;D xsi:type="xsd:double"&gt;4.12272998444434&lt;/D&gt;&lt;D xsi:type="xsd:double"&gt;4.06178761090628&lt;/D&gt;&lt;D xsi:type="xsd:double"&gt;5.82099979995514&lt;/D&gt;&lt;D xsi:type="xsd:double"&gt;4.29068873797671&lt;/D&gt;&lt;D xsi:type="xsd:double"&gt;3.79016215795991&lt;/D&gt;&lt;D xsi:type="xsd:double"&gt;3.42883168040535&lt;/D&gt;&lt;D xsi:type="xsd:double"&gt;3.41837081258368&lt;/D&gt;&lt;D xsi:type="xsd:double"&gt;3.35298883114727&lt;/D&gt;&lt;D xsi:type="xsd:double"&gt;3.61854604957394&lt;/D&gt;&lt;D xsi:type="xsd:double"&gt;3.563632538337&lt;/D&gt;&lt;D xsi:type="xsd:double"&gt;3.44003168558139&lt;/D&gt;&lt;D xsi:type="xsd:double"&gt;3.52391762492234&lt;/D&gt;&lt;D xsi:type="xsd:double"&gt;3.55834767383013&lt;/D&gt;&lt;D xsi:type="xsd:double"&gt;3.80181452331498&lt;/D&gt;&lt;D xsi:type="xsd:double"&gt;3.90283864667121&lt;/D&gt;&lt;D xsi:type="xsd:double"&gt;3.85939080492063&lt;/D&gt;&lt;D xsi:type="xsd:double"&gt;3.90787595482104&lt;/D&gt;&lt;D xsi:type="xsd:double"&gt;3.88464716336197&lt;/D&gt;&lt;D xsi:type="xsd:double"&gt;4.18676000302244&lt;/D&gt;&lt;D xsi:type="xsd:double"&gt;4.07529079305207&lt;/D&gt;&lt;D xsi:type="xsd:double"&gt;4.09888902593801&lt;/D&gt;&lt;D xsi:type="xsd:double"&gt;3.97565010535907&lt;/D&gt;&lt;D xsi:type="xsd:double"&gt;4.02816128756774&lt;/D&gt;&lt;D xsi:type="xsd:double"&gt;3.96390309795131&lt;/D&gt;&lt;D xsi:type="xsd:double"&gt;3.90236448071505&lt;/D&gt;&lt;D xsi:type="xsd:double"&gt;4.30660238177812&lt;/D&gt;&lt;D xsi:type="xsd:double"&gt;4.23444336320736&lt;/D&gt;&lt;D xsi:type="xsd:double"&gt;4.35773238415045&lt;/D&gt;&lt;D xsi:type="xsd:double"&gt;4.65487646278419&lt;/D&gt;&lt;D xsi:type="xsd:double"&gt;5.33004498627038&lt;/D&gt;&lt;D xsi:type="xsd:double"&gt;5.14332869538079&lt;/D&gt;&lt;D xsi:type="xsd:double"&gt;4.67452773934202&lt;/D&gt;&lt;D xsi:type="xsd:double"&gt;5.00216648526927&lt;/D&gt;&lt;D xsi:type="xsd:double"&gt;5.07761763794995&lt;/D&gt;&lt;D xsi:type="xsd:double"&gt;4.62262682354255&lt;/D&gt;&lt;D xsi:type="xsd:double"&gt;4.59377991315565&lt;/D&gt;&lt;D xsi:type="xsd:double"&gt;4.34105289780037&lt;/D&gt;&lt;D xsi:type="xsd:double"&gt;4.3951920127214&lt;/D&gt;&lt;D xsi:type="xsd:double"&gt;4.66241896443226&lt;/D&gt;&lt;D xsi:type="xsd:double"&gt;4.36684476889248&lt;/D&gt;&lt;D xsi:type="xsd:double"&gt;4.45154285735295&lt;/D&gt;&lt;D xsi:type="xsd:double"&gt;4.29993057778396&lt;/D&gt;&lt;D xsi:type="xsd:double"&gt;4.19383586712902&lt;/D&gt;&lt;D xsi:type="xsd:double"&gt;4.31250981889334&lt;/D&gt;&lt;D xsi:type="xsd:double"&gt;4.16783854431765&lt;/D&gt;&lt;D xsi:type="xsd:double"&gt;4.32835182772593&lt;/D&gt;&lt;D xsi:type="xsd:double"&gt;4.33081440958179&lt;/D&gt;&lt;D xsi:type="xsd:double"&gt;4.09405612179374&lt;/D&gt;&lt;D xsi:type="xsd:double"&gt;4.16723405563367&lt;/D&gt;&lt;D xsi:type="xsd:double"&gt;3.985263797904&lt;/D&gt;&lt;D xsi:type="xsd:double"&gt;4.00530244821546&lt;/D&gt;&lt;D xsi:type="xsd:double"&gt;4.04652449467765&lt;/D&gt;&lt;D xsi:type="xsd:double"&gt;3.92567340106103&lt;/D&gt;&lt;D xsi:type="xsd:double"&gt;3.91603521048861&lt;/D&gt;&lt;D xsi:type="xsd:double"&gt;3.79197124371661&lt;/D&gt;&lt;D xsi:type="xsd:double"&gt;3.80741559834924&lt;/D&gt;&lt;D xsi:type="xsd:double"&gt;3.64578072680594&lt;/D&gt;&lt;D xsi:type="xsd:double"&gt;3.58795119092747&lt;/D&gt;&lt;/FQL&gt;&lt;FQL&gt;&lt;Q&gt;ENZL^JULIAN(FMA_DIV_YLD(NTMA,-10AY,0,AM,"PORTAGG","MEANR").DATES)&lt;/Q&gt;&lt;R&gt;121&lt;/R&gt;&lt;C&gt;1&lt;/C&gt;&lt;D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xsi:type="xsd:long"&gt;43784&lt;/D&gt;&lt;D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xsi:type="xsd:long"&gt;45400&lt;/D&gt;&lt;D xsi:type="xsd:long"&gt;45429&lt;/D&gt;&lt;D xsi:type="xsd:long"&gt;45461&lt;/D&gt;&lt;D xsi:type="xsd:long"&gt;45491&lt;/D&gt;&lt;D xsi:type="xsd:long"&gt;45520&lt;/D&gt;&lt;D xsi:type="xsd:long"&gt;45553&lt;/D&gt;&lt;D xsi:type="xsd:long"&gt;45581&lt;/D&gt;&lt;/FQL&gt;&lt;FQL&gt;&lt;Q&gt;DDR3512M-FDS^FG_PRICE(0)/MAX(FG_PRICE(0,-1AY))&lt;/Q&gt;&lt;R&gt;1&lt;/R&gt;&lt;C&gt;1&lt;/C&gt;&lt;D xsi:type="xsd:double"&gt;0.826923076923077&lt;/D&gt;&lt;/FQL&gt;&lt;FQL&gt;&lt;Q&gt;PLATI-FDS^FG_PRICE(0)/MAX(FG_PRICE(0,-1AY))&lt;/Q&gt;&lt;R&gt;1&lt;/R&gt;&lt;C&gt;1&lt;/C&gt;&lt;D xsi:type="xsd:double"&gt;0.939195509822264&lt;/D&gt;&lt;/FQL&gt;&lt;FQL&gt;&lt;Q&gt;W-FDS^FG_PRICE(0)/MAX(FG_PRICE(0,-1AY))&lt;/Q&gt;&lt;R&gt;1&lt;/R&gt;&lt;C&gt;1&lt;/C&gt;&lt;D xsi:type="xsd:double"&gt;0.817922170653338&lt;/D&gt;&lt;/FQL&gt;&lt;FQL&gt;&lt;Q&gt;EWL^FG_PRICE_MAVG(0,,,,60)&lt;/Q&gt;&lt;R&gt;1&lt;/R&gt;&lt;C&gt;1&lt;/C&gt;&lt;D xsi:type="xsd:double"&gt;51.1065&lt;/D&gt;&lt;/FQL&gt;&lt;FQL&gt;&lt;Q&gt;EWA^FG_PRICE_MAVG(0,,,,60)&lt;/Q&gt;&lt;R&gt;1&lt;/R&gt;&lt;C&gt;1&lt;/C&gt;&lt;D xsi:type="xsd:double"&gt;25.6715&lt;/D&gt;&lt;/FQL&gt;&lt;FQL&gt;&lt;Q&gt;TRYIT10Y-FDS^FG_YIELD_NAME&lt;/Q&gt;&lt;R&gt;1&lt;/R&gt;&lt;C&gt;1&lt;/C&gt;&lt;D xsi:type="xsd:string"&gt;Italy Benchmark Bond - 10 Year&lt;/D&gt;&lt;/FQL&gt;&lt;FQL&gt;&lt;Q&gt;EWA^FMA_ROE(NTMA,-20AY,NOW,FY,"PORTAGG","MEANR")&lt;/Q&gt;&lt;R&gt;20&lt;/R&gt;&lt;C&gt;1&lt;/C&gt;&lt;D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xsi:type="xsd:double"&gt;11.7272452683733&lt;/D&gt;&lt;D xsi:type="xsd:double"&gt;11.0508592022587&lt;/D&gt;&lt;D xsi:type="xsd:double"&gt;12.8471719199911&lt;/D&gt;&lt;D xsi:type="xsd:double"&gt;14.658060585061&lt;/D&gt;&lt;D xsi:type="xsd:double"&gt;13.2263940971232&lt;/D&gt;&lt;/FQL&gt;&lt;FQL&gt;&lt;Q&gt;TRYFR10Y-FDS^FG_YIELD(-10AY,0,Y,,"YTM")&lt;/Q&gt;&lt;R&gt;10&lt;/R&gt;&lt;C&gt;1&lt;/C&gt;&lt;D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xsi:type="xsd:double"&gt;2.534&lt;/D&gt;&lt;/FQL&gt;&lt;FQL&gt;&lt;Q&gt;PLATI-FDS^FG_PRICE_CHANGE(0,-1AY)&lt;/Q&gt;&lt;R&gt;1&lt;/R&gt;&lt;C&gt;1&lt;/C&gt;&lt;D xsi:type="xsd:double"&gt;10.939226519337&lt;/D&gt;&lt;/FQL&gt;&lt;FQL&gt;&lt;Q&gt;EWQ^FG_PRICE_MAVG(0,,,,30)&lt;/Q&gt;&lt;R&gt;1&lt;/R&gt;&lt;C&gt;1&lt;/C&gt;&lt;D xsi:type="xsd:double"&gt;39.45933&lt;/D&gt;&lt;/FQL&gt;&lt;FQL&gt;&lt;Q&gt;EWA^FG_PRICE_MAVG(0,,,,30)&lt;/Q&gt;&lt;R&gt;1&lt;/R&gt;&lt;C&gt;1&lt;/C&gt;&lt;D xsi:type="xsd:double"&gt;26.424667&lt;/D&gt;&lt;/FQL&gt;&lt;FQL&gt;&lt;Q&gt;SPY^FG_TOTAL_RETURNC(0,-6AM)&lt;/Q&gt;&lt;R&gt;1&lt;/R&gt;&lt;C&gt;1&lt;/C&gt;&lt;D xsi:type="xsd:double"&gt;17.769062&lt;/D&gt;&lt;/FQL&gt;&lt;FQL&gt;&lt;Q&gt;EWI^PERCENT_CHANGE(FMA_EPS(+1,0,,,,"PORTAGG","MEAN"),FMA_EPS(+1,-3AM,,,,"PORTAGG","MEAN"))&lt;/Q&gt;&lt;R&gt;1&lt;/R&gt;&lt;C&gt;1&lt;/C&gt;&lt;D xsi:type="xsd:double"&gt;-7.51742931613862&lt;/D&gt;&lt;/FQL&gt;&lt;FQL&gt;&lt;Q&gt;EWN^FG_TOTAL_RETURNC(0,-3AM)&lt;/Q&gt;&lt;R&gt;1&lt;/R&gt;&lt;C&gt;1&lt;/C&gt;&lt;D xsi:type="xsd:double"&gt;-3.209728&lt;/D&gt;&lt;/FQL&gt;&lt;FQL&gt;&lt;Q&gt;EWG^FG_TOTAL_RETURNC(0,-1AM)&lt;/Q&gt;&lt;R&gt;1&lt;/R&gt;&lt;C&gt;1&lt;/C&gt;&lt;D xsi:type="xsd:double"&gt;2.394104&lt;/D&gt;&lt;/FQL&gt;&lt;FQL&gt;&lt;Q&gt;VGK^FMA_COS_UP("EPS","1M",+1,0,,,"PORTAGG","MEANR")&lt;/Q&gt;&lt;R&gt;1&lt;/R&gt;&lt;C&gt;1&lt;/C&gt;&lt;D xsi:type="xsd:double"&gt;441&lt;/D&gt;&lt;/FQL&gt;&lt;FQL&gt;&lt;Q&gt;QQQ^SIZE(FG_CONSTITUENTS)&lt;/Q&gt;&lt;R&gt;1&lt;/R&gt;&lt;C&gt;1&lt;/C&gt;&lt;D xsi:type="xsd:long"&gt;102&lt;/D&gt;&lt;/FQL&gt;&lt;FQL&gt;&lt;Q&gt;EWC^FMA_COS_DOWN("EPS","1M",+1,0,,,"PORTAGG","MEANR")&lt;/Q&gt;&lt;R&gt;1&lt;/R&gt;&lt;C&gt;1&lt;/C&gt;&lt;D xsi:type="xsd:double"&gt;37&lt;/D&gt;&lt;/FQL&gt;&lt;FQL&gt;&lt;Q&gt;EWA^FMA_RBICS_REV_CURRENT(30, LOC, "PORTAGG")&lt;/Q&gt;&lt;R&gt;1&lt;/R&gt;&lt;C&gt;1&lt;/C&gt;&lt;D xsi:type="xsd:double"&gt;43.2962109543242&lt;/D&gt;&lt;/FQL&gt;&lt;FQL&gt;&lt;Q&gt;TRYSE10Y-FDS^FG_YIELD_NAME&lt;/Q&gt;&lt;R&gt;1&lt;/R&gt;&lt;C&gt;1&lt;/C&gt;&lt;D xsi:type="xsd:string"&gt;Sweden Benchmark Bond - 10 Year&lt;/D&gt;&lt;/FQL&gt;&lt;FQL&gt;&lt;Q&gt;REFCHMPR-FDS^PROPER_NAME(0,,,"SECURITY","NAME")&lt;/Q&gt;&lt;R&gt;1&lt;/R&gt;&lt;C&gt;1&lt;/C&gt;&lt;D xsi:type="xsd:string"&gt;Swiss Policy Rate - Sight Deposit Rate&lt;/D&gt;&lt;/FQL&gt;&lt;FQL&gt;&lt;Q&gt;TRYIT10Y-FDS^PCTCHG(FG_YIELD(0,,,,"YTM"),FG_YIELD(-3AM,,,,"YTM"))&lt;/Q&gt;&lt;R&gt;1&lt;/R&gt;&lt;C&gt;1&lt;/C&gt;&lt;D xsi:type="xsd:double"&gt;-8.812366&lt;/D&gt;&lt;/FQL&gt;&lt;FQL&gt;&lt;Q&gt;TRYJP10Y-FDS^PCTCHG(FG_YIELD(0,,,,"YTM"),FG_YIELD(-3AM,,,,"YTM"))&lt;/Q&gt;&lt;R&gt;1&lt;/R&gt;&lt;C&gt;1&lt;/C&gt;&lt;D xsi:type="xsd:double"&gt;-7.584432&lt;/D&gt;&lt;/FQL&gt;&lt;FQL&gt;&lt;Q&gt;CAGDPY@IT^EE_ACTUAL_ANNUAL(MED,0)&lt;/Q&gt;&lt;R&gt;1&lt;/R&gt;&lt;C&gt;1&lt;/C&gt;&lt;D xsi:type="xsd:double"&gt;-0.0142310439196404&lt;/D&gt;&lt;/FQL&gt;&lt;FQL&gt;&lt;Q&gt;CAGDPY@JP^EE_ACTUAL_ANNUAL(MED,0)&lt;/Q&gt;&lt;R&gt;1&lt;/R&gt;&lt;C&gt;1&lt;/C&gt;&lt;D xsi:type="xsd:double"&gt;3.60658196299853&lt;/D&gt;&lt;/FQL&gt;&lt;FQL&gt;&lt;Q&gt;CC_AU^FG_COMPANY_NAME&lt;/Q&gt;&lt;R&gt;1&lt;/R&gt;&lt;C&gt;1&lt;/C&gt;&lt;D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xsi:type="xsd:double"&gt;10.53555&lt;/D&gt;&lt;/FQL&gt;&lt;FQL&gt;&lt;Q&gt;USDCHF^FG_PRICE(0)&lt;/Q&gt;&lt;R&gt;1&lt;/R&gt;&lt;C&gt;1&lt;/C&gt;&lt;D xsi:type="xsd:double"&gt;0.8653&lt;/D&gt;&lt;/FQL&gt;&lt;FQL&gt;&lt;Q&gt;USDEUR^FG_PRICE(0)&lt;/Q&gt;&lt;R&gt;1&lt;/R&gt;&lt;C&gt;1&lt;/C&gt;&lt;D xsi:type="xsd:double"&gt;0.92102236&lt;/D&gt;&lt;/FQL&gt;&lt;FQL&gt;&lt;Q&gt;USDAUD^FG_PRICE(0)&lt;/Q&gt;&lt;R&gt;1&lt;/R&gt;&lt;C&gt;1&lt;/C&gt;&lt;D xsi:type="xsd:double"&gt;1.4910908&lt;/D&gt;&lt;/FQL&gt;&lt;FQL&gt;&lt;Q&gt;EWU^FMA_EPS(NTMA,-20AY,0,CY,,"PORTAGG","MEANR")&lt;/Q&gt;&lt;R&gt;20&lt;/R&gt;&lt;C&gt;1&lt;/C&gt;&lt;D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xsi:type="xsd:double"&gt;2.53509270637055&lt;/D&gt;&lt;D xsi:type="xsd:double"&gt;2.03535923448403&lt;/D&gt;&lt;D xsi:type="xsd:double"&gt;2.71455451649836&lt;/D&gt;&lt;D xsi:type="xsd:double"&gt;3.12785085030901&lt;/D&gt;&lt;D xsi:type="xsd:double"&gt;3.00293990504371&lt;/D&gt;&lt;/FQL&gt;&lt;FQL&gt;&lt;Q&gt;EWJ^P_PRICE_RETURNS_PR('52W',2,-10AY,0,AM)&lt;/Q&gt;&lt;R&gt;121&lt;/R&gt;&lt;C&gt;1&lt;/C&gt;&lt;D xsi:type="xsd:double"&gt;-8.067256&lt;/D&gt;&lt;D xsi:type="xsd:double"&gt;-2.3157477&lt;/D&gt;&lt;D xsi:type="xsd:double"&gt;-2.3065984&lt;/D&gt;&lt;D xsi:type="xsd:double"&gt;-4.4525623&lt;/D&gt;&lt;D xsi:type="xsd:double"&gt;5.6310415&lt;/D&gt;&lt;D xsi:type="xsd:double"&gt;15.85536&lt;/D&gt;&lt;D xsi:type="xsd:double"&gt;17.084455&lt;/D&gt;&lt;D xsi:type="xsd:double"&gt;20.351517&lt;/D&gt;&lt;D xsi:type="xsd:double"&gt;8.637894&lt;/D&gt;&lt;D xsi:type="xsd:double"&gt;8.808088&lt;/D&gt;&lt;D xsi:type="xsd:double"&gt;8.250963&lt;/D&gt;&lt;D xsi:type="xsd:double"&gt;-1.3049483&lt;/D&gt;&lt;D xsi:type="xsd:double"&gt;13.350034&lt;/D&gt;&lt;D xsi:type="xsd:double"&gt;8.157194&lt;/D&gt;&lt;D xsi:type="xsd:double"&gt;6.1661363&lt;/D&gt;&lt;D xsi:type="xsd:double"&gt;0.6507635&lt;/D&gt;&lt;D xsi:type="xsd:double"&gt;-9.196222&lt;/D&gt;&lt;D xsi:type="xsd:double"&gt;-9.1215725&lt;/D&gt;&lt;D xsi:type="xsd:double"&gt;-7.027191&lt;/D&gt;&lt;D xsi:type="xsd:double"&gt;-11.217767&lt;/D&gt;&lt;D xsi:type="xsd:double"&gt;-9.810615&lt;/D&gt;&lt;D xsi:type="xsd:double"&gt;-6.842065&lt;/D&gt;&lt;D xsi:type="xsd:double"&gt;-2.6569605&lt;/D&gt;&lt;D xsi:type="xsd:double"&gt;3.1483054&lt;/D&gt;&lt;D xsi:type="xsd:double"&gt;3.2734513&lt;/D&gt;&lt;D xsi:type="xsd:double"&gt;-0.19043684&lt;/D&gt;&lt;D xsi:type="xsd:double"&gt;2.840495&lt;/D&gt;&lt;D xsi:type="xsd:double"&gt;14.773989&lt;/D&gt;&lt;D xsi:type="xsd:double"&gt;19.94797&lt;/D&gt;&lt;D xsi:type="xsd:double"&gt;14.999998&lt;/D&gt;&lt;D xsi:type="xsd:double"&gt;9.514332&lt;/D&gt;&lt;D xsi:type="xsd:double"&gt;15.446663&lt;/D&gt;&lt;D xsi:type="xsd:double"&gt;20.723175&lt;/D&gt;&lt;D xsi:type="xsd:double"&gt;15.076363&lt;/D&gt;&lt;D xsi:type="xsd:double"&gt;12.4158745&lt;/D&gt;&lt;D xsi:type="xsd:double"&gt;16.3319&lt;/D&gt;&lt;D xsi:type="xsd:double"&gt;17.893578&lt;/D&gt;&lt;D xsi:type="xsd:double"&gt;19.188011&lt;/D&gt;&lt;D xsi:type="xsd:double"&gt;23.156595&lt;/D&gt;&lt;D xsi:type="xsd:double"&gt;27.740728&lt;/D&gt;&lt;D xsi:type="xsd:double"&gt;21.851276&lt;/D&gt;&lt;D xsi:type="xsd:double"&gt;19.028711&lt;/D&gt;&lt;D xsi:type="xsd:double"&gt;21.288181&lt;/D&gt;&lt;D xsi:type="xsd:double"&gt;17.473293&lt;/D&gt;&lt;D xsi:type="xsd:double"&gt;11.8951435&lt;/D&gt;&lt;D xsi:type="xsd:double"&gt;9.297729&lt;/D&gt;&lt;D xsi:type="xsd:double"&gt;7.035756&lt;/D&gt;&lt;D xsi:type="xsd:double"&gt;9.3364&lt;/D&gt;&lt;D xsi:type="xsd:double"&gt;-0.28779507&lt;/D&gt;&lt;D xsi:type="xsd:double"&gt;-5.904084&lt;/D&gt;&lt;D xsi:type="xsd:double"&gt;-11.821413&lt;/D&gt;&lt;D xsi:type="xsd:double"&gt;-13.294422&lt;/D&gt;&lt;D xsi:type="xsd:double"&gt;-8.780831&lt;/D&gt;&lt;D xsi:type="xsd:double"&gt;-8.861101&lt;/D&gt;&lt;D xsi:type="xsd:double"&gt;-7.902813&lt;/D&gt;&lt;D xsi:type="xsd:double"&gt;-10.840183&lt;/D&gt;&lt;D xsi:type="xsd:double"&gt;-7.5940075&lt;/D&gt;&lt;D xsi:type="xsd:double"&gt;-4.393339&lt;/D&gt;&lt;D xsi:type="xsd:double"&gt;-4.714155&lt;/D&gt;&lt;D xsi:type="xsd:double"&gt;-3.2282948&lt;/D&gt;&lt;D xsi:type="xsd:double"&gt;3.2016277&lt;/D&gt;&lt;D xsi:type="xsd:double"&gt;11.246133&lt;/D&gt;&lt;D xsi:type="xsd:double"&gt;17.027723&lt;/D&gt;&lt;D xsi:type="xsd:double"&gt;14.143551&lt;/D&gt;&lt;D xsi:type="xsd:double"&gt;7.896507&lt;/D&gt;&lt;D xsi:type="xsd:double"&gt;-16.792547&lt;/D&gt;&lt;D xsi:type="xsd:double"&gt;-6.1146736&lt;/D&gt;&lt;D xsi:type="xsd:double"&gt;0.7940769&lt;/D&gt;&lt;D xsi:type="xsd:double"&gt;6.362915&lt;/D&gt;&lt;D xsi:type="xsd:double"&gt;4.7787547&lt;/D&gt;&lt;D xsi:type="xsd:double"&gt;11.318314&lt;/D&gt;&lt;D xsi:type="xsd:double"&gt;6.6793203&lt;/D&gt;&lt;D xsi:type="xsd:double"&gt;4.2465925&lt;/D&gt;&lt;D xsi:type="xsd:double"&gt;8.407843&lt;/D&gt;&lt;D xsi:type="xsd:double"&gt;12.427664&lt;/D&gt;&lt;D xsi:type="xsd:double"&gt;16.564512&lt;/D&gt;&lt;D xsi:type="xsd:double"&gt;24.606586&lt;/D&gt;&lt;D xsi:type="xsd:double"&gt;60.02672&lt;/D&gt;&lt;D xsi:type="xsd:double"&gt;41.17093&lt;/D&gt;&lt;D xsi:type="xsd:double"&gt;28.481638&lt;/D&gt;&lt;D xsi:type="xsd:double"&gt;20.797657&lt;/D&gt;&lt;D xsi:type="xsd:double"&gt;21.239067&lt;/D&gt;&lt;D xsi:type="xsd:double"&gt;16.673672&lt;/D&gt;&lt;D xsi:type="xsd:double"&gt;24.762844&lt;/D&gt;&lt;D xsi:type="xsd:double"&gt;17.95491&lt;/D&gt;&lt;D xsi:type="xsd:double"&gt;10.939503&lt;/D&gt;&lt;D xsi:type="xsd:double"&gt;2.7595282&lt;/D&gt;&lt;D xsi:type="xsd:double"&gt;-1.7160714&lt;/D&gt;&lt;D xsi:type="xsd:double"&gt;-8.394777&lt;/D&gt;&lt;D xsi:type="xsd:double"&gt;-9.432989&lt;/D&gt;&lt;D xsi:type="xsd:double"&gt;-15.815806&lt;/D&gt;&lt;D xsi:type="xsd:double"&gt;-15.221035&lt;/D&gt;&lt;D xsi:type="xsd:double"&gt;-22.599094&lt;/D&gt;&lt;D xsi:type="xsd:double"&gt;-19.539047&lt;/D&gt;&lt;D xsi:type="xsd:double"&gt;-13.869417&lt;/D&gt;&lt;D xsi:type="xsd:double"&gt;-28.563446&lt;/D&gt;&lt;D xsi:type="xsd:double"&gt;-27.349&lt;/D&gt;&lt;D xsi:type="xsd:double"&gt;-20.45598&lt;/D&gt;&lt;D xsi:type="xsd:double"&gt;-18.862295&lt;/D&gt;&lt;D xsi:type="xsd:double"&gt;-12.470418&lt;/D&gt;&lt;D xsi:type="xsd:double"&gt;-9.452688&lt;/D&gt;&lt;D xsi:type="xsd:double"&gt;-8.295309&lt;/D&gt;&lt;D xsi:type="xsd:double"&gt;3.4127116&lt;/D&gt;&lt;D xsi:type="xsd:double"&gt;10.202169&lt;/D&gt;&lt;D xsi:type="xsd:double"&gt;20.985365&lt;/D&gt;&lt;D xsi:type="xsd:double"&gt;20.882809&lt;/D&gt;&lt;D xsi:type="xsd:double"&gt;5.7614446&lt;/D&gt;&lt;D xsi:type="xsd:double"&gt;23.430311&lt;/D&gt;&lt;D xs</t>
        </r>
      </text>
    </comment>
    <comment ref="A11" authorId="0" shapeId="0" xr:uid="{FBF48E96-8A1B-4D09-9D5B-2B861505A5F9}">
      <text>
        <r>
          <rPr>
            <b/>
            <sz val="9"/>
            <color indexed="81"/>
            <rFont val="Tahoma"/>
            <charset val="1"/>
          </rPr>
          <t>i:type="xsd:double"&gt;21.972359&lt;/D&gt;&lt;D xsi:type="xsd:double"&gt;15.978109&lt;/D&gt;&lt;D xsi:type="xsd:double"&gt;16.398&lt;/D&gt;&lt;D xsi:type="xsd:double"&gt;17.293453&lt;/D&gt;&lt;D xsi:type="xsd:double"&gt;21.085941&lt;/D&gt;&lt;D xsi:type="xsd:double"&gt;29.51286&lt;/D&gt;&lt;D xsi:type="xsd:double"&gt;15.861082&lt;/D&gt;&lt;D xsi:type="xsd:double"&gt;15.350544&lt;/D&gt;&lt;D xsi:type="xsd:double"&gt;7.9315186&lt;/D&gt;&lt;D xsi:type="xsd:double"&gt;13.608969&lt;/D&gt;&lt;D xsi:type="xsd:double"&gt;19.275522&lt;/D&gt;&lt;D xsi:type="xsd:double"&gt;12.28056&lt;/D&gt;&lt;D xsi:type="xsd:double"&gt;21.543657&lt;/D&gt;&lt;/FQL&gt;&lt;FQL&gt;&lt;Q&gt;EWC^FG_TOTAL_RETURNC(-10AY,0,AM)&lt;/Q&gt;&lt;R&gt;121&lt;/R&gt;&lt;C&gt;1&lt;/C&gt;&lt;D xsi:type="xsd:double"&gt;-10.594398&lt;/D&gt;&lt;D xsi:type="xsd:double"&gt;4.478121&lt;/D&gt;&lt;D xsi:type="xsd:double"&gt;-5.6051073&lt;/D&gt;&lt;D xsi:type="xsd:double"&gt;-3.470254&lt;/D&gt;&lt;D xsi:type="xsd:double"&gt;2.9346943&lt;/D&gt;&lt;D xsi:type="xsd:double"&gt;-1.9600809&lt;/D&gt;&lt;D xsi:type="xsd:double"&gt;5.4525614&lt;/D&gt;&lt;D xsi:type="xsd:double"&gt;-1.0341287&lt;/D&gt;&lt;D xsi:type="xsd:double"&gt;-3.134793&lt;/D&gt;&lt;D xsi:type="xsd:double"&gt;-6.15108&lt;/D&gt;&lt;D xsi:type="xsd:double"&gt;-3.3204556&lt;/D&gt;&lt;D xsi:type="xsd:double"&gt;-4.7923326&lt;/D&gt;&lt;D xsi:type="xsd:double"&gt;3.8171172&lt;/D&gt;&lt;D xsi:type="xsd:double"&gt;-6.1414185&lt;/D&gt;&lt;D xsi:type="xsd:double"&gt;-6.887645&lt;/D&gt;&lt;D xsi:type="xsd:double"&gt;-11.106605&lt;/D&gt;&lt;D xsi:type="xsd:double"&gt;13.547718&lt;/D&gt;&lt;D xsi:type="xsd:double"&gt;10.07427&lt;/D&gt;&lt;D xsi:type="xsd:double"&gt;3.1210542&lt;/D&gt;&lt;D xsi:type="xsd:double"&gt;-1.0224938&lt;/D&gt;&lt;D xsi:type="xsd:double"&gt;1.5702486&lt;/D&gt;&lt;D xsi:type="xsd:double"&gt;4.074621&lt;/D&gt;&lt;D xsi:type="xsd:double"&gt;2.6004791&lt;/D&gt;&lt;D xsi:type="xsd:double"&gt;-4.3394804&lt;/D&gt;&lt;D xsi:type="xsd:double"&gt;3.331995&lt;/D&gt;&lt;D xsi:type="xsd:double"&gt;-1.0878026&lt;/D&gt;&lt;D xsi:type="xsd:double"&gt;4.4383407&lt;/D&gt;&lt;D xsi:type="xsd:double"&gt;1.4549732&lt;/D&gt;&lt;D xsi:type="xsd:double"&gt;4.0059924&lt;/D&gt;&lt;D xsi:type="xsd:double"&gt;-3.8516998&lt;/D&gt;&lt;D xsi:type="xsd:double"&gt;0.33695698&lt;/D&gt;&lt;D xsi:type="xsd:double"&gt;-3.6940277&lt;/D&gt;&lt;D xsi:type="xsd:double"&gt;2.8671026&lt;/D&gt;&lt;D xsi:type="xsd:double"&gt;4.5843244&lt;/D&gt;&lt;D xsi:type="xsd:double"&gt;-0.9803951&lt;/D&gt;&lt;D xsi:type="xsd:double"&gt;4.4737816&lt;/D&gt;&lt;D xsi:type="xsd:double"&gt;2.7729034&lt;/D&gt;&lt;D xsi:type="xsd:double"&gt;-0.78552365&lt;/D&gt;&lt;D xsi:type="xsd:double"&gt;0.4819274&lt;/D&gt;&lt;D xsi:type="xsd:double"&gt;4.889238&lt;/D&gt;&lt;D xsi:type="xsd:double"&gt;-6.4836206&lt;/D&gt;&lt;D xsi:type="xsd:double"&gt;-2.1223903&lt;/D&gt;&lt;D xsi:type="xsd:double"&gt;2.565956&lt;/D&gt;&lt;D xsi:type="xsd:double"&gt;2.6779413&lt;/D&gt;&lt;D xsi:type="xsd:double"&gt;-1.098144&lt;/D&gt;&lt;D xsi:type="xsd:double"&gt;1.0037899&lt;/D&gt;&lt;D xsi:type="xsd:double"&gt;0.24238825&lt;/D&gt;&lt;D xsi:type="xsd:double"&gt;-0.48359632&lt;/D&gt;&lt;D xsi:type="xsd:double"&gt;-5.9354362&lt;/D&gt;&lt;D xsi:type="xsd:double"&gt;-1.2915134&lt;/D&gt;&lt;D xsi:type="xsd:double"&gt;-7.067728&lt;/D&gt;&lt;D xsi:type="xsd:double"&gt;8.0572605&lt;/D&gt;&lt;D xsi:type="xsd:double"&gt;3.7471652&lt;/D&gt;&lt;D xsi:type="xsd:double"&gt;2.0065665&lt;/D&gt;&lt;D xsi:type="xsd:double"&gt;2.503574&lt;/D&gt;&lt;D xsi:type="xsd:double"&gt;-2.0237267&lt;/D&gt;&lt;D xsi:type="xsd:double"&gt;1.4835715&lt;/D&gt;&lt;D xsi:type="xsd:double"&gt;2.584982&lt;/D&gt;&lt;D xsi:type="xsd:double"&gt;-4.31481&lt;/D&gt;&lt;D xsi:type="xsd:double"&gt;4.7258377&lt;/D&gt;&lt;D xsi:type="xsd:double"&gt;-1.5156746&lt;/D&gt;&lt;D xsi:type="xsd:double"&gt;4.0923357&lt;/D&gt;&lt;D xsi:type="xsd:double"&gt;0.58573484&lt;/D&gt;&lt;D xsi:type="xsd:double"&gt;3.5206437&lt;/D&gt;&lt;D xsi:type="xsd:double"&gt;-0.19620657&lt;/D&gt;&lt;D xsi:type="xsd:double"&gt;-38.990826&lt;/D&gt;&lt;D xsi:type="xsd:double"&gt;25.563896&lt;/D&gt;&lt;D xsi:type="xsd:double"&gt;5.2609086&lt;/D&gt;&lt;D xsi:type="xsd:double"&gt;5.972755&lt;/D&gt;&lt;D xsi:type="xsd:double"&gt;4.1053414&lt;/D&gt;&lt;D xsi:type="xsd:double"&gt;6.398809&lt;/D&gt;&lt;D xsi:type="xsd:double"&gt;-3.111893&lt;/D&gt;&lt;D xsi:type="xsd:double"&gt;1.7683268&lt;/D&gt;&lt;D xsi:type="xsd:double"&gt;4.1489363&lt;/D&gt;&lt;D xsi:type="xsd:double"&gt;6.801915&lt;/D&gt;&lt;D xsi:type="xsd:double"&gt;2.743709&lt;/D&gt;&lt;D xsi:type="xsd:double"&gt;2.7332783&lt;/D&gt;&lt;D xsi:type="xsd:double"&gt;5.1681876&lt;/D&gt;&lt;D xsi:type="xsd:double"&gt;2.8787494&lt;/D&gt;&lt;D xsi:type="xsd:double"&gt;5.2854657&lt;/D&gt;&lt;D xsi:type="xsd:double"&gt;-0.41089058&lt;/D&gt;&lt;D xsi:type="xsd:double"&gt;-1.4645994&lt;/D&gt;&lt;D xsi:type="xsd:double"&gt;1.5414238&lt;/D&gt;&lt;D xsi:type="xsd:double"&gt;-0.35240054&lt;/D&gt;&lt;D xsi:type="xsd:double"&gt;6.2296033&lt;/D&gt;&lt;D xsi:type="xsd:double"&gt;1.4852762&lt;/D&gt;&lt;D xsi:type="xsd:double"&gt;-5.9646425&lt;/D&gt;&lt;D xsi:type="xsd:double"&gt;6.142974&lt;/D&gt;&lt;D xsi:type="xsd:double"&gt;-3.3290625&lt;/D&gt;&lt;D xsi:type="xsd:double"&gt;5.3774834&lt;/D&gt;&lt;D xsi:type="xsd:double"&gt;-0.17596483&lt;/D&gt;&lt;D xsi:type="xsd:double"&gt;-9.569377&lt;/D&gt;&lt;D xsi:type="xsd:double"&gt;-6.5488634&lt;/D&gt;&lt;D xsi:type="xsd:double"&gt;-1.2608886&lt;/D&gt;&lt;D xsi:type="xsd:double"&gt;9.394956&lt;/D&gt;&lt;D xsi:type="xsd:double"&gt;-6.725955&lt;/D&gt;&lt;D xsi:type="xsd:double"&gt;-5.9296846&lt;/D&gt;&lt;D xsi:type="xsd:double"&gt;9.407675&lt;/D&gt;&lt;D xsi:type="xsd:double"&gt;-4.7701178&lt;/D&gt;&lt;D xsi:type="xsd:double"&gt;6.6008687&lt;/D&gt;&lt;D xsi:type="xsd:double"&gt;1.2442112&lt;/D&gt;&lt;D xsi:type="xsd:double"&gt;-7.5164375&lt;/D&gt;&lt;D xsi:type="xsd:double"&gt;10.012352&lt;/D&gt;&lt;D xsi:type="xsd:double"&gt;-2.4719&lt;/D&gt;&lt;D xsi:type="xsd:double"&gt;1.0422826&lt;/D&gt;&lt;D xsi:type="xsd:double"&gt;2.447462&lt;/D&gt;&lt;D xsi:type="xsd:double"&gt;-5.1995573&lt;/D&gt;&lt;D xsi:type="xsd:double"&gt;4.2691946&lt;/D&gt;&lt;D xsi:type="xsd:double"&gt;-6.1700287&lt;/D&gt;&lt;D xsi:type="xsd:double"&gt;4.454553&lt;/D&gt;&lt;D xsi:type="xsd:double"&gt;4.7287464&lt;/D&gt;&lt;D xsi:type="xsd:double"&gt;0.15515089&lt;/D&gt;&lt;D xsi:type="xsd:double"&gt;2.8315187&lt;/D&gt;&lt;D xsi:type="xsd:double"&gt;2.8353333&lt;/D&gt;&lt;D xsi:type="xsd:double"&gt;-2.3064733&lt;/D&gt;&lt;D xsi:type="xsd:double"&gt;4.721844&lt;/D&gt;&lt;D xsi:type="xsd:double"&gt;-4.4680414&lt;/D&gt;&lt;D xsi:type="xsd:double"&gt;5.2847743&lt;/D&gt;&lt;D xsi:type="xsd:double"&gt;2.1326423&lt;/D&gt;&lt;D xsi:type="xsd:double"&gt;3.1067014&lt;/D&gt;&lt;D xsi:type="xsd:double"&gt;3.8281083&lt;/D&gt;&lt;/FQL&gt;&lt;FQL&gt;&lt;Q&gt;ENZL^FMA_DIV_YLD(NTMA,-10AY,0,AM,"PORTAGG","MEANR")&lt;/Q&gt;&lt;R&gt;121&lt;/R&gt;&lt;C&gt;1&lt;/C&gt;&lt;D xsi:type="xsd:double"&gt;4.69560903056722&lt;/D&gt;&lt;D xsi:type="xsd:double"&gt;4.4214508398475&lt;/D&gt;&lt;D xsi:type="xsd:double"&gt;4.47131171207156&lt;/D&gt;&lt;D xsi:type="xsd:double"&gt;4.37563125257406&lt;/D&gt;&lt;D xsi:type="xsd:double"&gt;4.27718286118272&lt;/D&gt;&lt;D xsi:type="xsd:double"&gt;4.37444630980212&lt;/D&gt;&lt;D xsi:type="xsd:double"&gt;4.42228280190139&lt;/D&gt;&lt;D xsi:type="xsd:double"&gt;4.44036397284699&lt;/D&gt;&lt;D xsi:type="xsd:double"&gt;4.52862030262567&lt;/D&gt;&lt;D xsi:type="xsd:double"&gt;4.60652623675071&lt;/D&gt;&lt;D xsi:type="xsd:double"&gt;4.7354061583613&lt;/D&gt;&lt;D xsi:type="xsd:double"&gt;5.08593339251988&lt;/D&gt;&lt;D xsi:type="xsd:double"&gt;5.06854880395035&lt;/D&gt;&lt;D xsi:type="xsd:double"&gt;4.92439415185822&lt;/D&gt;&lt;D xsi:type="xsd:double"&gt;4.84298309557243&lt;/D&gt;&lt;D xsi:type="xsd:double"&gt;4.85114730430349&lt;/D&gt;&lt;D xsi:type="xsd:double"&gt;4.89201941149249&lt;/D&gt;&lt;D xsi:type="xsd:double"&gt;4.62595868066457&lt;/D&gt;&lt;D xsi:type="xsd:double"&gt;4.5291619067172&lt;/D&gt;&lt;D xsi:type="xsd:double"&gt;4.42682069420825&lt;/D&gt;&lt;D xsi:type="xsd:double"&gt;4.44974880459988&lt;/D&gt;&lt;D xsi:type="xsd:double"&gt;4.26090969733327&lt;/D&gt;&lt;D xsi:type="xsd:double"&gt;4.14067548658848&lt;/D&gt;&lt;D xsi:type="xsd:double"&gt;4.32404130987216&lt;/D&gt;&lt;D xsi:type="xsd:double"&gt;4.57126788554229&lt;/D&gt;&lt;D xsi:type="xsd:double"&gt;4.62691666103602&lt;/D&gt;&lt;D xsi:type="xsd:double"&gt;4.71264125286212&lt;/D&gt;&lt;D xsi:type="xsd:double"&gt;4.51181235308481&lt;/D&gt;&lt;D xsi:type="xsd:double"&gt;4.55040528891217&lt;/D&gt;&lt;D xsi:type="xsd:double"&gt;4.59630881481287&lt;/D&gt;&lt;D xsi:type="xsd:double"&gt;4.56468454391643&lt;/D&gt;&lt;D xsi:type="xsd:double"&gt;4.51349268215281&lt;/D&gt;&lt;D xsi:type="xsd:double"&gt;4.3972567422724&lt;/D&gt;&lt;D xsi:type="xsd:double"&gt;4.39354774649853&lt;/D&gt;&lt;D xsi:type="xsd:double"&gt;4.31642407887395&lt;/D&gt;&lt;D xsi:type="xsd:double"&gt;4.45201711419674&lt;/D&gt;&lt;D xsi:type="xsd:double"&gt;4.3474669913041&lt;/D&gt;&lt;D xsi:type="xsd:double"&gt;4.41094947834673&lt;/D&gt;&lt;D xsi:type="xsd:double"&gt;4.22792260256751&lt;/D&gt;&lt;D xsi:type="xsd:double"&gt;4.28464693918502&lt;/D&gt;&lt;D xsi:type="xsd:double"&gt;4.39585866613761&lt;/D&gt;&lt;D xsi:type="xsd:double"&gt;4.22365478740251&lt;/D&gt;&lt;D xsi:type="xsd:double"&gt;4.28869518468489&lt;/D&gt;&lt;D xsi:type="xsd:double"&gt;4.20793796919471&lt;/D&gt;&lt;D xsi:type="xsd:double"&gt;4.00471625117642&lt;/D&gt;&lt;D xsi:type="xsd:double"&gt;4.07496156772523&lt;/D&gt;&lt;D xsi:type="xsd:double"&gt;4.02999009094997&lt;/D&gt;&lt;D xsi:type="xsd:double"&gt;3.94606340730041&lt;/D&gt;&lt;D xsi:type="xsd:double"&gt;4.20168619858462&lt;/D&gt;&lt;D xsi:type="xsd:double"&gt;4.23580567805645&lt;/D&gt;&lt;D xsi:type="xsd:double"&gt;4.22915756435075&lt;/D&gt;&lt;D xsi:type="xsd:double"&gt;4.03738344663791&lt;/D&gt;&lt;D xsi:type="xsd:double"&gt;4.02858216118949&lt;/D&gt;&lt;D xsi:type="xsd:double"&gt;3.87259080521858&lt;/D&gt;&lt;D xsi:type="xsd:double"&gt;3.70535227064247&lt;/D&gt;&lt;D xsi:type="xsd:double"&gt;3.66575340239948&lt;/D&gt;&lt;D xsi:type="xsd:double"&gt;3.66335689286533&lt;/D&gt;&lt;D xsi:type="xsd:double"&gt;3.43023357326797&lt;/D&gt;&lt;D xsi:type="xsd:double"&gt;3.48061867404903&lt;/D&gt;&lt;D xsi:type="xsd:double"&gt;3.37757816372345&lt;/D&gt;&lt;D xsi:type="xsd:double"&gt;3.29550963065793&lt;/D&gt;&lt;D xsi:type="xsd:double"&gt;3.35291025689724&lt;/D&gt;&lt;D xsi:type="xsd:double"&gt;3.20302715760459&lt;/D&gt;&lt;D xsi:type="xsd:double"&gt;3.08828197086448&lt;/D&gt;&lt;D xsi:type="xsd:double"&gt;3.0407135664296&lt;/D&gt;&lt;D xsi:type="xsd:double"&gt;3.76471333821235&lt;/D&gt;&lt;D xsi:type="xsd:double"&gt;2.69678494738816&lt;/D&gt;&lt;D xsi:type="xsd:double"&gt;2.6142738018397&lt;/D&gt;&lt;D xsi:type="xsd:double"&gt;2.51257338583185&lt;/D&gt;&lt;D xsi:type="xsd:double"&gt;2.44301742810894&lt;/D&gt;&lt;D xsi:type="xsd:double"&gt;2.37641153665207&lt;/D&gt;&lt;D xsi:type="xsd:double"&gt;2.4669632115964&lt;/D&gt;&lt;D xsi:type="xsd:double"&gt;2.3508735795414&lt;/D&gt;&lt;D xsi:type="xsd:double"&gt;2.37432761488356&lt;/D&gt;&lt;D xsi:type="xsd:double"&gt;2.45707211750542&lt;/D&gt;&lt;D xsi:type="xsd:double"&gt;2.45487748497955&lt;/D&gt;&lt;D xsi:type="xsd:double"&gt;2.54556815215491&lt;/D&gt;&lt;D xsi:type="xsd:double"&gt;2.56346356321881&lt;/D&gt;&lt;D xsi:type="xsd:double"&gt;2.56196761103753&lt;/D&gt;&lt;D xsi:type="xsd:double"&gt;2.67554767635157&lt;/D&gt;&lt;D xsi:type="xsd:double"&gt;2.68001705298412&lt;/D&gt;&lt;D xsi:type="xsd:double"&gt;2.61688842276162&lt;/D&gt;&lt;D xsi:type="xsd:double"&gt;2.68214963653948&lt;/D&gt;&lt;D xsi:type="xsd:double"&gt;2.58712724336242&lt;/D&gt;&lt;D xsi:type="xsd:double"&gt;2.6823882137312&lt;/D&gt;&lt;D xsi:type="xsd:double"&gt;2.73975737524698&lt;/D&gt;&lt;D xsi:type="xsd:double"&gt;2.80549714770734&lt;/D&gt;&lt;D xsi:type="xsd:double"&gt;2.84238469466041&lt;/D&gt;&lt;D xsi:type="xsd:double"&gt;2.99524907480791&lt;/D&gt;&lt;D xsi:type="xsd:double"&gt;3.01890986869238&lt;/D&gt;&lt;D xsi:type="xsd:double"&gt;3.13812170881794&lt;/D&gt;&lt;D xsi:type="xsd:double"&gt;3.21473656800676&lt;/D&gt;&lt;D xsi:type="xsd:double"&gt;3.46124121783303&lt;/D&gt;&lt;D xsi:type="xsd:double"&gt;3.32956350380549&lt;/D&gt;&lt;D xsi:type="xsd:double"&gt;3.12600001098065&lt;/D&gt;&lt;D xsi:type="xsd:double"&gt;3.26159330667613&lt;/D&gt;&lt;D xsi:type="xsd:double"&gt;3.47510989626512&lt;/D&gt;&lt;D xsi:type="xsd:double"&gt;3.35315640181563&lt;/D&gt;&lt;D xsi:type="xsd:double"&gt;3.4301381510476&lt;/D&gt;&lt;D xsi:type="xsd:double"&gt;3.34538304846835&lt;/D&gt;&lt;D xsi:type="xsd:double"&gt;3.23639465055339&lt;/D&gt;&lt;D xsi:type="xsd:double"&gt;3.50053699891657&lt;/D&gt;&lt;D xsi:type="xsd:double"&gt;3.4188794390548&lt;/D&gt;&lt;D xsi:type="xsd:double"&gt;3.47438726114924&lt;/D&gt;&lt;D xsi:type="xsd:double"&gt;3.46761371454132&lt;/D&gt;&lt;D xsi:type="xsd:double"&gt;3.43601776510501&lt;/D&gt;&lt;D xsi:type="xsd:double"&gt;3.4865808035291&lt;/D&gt;&lt;D xsi:type="xsd:double"&gt;3.40403883409651&lt;/D&gt;&lt;D xsi:type="xsd:double"&gt;3.46034650613139&lt;/D&gt;&lt;D xsi:type="xsd:double"&gt;3.46483635623254&lt;/D&gt;&lt;D xsi:type="xsd:double"&gt;3.01924003248549&lt;/D&gt;&lt;D xsi:type="xsd:double"&gt;3.0343671677613&lt;/D&gt;&lt;D xsi:type="xsd:double"&gt;2.9089946232426&lt;/D&gt;&lt;D xsi:type="xsd:double"&gt;2.80296497140887&lt;/D&gt;&lt;D xsi:type="xsd:double"&gt;2.80050743618485&lt;/D&gt;&lt;D xsi:type="xsd:double"&gt;2.73224108810593&lt;/D&gt;&lt;D xsi:type="xsd:double"&gt;2.72688364937837&lt;/D&gt;&lt;D xsi:type="xsd:double"&gt;2.63230299370419&lt;/D&gt;&lt;D xsi:type="xsd:double"&gt;2.51667961592148&lt;/D&gt;&lt;D xsi:type="xsd:double"&gt;3.05903011796144&lt;/D&gt;&lt;D xsi:type="xsd:double"&gt;3.03629312647832&lt;/D&gt;&lt;/FQL&gt;&lt;FQL&gt;&lt;Q&gt;EWI^FMA_PE(LTMA,-10AY,0,AM,"PORTAGG","MEANR")&lt;/Q&gt;&lt;R&gt;121&lt;/R&gt;&lt;C&gt;1&lt;/C&gt;&lt;D xsi:type="xsd:double"&gt;16.3077123524235&lt;/D&gt;&lt;D xsi:type="xsd:double"&gt;17.8567218526246&lt;/D&gt;&lt;D xsi:type="xsd:double"&gt;18.3142517184806&lt;/D&gt;&lt;D xsi:type="xsd:double"&gt;19.9002375160191&lt;/D&gt;&lt;D xsi:type="xsd:double"&gt;44.0079992201295&lt;/D&gt;&lt;D xsi:type="xsd:double"&gt;43.5571836290492&lt;/D&gt;&lt;D xsi:type="xsd:double"&gt;40.8220593444703&lt;/D&gt;&lt;D xsi:type="xsd:double"&gt;37.9560986728922&lt;/D&gt;&lt;D xsi:type="xsd:double"&gt;34.7612665461308&lt;/D&gt;&lt;D xsi:type="xsd:double"&gt;32.5083197140623&lt;/D&gt;&lt;D xsi:type="xsd:double"&gt;29.7029789836909&lt;/D&gt;&lt;D xsi:type="xsd:double"&gt;26.0394574486288&lt;/D&gt;&lt;D xsi:type="xsd:double"&gt;24.2645142485921&lt;/D&gt;&lt;D xsi:type="xsd:double"&gt;22.1761480512204&lt;/D&gt;&lt;D xsi:type="xsd:double"&gt;18.8937401437577&lt;/D&gt;&lt;D xsi:type="xsd:double"&gt;16.1443030110855&lt;/D&gt;&lt;D xsi:type="xsd:double"&gt;14.9495140578168&lt;/D&gt;&lt;D xsi:type="xsd:double"&gt;15.4308944255059&lt;/D&gt;&lt;D xsi:type="xsd:double"&gt;15.2999815529942&lt;/D&gt;&lt;D xsi:type="xsd:double"&gt;15.4364522331808&lt;/D&gt;&lt;D xsi:type="xsd:double"&gt;14.7092398888453&lt;/D&gt;&lt;D xsi:type="xsd:double"&gt;14.6385992840547&lt;/D&gt;&lt;D xsi:type="xsd:double"&gt;14.9952164275485&lt;/D&gt;&lt;D xsi:type="xsd:double"&gt;14.4842834856679&lt;/D&gt;&lt;D xsi:type="xsd:double"&gt;15.0755917503449&lt;/D&gt;&lt;D xsi:type="xsd:double"&gt;14.0496174463118&lt;/D&gt;&lt;D xsi:type="xsd:double"&gt;16.3027663274373&lt;/D&gt;&lt;D xsi:type="xsd:double"&gt;27.4114068726172&lt;/D&gt;&lt;D xsi:type="xsd:double"&gt;20.6319465074625&lt;/D&gt;&lt;D xsi:type="xsd:double"&gt;82.0940992664108&lt;/D&gt;&lt;D xsi:type="xsd:double"&gt;74.3644155876041&lt;/D&gt;&lt;D xsi:type="xsd:double"&gt;67.6938066047321&lt;/D&gt;&lt;D xsi:type="xsd:double"&gt;60.7894872833788&lt;/D&gt;&lt;D xsi:type="xsd:double"&gt;53.4966706546206&lt;/D&gt;&lt;D xsi:type="xsd:double"&gt;46.1890279829435&lt;/D&gt;&lt;D xsi:type="xsd:double"&gt;39.070491895521&lt;/D&gt;&lt;D xsi:type="xsd:double"&gt;32.2256497084716&lt;/D&gt;&lt;D xsi:type="xsd:double"&gt;25.1233403961635&lt;/D&gt;&lt;D xsi:type="xsd:double"&gt;18.4502325301556&lt;/D&gt;&lt;D xsi:type="xsd:double"&gt;16.020457479808&lt;/D&gt;&lt;D xsi:type="xsd:double"&gt;14.4947001707681&lt;/D&gt;&lt;D xsi:type="xsd:double"&gt;14.1852545697043&lt;/D&gt;&lt;D xsi:type="xsd:double"&gt;14.183415025834&lt;/D&gt;&lt;D xsi:type="xsd:double"&gt;13.9551726303824&lt;/D&gt;&lt;D xsi:type="xsd:double"&gt;13.4696209243715&lt;/D&gt;&lt;D xsi:type="xsd:double"&gt;13.232320776556&lt;/D&gt;&lt;D xsi:type="xsd:double"&gt;12.6127235049035&lt;/D&gt;&lt;D xsi:type="xsd:double"&gt;12.615287573659&lt;/D&gt;&lt;D xsi:type="xsd:double"&gt;11.5452711881105&lt;/D&gt;&lt;D xsi:type="xsd:double"&gt;11.2121493992115&lt;/D&gt;&lt;D xsi:type="xsd:double"&gt;10.731129921194&lt;/D&gt;&lt;D xsi:type="xsd:double"&gt;11.1708503375256&lt;/D&gt;&lt;D xsi:type="xsd:double"&gt;11.1305089337494&lt;/D&gt;&lt;D xsi:type="xsd:double"&gt;11.3228248185985&lt;/D&gt;&lt;D xsi:type="xsd:double"&gt;11.3660816738568&lt;/D&gt;&lt;D xsi:type="xsd:double"&gt;11.1689750275009&lt;/D&gt;&lt;D xsi:type="xsd:double"&gt;11.1171136884565&lt;/D&gt;&lt;D xsi:type="xsd:double"&gt;11.3607647358721&lt;/D&gt;&lt;D xsi:type="xsd:double"&gt;10.8001183198277&lt;/D&gt;&lt;D xsi:type="xsd:double"&gt;11.2854387864117&lt;/D&gt;&lt;D xsi:type="xsd:double"&gt;11.4900737987033&lt;/D&gt;&lt;D xsi:type="xsd:double"&gt;11.9382779958916&lt;/D&gt;&lt;D xsi:type="xsd:double"&gt;12.1521502569638&lt;/D&gt;&lt;D xsi:type="xsd:double"&gt;12.3791748547343&lt;/D&gt;&lt;D xsi:type="xsd:double"&gt;12.9266617285416&lt;/D&gt;&lt;D xsi:type="xsd:double"&gt;10.7633883850742&lt;/D&gt;&lt;D xsi:type="xsd:double"&gt;11.6131624635042&lt;/D&gt;&lt;D xsi:type="xsd:double"&gt;13.6393707916509&lt;/D&gt;&lt;D xsi:type="xsd:double"&gt;15.8179528771425&lt;/D&gt;&lt;D xsi:type="xsd:double"&gt;17.5337624304465&lt;/D&gt;&lt;D xsi:type="xsd:double"&gt;17.5308550618307&lt;/D&gt;&lt;D xsi:type="xsd:double"&gt;18.2296827960359&lt;/D&gt;&lt;D xsi:type="xsd:double"&gt;18.9572518573297&lt;/D&gt;&lt;D xsi:type="xsd:double"&gt;21.7761875716915&lt;/D&gt;&lt;D xsi:type="xsd:double"&gt;22.7581932414655&lt;/D&gt;&lt;D xsi:type="xsd:double"&gt;23.3177998003994&lt;/D&gt;&lt;D xsi:type="xsd:double"&gt;20.1962921094369&lt;/D&gt;&lt;D xsi:type="xsd:double"&gt;20.0510155994829&lt;/D&gt;&lt;D xsi:type="xsd:double"&gt;19.5136410634962&lt;/D&gt;&lt;D xsi:type="xsd:double"&gt;18.7139093350675&lt;/D&gt;&lt;D xsi:type="xsd:double"&gt;18.2623154863166&lt;/D&gt;&lt;D xsi:type="xsd:double"&gt;17.4890815939408&lt;/D&gt;&lt;D xsi:type="xsd:double"&gt;16.1666460415627&lt;/D&gt;&lt;D xsi:type="xsd:double"&gt;14.9984851444337&lt;/D&gt;&lt;D xsi:type="xsd:double"&gt;14.3535896706687&lt;/D&gt;&lt;D xsi:type="xsd:double"&gt;13.7176644903786&lt;/D&gt;&lt;D xsi:type="xsd:double"&gt;12.1197470273986&lt;/D&gt;&lt;D xsi:type="xsd:double"&gt;12.1085354205466&lt;/D&gt;&lt;D xsi:type="xsd:double"&gt;11.5506029459094&lt;/D&gt;&lt;D xsi:type="xsd:double"&gt;10.5425337923896&lt;/D&gt;&lt;D xsi:type="xsd:double"&gt;10.5136812901574&lt;/D&gt;&lt;D xsi:type="xsd:double"&gt;10.1051584263222&lt;/D&gt;&lt;D xsi:type="xsd:double"&gt;9.50226695752484&lt;/D&gt;&lt;D xsi:type="xsd:double"&gt;9.00723196261705&lt;/D&gt;&lt;D xsi:type="xsd:double"&gt;8.7151435463373&lt;/D&gt;&lt;D xsi:type="xsd:double"&gt;8.42534118953348&lt;/D&gt;&lt;D xsi:type="xsd:double"&gt;8.02203154116527&lt;/D&gt;&lt;D xsi:type="xsd:double"&gt;8.33437121281537&lt;/D&gt;&lt;D xsi:type="xsd:double"&gt;7.4757163263452&lt;/D&gt;&lt;D xsi:type="xsd:double"&gt;8.09021212181281&lt;/D&gt;&lt;D xsi:type="xsd:double"&gt;8.38011542286428&lt;/D&gt;&lt;D xsi:type="xsd:double"&gt;8.18089520228113&lt;/D&gt;&lt;D xsi:type="xsd:double"&gt;8.40616566982941&lt;/D&gt;&lt;D xsi:type="xsd:double"&gt;8.25941779346841&lt;/D&gt;&lt;D xsi:type="xsd:double"&gt;8.55188148016099&lt;/D&gt;&lt;D xsi:type="xsd:double"&gt;8.66226151889319&lt;/D&gt;&lt;D xsi:type="xsd:double"&gt;8.11732934537723&lt;/D&gt;&lt;D xsi:type="xsd:double"&gt;8.36324818122181&lt;/D&gt;&lt;D xsi:type="xsd:double"&gt;8.18294681643728&lt;/D&gt;&lt;D xsi:type="xsd:double"&gt;8.29273202667747&lt;/D&gt;&lt;D xsi:type="xsd:double"&gt;8.79615292070429&lt;/D&gt;&lt;D xsi:type="xsd:double"&gt;8.97730279069619&lt;/D&gt;&lt;D xsi:type="xsd:double"&gt;9.07175893420361&lt;/D&gt;&lt;D xsi:type="xsd:double"&gt;9.42732322343603&lt;/D&gt;&lt;D xsi:type="xsd:double"&gt;9.4379421354611&lt;/D&gt;&lt;D xsi:type="xsd:double"&gt;9.64424412123704&lt;/D&gt;&lt;D xsi:type="xsd:double"&gt;9.44388451788436&lt;/D&gt;&lt;D xsi:type="xsd:double"&gt;9.71158570090785&lt;/D&gt;&lt;D xsi:type="xsd:double"&gt;9.68901159679955&lt;/D&gt;&lt;D xsi:type="xsd:double"&gt;9.98692677492306&lt;/D&gt;&lt;D xsi:type="xsd:double"&gt;10.7101199061602&lt;/D&gt;&lt;/FQL&gt;&lt;FQL&gt;&lt;Q&gt;DDR3512M-FDS^FG_PRICE_CHANGE(0,-1AY)&lt;/Q&gt;&lt;R&gt;1&lt;/R&gt;&lt;C&gt;1&lt;/C&gt;&lt;D xsi:type="xsd:double"&gt;-15.0664343437366&lt;/D&gt;&lt;/FQL&gt;&lt;FQL&gt;&lt;Q&gt;PASP-FDS^FG_PRICE_CHANGE(0,-1AY)&lt;/Q&gt;&lt;R&gt;1&lt;/R&gt;&lt;C&gt;1&lt;/C&gt;&lt;D xsi:type="xsd:double"&gt;-8.5589519650655&lt;/D&gt;&lt;/FQL&gt;&lt;FQL&gt;&lt;Q&gt;W-FDS^FG_PRICE_CHANGE(0,-1AY)&lt;/Q&gt;&lt;R&gt;1&lt;/R&gt;&lt;C&gt;1&lt;/C&gt;&lt;D xsi:type="xsd:double"&gt;-1.292546316243&lt;/D&gt;&lt;/FQL&gt;&lt;FQL&gt;&lt;Q&gt;COPP-FDS^FG_PRICE_CHANGE(0,-1AY)&lt;/Q&gt;&lt;R&gt;1&lt;/R&gt;&lt;C&gt;1&lt;/C&gt;&lt;D xsi:type="xsd:double"&gt;21.3288665549972&lt;/D&gt;&lt;/FQL&gt;&lt;FQL&gt;&lt;Q&gt;EWL^FG_PRICE_MAVG(0,,,,30)&lt;/Q&gt;&lt;R&gt;1&lt;/R&gt;&lt;C&gt;1&lt;/C&gt;&lt;D xsi:type="xsd:double"&gt;51.319668&lt;/D&gt;&lt;/FQL&gt;&lt;FQL&gt;&lt;Q&gt;URTH^P_PRICE(0)/P_PRICE_LOW_PR(0,,,,,,"PRICE","INTRA","52W")-1&lt;/Q&gt;&lt;R&gt;1&lt;/R&gt;&lt;C&gt;1&lt;/C&gt;&lt;D xsi:type="xsd:double"&gt;0.38099384&lt;/D&gt;&lt;/FQL&gt;&lt;FQL&gt;&lt;Q&gt;VWO^FMA_PCT_ABOVE_MAVG(200,0,,,,"PORTAGG")&lt;/Q&gt;&lt;R&gt;1&lt;/R&gt;&lt;C&gt;1&lt;/C&gt;&lt;D xsi:type="xsd:double"&gt;36.8677248677249&lt;/D&gt;&lt;/FQL&gt;&lt;FQL&gt;&lt;Q&gt;EWU^FG_TOTAL_RETURNC(0,-12AM)&lt;/Q&gt;&lt;R&gt;1&lt;/R&gt;&lt;C&gt;1&lt;/C&gt;&lt;D xsi:type="xsd:double"&gt;22.511875&lt;/D&gt;&lt;/FQL&gt;&lt;FQL&gt;&lt;Q&gt;EWL^PERCENT_CHANGE(FMA_EPS(+1,0,,,,"PORTAGG","MEAN"),FMA_EPS(+1,-1AM,,,,"PORTAGG","MEAN"))&lt;/Q&gt;&lt;R&gt;1&lt;/R&gt;&lt;C&gt;1&lt;/C&gt;&lt;D xsi:type="xsd:double"&gt;-1.75301328902508&lt;/D&gt;&lt;/FQL&gt;&lt;FQL&gt;&lt;Q&gt;EWA^FG_TOTAL_RETURNC(0,-6AM)&lt;/Q&gt;&lt;R&gt;1&lt;/R&gt;&lt;C&gt;1&lt;/C&gt;&lt;D xsi:type="xsd:double"&gt;16.212666&lt;/D&gt;&lt;/FQL&gt;&lt;FQL&gt;&lt;Q&gt;FXI^FMA_COS_DOWN("EPS","1M",+1,0,,,"PORTAGG","MEANR")&lt;/Q&gt;&lt;R&gt;1&lt;/R&gt;&lt;C&gt;1&lt;/C&gt;&lt;D xsi:type="xsd:double"&gt;19&lt;/D&gt;&lt;/FQL&gt;&lt;FQL&gt;&lt;Q&gt;ENZL^FMA_ROE(NTMA,-20AY,NOW,FY,"PORTAGG","MEANR")&lt;/Q&gt;&lt;R&gt;20&lt;/R&gt;&lt;C&gt;1&lt;/C&gt;&lt;D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xsi:type="xsd:double"&gt;9.00388709577871&lt;/D&gt;&lt;D xsi:type="xsd:double"&gt;7.53226388544375&lt;/D&gt;&lt;D xsi:type="xsd:double"&gt;6.44400184436727&lt;/D&gt;&lt;D xsi:type="xsd:double"&gt;7.76896899459677&lt;/D&gt;&lt;D xsi:type="xsd:double"&gt;6.57910752236192&lt;/D&gt;&lt;/FQL&gt;&lt;FQL&gt;&lt;Q&gt;TRYCN10Y-FDS^FG_YIELD(-10AY,0,Y,,"YTM")&lt;/Q&gt;&lt;R&gt;10&lt;/R&gt;&lt;C&gt;1&lt;/C&gt;&lt;D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xsi:type="xsd:double"&gt;2.574&lt;/D&gt;&lt;/FQL&gt;&lt;FQL&gt;&lt;Q&gt;CAGDPY@SE^EE_ACTUAL_ANNUAL(MED,+1)&lt;/Q&gt;&lt;R&gt;1&lt;/R&gt;&lt;C&gt;1&lt;/C&gt;&lt;D xsi:type="xsd:double"&gt;6.3&lt;/D&gt;&lt;/FQL&gt;&lt;FQL&gt;&lt;Q&gt;CAGDPY@DE^EE_ACTUAL_ANNUAL(MED,+1)&lt;/Q&gt;&lt;R&gt;1&lt;/R&gt;&lt;C&gt;1&lt;/C&gt;&lt;D xsi:type="xsd:double"&gt;7&lt;/D&gt;&lt;/FQL&gt;&lt;FQL&gt;&lt;Q&gt;CC_NZ^FG_COMPANY_NAME&lt;/Q&gt;&lt;R&gt;1&lt;/R&gt;&lt;C&gt;1&lt;/C&gt;&lt;D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xsi:type="xsd:double"&gt;2.86470858427176&lt;/D&gt;&lt;/FQL&gt;&lt;FQL&gt;&lt;Q&gt;EWG^P_PRICE_RETURNS_PR('52W',2,-10AY,0,AM)&lt;/Q&gt;&lt;R&gt;121&lt;/R&gt;&lt;C&gt;1&lt;/C&gt;&lt;D xsi:type="xsd:double"&gt;-7.526946&lt;/D&gt;&lt;D xsi:type="xsd:double"&gt;-7.4160395&lt;/D&gt;&lt;D xsi:type="xsd:double"&gt;-5.7915154&lt;/D&gt;&lt;D xsi:type="xsd:double"&gt;-10.803318&lt;/D&gt;&lt;D xsi:type="xsd:double"&gt;-6.2830744&lt;/D&gt;&lt;D xsi:type="xsd:double"&gt;-0.6691158&lt;/D&gt;&lt;D xsi:type="xsd:double"&gt;-3.3433855&lt;/D&gt;&lt;D xsi:type="xsd:double"&gt;-0.78394413&lt;/D&gt;&lt;D xsi:type="xsd:double"&gt;-7.179159&lt;/D&gt;&lt;D xsi:type="xsd:double"&gt;-3.6401212&lt;/D&gt;&lt;D xsi:type="xsd:double"&gt;-2.924186&lt;/D&gt;&lt;D xsi:type="xsd:double"&gt;-10.495037&lt;/D&gt;&lt;D xsi:type="xsd:double"&gt;4.6057343&lt;/D&gt;&lt;D xsi:type="xsd:double"&gt;0.6423354&lt;/D&gt;&lt;D xsi:type="xsd:double"&gt;-5.575311&lt;/D&gt;&lt;D xsi:type="xsd:double"&gt;-11.127215&lt;/D&gt;&lt;D xsi:type="xsd:double"&gt;-16.285658&lt;/D&gt;&lt;D xsi:type="xsd:double"&gt;-13.21066&lt;/D&gt;&lt;D xsi:type="xsd:double"&gt;-9.687716&lt;/D&gt;&lt;D xsi:type="xsd:double"&gt;-15.365177&lt;/D&gt;&lt;D xsi:type="xsd:double"&gt;-11.597597&lt;/D&gt;&lt;D xsi:type="xsd:double"&gt;-12.192744&lt;/D&gt;&lt;D xsi:type="xsd:double"&gt;-0.40082932&lt;/D&gt;&lt;D xsi:type="xsd:double"&gt;-1.6178787&lt;/D&gt;&lt;D xsi:type="xsd:double"&gt;1.0637164&lt;/D&gt;&lt;D xsi:type="xsd:double"&gt;-4.6288786&lt;/D&gt;&lt;D xsi:type="xsd:double"&gt;1.0761023&lt;/D&gt;&lt;D xsi:type="xsd:double"&gt;17.858791&lt;/D&gt;&lt;D xsi:type="xsd:double"&gt;17.873466&lt;/D&gt;&lt;D xsi:type="xsd:double"&gt;14.113498&lt;/D&gt;&lt;D xsi:type="xsd:double"&gt;10.948288&lt;/D&gt;&lt;D xsi:type="xsd:double"&gt;23.855877&lt;/D&gt;&lt;D xsi:type="xsd:double"&gt;29.606606&lt;/D&gt;&lt;D xsi:type="xsd:double"&gt;27.045334&lt;/D&gt;&lt;D xsi:type="xsd:double"&gt;16.856575&lt;/D&gt;&lt;D xsi:type="xsd:double"&gt;28.277397&lt;/D&gt;&lt;D xsi:type="xsd:double"&gt;29.595411&lt;/D&gt;&lt;D xsi:type="xsd:double"&gt;32.9553&lt;/D&gt;&lt;D xsi:type="xsd:double"&gt;30.902946&lt;/D&gt;&lt;D xsi:type="xsd:double"&gt;31.046284&lt;/D&gt;&lt;D xsi:type="xsd:double"&gt;23.059929&lt;/D&gt;&lt;D xsi:type="xsd:double"&gt;17.056633&lt;/D&gt;&lt;D xsi:type="xsd:double"&gt;20.692146&lt;/D&gt;&lt;D xsi:type="xsd:double"&gt;9.712529&lt;/D&gt;&lt;D xsi:type="xsd:double"&gt;4.5284033&lt;/D&gt;&lt;D xsi:type="xsd:double"&gt;3.339219&lt;/D&gt;&lt;D xsi:type="xsd:double"&gt;-0.8651674&lt;/D&gt;&lt;D xsi:type="xsd:double"&gt;-4.2678537&lt;/D&gt;&lt;D xsi:type="xsd:double"&gt;-13.523793&lt;/D&gt;&lt;D xsi:type="xsd:double"&gt;-14.788002&lt;/D&gt;&lt;D xsi:type="xsd:double"&gt;-21.877945&lt;/D&gt;&lt;D xsi:type="xsd:double"&gt;-21.56551&lt;/D&gt;&lt;D xsi:type="xsd:double"&gt;-17.68616&lt;/D&gt;&lt;D xsi:type="xsd:double"&gt;-13.373012&lt;/D&gt;&lt;D xsi:type="xsd:double"&gt;-12.290746&lt;/D&gt;&lt;D xsi:type="xsd:double"&gt;-12.974083&lt;/D&gt;&lt;D xsi:type="xsd:double"&gt;-9.669095&lt;/D&gt;&lt;D xsi:type="xsd:double"&gt;-9.083408&lt;/D&gt;&lt;D xsi:type="xsd:double"&gt;-9.895086&lt;/D&gt;&lt;D xsi:type="xsd:double"&gt;-6.321603&lt;/D&gt;&lt;D xsi:type="xsd:double"&gt;4.1496515&lt;/D&gt;&lt;D xsi:type="xsd:double"&gt;9.256172&lt;/D&gt;&lt;D xsi:type="xsd:double"&gt;17.797543&lt;/D&gt;&lt;D xsi:type="xsd:double"&gt;17.367422&lt;/D&gt;&lt;D xsi:type="xsd:double"&gt;12.399101&lt;/D&gt;&lt;D xsi:type="xsd:double"&gt;-32.883507&lt;/D&gt;&lt;D xsi:type="xsd:double"&gt;-17.290485&lt;/D&gt;&lt;D xsi:type="xsd:double"&gt;-11.910361&lt;/D&gt;&lt;D xsi:type="xsd:double"&gt;-0.57854056&lt;/D&gt;&lt;D xsi:type="xsd:double"&gt;5.966401&lt;/D&gt;&lt;D xsi:type="xsd:double"&gt;18.330658&lt;/D&gt;&lt;D xsi:type="xsd:double"&gt;12.076497&lt;/D&gt;&lt;D xsi:type="xsd:double"&gt;7.466924&lt;/D&gt;&lt;D xsi:type="xsd:double"&gt;4.421413&lt;/D&gt;&lt;D xsi:type="xsd:double"&gt;12.036932&lt;/D&gt;&lt;D xsi:type="xsd:double"&gt;9.577454&lt;/D&gt;&lt;D xsi:type="xsd:double"&gt;14.155245&lt;/D&gt;&lt;D xsi:type="xsd:double"&gt;89.65037&lt;/D&gt;&lt;D xsi:type="xsd:double"&gt;63.62219&lt;/D&gt;&lt;D xsi:type="xsd:double"&gt;50.729813&lt;/D&gt;&lt;D xsi:type="xsd:double"&gt;31.225597&lt;/D&gt;&lt;D xsi:type="xsd:double"&gt;23.540474&lt;/D&gt;&lt;D xsi:type="xsd:double"&gt;19.811762&lt;/D&gt;&lt;D xsi:type="xsd:double"&gt;15.083814&lt;/D&gt;&lt;D xsi:type="xsd:double"&gt;16.33551&lt;/D&gt;&lt;D xsi:type="xsd:double"&gt;17.613388&lt;/D&gt;&lt;D xsi:type="xsd:double"&gt;1.7158866&lt;/D&gt;&lt;D xsi:type="xsd:double"&gt;5.3818703&lt;/D&gt;&lt;D xsi:type="xsd:double"&gt;-1.7961204&lt;/D&gt;&lt;D xsi:type="xsd:double"&gt;-11.263948&lt;/D&gt;&lt;D xsi:type="xsd:double"&gt;-21.42083&lt;/D&gt;&lt;D xsi:type="xsd:double"&gt;-25.99721&lt;/D&gt;&lt;D xsi:type="xsd:double"&gt;-29.797476&lt;/D&gt;&lt;D xsi:type="xsd:double"&gt;-32.718044&lt;/D&gt;&lt;D xsi:type="xsd:double"&gt;-30.269932&lt;/D&gt;&lt;D xsi:type="xsd:double"&gt;-34.979935&lt;/D&gt;&lt;D xsi:type="xsd:double"&gt;-34.190117&lt;/D&gt;&lt;D xsi:type="xsd:double"&gt;-24.289715&lt;/D&gt;&lt;D xsi:type="xsd:double"&gt;-21.52124&lt;/D&gt;&lt;D xsi:type="xsd:double"&gt;-12.668628&lt;/D&gt;&lt;D xsi:type="xsd:double"&gt;-8.161473&lt;/D&gt;&lt;D xsi:type="xsd:double"&gt;-5.7494106&lt;/D&gt;&lt;D xsi:type="xsd:double"&gt;11.077046&lt;/D&gt;&lt;D xsi:type="xsd:double"&gt;17.328787&lt;/D&gt;&lt;D xsi:type="xsd:double"&gt;26.388&lt;/D&gt;&lt;D xsi:type="xsd:double"&gt;35.836803&lt;/D&gt;&lt;D xsi:type="xsd:double"&gt;20.576942&lt;/D&gt;&lt;D xsi:type="xsd:double"&gt;29.034351&lt;/D&gt;&lt;D xsi:type="xsd:double"&gt;23.656918&lt;/D&gt;&lt;D xsi:type="xsd:double"&gt;15.767538&lt;/D&gt;&lt;D xsi:type="xsd:double"&gt;22.12559&lt;/D&gt;&lt;D xsi:type="xsd:double"&gt;6.5719724&lt;/D&gt;&lt;D xsi:type="xsd:double"&gt;8.099461&lt;/D&gt;&lt;D xsi:type="xsd:double"&gt;20.433485&lt;/D&gt;&lt;D xsi:type="xsd:double"&gt;5.707109&lt;/D&gt;&lt;D xsi:type="xsd:double"&gt;15.027475&lt;/D&gt;&lt;D xsi:type="xsd:double"&gt;7.363379&lt;/D&gt;&lt;D xsi:type="xsd:double"&gt;8.89827&lt;/D&gt;&lt;D xsi:type="xsd:double"&gt;16.201485&lt;/D&gt;&lt;D xsi:type="xsd:double"&gt;23.056995&lt;/D&gt;&lt;D xsi:type="xsd:double"&gt;34.215332&lt;/D&gt;&lt;/FQL&gt;&lt;FQL&gt;&lt;Q&gt;EWA^FG_TOTAL_RETURNC(-10AY,0,AM)&lt;/Q&gt;&lt;R&gt;121&lt;/R&gt;&lt;C&gt;1&lt;/C&gt;&lt;D xsi:type="xsd:double"&gt;-4.1420164&lt;/D&gt;&lt;D xsi:type="xsd:double"&gt;1.7283916&lt;/D&gt;&lt;D xsi:type="xsd:double"&gt;-8.696074&lt;/D&gt;&lt;D xsi:type="xsd:double"&gt;2.1042943&lt;/D&gt;&lt;D xsi:type="xsd:double"&gt;5.2419305&lt;/D&gt;&lt;D xsi:type="xsd:double"&gt;-0.085145235&lt;/D&gt;&lt;D xsi:type="xsd:double"&gt;-0.80953836&lt;/D&gt;&lt;D xsi:type="xsd:double"&gt;-0.21477938&lt;/D&gt;&lt;D xsi:type="xsd:double"&gt;-3.9603949&lt;/D&gt;&lt;D xsi:type="xsd:double"&gt;-3.407067&lt;/D&gt;&lt;D xsi:type="xsd:double"&gt;-6.368822&lt;/D&gt;&lt;D xsi:type="xsd:double"&gt;-5.532998&lt;/D&gt;&lt;D xsi:type="xsd:double"&gt;5.158508&lt;/D&gt;&lt;D xsi:type="xsd:double"&gt;-4.2922854&lt;/D&gt;&lt;D xsi:type="xsd:double"&gt;-1.0677993&lt;/D&gt;&lt;D xsi:type="xsd:double"&gt;-9.855371&lt;/D&gt;&lt;D xsi:type="xsd:double"&gt;8.676922&lt;/D&gt;&lt;D xsi:type="xsd:double"&gt;12.287653&lt;/D&gt;&lt;D xsi:type="xsd:double"&gt;1.5128613&lt;/D&gt;&lt;D xsi:type="xsd:double"&gt;-3.4773886&lt;/D&gt;&lt;D xsi:type="xsd:double"&gt;-1.6469359&lt;/D&gt;&lt;D xsi:type="xsd:double"&gt;8.688509&lt;/D&gt;&lt;D xsi:type="xsd:double"&gt;2.5390625&lt;/D&gt;&lt;D xsi:type="xsd:double"&gt;-5.7618976&lt;/D&gt;&lt;D xsi:type="xsd:double"&gt;5.6088924&lt;/D&gt;&lt;D xsi:type="xsd:double"&gt;-4.162675&lt;/D&gt;&lt;D xsi:type="xsd:double"&gt;2.6959538&lt;/D&gt;&lt;D xsi:type="xsd:double"&gt;5.81851&lt;/D&gt;&lt;D xsi:type="xsd:double"&gt;4.905653&lt;/D&gt;&lt;D xsi:type="xsd:double"&gt;1.1240959&lt;/D&gt;&lt;D xsi:type="xsd:double"&gt;-1.0226727&lt;/D&gt;&lt;D xsi:type="xsd:double"&gt;-3.4141958&lt;/D&gt;&lt;D xsi:type="xsd:double"&gt;3.0697703&lt;/D&gt;&lt;D xsi:type="xsd:double"&gt;2.6137948&lt;/D&gt;&lt;D xsi:type="xsd:double"&gt;1.61798&lt;/D&gt;&lt;D xsi:type="xsd:double"&gt;0.973022&lt;/D&gt;&lt;D xsi:type="xsd:double"&gt;1.0512471&lt;/D&gt;&lt;D xsi:type="xsd:double"&gt;-1.9072413&lt;/D&gt;&lt;D xsi:type="xsd:double"&gt;2.96067&lt;/D&gt;&lt;D xsi:type="xsd:double"&gt;3.8255215&lt;/D&gt;&lt;D xsi:type="xsd:double"&gt;-2.6683629&lt;/D&gt;&lt;D xsi:type="xsd:double"&gt;-0.9138346&lt;/D&gt;&lt;D xsi:type="xsd:double"&gt;-0.57092905&lt;/D&gt;&lt;D xsi:type="xsd:double"&gt;0.2650261&lt;/D&gt;&lt;D xsi:type="xsd:double"&gt;-0.088107586&lt;/D&gt;&lt;D xsi:type="xsd:double"&gt;2.1357417&lt;/D&gt;&lt;D xsi:type="xsd:double"&gt;1.2323976&lt;/D&gt;&lt;D xsi:type="xsd:double"&gt;-3.782612&lt;/D&gt;&lt;D xsi:type="xsd:double"&gt;-6.4166307&lt;/D&gt;&lt;D xsi:type="xsd:double"&gt;1.4968634&lt;/D&gt;&lt;D xsi:type="xsd:double"&gt;-4.639101&lt;/D&gt;&lt;D xsi:type="xsd:double"&gt;6.6321254&lt;/D&gt;&lt;D xsi:type="xsd:double"&gt;2.429545&lt;/D&gt;&lt;D xsi:type="xsd:double"&gt;2.0872831&lt;/D&gt;&lt;D xsi:type="xsd:double"&gt;1.8587351&lt;/D&gt;&lt;D xsi:type="xsd:double"&gt;-2.281022&lt;/D&gt;&lt;D xsi:type="xsd:double"&gt;4.853523&lt;/D&gt;&lt;D xsi:type="xsd:double"&gt;3.1803727&lt;/D&gt;&lt;D xsi:type="xsd:double"&gt;-6.5169516&lt;/D&gt;&lt;D xsi:type="xsd:double"&gt;5.7936907&lt;/D&gt;&lt;D xsi:type="xsd:double"&gt;-0.6233275&lt;/D&gt;&lt;D xsi:type="xsd:double"&gt;1.8817186&lt;/D&gt;&lt;D xsi:type="xsd:double"&gt;1.4609814&lt;/D&gt;&lt;D xsi:type="xsd:double"&gt;3.978777&lt;/D&gt;&lt;D xsi:type="xsd:double"&gt;-2.2959232&lt;/D&gt;&lt;D xsi:type="xsd:double"&gt;-40.295906&lt;/D&gt;&lt;D xsi:type="xsd:double"&gt;22.667635&lt;/D&gt;&lt;D xsi:type="xsd:double"&gt;3.3868074&lt;/D&gt;&lt;D xsi:type="xsd:double"&gt;12.272274&lt;/D&gt;&lt;D xsi:type="xsd:double"&gt;3.4805179&lt;/D&gt;&lt;D xsi:type="xsd:double"&gt;4.718876&lt;/D&gt;&lt;D xsi:type="xsd:double"&gt;-3.4995258&lt;/D&gt;&lt;D xsi:type="xsd:double"&gt;3.0799866&lt;/D&gt;&lt;D xsi:type="xsd:double"&gt;8.867466&lt;/D&gt;&lt;D xsi:type="xsd:double"&gt;7.098639&lt;/D&gt;&lt;D xsi:type="xsd:double"&gt;1.9174695&lt;/D&gt;&lt;D xsi:type="xsd:double"&gt;3.3537865&lt;/D&gt;&lt;D xsi:type="xsd:double"&gt;-1.8994808&lt;/D&gt;&lt;D xsi:type="xsd:double"&gt;5.929804&lt;/D&gt;&lt;D xsi:type="xsd:double"&gt;0.41888952&lt;/D&gt;&lt;D xsi:type="xsd:double"&gt;0.009572506&lt;/D&gt;&lt;D xsi:type="xsd:double"&gt;-1.5763164&lt;/D&gt;&lt;D xsi:type="xsd:double"&gt;-0.42968988&lt;/D&gt;&lt;D xsi:type="xsd:double"&gt;-0.19615293&lt;/D&gt;&lt;D xsi:type="xsd:double"&gt;2.319181&lt;/D&gt;&lt;D xsi:type="xsd:double"&gt;-1.8824399&lt;/D&gt;&lt;D xsi:type="xsd:double"&gt;-3.2510936&lt;/D&gt;&lt;D xsi:type="xsd:double"&gt;1.4647126&lt;/D&gt;&lt;D xsi:type="xsd:double"&gt;-0.86812973&lt;/D&gt;&lt;D xsi:type="xsd:double"&gt;7.1309447&lt;/D&gt;&lt;D xsi:type="xsd:double"&gt;2.413392&lt;/D&gt;&lt;D xsi:type="xsd:double"&gt;-10.604328&lt;/D&gt;&lt;D xsi:type="xsd:double"&gt;-8.663666&lt;/D&gt;&lt;D xsi:type="xsd:double"&gt;1.2013435&lt;/D&gt;&lt;D xsi:type="xsd:double"&gt;8.784426&lt;/D&gt;&lt;D xsi:type="xsd:double"&gt;-7.2893915&lt;/D&gt;&lt;D xsi:type="xsd:double"&gt;-5.5084763&lt;/D&gt;&lt;D xsi:type="xsd:double"&gt;13.403093&lt;/D&gt;&lt;D xsi:type="xsd:double"&gt;-0.59937835&lt;/D&gt;&lt;D xsi:type="xsd:double"&gt;7.429099&lt;/D&gt;&lt;D xsi:type="xsd:double"&gt;-0.7124901&lt;/D&gt;&lt;D xsi:type="xsd:double"&gt;-7.2604537&lt;/D&gt;&lt;D xsi:type="xsd:double"&gt;7.1916223&lt;/D&gt;&lt;D xsi:type="xsd:double"&gt;-3.0997872&lt;/D&gt;&lt;D xsi:type="xsd:double"&gt;4.1672945&lt;/D&gt;&lt;D xsi:type="xsd:double"&gt;-0.1714468&lt;/D&gt;&lt;D xsi:type="xsd:double"&gt;-7.85746&lt;/D&gt;&lt;D xsi:type="xsd:double"&gt;3.308487&lt;/D&gt;&lt;D xsi:type="xsd:double"&gt;-4.2399645&lt;/D&gt;&lt;D xsi:type="xsd:double"&gt;4.6161056&lt;/D&gt;&lt;D xsi:type="xsd:double"&gt;8.0594425&lt;/D&gt;&lt;D xsi:type="xsd:double"&gt;-1.9370317&lt;/D&gt;&lt;D xsi:type="xsd:double"&gt;2.9054642&lt;/D&gt;&lt;D xsi:type="xsd:double"&gt;1.4749289&lt;/D&gt;&lt;D xsi:type="xsd:double"&gt;-3.2392085&lt;/D&gt;&lt;D xsi:type="xsd:double"&gt;8.326185&lt;/D&gt;&lt;D xsi:type="xsd:double"&gt;-1.3231218&lt;/D&gt;&lt;D xsi:type="xsd:double"&gt;2.7834654&lt;/D&gt;&lt;D xsi:type="xsd:double"&gt;-0.6371975&lt;/D&gt;&lt;D xsi:type="xsd:double"&gt;4.809618&lt;/D&gt;&lt;D xsi:type="xsd:double"&gt;1.5678763&lt;/D&gt;&lt;/FQL&gt;&lt;FQL&gt;&lt;Q&gt;EWD^FMA_PE(LTMA,-10AY,0,AM,"PORTAGG","MEANR")&lt;/Q&gt;&lt;R&gt;121&lt;/R&gt;&lt;C&gt;1&lt;/C&gt;&lt;D xsi:type="xsd:double"&gt;15.3152851529383&lt;/D&gt;&lt;D xsi:type="xsd:double"&gt;16.893463432604&lt;/D&gt;&lt;D xsi:type="xsd:double"&gt;17.3231053311181&lt;/D&gt;&lt;D xsi:type="xsd:double"&gt;17.5544061642548&lt;/D&gt;&lt;D xsi:type="xsd:double"&gt;19.9090148128009&lt;/D&gt;&lt;D xsi:type="xsd:double"&gt;20.1515908440463&lt;/D&gt;&lt;D xsi:type="xsd:double"&gt;19.6902739787084&lt;/D&gt;&lt;D xsi:type="xsd:double"&gt;19.0998383137241&lt;/D&gt;&lt;D xsi:type="xsd:double"&gt;18.693074680168&lt;/D&gt;&lt;D xsi:type="xsd:double"&gt;18.778407317984&lt;/D&gt;&lt;D xsi:type="xsd:double"&gt;18.2580088680693&lt;/D&gt;&lt;D xsi:type="xsd:double"&gt;16.9105560106219&lt;/D&gt;&lt;D xsi:type="xsd:double"&gt;16.7426664253363&lt;/D&gt;&lt;D xsi:type="xsd:double"&gt;16.8846826477317&lt;/D&gt;&lt;D xsi:type="xsd:double"&gt;15.9933489557244&lt;/D&gt;&lt;D xsi:type="xsd:double"&gt;14.3421430706431&lt;/D&gt;&lt;D xsi:type="xsd:double"&gt;15.1685568611443&lt;/D&gt;&lt;D xsi:type="xsd:double"&gt;15.6192548098153&lt;/D&gt;&lt;D xsi:type="xsd:double"&gt;15.6528521432427&lt;/D&gt;&lt;D xsi:type="xsd:double"&gt;15.4547512950018&lt;/D&gt;&lt;D xsi:type="xsd:double"&gt;15.2450190411315&lt;/D&gt;&lt;D xsi:type="xsd:double"&gt;15.5831610886501&lt;/D&gt;&lt;D xsi:type="xsd:double"&gt;15.985990663929&lt;/D&gt;&lt;D xsi:type="xsd:double"&gt;15.9985532918426&lt;/D&gt;&lt;D xsi:type="xsd:double"&gt;17.1439883483421&lt;/D&gt;&lt;D xsi:type="xsd:double"&gt;17.259462022476&lt;/D&gt;&lt;D xsi:type="xsd:double"&gt;18.3076274568384&lt;/D&gt;&lt;D xsi:type="xsd:double"&gt;18.1149085714474&lt;/D&gt;&lt;D xsi:type="xsd:double"&gt;17.4239993911243&lt;/D&gt;&lt;D xsi:type="xsd:double"&gt;17.5068735934462&lt;/D&gt;&lt;D xsi:type="xsd:double"&gt;17.5183397532605&lt;/D&gt;&lt;D xsi:type="xsd:double"&gt;17.9802820129532&lt;/D&gt;&lt;D xsi:type="xsd:double"&gt;17.6291685266696&lt;/D&gt;&lt;D xsi:type="xsd:double"&gt;17.6164798859598&lt;/D&gt;&lt;D xsi:type="xsd:double"&gt;16.7680284956134&lt;/D&gt;&lt;D xsi:type="xsd:double"&gt;17.2941004398528&lt;/D&gt;&lt;D xsi:type="xsd:double"&gt;17.7966123435142&lt;/D&gt;&lt;D xsi:type="xsd:double"&gt;18.0300095400379&lt;/D&gt;&lt;D xsi:type="xsd:double"&gt;18.2801583911575&lt;/D&gt;&lt;D xsi:type="xsd:double"&gt;18.2569843859972&lt;/D&gt;&lt;D xsi:type="xsd:double"&gt;16.7432305380009&lt;/D&gt;&lt;D xsi:type="xsd:double"&gt;16.9421789863474&lt;/D&gt;&lt;D xsi:type="xsd:double"&gt;16.847109193314&lt;/D&gt;&lt;D xsi:type="xsd:double"&gt;16.8814719956118&lt;/D&gt;&lt;D xsi:type="xsd:double"&gt;16.495303984402&lt;/D&gt;&lt;D xsi:type="xsd:double"&gt;16.4811038441933&lt;/D&gt;&lt;D xsi:type="xsd:double"&gt;16.586003292887&lt;/D&gt;&lt;D xsi:type="xsd:double"&gt;16.6141879636484&lt;/D&gt;&lt;D xsi:type="xsd:double"&gt;15.7094708032642&lt;/D&gt;&lt;D xsi:type="xsd:double"&gt;14.9035903354192&lt;/D&gt;&lt;D xsi:type="xsd:double"&gt;14.1537981811058&lt;/D&gt;&lt;D xsi:type="xsd:double"&gt;15.2243604995117&lt;/D&gt;&lt;D xsi:type="xsd:double"&gt;18.4479125766109&lt;/D&gt;&lt;D xsi:type="xsd:double"&gt;18.0402052859021&lt;/D&gt;&lt;D xsi:type="xsd:double"&gt;17.8697906835608&lt;/D&gt;&lt;D xsi:type="xsd:double"&gt;17.518844468656&lt;/D&gt;&lt;D xsi:type="xsd:double"&gt;17.1958759063119&lt;/D&gt;&lt;D xsi:type="xsd:double"&gt;16.8739507099756&lt;/D&gt;&lt;D xsi:type="xsd:double"&gt;15.7827561307167&lt;/D&gt;&lt;D xsi:type="xsd:double"&gt;16.2799722497551&lt;/D&gt;&lt;D xsi:type="xsd:double"&gt;16.6868222863632&lt;</t>
        </r>
      </text>
    </comment>
    <comment ref="A12" authorId="0" shapeId="0" xr:uid="{99B2F9A0-D7E9-400D-847B-4DE16757F5A3}">
      <text>
        <r>
          <rPr>
            <b/>
            <sz val="9"/>
            <color indexed="81"/>
            <rFont val="Tahoma"/>
            <charset val="1"/>
          </rPr>
          <t>/D&gt;&lt;D xsi:type="xsd:double"&gt;16.0782702846902&lt;/D&gt;&lt;D xsi:type="xsd:double"&gt;16.3013800994427&lt;/D&gt;&lt;D xsi:type="xsd:double"&gt;16.9070943597717&lt;/D&gt;&lt;D xsi:type="xsd:double"&gt;14.3692166185504&lt;/D&gt;&lt;D xsi:type="xsd:double"&gt;12.3721306111248&lt;/D&gt;&lt;D xsi:type="xsd:double"&gt;14.0330712811993&lt;/D&gt;&lt;D xsi:type="xsd:double"&gt;15.1521006485621&lt;/D&gt;&lt;D xsi:type="xsd:double"&gt;16.6116452078687&lt;/D&gt;&lt;D xsi:type="xsd:double"&gt;18.1559770798662&lt;/D&gt;&lt;D xsi:type="xsd:double"&gt;16.8955960772424&lt;/D&gt;&lt;D xsi:type="xsd:double"&gt;18.0118428900118&lt;/D&gt;&lt;D xsi:type="xsd:double"&gt;16.3466894408457&lt;/D&gt;&lt;D xsi:type="xsd:double"&gt;16.6358748935462&lt;/D&gt;&lt;D xsi:type="xsd:double"&gt;17.1570150473071&lt;/D&gt;&lt;D xsi:type="xsd:double"&gt;18.5501347110363&lt;/D&gt;&lt;D xsi:type="xsd:double"&gt;17.5396169046635&lt;/D&gt;&lt;D xsi:type="xsd:double"&gt;17.9842066674755&lt;/D&gt;&lt;D xsi:type="xsd:double"&gt;18.4927555106075&lt;/D&gt;&lt;D xsi:type="xsd:double"&gt;17.524963796268&lt;/D&gt;&lt;D xsi:type="xsd:double"&gt;17.8441376411646&lt;/D&gt;&lt;D xsi:type="xsd:double"&gt;17.7452544360977&lt;/D&gt;&lt;D xsi:type="xsd:double"&gt;17.4635954473882&lt;/D&gt;&lt;D xsi:type="xsd:double"&gt;17.3755194489103&lt;/D&gt;&lt;D xsi:type="xsd:double"&gt;17.440471122554&lt;/D&gt;&lt;D xsi:type="xsd:double"&gt;16.7418169892728&lt;/D&gt;&lt;D xsi:type="xsd:double"&gt;16.1573098067883&lt;/D&gt;&lt;D xsi:type="xsd:double"&gt;15.6032501350485&lt;/D&gt;&lt;D xsi:type="xsd:double"&gt;11.8530937302952&lt;/D&gt;&lt;D xsi:type="xsd:double"&gt;12.0013224087242&lt;/D&gt;&lt;D xsi:type="xsd:double"&gt;12.2490594515865&lt;/D&gt;&lt;D xsi:type="xsd:double"&gt;13.3524127686704&lt;/D&gt;&lt;D xsi:type="xsd:double"&gt;13.1057439324386&lt;/D&gt;&lt;D xsi:type="xsd:double"&gt;13.9220883616466&lt;/D&gt;&lt;D xsi:type="xsd:double"&gt;15.0134684601861&lt;/D&gt;&lt;D xsi:type="xsd:double"&gt;14.5486997183062&lt;/D&gt;&lt;D xsi:type="xsd:double"&gt;15.2277553883064&lt;/D&gt;&lt;D xsi:type="xsd:double"&gt;14.0613257260583&lt;/D&gt;&lt;D xsi:type="xsd:double"&gt;15.2740205501084&lt;/D&gt;&lt;D xsi:type="xsd:double"&gt;16.774199929349&lt;/D&gt;&lt;D xsi:type="xsd:double"&gt;26.2045269790674&lt;/D&gt;&lt;D xsi:type="xsd:double"&gt;24.8356715801729&lt;/D&gt;&lt;D xsi:type="xsd:double"&gt;23.8635084996341&lt;/D&gt;&lt;D xsi:type="xsd:double"&gt;22.5218292066221&lt;/D&gt;&lt;D xsi:type="xsd:double"&gt;21.5562268102151&lt;/D&gt;&lt;D xsi:type="xsd:double"&gt;20.1260485156827&lt;/D&gt;&lt;D xsi:type="xsd:double"&gt;18.2245869552597&lt;/D&gt;&lt;D xsi:type="xsd:double"&gt;17.2745921780165&lt;/D&gt;&lt;D xsi:type="xsd:double"&gt;16.7253146757728&lt;/D&gt;&lt;D xsi:type="xsd:double"&gt;15.8756123894741&lt;/D&gt;&lt;D xsi:type="xsd:double"&gt;18.0816199385649&lt;/D&gt;&lt;D xsi:type="xsd:double"&gt;17.0560587320779&lt;/D&gt;&lt;D xsi:type="xsd:double"&gt;15.4670100612724&lt;/D&gt;&lt;D xsi:type="xsd:double"&gt;15.902394264364&lt;/D&gt;&lt;D xsi:type="xsd:double"&gt;15.8779898295439&lt;/D&gt;&lt;D xsi:type="xsd:double"&gt;16.0963405373144&lt;/D&gt;&lt;D xsi:type="xsd:double"&gt;15.9878719213824&lt;/D&gt;&lt;D xsi:type="xsd:double"&gt;16.5121508271501&lt;/D&gt;&lt;D xsi:type="xsd:double"&gt;16.4740790361473&lt;/D&gt;&lt;D xsi:type="xsd:double"&gt;17.0225170220833&lt;/D&gt;&lt;D xsi:type="xsd:double"&gt;17.4080431342317&lt;/D&gt;&lt;/FQL&gt;&lt;FQL&gt;&lt;Q&gt;DDR3512M-FDS^FG_PRICE_CHANGE(0,-6AM)&lt;/Q&gt;&lt;R&gt;1&lt;/R&gt;&lt;C&gt;1&lt;/C&gt;&lt;D xsi:type="xsd:double"&gt;-11.3146392017591&lt;/D&gt;&lt;/FQL&gt;&lt;FQL&gt;&lt;Q&gt;PASP-FDS^FG_PRICE_CHANGE(0,-6AM)&lt;/Q&gt;&lt;R&gt;1&lt;/R&gt;&lt;C&gt;1&lt;/C&gt;&lt;D xsi:type="xsd:double"&gt;-1.22641509433963&lt;/D&gt;&lt;/FQL&gt;&lt;FQL&gt;&lt;Q&gt;PLATI-FDS^FG_PRICE_CHANGE(0,-6AM)&lt;/Q&gt;&lt;R&gt;1&lt;/R&gt;&lt;C&gt;1&lt;/C&gt;&lt;D xsi:type="xsd:double"&gt;6.24338624338625&lt;/D&gt;&lt;/FQL&gt;&lt;FQL&gt;&lt;Q&gt;W-FDS^FG_PRICE_CHANGE(0,-6AM)&lt;/Q&gt;&lt;R&gt;1&lt;/R&gt;&lt;C&gt;1&lt;/C&gt;&lt;D xsi:type="xsd:double"&gt;6.70703306939917&lt;/D&gt;&lt;/FQL&gt;&lt;FQL&gt;&lt;Q&gt;COPP-FDS^FG_PRICE_CHANGE(0,-6AM)&lt;/Q&gt;&lt;R&gt;1&lt;/R&gt;&lt;C&gt;1&lt;/C&gt;&lt;D xsi:type="xsd:double"&gt;-2.12813872311677&lt;/D&gt;&lt;/FQL&gt;&lt;FQL&gt;&lt;Q&gt;EWA^JULIAN(FMA_ROE(NTMA,-20AY,NOW,FY,"PORTAGG","MEANR").DATES)&lt;/Q&gt;&lt;R&gt;20&lt;/R&gt;&lt;C&gt;1&lt;/C&gt;&lt;D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xsi:type="xsd:double"&gt;21.984322&lt;/D&gt;&lt;/FQL&gt;&lt;FQL&gt;&lt;Q&gt;CAGDPY@SE^EE_ACTUAL_ANNUAL(MED,0)&lt;/Q&gt;&lt;R&gt;1&lt;/R&gt;&lt;C&gt;1&lt;/C&gt;&lt;D xsi:type="xsd:double"&gt;6.54758763985883&lt;/D&gt;&lt;/FQL&gt;&lt;FQL&gt;&lt;Q&gt;CAGDPY@DE^EE_ACTUAL_ANNUAL(MED,0)&lt;/Q&gt;&lt;R&gt;1&lt;/R&gt;&lt;C&gt;1&lt;/C&gt;&lt;D xsi:type="xsd:double"&gt;5.88214213185842&lt;/D&gt;&lt;/FQL&gt;&lt;FQL&gt;&lt;Q&gt;USDITL^STD(FG_PRICE_CHANGE(0,-3AY,M))&lt;/Q&gt;&lt;R&gt;1&lt;/R&gt;&lt;C&gt;1&lt;/C&gt;&lt;D xsi:type="xsd:double"&gt;2.17172777170536&lt;/D&gt;&lt;/FQL&gt;&lt;FQL&gt;&lt;Q&gt;USDANG^STD(FG_PRICE_CHANGE(0,-3AY,M))&lt;/Q&gt;&lt;R&gt;1&lt;/R&gt;&lt;C&gt;1&lt;/C&gt;&lt;D xsi:type="xsd:double"&gt;0.0594600681310969&lt;/D&gt;&lt;/FQL&gt;&lt;FQL&gt;&lt;Q&gt;USDGBP^STD(FG_PRICE_CHANGE(0,-3AY,M))&lt;/Q&gt;&lt;R&gt;1&lt;/R&gt;&lt;C&gt;1&lt;/C&gt;&lt;D xsi:type="xsd:double"&gt;2.39047188640175&lt;/D&gt;&lt;/FQL&gt;&lt;FQL&gt;&lt;Q&gt;USDJPY^STD(FG_PRICE_CHANGE(0,-3AY,M))&lt;/Q&gt;&lt;R&gt;1&lt;/R&gt;&lt;C&gt;1&lt;/C&gt;&lt;D xsi:type="xsd:double"&gt;3.37764504980135&lt;/D&gt;&lt;/FQL&gt;&lt;FQL&gt;&lt;Q&gt;USDCAD^STD(FG_PRICE_CHANGE(0,-3AY,M))&lt;/Q&gt;&lt;R&gt;1&lt;/R&gt;&lt;C&gt;1&lt;/C&gt;&lt;D xsi:type="xsd:double"&gt;1.83419096764442&lt;/D&gt;&lt;/FQL&gt;&lt;FQL&gt;&lt;Q&gt;USDNZD^STD(FG_PRICE_CHANGE(0,-3AY,M))&lt;/Q&gt;&lt;R&gt;1&lt;/R&gt;&lt;C&gt;1&lt;/C&gt;&lt;D xsi:type="xsd:double"&gt;3.60072422412022&lt;/D&gt;&lt;/FQL&gt;&lt;FQL&gt;&lt;Q&gt;EWJ^FMA_EPS(NTMA,-20AY,0,CY,,"PORTAGG","MEANR")&lt;/Q&gt;&lt;R&gt;20&lt;/R&gt;&lt;C&gt;1&lt;/C&gt;&lt;D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xsi:type="xsd:double"&gt;4.07638247054007&lt;/D&gt;&lt;D xsi:type="xsd:double"&gt;3.67789556950636&lt;/D&gt;&lt;D xsi:type="xsd:double"&gt;4.61613869576068&lt;/D&gt;&lt;D xsi:type="xsd:double"&gt;4.46089556091596&lt;/D&gt;&lt;D xsi:type="xsd:double"&gt;4.56673202880816&lt;/D&gt;&lt;/FQL&gt;&lt;FQL&gt;&lt;Q&gt;EWC^P_PRICE_RETURNS_PR('52W',2,-10AY,0,AM)&lt;/Q&gt;&lt;R&gt;121&lt;/R&gt;&lt;C&gt;1&lt;/C&gt;&lt;D xsi:type="xsd:double"&gt;2.4404526&lt;/D&gt;&lt;D xsi:type="xsd:double"&gt;4.535496&lt;/D&gt;&lt;D xsi:type="xsd:double"&gt;1.9524455&lt;/D&gt;&lt;D xsi:type="xsd:double"&gt;-3.1264842&lt;/D&gt;&lt;D xsi:type="xsd:double"&gt;-1.7197967&lt;/D&gt;&lt;D xsi:type="xsd:double"&gt;-4.204631&lt;/D&gt;&lt;D xsi:type="xsd:double"&gt;-1.039505&lt;/D&gt;&lt;D xsi:type="xsd:double"&gt;-3.734821&lt;/D&gt;&lt;D xsi:type="xsd:double"&gt;-10.456568&lt;/D&gt;&lt;D xsi:type="xsd:double"&gt;-17.852228&lt;/D&gt;&lt;D xsi:type="xsd:double"&gt;-20.555252&lt;/D&gt;&lt;D xsi:type="xsd:double"&gt;-24.991465&lt;/D&gt;&lt;D xsi:type="xsd:double"&gt;-11.991156&lt;/D&gt;&lt;D xsi:type="xsd:double"&gt;-21.753746&lt;/D&gt;&lt;D xsi:type="xsd:double"&gt;-22.81688&lt;/D&gt;&lt;D xsi:type="xsd:double"&gt;-27.594692&lt;/D&gt;&lt;D xsi:type="xsd:double"&gt;-21.59437&lt;/D&gt;&lt;D xsi:type="xsd:double"&gt;-11.970115&lt;/D&gt;&lt;D xsi:type="xsd:double"&gt;-13.916421&lt;/D&gt;&lt;D xsi:type="xsd:double"&gt;-13.906294&lt;/D&gt;&lt;D xsi:type="xsd:double"&gt;-9.46402&lt;/D&gt;&lt;D xsi:type="xsd:double"&gt;0.11188984&lt;/D&gt;&lt;D xsi:type="xsd:double"&gt;6.243038&lt;/D&gt;&lt;D xsi:type="xsd:double"&gt;5.3344846&lt;/D&gt;&lt;D xsi:type="xsd:double"&gt;6.249559&lt;/D&gt;&lt;D xsi:type="xsd:double"&gt;11.970341&lt;/D&gt;&lt;D xsi:type="xsd:double"&gt;22.752619&lt;/D&gt;&lt;D xsi:type="xsd:double"&gt;43.337395&lt;/D&gt;&lt;D xsi:type="xsd:double"&gt;31.231451&lt;/D&gt;&lt;D xsi:type="xsd:double"&gt;13.532782&lt;/D&gt;&lt;D xsi:type="xsd:double"&gt;11.585772&lt;/D&gt;&lt;D xsi:type="xsd:double"&gt;8.573937&lt;/D&gt;&lt;D xsi:type="xsd:double"&gt;10.862279&lt;/D&gt;&lt;D xsi:type="xsd:double"&gt;10.498738&lt;/D&gt;&lt;D xsi:type="xsd:double"&gt;6.6421986&lt;/D&gt;&lt;D xsi:type="xsd:double"&gt;16.467213&lt;/D&gt;&lt;D xsi:type="xsd:double"&gt;15.8370495&lt;/D&gt;&lt;D xsi:type="xsd:double"&gt;16.373873&lt;/D&gt;&lt;D xsi:type="xsd:double"&gt;11.789417&lt;/D&gt;&lt;D xsi:type="xsd:double"&gt;15.573502&lt;/D&gt;&lt;D xsi:type="xsd:double"&gt;3.6932707&lt;/D&gt;&lt;D xsi:type="xsd:double"&gt;5.15635&lt;/D&gt;&lt;D xsi:type="xsd:double"&gt;8.13632&lt;/D&gt;&lt;D xsi:type="xsd:double"&gt;15.291035&lt;/D&gt;&lt;D xsi:type="xsd:double"&gt;10.846877&lt;/D&gt;&lt;D xsi:type="xsd:double"&gt;7.0519447&lt;/D&gt;&lt;D xsi:type="xsd:double"&gt;8.572996&lt;/D&gt;&lt;D xsi:type="xsd:double"&gt;3.2314777&lt;/D&gt;&lt;D xsi:type="xsd:double"&gt;-5.5157127&lt;/D&gt;&lt;D xsi:type="xsd:double"&gt;-5.9004126&lt;/D&gt;&lt;D xsi:type="xsd:double"&gt;-13.060409&lt;/D&gt;&lt;D xsi:type="xsd:double"&gt;-10.434514&lt;/D&gt;&lt;D xsi:type="xsd:double"&gt;-1.0908008&lt;/D&gt;&lt;D xsi:type="xsd:double"&gt;3.5556912&lt;/D&gt;&lt;D xsi:type="xsd:double"&gt;3.492713&lt;/D&gt;&lt;D xsi:type="xsd:double"&gt;-1.8525302&lt;/D&gt;&lt;D xsi:type="xsd:double"&gt;1.3315916&lt;/D&gt;&lt;D xsi:type="xsd:double"&gt;2.9179096&lt;/D&gt;&lt;D xsi:type="xsd:double"&gt;-0.45426488&lt;/D&gt;&lt;D xsi:type="xsd:double"&gt;3.3816457&lt;/D&gt;&lt;D xsi:type="xsd:double"&gt;8.239185&lt;/D&gt;&lt;D xsi:type="xsd:double"&gt;14.142871&lt;/D&gt;&lt;D xsi:type="xsd:double"&gt;23.543144&lt;/D&gt;&lt;D xsi:type="xsd:double"&gt;19.122887&lt;/D&gt;&lt;D xsi:type="xsd:double"&gt;13.857735&lt;/D&gt;&lt;D xsi:type="xsd:double"&gt;-31.902754&lt;/D&gt;&lt;D xsi:type="xsd:double"&gt;-16.524607&lt;/D&gt;&lt;D xsi:type="xsd:double"&gt;-10.380703&lt;/D&gt;&lt;D xsi:type="xsd:double"&gt;-6.4163504&lt;/D&gt;&lt;D xsi:type="xsd:double"&gt;-4.7004404&lt;/D&gt;&lt;D xsi:type="xsd:double"&gt;5.6042194&lt;/D&gt;&lt;D xsi:type="xsd:double"&gt;-2.2992551&lt;/D&gt;&lt;D xsi:type="xsd:double"&gt;1.0293007&lt;/D&gt;&lt;D xsi:type="xsd:double"&gt;1.0135055&lt;/D&gt;&lt;D xsi:type="xsd:double"&gt;7.2561145&lt;/D&gt;&lt;D xsi:type="xsd:double"&gt;7.257855&lt;/D&gt;&lt;D xsi:type="xsd:double"&gt;9.575748&lt;/D&gt;&lt;D xsi:type="xsd:double"&gt;88.8877&lt;/D&gt;&lt;D xsi:type="xsd:double"&gt;61.244953&lt;/D&gt;&lt;D xsi:type="xsd:double"&gt;54.798187&lt;/D&gt;&lt;D xsi:type="xsd:double"&gt;45.473373&lt;/D&gt;&lt;D xsi:type="xsd:double"&gt;38.35926&lt;/D&gt;&lt;D xsi:type="xsd:double"&gt;31.404198&lt;/D&gt;&lt;D xsi:type="xsd:double"&gt;34.034218&lt;/D&gt;&lt;D xsi:type="xsd:double"&gt;41.07126&lt;/D&gt;&lt;D xsi:type="xsd:double"&gt;37.463284&lt;/D&gt;&lt;D xsi:type="xsd:double"&gt;19.679535&lt;/D&gt;&lt;D xsi:type="xsd:double"&gt;25.03593&lt;/D&gt;&lt;D xsi:type="xsd:double"&gt;17.657518&lt;/D&gt;&lt;D xsi:type="xsd:double"&gt;17.891657&lt;/D&gt;&lt;D xsi:type="xsd:double"&gt;14.391172&lt;/D&gt;&lt;D xsi:type="xsd:double"&gt;-1.7484128&lt;/D&gt;&lt;D xsi:type="xsd:double"&gt;-8.988804&lt;/D&gt;&lt;D xsi:type="xsd:double"&gt;-7.613349&lt;/D&gt;&lt;D xsi:type="xsd:double"&gt;-0.46787262&lt;/D&gt;&lt;D xsi:type="xsd:double"&gt;-8.034897&lt;/D&gt;&lt;D xsi:type="xsd:double"&gt;-17.498028&lt;/D&gt;&lt;D xsi:type="xsd:double"&gt;-11.057556&lt;/D&gt;&lt;D xsi:type="xsd:double"&gt;-10.896492&lt;/D&gt;&lt;D xsi:type="xsd:double"&gt;-9.539151&lt;/D&gt;&lt;D xsi:type="xsd:double"&gt;-6.4002037&lt;/D&gt;&lt;D xsi:type="xsd:double"&gt;-16.537302&lt;/D&gt;&lt;D xsi:type="xsd:double"&gt;-8.365703&lt;/D&gt;&lt;D xsi:type="xsd:double"&gt;-1.1737585&lt;/D&gt;&lt;D xsi:type="xsd:double"&gt;5.64878&lt;/D&gt;&lt;D xsi:type="xsd:double"&gt;10.867119&lt;/D&gt;&lt;D xsi:type="xsd:double"&gt;-3.9237857&lt;/D&gt;&lt;D xsi:type="xsd:double"&gt;7.401681&lt;/D&gt;&lt;D xsi:type="xsd:double"&gt;7.127273&lt;/D&gt;&lt;D xsi:type="xsd:double"&gt;2.2477984&lt;/D&gt;&lt;D xsi:type="xsd:double"&gt;12.479221&lt;/D&gt;&lt;D xsi:type="xsd:double"&gt;5.6780577&lt;/D&gt;&lt;D xsi:type="xsd:double"&gt;6.7855477&lt;/D&gt;&lt;D xsi:type="xsd:double"&gt;19.34898&lt;/D&gt;&lt;D xsi:type="xsd:double"&gt;5.984664&lt;/D&gt;&lt;D xsi:type="xsd:double"&gt;13.410198&lt;/D&gt;&lt;D xsi:type="xsd:double"&gt;7.59598&lt;/D&gt;&lt;D xsi:type="xsd:double"&gt;10.575903&lt;/D&gt;&lt;D xsi:type="xsd:double"&gt;18.56581&lt;/D&gt;&lt;D xsi:type="xsd:double"&gt;17.800056&lt;/D&gt;&lt;D xsi:type="xsd:double"&gt;30.352354&lt;/D&gt;&lt;/FQL&gt;&lt;FQL&gt;&lt;Q&gt;ENZL^FG_TOTAL_RETURNC(-10AY,0,AM)&lt;/Q&gt;&lt;R&gt;121&lt;/R&gt;&lt;C&gt;1&lt;/C&gt;&lt;D xsi:type="xsd:double"&gt;-1.9617856&lt;/D&gt;&lt;D xsi:type="xsd:double"&gt;7.510388&lt;/D&gt;&lt;D xsi:type="xsd:double"&gt;-1.121068&lt;/D&gt;&lt;D xsi:type="xsd:double"&gt;2.337277&lt;/D&gt;&lt;D xsi:type="xsd:double"&gt;-1.7927289&lt;/D&gt;&lt;D xsi:type="xsd:double"&gt;1.4003396&lt;/D&gt;&lt;D xsi:type="xsd:double"&gt;1.8495679&lt;/D&gt;&lt;D xsi:type="xsd:double"&gt;-4.479414&lt;/D&gt;&lt;D xsi:type="xsd:double"&gt;-6.5906286&lt;/D&gt;&lt;D xsi:type="xsd:double"&gt;-5.1518917&lt;/D&gt;&lt;D xsi:type="xsd:double"&gt;-1.6436815&lt;/D&gt;&lt;D xsi:type="xsd:double"&gt;-2.7156055&lt;/D&gt;&lt;D xsi:type="xsd:double"&gt;8.852768&lt;/D&gt;&lt;D xsi:type="xsd:double"&gt;-2.3558557&lt;/D&gt;&lt;D xsi:type="xsd:double"&gt;5.8585763&lt;/D&gt;&lt;D xsi:type="xsd:double"&gt;-4.2671385&lt;/D&gt;&lt;D xsi:type="xsd:double"&gt;2.9138565&lt;/D&gt;&lt;D xsi:type="xsd:double"&gt;11.280322&lt;/D&gt;&lt;D xsi:type="xsd:double"&gt;6.9183946&lt;/D&gt;&lt;D xsi:type="xsd:double"&gt;-1.9909918&lt;/D&gt;&lt;D xsi:type="xsd:double"&gt;3.772676&lt;/D&gt;&lt;D xsi:type="xsd:double"&gt;4.5322895&lt;/D&gt;&lt;D xsi:type="xsd:double"&gt;6.547749&lt;/D&gt;&lt;D xsi:type="xsd:double"&gt;-2.6700556&lt;/D&gt;&lt;D xsi:type="xsd:double"&gt;-5.682564&lt;/D&gt;&lt;D xsi:type="xsd:double"&gt;-3.808868&lt;/D&gt;&lt;D xsi:type="xsd:double"&gt;-2.5437891&lt;/D&gt;&lt;D xsi:type="xsd:double"&gt;7.174039&lt;/D&gt;&lt;D xsi:type="xsd:double"&gt;1.2835741&lt;/D&gt;&lt;D xsi:type="xsd:double"&gt;-1.7366827&lt;/D&gt;&lt;D xsi:type="xsd:double"&gt;1.7912626&lt;/D&gt;&lt;D xsi:type="xsd:double"&gt;0.44580698&lt;/D&gt;&lt;D xsi:type="xsd:double"&gt;8.315813&lt;/D&gt;&lt;D xsi:type="xsd:double"&gt;2.9440284&lt;/D&gt;&lt;D xsi:type="xsd:double"&gt;1.3657689&lt;/D&gt;&lt;D xsi:type="xsd:double"&gt;-2.463156&lt;/D&gt;&lt;D xsi:type="xsd:double"&gt;2.8707027&lt;/D&gt;&lt;D xsi:type="xsd:double"&gt;-5.772978&lt;/D&gt;&lt;D xsi:type="xsd:double"&gt;6.8169594&lt;/D&gt;&lt;D xsi:type="xsd:double"&gt;2.5583148&lt;/D&gt;&lt;D xsi:type="xsd:double"&gt;-0.5386412&lt;/D&gt;&lt;D xsi:type="xsd:double"&gt;2.7286053&lt;/D&gt;&lt;D xsi:type="xsd:double"&gt;-0.08110404&lt;/D&gt;&lt;D xsi:type="xsd:double"&gt;-2.9017866&lt;/D&gt;&lt;D xsi:type="xsd:double"&gt;5.2664638&lt;/D&gt;&lt;D xsi:type="xsd:double"&gt;-2.8386414&lt;/D&gt;&lt;D xsi:type="xsd:double"&gt;-0.9349704&lt;/D&gt;&lt;D xsi:type="xsd:double"&gt;2.0763397&lt;/D&gt;&lt;D xsi:type="xsd:double"&gt;-5.711937&lt;/D&gt;&lt;D xsi:type="xsd:double"&gt;4.75049&lt;/D&gt;&lt;D xsi:type="xsd:double"&gt;-1.8862069&lt;/D&gt;&lt;D xsi:type="xsd:double"&gt;4.014671&lt;/D&gt;&lt;D xsi:type="xsd:double"&gt;3.2786965&lt;/D&gt;&lt;D xsi:type="xsd:double"&gt;2.1699786&lt;/D&gt;&lt;D xsi:type="xsd:double"&gt;1.8879056&lt;/D&gt;&lt;D xsi:type="xsd:double"&gt;-0.4825294&lt;/D&gt;&lt;D xsi:type="xsd:double"&gt;-0.41757822&lt;/D&gt;&lt;D xsi:type="xsd:double"&gt;9.964407&lt;/D&gt;&lt;D xsi:type="xsd:double"&gt;-6.2747183&lt;/D&gt;&lt;D xsi:type="xsd:double"&gt;-0.70017576&lt;/D&gt;&lt;D xsi:type="xsd:double"&gt;3.9408922&lt;/D&gt;&lt;D xsi:type="xsd:double"&gt;-1.1708975&lt;/D&gt;&lt;D xsi:type="xsd:double"&gt;7.1728587&lt;/D&gt;&lt;D xsi:type="xsd:double"&gt;4.7491074&lt;/D&gt;&lt;D xsi:type="xsd:double"&gt;-2.2497892&lt;/D&gt;&lt;D xsi:type="xsd:double"&gt;-28.598404&lt;/D&gt;&lt;D xsi:type="xsd:double"&gt;20.57761&lt;/D&gt;&lt;D xsi:type="xsd:double"&gt;3.2730222&lt;/D&gt;&lt;D xsi:type="xsd:double"&gt;8.149921&lt;/D&gt;&lt;D xsi:type="xsd:double"&gt;5.9556484&lt;/D&gt;&lt;D xsi:type="xsd:double"&gt;3.5108924&lt;/D&gt;&lt;D xsi:type="xsd:double"&gt;-2.205515&lt;/D&gt;&lt;D xsi:type="xsd:double"&gt;4.9034715&lt;/D&gt;&lt;D xsi:type="xsd:double"&gt;5.4234505&lt;/D&gt;&lt;D xsi:type="xsd:double"&gt;2.3424983&lt;/D&gt;&lt;D xsi:type="xsd:double"&gt;1.465869&lt;/D&gt;&lt;D xsi:type="xsd:double"&gt;-2.407825&lt;/D&gt;&lt;D xsi:type="xsd:double"&gt;-1.4340818&lt;/D&gt;&lt;D xsi:type="xsd:double"&gt;0.8917451&lt;/D&gt;&lt;D xsi:type="xsd:double"&gt;-2.744609&lt;/D&gt;&lt;D xsi:type="xsd:double"&gt;-3.6157727&lt;/D&gt;&lt;D xsi:type="xsd:double"&gt;2.5538325&lt;/D&gt;&lt;D xsi:type="xsd:double"&gt;-2.360022&lt;/D&gt;&lt;D xsi:type="xsd:double"&gt;5.5342555&lt;/D&gt;&lt;D xsi:type="xsd:double"&gt;-1.2004435&lt;/D&gt;&lt;D xsi:type="xsd:double"&gt;-2.3661077&lt;/D&gt;&lt;D xsi:type="xsd:double"&gt;-5.844241&lt;/D&gt;&lt;D xsi:type="xsd:double"&gt;0.39994717&lt;/D&gt;&lt;D xsi:type="xsd:double"&gt;-5.7861447&lt;/D&gt;&lt;D xsi:type="xsd:double"&gt;5.8241487&lt;/D&gt;&lt;D xsi:type="xsd:double"&gt;-7.373434&lt;/D&gt;&lt;D xsi:type="xsd:double"&gt;-11.597795&lt;/D&gt;&lt;D xsi:type="xsd:double"&gt;-5.4959955&lt;/D&gt;&lt;D xsi:type="xsd:double"&gt;4.249537&lt;/D&gt;&lt;D xsi:type="xsd:double"&gt;8.865416&lt;/D&gt;&lt;D xsi:type="xsd:double"&gt;-6.5637054&lt;/D&gt;&lt;D xsi:type="xsd:double"&gt;-11.004787&lt;/D&gt;&lt;D xsi:type="xsd:double"&gt;13.856316&lt;/D&gt;&lt;D xsi:type="xsd:double"&gt;5.143535&lt;/D&gt;&lt;D xsi:type="xsd:double"&gt;5.046153&lt;/D&gt;&lt;D xsi:type="xsd:double"&gt;-0.410074&lt;/D&gt;&lt;D xsi:type="xsd:double"&gt;-4.2352915&lt;/D&gt;&lt;D xsi:type="xsd:double"&gt;1.2592196&lt;/D&gt;&lt;D xsi:type="xsd:double"&gt;2.0725846&lt;/D&gt;&lt;D xsi:type="xsd:double"&gt;-2.2402942&lt;/D&gt;&lt;D xsi:type="xsd:double"&gt;2.2308588&lt;/D&gt;&lt;D xsi:type="xsd:double"&gt;-9.029031&lt;/D&gt;&lt;D xsi:type="xsd:double"&gt;-2.0466566&lt;/D&gt;&lt;D xsi:type="xsd:double"&gt;-3.3250928&lt;/D&gt;&lt;D xsi:type="xsd:double"&gt;2.997911&lt;/D&gt;&lt;D xsi:type="xsd:double"&gt;7.8181386&lt;/D&gt;&lt;D xsi:type="xsd:double"&gt;-0.8136153&lt;/D&gt;&lt;D xsi:type="xsd:double"&gt;-1.7230213&lt;/D&gt;&lt;D xsi:type="xsd:double"&gt;-1.4245033&lt;/D&gt;&lt;D xsi:type="xsd:double"&gt;-2.1787465&lt;/D&gt;&lt;D xsi:type="xsd:double"&gt;4.2954564&lt;/D&gt;&lt;D xsi:type="xsd:double"&gt;1.0297537&lt;/D&gt;&lt;D xsi:type="xsd:double"&gt;0.91284513&lt;/D&gt;&lt;D xsi:type="xsd:double"&gt;3.6398888&lt;/D&gt;&lt;D xsi:type="xsd:double"&gt;2.2028327&lt;/D&gt;&lt;D xsi:type="xsd:double"&gt;0.060999393&lt;/D&gt;&lt;/FQL&gt;&lt;FQL&gt;&lt;Q&gt;EWI^FMA_PE(NTMA,-10AY,0,AM,"PORTAGG","MEANR")&lt;/Q&gt;&lt;R&gt;121&lt;/R&gt;&lt;C&gt;1&lt;/C&gt;&lt;D xsi:type="xsd:double"&gt;12.1588940617381&lt;/D&gt;&lt;D xsi:type="xsd:double"&gt;12.8153009020994&lt;/D&gt;&lt;D xsi:type="xsd:double"&gt;12.5001036411923&lt;/D&gt;&lt;D xsi:type="xsd:double"&gt;12.9713912814776&lt;/D&gt;&lt;D xsi:type="xsd:double"&gt;15.0206033469595&lt;/D&gt;&lt;D xsi:type="xsd:double"&gt;15.4252538324667&lt;/D&gt;&lt;D xsi:type="xsd:double"&gt;15.6874618983984&lt;/D&gt;&lt;D xsi:type="xsd:double"&gt;15.5938598795598&lt;/D&gt;&lt;D xsi:type="xsd:double"&gt;14.8710142332207&lt;/D&gt;&lt;D xsi:type="xsd:double"&gt;15.5309850173596&lt;/D&gt;&lt;D xsi:type="xsd:double"&gt;15.344219376504&lt;/D&gt;&lt;D xsi:type="xsd:double"&gt;14.1646910539726&lt;/D&gt;&lt;D xsi:type="xsd:double"&gt;14.6660591370084&lt;/D&gt;&lt;D xsi:type="xsd:double"&gt;14.7406462035595&lt;/D&gt;&lt;D xsi:type="xsd:double"&gt;13.9898757845437&lt;/D&gt;&lt;D xsi:type="xsd:double"&gt;12.9375630811572&lt;/D&gt;&lt;D xsi:type="xsd:double"&gt;12.2935694432065&lt;/D&gt;&lt;D xsi:type="xsd:double"&gt;13.5470497345791&lt;/D&gt;&lt;D xsi:type="xsd:double"&gt;13.3715412682516&lt;/D&gt;&lt;D xsi:type="xsd:double"&gt;13.5228899279811&lt;/D&gt;&lt;D xsi:type="xsd:double"&gt;12.3419643320221&lt;/D&gt;&lt;D xsi:type="xsd:double"&gt;12.356688395981&lt;/D&gt;&lt;D xsi:type="xsd:double"&gt;12.5225482050175&lt;/D&gt;&lt;D xsi:type="xsd:double"&gt;11.6759630743512&lt;/D&gt;&lt;D xsi:type="xsd:double"&gt;12.0596888681987&lt;/D&gt;&lt;D xsi:type="xsd:double"&gt;11.3868950540017&lt;/D&gt;&lt;D xsi:type="xsd:double"&gt;13.4700170878655&lt;/D&gt;&lt;D xsi:type="xsd:double"&gt;13.3095896859618&lt;/D&gt;&lt;D xsi:type="xsd:double"&gt;13.0803427844456&lt;/D&gt;&lt;D xsi:type="xsd:double"&gt;13.5188472491037&lt;/D&gt;&lt;D xsi:type="xsd:double"&gt;12.7664275348768&lt;/D&gt;&lt;D xsi:type="xsd:double"&gt;13.6950362976949&lt;/D&gt;&lt;D xsi:type="xsd:double"&gt;13.356857243235&lt;/D&gt;&lt;D xsi:type="xsd:double"&gt;13.4978236373046&lt;/D&gt;&lt;D xsi:type="xsd:double"&gt;13.3710631675309&lt;/D&gt;&lt;D xsi:type="xsd:double"&gt;13.4853804971745&lt;/D&gt;&lt;D xsi:type="xsd:double"&gt;13.4925233557706&lt;/D&gt;&lt;D xsi:type="xsd:double"&gt;13.1060458015238&lt;/D&gt;&lt;D xsi:type="xsd:double"&gt;13.3743156154261&lt;/D&gt;&lt;D xsi:type="xsd:double"&gt;13.6615687520611&lt;/D&gt;&lt;D xsi:type="xsd:double"&gt;12.7056101915544&lt;/D&gt;&lt;D xsi:type="xsd:double"&gt;12.70020595427&lt;/D&gt;&lt;D xsi:type="xsd:double"&gt;13.0114497089385&lt;/D&gt;&lt;D xsi:type="xsd:double"&gt;12.4936803291754&lt;/D&gt;&lt;D xsi:type="xsd:double"&gt;11.6199747750822&lt;/D&gt;&lt;D xsi:type="xsd:double"&gt;11.4184876776307&lt;/D&gt;&lt;D xsi:type="xsd:double"&gt;10.7085908329166&lt;/D&gt;&lt;D xsi:type="xsd:double"&gt;10.9139569561109&lt;/D&gt;&lt;D xsi:type="xsd:double"&gt;9.80396538323621&lt;/D&gt;&lt;D xsi:type="xsd:double"&gt;9.58884661010097&lt;/D&gt;&lt;D xsi:type="xsd:double"&gt;9.35864251314301&lt;/D&gt;&lt;D xsi:type="xsd:double"&gt;9.89856193864263&lt;/D&gt;&lt;D xsi:type="xsd:double"&gt;10.3589539345726&lt;/D&gt;&lt;D xsi:type="xsd:double"&gt;10.7479145788376&lt;/D&gt;&lt;D xsi:type="xsd:double"&gt;10.9743371254587&lt;/D&gt;&lt;D xsi:type="xsd:double"&gt;10.4634374155735&lt;/D&gt;&lt;D xsi:type="xsd:double"&gt;10.4526448633091&lt;/D&gt;&lt;D xsi:type="xsd:double"&gt;10.8956673297726&lt;/D&gt;&lt;D xsi:type="xsd:double"&gt;10.0166494519419&lt;/D&gt;&lt;D xsi:type="xsd:double"&gt;10.7503470740274&lt;/D&gt;&lt;D xsi:type="xsd:double"&gt;10.8774998519313&lt;/D&gt;&lt;D xsi:type="xsd:double"&gt;11.3174221241967&lt;/D&gt;&lt;D xsi:type="xsd:double"&gt;11.5032510299579&lt;/D&gt;&lt;D xsi:type="xsd:double"&gt;11.6649048548083&lt;/D&gt;&lt;D xsi:type="xsd:double"&gt;12.0400292459556&lt;/D&gt;&lt;D xsi:type="xsd:double"&gt;7.93320814879931&lt;/D&gt;&lt;D xsi:type="xsd:double"&gt;11.1768083775679&lt;/D&gt;&lt;D xsi:type="xsd:double"&gt;14.8666070686213&lt;/D&gt;&lt;D xsi:type="xsd:double"&gt;17.3047065361465&lt;/D&gt;&lt;D xsi:type="xsd:double"&gt;17.8707721558781&lt;/D&gt;&lt;D xsi:type="xsd:double"&gt;16.1391160297499&lt;/D&gt;&lt;D xsi:type="xsd:double"&gt;15.3195401908117&lt;/D&gt;&lt;D xsi:type="xsd:double"&gt;14.6175666502017&lt;/D&gt;&lt;D xsi:type="xsd:double"&gt;15.0887840831674&lt;/D&gt;&lt;D xsi:type="xsd:double"&gt;14.8722536469434&lt;/D&gt;&lt;D xsi:type="xsd:double"&gt;14.5483480324116&lt;/D&gt;&lt;D xsi:type="xsd:double"&gt;13.8582571794223&lt;/D&gt;&lt;D xsi:type="xsd:double"&gt;14.1083360061198&lt;/D&gt;&lt;D xsi:type="xsd:double"&gt;13.9800235170131&lt;/D&gt;&lt;D xsi:type="xsd:double"&gt;13.3553271800491&lt;/D&gt;&lt;D xsi:type="xsd:double"&gt;13.5227577334767&lt;/D&gt;&lt;D xsi:type="xsd:double"&gt;12.968662598616&lt;/D&gt;&lt;D xsi:type="xsd:double"&gt;12.2811328706567&lt;/D&gt;&lt;D xsi:type="xsd:double"&gt;11.6240744240396&lt;/D&gt;&lt;D xsi:type="xsd:double"&gt;11.6255399174005&lt;/D&gt;&lt;D xsi:type="xsd:double"&gt;11.7490220296875&lt;/D&gt;&lt;D xsi:type="xsd:double"&gt;10.8266698176851&lt;/D&gt;&lt;D xsi:type="xsd:double"&gt;11.0330437246941&lt;/D&gt;&lt;D xsi:type="xsd:double"&gt;10.444037929157&lt;/D&gt;&lt;D xsi:type="xsd:double"&gt;9.51395946272015&lt;/D&gt;&lt;D xsi:type="xsd:double"&gt;9.69959603049536&lt;/D&gt;&lt;D xsi:type="xsd:double"&gt;8.92947741435485&lt;/D&gt;&lt;D xsi:type="xsd:double"&gt;7.87479265573353&lt;/D&gt;&lt;D xsi:type="xsd:double"&gt;7.50904157348756&lt;/D&gt;&lt;D xsi:type="xsd:double"&gt;7.77003484400483&lt;/D&gt;&lt;D xsi:type="xsd:double"&gt;7.68022288790052&lt;/D&gt;&lt;D xsi:type="xsd:double"&gt;7.48884618113005&lt;/D&gt;&lt;D xsi:type="xsd:double"&gt;8.29382642808285&lt;/D&gt;&lt;D xsi:type="xsd:double"&gt;7.59605159606092&lt;/D&gt;&lt;D xsi:type="xsd:double"&gt;8.29410619604822&lt;/D&gt;&lt;D xsi:type="xsd:double"&gt;8.4859409152171&lt;/D&gt;&lt;D xsi:type="xsd:double"&gt;7.98715991283366&lt;/D&gt;&lt;D xsi:type="xsd:double"&gt;8.76866141065281&lt;/D&gt;&lt;D xsi:type="xsd:double"&gt;8.26795603486515&lt;/D&gt;&lt;D xsi:type="xsd:double"&gt;8.79828247641717&lt;/D&gt;&lt;D xsi:type="xsd:double"&gt;8.82899189658471&lt;/D&gt;&lt;D xsi:type="xsd:double"&gt;8.09342166617299&lt;/D&gt;&lt;D xsi:type="xsd:double"&gt;8.41488786953007&lt;/D&gt;&lt;D xsi:type="xsd:double"&gt;8.13279334120108&lt;/D&gt;&lt;D xsi:type="xsd:double"&gt;8.32444449997972&lt;/D&gt;&lt;D xsi:type="xsd:double"&gt;8.82996166686468&lt;/D&gt;&lt;D xsi:type="xsd:double"&gt;8.95760422722909&lt;/D&gt;&lt;D xsi:type="xsd:double"&gt;9.00212194058697&lt;/D&gt;&lt;D xsi:type="xsd:double"&gt;9.62053947162565&lt;/D&gt;&lt;D xsi:type="xsd:double"&gt;9.54279798348196&lt;/D&gt;&lt;D xsi:type="xsd:double"&gt;9.97086498023266&lt;/D&gt;&lt;D xsi:type="xsd:double"&gt;9.36061623428191&lt;/D&gt;&lt;D xsi:type="xsd:double"&gt;9.73089314922198&lt;/D&gt;&lt;D xsi:type="xsd:double"&gt;9.53849304693958&lt;/D&gt;&lt;D xsi:type="xsd:double"&gt;9.87660516108433&lt;/D&gt;&lt;D xsi:type="xsd:double"&gt;10.5741868540631&lt;/D&gt;&lt;/FQL&gt;&lt;FQL&gt;&lt;Q&gt;EWN^FMA_PE(LTMA,-10AY,0,AM,"PORTAGG","MEANR")&lt;/Q&gt;&lt;R&gt;121&lt;/R&gt;&lt;C&gt;1&lt;/C&gt;&lt;D xsi:type="xsd:double"&gt;15.7590722943539&lt;/D&gt;&lt;D xsi:type="xsd:double"&gt;17.3970457980016&lt;/D&gt;&lt;D xsi:type="xsd:double"&gt;17.3912906738911&lt;/D&gt;&lt;D xsi:type="xsd:double"&gt;18.0903629750486&lt;/D&gt;&lt;D xsi:type="xsd:double"&gt;19.5205269197215&lt;/D&gt;&lt;D xsi:type="xsd:double"&gt;20.0897153502216&lt;/D&gt;&lt;D xsi:type="xsd:double"&gt;19.8038417552964&lt;/D&gt;&lt;D xsi:type="xsd:double"&gt;19.4916873535608&lt;/D&gt;&lt;D xsi:type="xsd:double"&gt;18.9559057882287&lt;/D&gt;&lt;D xsi:type="xsd:double"&gt;19.274666241034&lt;/D&gt;&lt;D xsi:type="xsd:double"&gt;18.3948636093369&lt;/D&gt;&lt;D xsi:type="xsd:double"&gt;16.9463248467508&lt;/D&gt;&lt;D xsi:type="xsd:double"&gt;17.0951651431467&lt;/D&gt;&lt;D xsi:type="xsd:double"&gt;18.057008520925&lt;/D&gt;&lt;D xsi:type="xsd:double"&gt;16.9901125316453&lt;/D&gt;&lt;D xsi:type="xsd:double"&gt;15.4322461669667&lt;/D&gt;&lt;D xsi:type="xsd:double"&gt;15.5516449071134&lt;/D&gt;&lt;D xsi:type="xsd:double"&gt;16.4295733665154&lt;/D&gt;&lt;D xsi:type="xsd:double"&gt;16.3884248280945&lt;/D&gt;&lt;D xsi:type="xsd:double"&gt;16.1374907121044&lt;/D&gt;&lt;D xsi:type="xsd:double"&gt;15.7226610480274&lt;/D&gt;&lt;D xsi:type="xsd:double"&gt;15.9768878205163&lt;/D&gt;&lt;D xsi:type="xsd:double"&gt;16.104868436504&lt;/D&gt;&lt;D xsi:type="xsd:double"&gt;15.7667852999638&lt;/D&gt;&lt;D xsi:type="xsd:double"&gt;15.9346017210567&lt;/D&gt;&lt;D xsi:type="xsd:double"&gt;15.5651254287989&lt;/D&gt;&lt;D xsi:type="xsd:double"&gt;16.0828483935714&lt;/D&gt;&lt;D xsi:type="xsd:double"&gt;16.2490334811847&lt;/D&gt;&lt;D xsi:type="xsd:double"&gt;16.6594780154153&lt;/D&gt;&lt;D xsi:type="xsd:double"&gt;16.5136383339274&lt;/D&gt;&lt;D xsi:type="xsd:double"&gt;16.5058917735133&lt;/D&gt;&lt;D xsi:type="xsd:double"&gt;16.6544912646658&lt;/D&gt;&lt;D xsi:type="xsd:double"&gt;16.6509615733331&lt;/D&gt;&lt;D xsi:type="xsd:double"&gt;16.636029220152&lt;/D&gt;&lt;D xsi:type="xsd:double"&gt;16.6081050975706&lt;/D&gt;&lt;D xsi:type="xsd:double"&gt;16.8992097482556&lt;/D&gt;&lt;D xsi:type="xsd:double"&gt;17.3148523448502&lt;/D&gt;&lt;D xsi:type="xsd:double"&gt;17.1905879558156&lt;/D&gt;&lt;D xsi:type="xsd:double"&gt;17.4929198875851&lt;/D&gt;&lt;D xsi:type="xsd:double"&gt;17.4500591008164&lt;/D&gt;&lt;D xsi:type="xsd:double"&gt;16.5216428307624&lt;/D&gt;&lt;D xsi:type="xsd:double"&gt;16.6538081729037&lt;/D&gt;&lt;D xsi:type="xsd:double"&gt;16.6284508453022&lt;/D&gt;&lt;D xsi:type="xsd:double"&gt;16.6428252727867&lt;/D&gt;&lt;D xsi:type="xsd:double"&gt;16.6740292984639&lt;/D&gt;&lt;D xsi:type="xsd:double"&gt;16.7778101024543&lt;/D&gt;&lt;D xsi:type="xsd:double"&gt;16.4729422049457&lt;/D&gt;&lt;D xsi:type="xsd:double"&gt;16.282092106268&lt;/D&gt;&lt;D xsi:type="xsd:double"&gt;15.6233844155876&lt;/D&gt;&lt;D xsi:type="xsd:double"&gt;15.5141100341062&lt;/D&gt;&lt;D xsi:type="xsd:double"&gt;14.6214847971165&lt;/D&gt;&lt;D xsi:type="xsd:double"&gt;14.9261238535329&lt;/D&gt;&lt;D xsi:type="xsd:double"&gt;16.1285688908039&lt;/D&gt;&lt;D xsi:type="xsd:double"&gt;16.1920833398743&lt;/D&gt;&lt;D xsi:type="xsd:double"&gt;16.3279970255819&lt;/D&gt;&lt;D xsi:type="xsd:double"&gt;16.2298200150131&lt;/D&gt;&lt;D xsi:type="xsd:double"&gt;16.3163236999654&lt;/D&gt;&lt;D xsi:type="xsd:double"&gt;16.5569976557846&lt;/D&gt;&lt;D xsi:type="xsd:double"&gt;16.228982432431&lt;/D&gt;&lt;D xsi:type="xsd:double"&gt;17.1111387153585&lt;/D&gt;&lt;D xsi:type="xsd:double"&gt;17.1922442729316&lt;/D&gt;&lt;D xsi:type="xsd:double"&gt;17.9535449861683&lt;/D&gt;&lt;D xsi:type="xsd:double"&gt;18.5425138299106&lt;/D&gt;&lt;D xsi:type="xsd:double"&gt;18.832468953163&lt;/D&gt;&lt;D xsi:type="xsd:double"&gt;19.7914965080689&lt;/D&gt;&lt;D xsi:type="xsd:double"&gt;16.4492188747161&lt;/D&gt;&lt;D xsi:type="xsd:double"&gt;17.4971581784571&lt;/D&gt;&lt;D xsi:type="xsd:double"&gt;18.0888841082582&lt;/D&gt;&lt;D xsi:type="xsd:double"&gt;19.4102392434679&lt;/D&gt;&lt;D xsi:type="xsd:double"&gt;20.274199736335&lt;/D&gt;&lt;D xsi:type="xsd:double"&gt;21.0209401666859&lt;/D&gt;&lt;D xsi:type="xsd:double"&gt;21.5840327038123&lt;/D&gt;&lt;D xsi:type="xsd:double"&gt;22.6582798999587&lt;/D&gt;&lt;D xsi:type="xsd:double"&gt;24.7372353045448&lt;/D&gt;&lt;D xsi:type="xsd:double"&gt;26.6826355243718&lt;/D&gt;&lt;D xsi:type="xsd:double"&gt;28.2860812933856&lt;/D&gt;&lt;D xsi:type="xsd:double"&gt;29.7612095472975&lt;/D&gt;&lt;D xsi:type="xsd:double"&gt;28.6782224325316&lt;/D&gt;&lt;D xsi:type="xsd:double"&gt;28.4545424100345&lt;/D&gt;&lt;D xsi:type="xsd:double"&gt;27.2973247449759&lt;/D&gt;&lt;D xsi:type="xsd:double"&gt;26.7333103203844&lt;/D&gt;&lt;D xsi:type="xsd:double"&gt;26.2391932366508&lt;/D&gt;&lt;D xsi:type="xsd:double"&gt;26.0291270299925&lt;/D&gt;&lt;D xsi:type="xsd:double"&gt;25.4324962675819&lt;/D&gt;&lt;D xsi:type="xsd:double"&gt;24.4233062322115&lt;/D&gt;&lt;D xsi:type="xsd:double"&gt;24.4830550980875&lt;/D&gt;&lt;D xsi:type="xsd:double"&gt;22.1467286747786&lt;/D&gt;&lt;D xsi:type="xsd:double"&gt;21.5277223502316&lt;/D&gt;&lt;D xsi:type="xsd:double"&gt;18.9280762701817&lt;/D&gt;&lt;D xsi:type="xsd:double"&gt;18.4740847766995&lt;/D&gt;&lt;D xsi:type="xsd:double"&gt;18.4352200674076&lt;/D&gt;&lt;D xsi:type="xsd:double"&gt;18.2199356489231&lt;/D&gt;&lt;D xsi:type="xsd:double"&gt;17.7089947690743&lt;/D&gt;&lt;D xsi:type="xsd:double"&gt;18.413547366238&lt;/D&gt;&lt;D xsi:type="xsd:double"&gt;19.6282478013812&lt;/D&gt;&lt;D xsi:type="xsd:double"&gt;18.0711075356129&lt;/D&gt;&lt;D xsi:type="xsd:double"&gt;17.1200053861671&lt;/D&gt;&lt;D xsi:type="xsd:double"&gt;18.4819028309449&lt;/D&gt;&lt;D xsi:type="xsd:double"&gt;18.0166292785971&lt;/D&gt;&lt;D xsi:type="xsd:double"&gt;19.4399773654204&lt;/D&gt;&lt;D xsi:type="xsd:double"&gt;21.4255933332242&lt;/D&gt;&lt;D xsi:type="xsd:double"&gt;20.3201719083831&lt;/D&gt;&lt;D xsi:type="xsd:double"&gt;20.1255317849766&lt;/D&gt;&lt;D xsi:type="xsd:double"&gt;19.652944989266&lt;/D&gt;&lt;D xsi:type="xsd:double"&gt;19.3675338868012&lt;/D&gt;&lt;D xsi:type="xsd:double"&gt;19.2261888367438&lt;/D&gt;&lt;D xsi:type="xsd:double"&gt;17.8945927720034&lt;/D&gt;&lt;D xsi:type="xsd:double"&gt;17.1051288760334&lt;/D&gt;&lt;D xsi:type="xsd:double"&gt;16.1249586619496&lt;/D&gt;&lt;D xsi:type="xsd:double"&gt;16.5988340847884&lt;/D&gt;&lt;D xsi:type="xsd:double"&gt;16.7961651768036&lt;/D&gt;&lt;D xsi:type="xsd:double"&gt;16.4531185586025&lt;/D&gt;&lt;D xsi:type="xsd:double"&gt;17.9061380929146&lt;/D&gt;&lt;D xsi:type="xsd:double"&gt;18.4025273261142&lt;/D&gt;&lt;D xsi:type="xsd:double"&gt;18.1657700410166&lt;/D&gt;&lt;D xsi:type="xsd:double"&gt;18.3521784967614&lt;/D&gt;&lt;D xsi:type="xsd:double"&gt;18.4757312492712&lt;/D&gt;&lt;D xsi:type="xsd:double"&gt;18.1792526796698&lt;/D&gt;&lt;D xsi:type="xsd:double"&gt;17.6047413085974&lt;/D&gt;&lt;D xsi:type="xsd:double"&gt;17.3641866905433&lt;/D&gt;&lt;D xsi:type="xsd:double"&gt;17.2689088605875&lt;/D&gt;&lt;/FQL&gt;&lt;FQL&gt;&lt;Q&gt;DDR3512M-FDS^FG_PRICE_CHANGE(0,-3AM)&lt;/Q&gt;&lt;R&gt;1&lt;/R&gt;&lt;C&gt;1&lt;/C&gt;&lt;D xsi:type="xsd:double"&gt;-6.52173913043479&lt;/D&gt;&lt;/FQL&gt;&lt;FQL&gt;&lt;Q&gt;PASP-FDS^FG_PRICE_CHANGE(0,-3AM)&lt;/Q&gt;&lt;R&gt;1&lt;/R&gt;&lt;C&gt;1&lt;/C&gt;&lt;D xsi:type="xsd:double"&gt;9.0625&lt;/D&gt;&lt;/FQL&gt;&lt;FQL&gt;&lt;Q&gt;PLATI-FDS^FG_PRICE_CHANGE(0,-3AM)&lt;/Q&gt;&lt;R&gt;1&lt;/R&gt;&lt;C&gt;1&lt;/C&gt;&lt;D xsi:type="xsd:double"&gt;0.4&lt;/D&gt;&lt;/FQL&gt;&lt;FQL&gt;&lt;Q&gt;W-FDS^FG_PRICE_CHANGE(0,-3AM)&lt;/Q&gt;&lt;R&gt;1&lt;/R&gt;&lt;C&gt;1&lt;/C&gt;&lt;D xsi:type="xsd:double"&gt;7.00607192900513&lt;/D&gt;&lt;/FQL&gt;&lt;FQL&gt;&lt;Q&gt;COPP-FDS^FG_PRICE_CHANGE(0,-3AM)&lt;/Q&gt;&lt;R&gt;1&lt;/R&gt;&lt;C&gt;1&lt;/C&gt;&lt;D xsi:type="xsd:double"&gt;1.87529301453353&lt;/D&gt;&lt;/FQL&gt;&lt;FQL&gt;&lt;Q&gt;EWI^FG_PRICE_MAVG(0,,,,200)&lt;/Q&gt;&lt;R&gt;1&lt;/R&gt;&lt;C&gt;1&lt;/C&gt;&lt;D xsi:type="xsd:double"&gt;36.7926&lt;/D&gt;&lt;/FQL&gt;&lt;FQL&gt;&lt;Q&gt;SPY^FG_PRICE_MAVG(0,,,,200)&lt;/Q&gt;&lt;R&gt;1&lt;/R&gt;&lt;C&gt;1&lt;/C&gt;&lt;D xsi:type="xsd:double"&gt;529.2698&lt;/D&gt;&lt;/FQL&gt;&lt;FQL&gt;&lt;Q&gt;EWJ^FG_PRICE_MAVG(0,,,,200)&lt;/Q&gt;&lt;R&gt;1&lt;/R&gt;&lt;C&gt;1&lt;/C&gt;&lt;D xsi:type="xsd:double"&gt;68.77305&lt;/D&gt;&lt;/FQL&gt;&lt;FQL&gt;&lt;Q&gt;ENZL^FG_PRICE_MAVG(0,,,,200)&lt;/Q&gt;&lt;R&gt;1&lt;/R&gt;&lt;C&gt;1&lt;/C&gt;&lt;D xsi:type="xsd:double"&gt;46.509262&lt;/D&gt;&lt;/FQL&gt;&lt;FQL&gt;&lt;Q&gt;SPY^FG_TOTAL_RETURNC(0,-1AM)&lt;/Q&gt;&lt;R&gt;1&lt;/R&gt;&lt;C&gt;1&lt;/C&gt;&lt;D xsi:type="xsd:double"&gt;4.4505954&lt;/D&gt;&lt;/FQL&gt;&lt;FQL&gt;&lt;Q&gt;URTH^FG_TOTAL_RETURNC(0,-6AM)&lt;/Q&gt;&lt;R&gt;1&lt;/R&gt;&lt;C&gt;1&lt;/C&gt;&lt;D xsi:type="xsd:double"&gt;15.625644&lt;/D&gt;&lt;/FQL&gt;&lt;FQL&gt;&lt;Q&gt;VGK^P_PRICE(0)/P_PRICE_LOW_PR(0,,,,,,"PRICE","INTRA","52W")-1&lt;/Q&gt;&lt;R&gt;1&lt;/R&gt;&lt;C&gt;1&lt;/C&gt;&lt;D xsi:type="xsd:double"&gt;0.26334906&lt;/D&gt;&lt;/FQL&gt;&lt;FQL&gt;&lt;Q&gt;EWI^FMA_PCT_ABOVE_MAVG(200,0,,,,"PORTAGG")&lt;/Q&gt;&lt;R&gt;1&lt;/R&gt;&lt;C&gt;1&lt;/C&gt;&lt;D xsi:type="xsd:double"&gt;68&lt;/D&gt;&lt;/FQL&gt;&lt;FQL&gt;&lt;Q&gt;EWN^PERCENT_CHANGE(FMA_EPS(+1,0,,,,"PORTAGG","MEAN"),FMA_EPS(+1,-3AM,,,,"PORTAGG","MEAN"))&lt;/Q&gt;&lt;R&gt;1&lt;/R&gt;&lt;C&gt;1&lt;/C&gt;&lt;D xsi:type="xsd:double"&gt;-0.698053500497743&lt;/D&gt;&lt;/FQL&gt;&lt;FQL&gt;&lt;Q&gt;SPY^FG_TOTAL_RETURNC(0,-3AM)&lt;/Q&gt;&lt;R&gt;1&lt;/R&gt;&lt;C&gt;1&lt;/C&gt;&lt;D xsi:type="xsd:double"&gt;6.1024427&lt;/D&gt;&lt;/FQL&gt;&lt;FQL&gt;&lt;Q&gt;EWU^P_PRICE(0)/P_PRICE_HIGH_PR(0,,,,,,"PRICE","INTRA","52W")&lt;/Q&gt;&lt;R&gt;1&lt;/R&gt;&lt;C&gt;1&lt;/C&gt;&lt;D xsi:type="xsd:double"&gt;0.97703266&lt;/D&gt;&lt;/FQL&gt;&lt;FQL&gt;&lt;Q&gt;EWG^PERCENT_CHANGE(FMA_EPS(+1,0,,,,"PORTAGG","MEAN"),FMA_EPS(+1,-1AM,,,,"PORTAGG","MEAN"))&lt;/Q&gt;&lt;R&gt;1&lt;/R&gt;&lt;C&gt;1&lt;/C&gt;&lt;D xsi:type="xsd:double"&gt;-4.69159585080512&lt;/D&gt;&lt;/FQL&gt;&lt;FQL&gt;&lt;Q&gt;EWA^FG_TOTAL_RETURNC(0,-1AM)&lt;/Q&gt;&lt;R&gt;1&lt;/R&gt;&lt;C&gt;1&lt;/C&gt;&lt;D xsi:type="xsd:double"&gt;1.5678763&lt;/D&gt;&lt;/FQL&gt;&lt;FQL&gt;&lt;Q&gt;EWI^FMA_COS_DOWN("EPS","1M",+1,0,,,"PORTAGG","MEANR")&lt;/Q&gt;&lt;R&gt;1&lt;/R&gt;&lt;C&gt;1&lt;/C&gt;&lt;D xsi:type="xsd:double"&gt;11&lt;/D&gt;&lt;/FQL&gt;&lt;FQL&gt;&lt;Q&gt;QQQ^FMA_COS_UP("EPS","1M",+1,0,,,"PORTAGG","MEANR")&lt;/Q&gt;&lt;R&gt;1&lt;/R&gt;&lt;C&gt;1&lt;/C&gt;&lt;D xsi:type="xsd:double"&gt;28&lt;/D&gt;&lt;/FQL&gt;&lt;FQL&gt;&lt;Q&gt;ENZL^FG_PRICE_MAVG(0,,,,60)&lt;/Q&gt;&lt;R&gt;1&lt;/R&gt;&lt;C&gt;1&lt;/C&gt;&lt;D xsi:type="xsd:double"&gt;48.369865&lt;/D&gt;&lt;/FQL&gt;&lt;FQL&gt;&lt;Q&gt;SPY^PERCENT_CHANGE(FMA_EPS(+1,0,,,,"PORTAGG","MEAN"),FMA_EPS(+1,-3AM,,,,"PORTAGG","MEAN"))&lt;/Q&gt;&lt;R&gt;1&lt;/R&gt;&lt;C&gt;1&lt;/C&gt;&lt;D xsi:type="xsd:double"&gt;-1.6257699670242&lt;/D&gt;&lt;/FQL&gt;&lt;FQL&gt;&lt;Q&gt;VGK^P_PRICE(0)/P_PRICE_HIGH_PR(0,,,,,,"PRICE","INTRA","52W")&lt;/Q&gt;&lt;R&gt;1&lt;/R&gt;&lt;C&gt;1&lt;/C&gt;&lt;D xsi:type="xsd:double"&gt;0.9650388&lt;/D&gt;&lt;/FQL&gt;&lt;FQL&gt;&lt;Q&gt;EWD^FG_TOTAL_RETURNC(0,-12AM)&lt;/Q&gt;&lt;R&gt;1&lt;/R&gt;&lt;C&gt;1&lt;/C&gt;&lt;D xsi:type="xsd:double"&gt;31.871128&lt;/D&gt;&lt;/FQL&gt;&lt;FQL&gt;&lt;Q&gt;EWN^PERCENT_CHANGE(FMA_EPS(+1,0,,,,"PORTAGG","MEAN"),FMA_EPS(+1,-1AM,,,,"PORTAGG","MEAN"))&lt;/Q&gt;&lt;R&gt;1&lt;/R&gt;&lt;C&gt;1&lt;/C&gt;&lt;D xsi:type="xsd:double"&gt;-3.12698590726252&lt;/D&gt;&lt;/FQL&gt;&lt;FQL&gt;&lt;Q&gt;EWG^FMA_PCT_ABOVE_MAVG(200,0,,,,"PORTAGG")&lt;/Q&gt;&lt;R&gt;1&lt;/R&gt;&lt;C&gt;1&lt;/C&gt;&lt;D xsi:type="xsd:double"&gt;59.6491228070175&lt;/D&gt;&lt;/FQL&gt;&lt;FQL&gt;&lt;Q&gt;EWA^PERCENT_CHANGE(FMA_EPS(+1,0,,,,"PORTAGG","MEAN"),FMA_EPS(+1,-3AM,,,,"PORTAGG","MEAN"))&lt;/Q&gt;&lt;R&gt;1&lt;/R&gt;&lt;C&gt;1&lt;/C&gt;&lt;D xsi:type="xsd:double"&gt;0.945323698855726&lt;/D&gt;&lt;/FQL&gt;&lt;FQL&gt;&lt;Q&gt;SPY^FMA_COS_DOWN("EPS","1M",+1,0,,,"PORTAGG","MEANR")&lt;/Q&gt;&lt;R&gt;1&lt;/R&gt;&lt;C&gt;1&lt;/C&gt;&lt;D xsi:type="xsd:double"&gt;212&lt;/D&gt;&lt;/FQL&gt;&lt;FQL&gt;&lt;Q&gt;EWI^FMA_COS_UP("EPS","1M",+1,0,,,"PORTAGG","MEANR")&lt;/Q&gt;&lt;R&gt;1&lt;/R&gt;&lt;C&gt;1&lt;/C&gt;&lt;D xsi:type="xsd:double"&gt;7&lt;/D&gt;&lt;/FQL&gt;&lt;FQL&gt;&lt;Q&gt;EWU^SIZE(FG_CONSTITUENTS)&lt;/Q&gt;&lt;R&gt;1&lt;/R&gt;&lt;C&gt;1&lt;/C&gt;&lt;D xsi:type="xsd:long"&gt;80&lt;/D&gt;&lt;/FQL&gt;&lt;FQL&gt;&lt;Q&gt;EWA^FMA_COS_DOWN("EPS","1M",+1,0,,,"PORTAGG","MEANR")&lt;/Q&gt;&lt;R&gt;1&lt;/R&gt;&lt;C&gt;1&lt;/C&gt;&lt;D xsi:type="xsd:double"&gt;18&lt;/D&gt;&lt;/FQL&gt;&lt;FQL&gt;&lt;Q&gt;EWD^FG_ROE(0)&lt;/Q&gt;&lt;R&gt;1&lt;/R&gt;&lt;C&gt;1&lt;/C&gt;&lt;D xsi:type="xsd:double"&gt;16.5979485844405&lt;/D&gt;&lt;/FQL&gt;&lt;FQL&gt;&lt;Q&gt;CAGDPY@NL^EE_ACTUAL_ANNUAL(MED,+1)&lt;/Q&gt;&lt;R&gt;1&lt;/R&gt;&lt;C&gt;1&lt;/C&gt;&lt;D xsi:type="xsd:double"&gt;9.5&lt;/D&gt;&lt;/FQL&gt;&lt;FQL&gt;&lt;Q&gt;CAGDPY@CA^EE_ACTUAL_ANNUAL(MED,+1)&lt;/Q&gt;&lt;R&gt;1&lt;/R&gt;&lt;C&gt;1&lt;/C&gt;&lt;D xsi:type="xsd:double"&gt;-1&lt;/D&gt;&lt;/FQL&gt;&lt;FQL&gt;&lt;Q&gt;USDITL^STD(FG_PRICE_CHANGE(0,-1AY,AM))&lt;/Q&gt;&lt;R&gt;1&lt;/R&gt;&lt;C&gt;1&lt;/C&gt;&lt;D xsi:type="xsd:double"&gt;1.69260744411353&lt;/D&gt;&lt;/FQL&gt;&lt;FQL&gt;&lt;Q&gt;USDANG^STD(FG_PRICE_CHANGE(0,-1AY,AM))&lt;/Q&gt;&lt;R&gt;1&lt;/R&gt;&lt;C&gt;1&lt;/C&gt;&lt;D xsi:type="xsd:double"&gt;0&lt;/D&gt;&lt;/FQL&gt;&lt;FQL&gt;&lt;Q&gt;USDGBP^STD(FG_PRICE_CHANGE(0,-1AY,AM))&lt;/Q&gt;&lt;R&gt;1&lt;/R&gt;&lt;C&gt;1&lt;/C&gt;&lt;D xsi:type="xsd:double"&gt;1.68467843110032&lt;/D&gt;&lt;/FQL&gt;&lt;FQL&gt;&lt;Q&gt;USDJPY^STD(FG_PRICE_CHANGE(0,-1AY,AM))&lt;/Q&gt;&lt;R&gt;1&lt;/R&gt;&lt;C&gt;1&lt;/C&gt;&lt;D xsi:type="xsd:double"&gt;3.27428417426272&lt;/D&gt;&lt;/FQL&gt;&lt;FQL&gt;&lt;Q&gt;USDCAD^STD(FG_PRICE_CHANGE(0,-1AY,AM))&lt;/Q&gt;&lt;R&gt;1&lt;/R&gt;&lt;C&gt;1&lt;/C&gt;&lt;D xsi:type="xsd:double"&gt;1.17370584886306&lt;/D&gt;&lt;/FQL&gt;&lt;FQL&gt;&lt;Q&gt;USDNZD^STD(FG_PRICE_CHANGE(0,-1AY,AM))&lt;/Q&gt;&lt;R&gt;1&lt;/R&gt;&lt;C&gt;1&lt;/C&gt;&lt;D xsi:type="xsd:double"&gt;2.17099211867524&lt;/D&gt;&lt;/FQL&gt;&lt;FQL&gt;&lt;Q&gt;EWG^FMA_EPS(NTMA,-20AY,0,CY,,"PORTAGG","MEANR")&lt;/Q&gt;&lt;R&gt;20&lt;/R&gt;&lt;C&gt;1&lt;/C&gt;&lt;D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xsi:type="xsd:double"&gt;2.08815829697001&lt;/D&gt;&lt;D xsi:type="xsd:double"&gt;1.98003612030208&lt;/D&gt;&lt;D xsi:type="xsd:double"&gt;2.44944590598376&lt;/D&gt;&lt;D xsi:type=</t>
        </r>
      </text>
    </comment>
    <comment ref="A13" authorId="0" shapeId="0" xr:uid="{E83F7F06-DCF3-49A0-B31A-913306B85F89}">
      <text>
        <r>
          <rPr>
            <b/>
            <sz val="9"/>
            <color indexed="81"/>
            <rFont val="Tahoma"/>
            <charset val="1"/>
          </rPr>
          <t>"xsd:double"&gt;2.36386840125656&lt;/D&gt;&lt;D xsi:type="xsd:double"&gt;2.65636172824176&lt;/D&gt;&lt;/FQL&gt;&lt;FQL&gt;&lt;Q&gt;EWA^P_PRICE_RETURNS_PR('52W',2,-10AY,0,AM)&lt;/Q&gt;&lt;R&gt;121&lt;/R&gt;&lt;C&gt;1&lt;/C&gt;&lt;D xsi:type="xsd:double"&gt;-4.8434734&lt;/D&gt;&lt;D xsi:type="xsd:double"&gt;-2.2429168&lt;/D&gt;&lt;D xsi:type="xsd:double"&gt;-1.3623655&lt;/D&gt;&lt;D xsi:type="xsd:double"&gt;-1.919049&lt;/D&gt;&lt;D xsi:type="xsd:double"&gt;-1.4470935&lt;/D&gt;&lt;D xsi:type="xsd:double"&gt;-2.5453389&lt;/D&gt;&lt;D xsi:type="xsd:double"&gt;-7.756406&lt;/D&gt;&lt;D xsi:type="xsd:double"&gt;-8.91872&lt;/D&gt;&lt;D xsi:type="xsd:double"&gt;-11.432468&lt;/D&gt;&lt;D xsi:type="xsd:double"&gt;-15.814853&lt;/D&gt;&lt;D xsi:type="xsd:double"&gt;-22.409445&lt;/D&gt;&lt;D xsi:type="xsd:double"&gt;-22.365396&lt;/D&gt;&lt;D xsi:type="xsd:double"&gt;-13.66046&lt;/D&gt;&lt;D xsi:type="xsd:double"&gt;-19.873493&lt;/D&gt;&lt;D xsi:type="xsd:double"&gt;-13.1790695&lt;/D&gt;&lt;D xsi:type="xsd:double"&gt;-22.480297&lt;/D&gt;&lt;D xsi:type="xsd:double"&gt;-20.846748&lt;/D&gt;&lt;D xsi:type="xsd:double"&gt;-11.044926&lt;/D&gt;&lt;D xsi:type="xsd:double"&gt;-8.962178&lt;/D&gt;&lt;D xsi:type="xsd:double"&gt;-11.9387865&lt;/D&gt;&lt;D xsi:type="xsd:double"&gt;-9.492964&lt;/D&gt;&lt;D xsi:type="xsd:double"&gt;1.4753342&lt;/D&gt;&lt;D xsi:type="xsd:double"&gt;11.1294985&lt;/D&gt;&lt;D xsi:type="xsd:double"&gt;9.159195&lt;/D&gt;&lt;D xsi:type="xsd:double"&gt;11.335003&lt;/D&gt;&lt;D xsi:type="xsd:double"&gt;11.485779&lt;/D&gt;&lt;D xsi:type="xsd:double"&gt;14.982498&lt;/D&gt;&lt;D xsi:type="xsd:double"&gt;35.849144&lt;/D&gt;&lt;D xsi:type="xsd:double"&gt;31.582022&lt;/D&gt;&lt;D xsi:type="xsd:double"&gt;17.446136&lt;/D&gt;&lt;D xsi:type="xsd:double"&gt;15.1478405&lt;/D&gt;&lt;D xsi:type="xsd:double"&gt;15.223253&lt;/D&gt;&lt;D xsi:type="xsd:double"&gt;21.768486&lt;/D&gt;&lt;D xsi:type="xsd:double"&gt;14.000201&lt;/D&gt;&lt;D xsi:type="xsd:double"&gt;12.976158&lt;/D&gt;&lt;D xsi:type="xsd:double"&gt;21.050226&lt;/D&gt;&lt;D xsi:type="xsd:double"&gt;15.826214&lt;/D&gt;&lt;D xsi:type="xsd:double"&gt;17.554342&lt;/D&gt;&lt;D xsi:type="xsd:double"&gt;18.857647&lt;/D&gt;&lt;D xsi:type="xsd:double"&gt;16.619087&lt;/D&gt;&lt;D xsi:type="xsd:double"&gt;8.005118&lt;/D&gt;&lt;D xsi:type="xsd:double"&gt;6.207752&lt;/D&gt;&lt;D xsi:type="xsd:double"&gt;6.5027356&lt;/D&gt;&lt;D xsi:type="xsd:double"&gt;10.559726&lt;/D&gt;&lt;D xsi:type="xsd:double"&gt;7.17237&lt;/D&gt;&lt;D xsi:type="xsd:double"&gt;6.6730857&lt;/D&gt;&lt;D xsi:type="xsd:double"&gt;6.7878604&lt;/D&gt;&lt;D xsi:type="xsd:double"&gt;1.2632847&lt;/D&gt;&lt;D xsi:type="xsd:double"&gt;-6.2202573&lt;/D&gt;&lt;D xsi:type="xsd:double"&gt;-3.8158774&lt;/D&gt;&lt;D xsi:type="xsd:double"&gt;-10.12814&lt;/D&gt;&lt;D xsi:type="xsd:double"&gt;-7.6987386&lt;/D&gt;&lt;D xsi:type="xsd:double"&gt;-3.6608398&lt;/D&gt;&lt;D xsi:type="xsd:double"&gt;0.0777483&lt;/D&gt;&lt;D xsi:type="xsd:double"&gt;2.5232673&lt;/D&gt;&lt;D xsi:type="xsd:double"&gt;-0.7794857&lt;/D&gt;&lt;D xsi:type="xsd:double"&gt;4.861903&lt;/D&gt;&lt;D xsi:type="xsd:double"&gt;5.9344053&lt;/D&gt;&lt;D xsi:type="xsd:double"&gt;-0.83835125&lt;/D&gt;&lt;D xsi:type="xsd:double"&gt;7.5614333&lt;/D&gt;&lt;D xsi:type="xsd:double"&gt;14.220047&lt;/D&gt;&lt;D xsi:type="xsd:double"&gt;14.653147&lt;/D&gt;&lt;D xsi:type="xsd:double"&gt;21.98732&lt;/D&gt;&lt;D xsi:type="xsd:double"&gt;19.416094&lt;/D&gt;&lt;D xsi:type="xsd:double"&gt;13.464176&lt;/D&gt;&lt;D xsi:type="xsd:double"&gt;-33.642323&lt;/D&gt;&lt;D xsi:type="xsd:double"&gt;-20.013004&lt;/D&gt;&lt;D xsi:type="xsd:double"&gt;-15.4508705&lt;/D&gt;&lt;D xsi:type="xsd:double"&gt;-9.468722&lt;/D&gt;&lt;D xsi:type="xsd:double"&gt;-8.723068&lt;/D&gt;&lt;D xsi:type="xsd:double"&gt;1.7073512&lt;/D&gt;&lt;D xsi:type="xsd:double"&gt;-7.2269144&lt;/D&gt;&lt;D xsi:type="xsd:double"&gt;-3.7696838&lt;/D&gt;&lt;D xsi:type="xsd:double"&gt;2.8285503&lt;/D&gt;&lt;D xsi:type="xsd:double"&gt;8.542204&lt;/D&gt;&lt;D xsi:type="xsd:double"&gt;7.4872255&lt;/D&gt;&lt;D xsi:type="xsd:double"&gt;12.542415&lt;/D&gt;&lt;D xsi:type="xsd:double"&gt;84.91981&lt;/D&gt;&lt;D xsi:type="xsd:double"&gt;63.77481&lt;/D&gt;&lt;D xsi:type="xsd:double"&gt;55.10359&lt;/D&gt;&lt;D xsi:type="xsd:double"&gt;38.16272&lt;/D&gt;&lt;D xsi:type="xsd:double"&gt;32.140743&lt;/D&gt;&lt;D xsi:type="xsd:double"&gt;24.950146&lt;/D&gt;&lt;D xsi:type="xsd:double"&gt;27.704834&lt;/D&gt;&lt;D xsi:type="xsd:double"&gt;28.273619&lt;/D&gt;&lt;D xsi:type="xsd:double"&gt;15.607476&lt;/D&gt;&lt;D xsi:type="xsd:double"&gt;3.1456232&lt;/D&gt;&lt;D xsi:type="xsd:double"&gt;3.971541&lt;/D&gt;&lt;D xsi:type="xsd:double"&gt;-0.27561188&lt;/D&gt;&lt;D xsi:type="xsd:double"&gt;8.904303&lt;/D&gt;&lt;D xsi:type="xsd:double"&gt;5.2891374&lt;/D&gt;&lt;D xsi:type="xsd:double"&gt;-6.268704&lt;/D&gt;&lt;D xsi:type="xsd:double"&gt;-16.51585&lt;/D&gt;&lt;D xsi:type="xsd:double"&gt;-11.98163&lt;/D&gt;&lt;D xsi:type="xsd:double"&gt;-3.8365066&lt;/D&gt;&lt;D xsi:type="xsd:double"&gt;-12.325263&lt;/D&gt;&lt;D xsi:type="xsd:double"&gt;-17.5049&lt;/D&gt;&lt;D xsi:type="xsd:double"&gt;-4.653162&lt;/D&gt;&lt;D xsi:type="xsd:double"&gt;-3.16723&lt;/D&gt;&lt;D xsi:type="xsd:double"&gt;3.7185073&lt;/D&gt;&lt;D xsi:type="xsd:double"&gt;3.0647397&lt;/D&gt;&lt;D xsi:type="xsd:double"&gt;-8.939248&lt;/D&gt;&lt;D xsi:type="xsd:double"&gt;-5.8778706&lt;/D&gt;&lt;D xsi:type="xsd:double"&gt;2.0234466&lt;/D&gt;&lt;D xsi:type="xsd:double"&gt;14.323068&lt;/D&gt;&lt;D xsi:type="xsd:double"&gt;14.777363&lt;/D&gt;&lt;D xsi:type="xsd:double"&gt;-2.7813137&lt;/D&gt;&lt;D xsi:type="xsd:double"&gt;8.331895&lt;/D&gt;&lt;D xsi:type="xsd:double"&gt;9.786201&lt;/D&gt;&lt;D xsi:type="xsd:double"&gt;1.6367197&lt;/D&gt;&lt;D xsi:type="xsd:double"&gt;10.10195&lt;/D&gt;&lt;D xsi:type="xsd:double"&gt;0.50280094&lt;/D&gt;&lt;D xsi:type="xsd:double"&gt;3.5096407&lt;/D&gt;&lt;D xsi:type="xsd:double"&gt;13.976622&lt;/D&gt;&lt;D xsi:type="xsd:double"&gt;2.8855324&lt;/D&gt;&lt;D xsi:type="xsd:double"&gt;14.515436&lt;/D&gt;&lt;D xsi:type="xsd:double"&gt;8.954966&lt;/D&gt;&lt;D xsi:type="xsd:double"&gt;12.180006&lt;/D&gt;&lt;D xsi:type="xsd:double"&gt;20.019638&lt;/D&gt;&lt;D xsi:type="xsd:double"&gt;22.728157&lt;/D&gt;&lt;D xsi:type="xsd:double"&gt;30.171633&lt;/D&gt;&lt;/FQL&gt;&lt;FQL&gt;&lt;Q&gt;ENZL^JULIAN(FG_TOTAL_RETURNC(-10AY,0,AM).DATES)&lt;/Q&gt;&lt;R&gt;121&lt;/R&gt;&lt;C&gt;1&lt;/C&gt;&lt;D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xsi:type="xsd:long"&gt;45400&lt;/D&gt;&lt;D xsi:type="xsd:long"&gt;45429&lt;/D&gt;&lt;D xsi:type="xsd:long"&gt;45461&lt;/D&gt;&lt;D xsi:type="xsd:long"&gt;45491&lt;/D&gt;&lt;D xsi:type="xsd:long"&gt;45520&lt;/D&gt;&lt;D xsi:type="xsd:long"&gt;45553&lt;/D&gt;&lt;D xsi:type="xsd:long"&gt;45583&lt;/D&gt;&lt;/FQL&gt;&lt;FQL&gt;&lt;Q&gt;EWD^FMA_PE(NTMA,-10AY,0,AM,"PORTAGG","MEANR")&lt;/Q&gt;&lt;R&gt;121&lt;/R&gt;&lt;C&gt;1&lt;/C&gt;&lt;D xsi:type="xsd:double"&gt;13.6107748756822&lt;/D&gt;&lt;D xsi:type="xsd:double"&gt;15.4378312378277&lt;/D&gt;&lt;D xsi:type="xsd:double"&gt;15.4318407978808&lt;/D&gt;&lt;D xsi:type="xsd:double"&gt;15.6294680213848&lt;/D&gt;&lt;D xsi:type="xsd:double"&gt;16.8625098297444&lt;/D&gt;&lt;D xsi:type="xsd:double"&gt;17.361517668949&lt;/D&gt;&lt;D xsi:type="xsd:double"&gt;16.5876658927194&lt;/D&gt;&lt;D xsi:type="xsd:double"&gt;15.8889527976741&lt;/D&gt;&lt;D xsi:type="xsd:double"&gt;15.5451760461233&lt;/D&gt;&lt;D xsi:type="xsd:double"&gt;16.240203497935&lt;/D&gt;&lt;D xsi:type="xsd:double"&gt;15.8068688520489&lt;/D&gt;&lt;D xsi:type="xsd:double"&gt;14.4291124337925&lt;/D&gt;&lt;D xsi:type="xsd:double"&gt;14.7821973688787&lt;/D&gt;&lt;D xsi:type="xsd:double"&gt;15.4538116078985&lt;/D&gt;&lt;D xsi:type="xsd:double"&gt;14.737310945667&lt;/D&gt;&lt;D xsi:type="xsd:double"&gt;13.5975182581164&lt;/D&gt;&lt;D xsi:type="xsd:double"&gt;15.0258406397252&lt;/D&gt;&lt;D xsi:type="xsd:double"&gt;15.3211515521384&lt;/D&gt;&lt;D xsi:type="xsd:double"&gt;15.3064332394062&lt;/D&gt;&lt;D xsi:type="xsd:double"&gt;14.7323729860324&lt;/D&gt;&lt;D xsi:type="xsd:double"&gt;14.257975637838&lt;/D&gt;&lt;D xsi:type="xsd:double"&gt;14.9372513661773&lt;/D&gt;&lt;D xsi:type="xsd:double"&gt;15.414960557198&lt;/D&gt;&lt;D xsi:type="xsd:double"&gt;15.3242835708722&lt;/D&gt;&lt;D xsi:type="xsd:double"&gt;16.2005159157725&lt;/D&gt;&lt;D xsi:type="xsd:double"&gt;16.1445711356947&lt;/D&gt;&lt;D xsi:type="xsd:double"&gt;16.7511997174863&lt;/D&gt;&lt;D xsi:type="xsd:double"&gt;16.0379142186177&lt;/D&gt;&lt;D xsi:type="xsd:double"&gt;16.3751415979077&lt;/D&gt;&lt;D xsi:type="xsd:double"&gt;16.8187429227996&lt;/D&gt;&lt;D xsi:type="xsd:double"&gt;16.7656466765294&lt;/D&gt;&lt;D xsi:type="xsd:double"&gt;17.8326632047283&lt;/D&gt;&lt;D xsi:type="xsd:double"&gt;16.8378806596828&lt;/D&gt;&lt;D xsi:type="xsd:double"&gt;16.5856408612301&lt;/D&gt;&lt;D xsi:type="xsd:double"&gt;15.6324946227962&lt;/D&gt;&lt;D xsi:type="xsd:double"&gt;16.2757063697814&lt;/D&gt;&lt;D xsi:type="xsd:double"&gt;16.9389964114665&lt;/D&gt;&lt;D xsi:type="xsd:double"&gt;16.6859208443406&lt;/D&gt;&lt;D xsi:type="xsd:double"&gt;16.5416283099941&lt;/D&gt;&lt;D xsi:type="xsd:double"&gt;16.6491856749222&lt;/D&gt;&lt;D xsi:type="xsd:double"&gt;16.1561197240843&lt;/D&gt;&lt;D xsi:type="xsd:double"&gt;16.2175354668837&lt;/D&gt;&lt;D xsi:type="xsd:double"&gt;15.9396728025481&lt;/D&gt;&lt;D xsi:type="xsd:double"&gt;16.1602140051721&lt;/D&gt;&lt;D xsi:type="xsd:double"&gt;15.375296416568&lt;/D&gt;&lt;D xsi:type="xsd:double"&gt;15.3498678934393&lt;/D&gt;&lt;D xsi:type="xsd:double"&gt;15.5559387699017&lt;/D&gt;&lt;D xsi:type="xsd:double"&gt;15.5386686229608&lt;/D&gt;&lt;D xsi:type="xsd:double"&gt;14.6137622625719&lt;/D&gt;&lt;D xsi:type="xsd:double"&gt;14.1007755286879&lt;/D&gt;&lt;D xsi:type="xsd:double"&gt;13.6208500372184&lt;/D&gt;&lt;D xsi:type="xsd:double"&gt;14.4322592674037&lt;/D&gt;&lt;D xsi:type="xsd:double"&gt;14.9294651026098&lt;/D&gt;&lt;D xsi:type="xsd:double"&gt;15.0947907516833&lt;/D&gt;&lt;D xsi:type="xsd:double"&gt;15.4924773199812&lt;/D&gt;&lt;D xsi:type="xsd:double"&gt;15.0391529814082&lt;/D&gt;&lt;D xsi:type="xsd:double"&gt;14.9433343654582&lt;/D&gt;&lt;D xsi:type="xsd:double"&gt;14.7979889431357&lt;/D&gt;&lt;D xsi:type="xsd:double"&gt;13.5166288379433&lt;/D&gt;&lt;D xsi:type="xsd:double"&gt;14.6525240182113&lt;/D&gt;&lt;D xsi:type="xsd:double"&gt;15.4719561559481&lt;/D&gt;&lt;D xsi:type="xsd:double"&gt;15.7131233054483&lt;/D&gt;&lt;D xsi:type="xsd:double"&gt;16.3012587610677&lt;/D&gt;&lt;D xsi:type="xsd:double"&gt;16.4941959200806&lt;/D&gt;&lt;D xsi:type="xsd:double"&gt;16.9458968837218&lt;/D&gt;&lt;D xsi:type="xsd:double"&gt;12.0003392796055&lt;/D&gt;&lt;D xsi:type="xsd:double"&gt;16.4731346197284&lt;/D&gt;&lt;D xsi:type="xsd:double"&gt;17.7851539562389&lt;/D&gt;&lt;D xsi:type="xsd:double"&gt;19.0346001950825&lt;/D&gt;&lt;D xsi:type="xsd:double"&gt;19.9273265431598&lt;/D&gt;&lt;D xsi:type="xsd:double"&gt;18.0970901030517&lt;/D&gt;&lt;D xsi:type="xsd:double"&gt;18.5164277513921&lt;/D&gt;&lt;D xsi:type="xsd:double"&gt;17.3785723952257&lt;/D&gt;&lt;D xsi:type="xsd:double"&gt;17.3235655021159&lt;/D&gt;&lt;D xsi:type="xsd:double"&gt;17.2229067845543&lt;/D&gt;&lt;D xsi:type="xsd:double"&gt;18.7186615072194&lt;/D&gt;&lt;D xsi:type="xsd:double"&gt;18.7158466215856&lt;/D&gt;&lt;D xsi:type="xsd:double"&gt;20.1402236012482&lt;/D&gt;&lt;D xsi:type="xsd:double"&gt;20.7635328598566&lt;/D&gt;&lt;D xsi:type="xsd:double"&gt;18.0058438476368&lt;/D&gt;&lt;D xsi:type="xsd:double"&gt;18.4997778297591&lt;/D&gt;&lt;D xsi:type="xsd:double"&gt;18.6009314553249&lt;/D&gt;&lt;D xsi:type="xsd:double"&gt;18.4123459110568&lt;/D&gt;&lt;D xsi:type="xsd:double"&gt;18.3781667812439&lt;/D&gt;&lt;D xsi:type="xsd:double"&gt;18.4171112358238&lt;/D&gt;&lt;D xsi:type="xsd:double"&gt;18.8632141986738&lt;/D&gt;&lt;D xsi:type="xsd:double"&gt;17.726244849666&lt;/D&gt;&lt;D xsi:type="xsd:double"&gt;17.210125518548&lt;/D&gt;&lt;D xsi:type="xsd:double"&gt;15.6185534078492&lt;/D&gt;&lt;D xsi:type="xsd:double"&gt;15.6615554626758&lt;/D&gt;&lt;D xsi:type="xsd:double"&gt;14.995132114341&lt;/D&gt;&lt;D xsi:type="xsd:double"&gt;15.8152350759537&lt;/D&gt;&lt;D xsi:type="xsd:double"&gt;14.2161409157868&lt;/D&gt;&lt;D xsi:type="xsd:double"&gt;14.5702484756827&lt;/D&gt;&lt;D xsi:type="xsd:double"&gt;15.0966327505894&lt;/D&gt;&lt;D xsi:type="xsd:double"&gt;13.6285537776343&lt;/D&gt;&lt;D xsi:type="xsd:double"&gt;13.6464752923302&lt;/D&gt;&lt;D xsi:type="xsd:double"&gt;12.9406906470401&lt;/D&gt;&lt;D xsi:type="xsd:double"&gt;12.7426217439397&lt;/D&gt;&lt;D xsi:type="xsd:double"&gt;13.7344993948559&lt;/D&gt;&lt;D xsi:type="xsd:double"&gt;14.1832524683699&lt;/D&gt;&lt;D xsi:type="xsd:double"&gt;13.093661596146&lt;/D&gt;&lt;D xsi:type="xsd:double"&gt;14.0939580045339&lt;/D&gt;&lt;D xsi:type="xsd:double"&gt;13.4847194537234&lt;/D&gt;&lt;D xsi:type="xsd:double"&gt;13.8328967500453&lt;/D&gt;&lt;D xsi:type="xsd:double"&gt;13.453353142701&lt;/D&gt;&lt;D xsi:type="xsd:double"&gt;12.5413694834346&lt;/D&gt;&lt;D xsi:type="xsd:double"&gt;13.0227620164552&lt;/D&gt;&lt;D xsi:type="xsd:double"&gt;13.0314641801457&lt;/D&gt;&lt;D xsi:type="xsd:double"&gt;13.342565084783&lt;/D&gt;&lt;D xsi:type="xsd:double"&gt;15.5949027209874&lt;/D&gt;&lt;D xsi:type="xsd:double"&gt;15.1846266462664&lt;/D&gt;&lt;D xsi:type="xsd:double"&gt;16.0428926950517&lt;/D&gt;&lt;D xsi:type="xsd:double"&gt;16.5245693990183&lt;/D&gt;&lt;D xsi:type="xsd:double"&gt;16.0375152834711&lt;/D&gt;&lt;D xsi:type="xsd:double"&gt;16.3412248854142&lt;/D&gt;&lt;D xsi:type="xsd:double"&gt;15.873539917414&lt;/D&gt;&lt;D xsi:type="xsd:double"&gt;16.3828867411573&lt;/D&gt;&lt;D xsi:type="xsd:double"&gt;15.8871879251418&lt;/D&gt;&lt;D xsi:type="xsd:double"&gt;15.9489994539996&lt;/D&gt;&lt;D xsi:type="xsd:double"&gt;16.1600153365475&lt;/D&gt;&lt;/FQL&gt;&lt;FQL&gt;&lt;Q&gt;EWQ^FMA_PE(LTMA,-10AY,0,AM,"PORTAGG","MEANR")&lt;/Q&gt;&lt;R&gt;121&lt;/R&gt;&lt;C&gt;1&lt;/C&gt;&lt;D xsi:type="xsd:double"&gt;14.4454434475899&lt;/D&gt;&lt;D xsi:type="xsd:double"&gt;15.0779655549387&lt;/D&gt;&lt;D xsi:type="xsd:double"&gt;14.9832242587906&lt;/D&gt;&lt;D xsi:type="xsd:double"&gt;15.3428384201067&lt;/D&gt;&lt;D xsi:type="xsd:double"&gt;16.9574728539795&lt;/D&gt;&lt;D xsi:type="xsd:double"&gt;17.5651821564699&lt;/D&gt;&lt;D xsi:type="xsd:double"&gt;17.5937028814129&lt;/D&gt;&lt;D xsi:type="xsd:double"&gt;17.4380817927164&lt;/D&gt;&lt;D xsi:type="xsd:double"&gt;17.0447882254996&lt;/D&gt;&lt;D xsi:type="xsd:double"&gt;17.4102081314941&lt;/D&gt;&lt;D xsi:type="xsd:double"&gt;16.8673728972873&lt;/D&gt;&lt;D xsi:type="xsd:double"&gt;15.793579836624&lt;/D&gt;&lt;D xsi:type="xsd:double"&gt;15.9960417350144&lt;/D&gt;&lt;D xsi:type="xsd:double"&gt;16.3329222691246&lt;/D&gt;&lt;D xsi:type="xsd:double"&gt;15.4503660874686&lt;/D&gt;&lt;D xsi:type="xsd:double"&gt;14.0278255720747&lt;/D&gt;&lt;D xsi:type="xsd:double"&gt;14.7729149055311&lt;/D&gt;&lt;D xsi:type="xsd:double"&gt;15.1986459838719&lt;/D&gt;&lt;D xsi:type="xsd:double"&gt;15.2496602954464&lt;/D&gt;&lt;D xsi:type="xsd:double"&gt;15.0475038277241&lt;/D&gt;&lt;D xsi:type="xsd:double"&gt;14.7654091224685&lt;/D&gt;&lt;D xsi:type="xsd:double"&gt;14.9811186818851&lt;/D&gt;&lt;D xsi:type="xsd:double"&gt;14.946592944026&lt;/D&gt;&lt;D xsi:type="xsd:double"&gt;14.6746970155932&lt;/D&gt;&lt;D xsi:type="xsd:double"&gt;15.0185101309783&lt;/D&gt;&lt;D xsi:type="xsd:double"&gt;14.7796538302644&lt;/D&gt;&lt;D xsi:type="xsd:double"&gt;15.6390211508184&lt;/D&gt;&lt;D xsi:type="xsd:double"&gt;15.7960468788078&lt;/D&gt;&lt;D xsi:type="xsd:double"&gt;15.5069192023849&lt;/D&gt;&lt;D xsi:type="xsd:double"&gt;15.6202713042743&lt;/D&gt;&lt;D xsi:type="xsd:double"&gt;15.5384534773624&lt;/D&gt;&lt;D xsi:type="xsd:double"&gt;15.7486987488624&lt;/D&gt;&lt;D xsi:type="xsd:double"&gt;15.7158219457954&lt;/D&gt;&lt;D xsi:type="xsd:double"&gt;15.65433289075&lt;/D&gt;&lt;D xsi:type="xsd:double"&gt;15.4877834609101&lt;/D&gt;&lt;D xsi:type="xsd:double"&gt;15.7450222668997&lt;/D&gt;&lt;D xsi:type="xsd:double"&gt;16.1131329923517&lt;/D&gt;&lt;D xsi:type="xsd:double"&gt;15.8531549814856&lt;/D&gt;&lt;D xsi:type="xsd:double"&gt;16.2623610851916&lt;/D&gt;&lt;D xsi:type="xsd:double"&gt;16.5325360105291&lt;/D&gt;&lt;D xsi:type="xsd:double"&gt;15.7154374416483&lt;/D&gt;&lt;D xsi:type="xsd:double"&gt;15.5723302975611&lt;/D&gt;&lt;D xsi:type="xsd:double"&gt;15.5571925638947&lt;/D&gt;&lt;D xsi:type="xsd:double"&gt;15.6387994409497&lt;/D&gt;&lt;D xsi:type="xsd:double"&gt;15.3489511328682&lt;/D&gt;&lt;D xsi:type="xsd:double"&gt;15.3033897442096&lt;/D&gt;&lt;D xsi:type="xsd:double"&gt;14.9546197531653&lt;/D&gt;&lt;D xsi:type="xsd:double"&gt;14.9062015193707&lt;/D&gt;&lt;D xsi:type="xsd:double"&gt;14.2724777252246&lt;/D&gt;&lt;D xsi:type="xsd:double"&gt;13.9356086321765&lt;/D&gt;&lt;D xsi:type="xsd:double"&gt;13.0904000075552&lt;/D&gt;&lt;D xsi:type="xsd:double"&gt;13.422658207518&lt;/D&gt;&lt;D xsi:type="xsd:double"&gt;14.1935261736236&lt;/D&gt;&lt;D xsi:type="xsd:double"&gt;14.6088745046735&lt;/D&gt;&lt;D xsi:type="xsd:double"&gt;14.6761979587099&lt;/D&gt;&lt;D xsi:type="xsd:double"&gt;14.5685429181405&lt;/D&gt;&lt;D xsi:type="xsd:double"&gt;13.6790783379894&lt;/D&gt;&lt;D xsi:type="xsd:double"&gt;14.7954677823109&lt;/D&gt;&lt;D xsi:type="xsd:double"&gt;14.4682298079344&lt;/D&gt;&lt;D xsi:type="xsd:double"&gt;15.0708452224683&lt;/D&gt;&lt;D xsi:type="xsd:double"&gt;15.3222679324511&lt;/D&gt;&lt;D xsi:type="xsd:double"&gt;16.098473011938&lt;/D&gt;&lt;D xsi:type="xsd:double"&gt;16.3586831993033&lt;/D&gt;&lt;D xsi:type="xsd:double"&gt;16.8376366470735&lt;/D&gt;&lt;D xsi:type="xsd:double"&gt;16.6926346144317&lt;/D&gt;&lt;D xsi:type="xsd:double"&gt;13.8644575091967&lt;/D&gt;&lt;D xsi:type="xsd:double"&gt;15.2638188384366&lt;/D&gt;&lt;D xsi:type="xsd:double"&gt;16.2698895679894&lt;/D&gt;&lt;D xsi:type="xsd:double"&gt;18.1146642597397&lt;/D&gt;&lt;D xsi:type="xsd:double"&gt;20.0877548080463&lt;/D&gt;&lt;D xsi:type="xsd:double"&gt;22.0622071938646&lt;/D&gt;&lt;D xsi:type="xsd:double"&gt;23.2336066906692&lt;/D&gt;&lt;D xsi:type="xsd:double"&gt;24.2611290201328&lt;/D&gt;&lt;D xsi:type="xsd:double"&gt;27.4830615309667&lt;/D&gt;&lt;D xsi:type="xsd:double"&gt;28.2625341665183&lt;/D&gt;&lt;D xsi:type="xsd:double"&gt;28.7166772219765&lt;/D&gt;&lt;D xsi:type="xsd:double"&gt;27.6534507582252&lt;/D&gt;&lt;D xsi:type="xsd:double"&gt;26.6883829670175&lt;/D&gt;&lt;D xsi:type="xsd:double"&gt;25.9388652302613&lt;/D&gt;&lt;D xsi:type="xsd:double"&gt;24.8761317083771&lt;/D&gt;&lt;D xsi:type="xsd:double"&gt;24.1657584998403&lt;/D&gt;&lt;D xsi:type="xsd:double"&gt;22.8820188778292&lt;/D&gt;&lt;D xsi:type="xsd:double"&gt;21.5953824948097&lt;/D&gt;&lt;D xsi:type="xsd:double"&gt;20.2623280223308&lt;/D&gt;&lt;D xsi:type="xsd:double"&gt;19.1068493825002&lt;/D&gt;&lt;D xsi:type="xsd:double"&gt;18.5061981861439&lt;/D&gt;&lt;D xsi:type="xsd:double"&gt;17.1034613614228&lt;/D&gt;&lt;D xsi:type="xsd:double"&gt;16.9153367084805&lt;/D&gt;&lt;D xsi:type="xsd:double"&gt;16.1044735873437&lt;/D&gt;&lt;D xsi:type="xsd:double"&gt;15.3677801328171&lt;/D&gt;&lt;D xsi:type="xsd:double"&gt;15.0424024232047&lt;/D&gt;&lt;D xsi:type="xsd:double"&gt;14.4202193053321&lt;/D&gt;&lt;D xsi:type="xsd:double"&gt;13.6911430011001&lt;/D&gt;&lt;D xsi:type="xsd:double"&gt;13.3578762940399&lt;/D&gt;&lt;D xsi:type="xsd:double"&gt;13.1483237782901&lt;/D&gt;&lt;D xsi:type="xsd:double"&gt;12.238306012682&lt;/D&gt;&lt;D xsi:type="xsd:double"&gt;11.6782001663133&lt;/D&gt;&lt;D xsi:type="xsd:double"&gt;12.1830538030294&lt;/D&gt;&lt;D xsi:type="xsd:double"&gt;11.6279759844307&lt;/D&gt;&lt;D xsi:type="xsd:double"&gt;12.7859662516206&lt;/D&gt;&lt;D xsi:type="xsd:double"&gt;13.0524991407831&lt;/D&gt;&lt;D xsi:type="xsd:double"&gt;12.8072454573866&lt;/D&gt;&lt;D xsi:type="xsd:double"&gt;13.1869074288017&lt;/D&gt;&lt;D xsi:type="xsd:double"&gt;13.1668502913088&lt;/D&gt;&lt;D xsi:type="xsd:double"&gt;13.2783376436556&lt;/D&gt;&lt;D xsi:type="xsd:double"&gt;13.32394701998&lt;/D&gt;&lt;D xsi:type="xsd:double"&gt;13.0932749269882&lt;/D&gt;&lt;D xsi:type="xsd:double"&gt;13.209927448498&lt;/D&gt;&lt;D xsi:type="xsd:double"&gt;12.729502446821&lt;/D&gt;&lt;D xsi:type="xsd:double"&gt;13.2454466366363&lt;/D&gt;&lt;D xsi:type="xsd:double"&gt;14.0256011630278&lt;/D&gt;&lt;D xsi:type="xsd:double"&gt;13.95637283781&lt;/D&gt;&lt;D xsi:type="xsd:double"&gt;15.159986555959&lt;/D&gt;&lt;D xsi:type="xsd:double"&gt;15.5176814609544&lt;/D&gt;&lt;D xsi:type="xsd:double"&gt;15.401017459147&lt;/D&gt;&lt;D xsi:type="xsd:double"&gt;15.4941032562177&lt;/D&gt;&lt;D xsi:type="xsd:double"&gt;15.0143511027429&lt;/D&gt;&lt;D xsi:type="xsd:double"&gt;14.9457864369229&lt;/D&gt;&lt;D xsi:type="xsd:double"&gt;14.8766419860396&lt;/D&gt;&lt;D xsi:type="xsd:double"&gt;14.8126838467204&lt;/D&gt;&lt;D xsi:type="xsd:double"&gt;14.9867012186992&lt;/D&gt;&lt;/FQL&gt;&lt;FQL&gt;&lt;Q&gt;DDR3512M-FDS^FG_PRICE_CHANGE(0,-1AM)&lt;/Q&gt;&lt;R&gt;1&lt;/R&gt;&lt;C&gt;1&lt;/C&gt;&lt;D xsi:type="xsd:double"&gt;-2.8394438190832&lt;/D&gt;&lt;/FQL&gt;&lt;FQL&gt;&lt;Q&gt;PASP-FDS^FG_PRICE_CHANGE(0,-1AM)&lt;/Q&gt;&lt;R&gt;1&lt;/R&gt;&lt;C&gt;1&lt;/C&gt;&lt;D xsi:type="xsd:double"&gt;-4.81818181818182&lt;/D&gt;&lt;/FQL&gt;&lt;FQL&gt;&lt;Q&gt;PLATI-FDS^FG_PRICE_CHANGE(0,-1AM)&lt;/Q&gt;&lt;R&gt;1&lt;/R&gt;&lt;C&gt;1&lt;/C&gt;&lt;D xsi:type="xsd:double"&gt;2.44897959183674&lt;/D&gt;&lt;/FQL&gt;&lt;FQL&gt;&lt;Q&gt;W-FDS^FG_PRICE_CHANGE(0,-1AM)&lt;/Q&gt;&lt;R&gt;1&lt;/R&gt;&lt;C&gt;1&lt;/C&gt;&lt;D xsi:type="xsd:double"&gt;-0.521059487624842&lt;/D&gt;&lt;/FQL&gt;&lt;FQL&gt;&lt;Q&gt;COPP-FDS^FG_PRICE_CHANGE(0,-1AM)&lt;/Q&gt;&lt;R&gt;1&lt;/R&gt;&lt;C&gt;1&lt;/C&gt;&lt;D xsi:type="xsd:double"&gt;2.54837187352523&lt;/D&gt;&lt;/FQL&gt;&lt;FQL&gt;&lt;Q&gt;EWI^FG_PRICE_MAVG(0,,,,60)&lt;/Q&gt;&lt;R&gt;1&lt;/R&gt;&lt;C&gt;1&lt;/C&gt;&lt;D xsi:type="xsd:double"&gt;37.741&lt;/D&gt;&lt;/FQL&gt;&lt;FQL&gt;&lt;Q&gt;SPY^FG_PRICE_MAVG(0,,,,60)&lt;/Q&gt;&lt;R&gt;1&lt;/R&gt;&lt;C&gt;1&lt;/C&gt;&lt;D xsi:type="xsd:double"&gt;558.17316&lt;/D&gt;&lt;/FQL&gt;&lt;FQL&gt;&lt;Q&gt;EWJ^FG_PRICE_MAVG(0,,,,60)&lt;/Q&gt;&lt;R&gt;1&lt;/R&gt;&lt;C&gt;1&lt;/C&gt;&lt;D xsi:type="xsd:double"&gt;69.7155&lt;/D&gt;&lt;/FQL&gt;&lt;FQL&gt;&lt;Q&gt;URTH^FG_TOTAL_RETURNC(0,-3AM)&lt;/Q&gt;&lt;R&gt;1&lt;/R&gt;&lt;C&gt;1&lt;/C&gt;&lt;D xsi:type="xsd:double"&gt;5.4313064&lt;/D&gt;&lt;/FQL&gt;&lt;FQL&gt;&lt;Q&gt;EWU^FG_TOTAL_RETURNC(0,-6AM)&lt;/Q&gt;&lt;R&gt;1&lt;/R&gt;&lt;C&gt;1&lt;/C&gt;&lt;D xsi:type="xsd:double"&gt;13.215649&lt;/D&gt;&lt;/FQL&gt;&lt;FQL&gt;&lt;Q&gt;TRYBR10Y-FDS^FG_YIELD(-10AY,0,Y,,"YTM")&lt;/Q&gt;&lt;R&gt;10&lt;/R&gt;&lt;C&gt;1&lt;/C&gt;&lt;D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xsi:type="xsd:double"&gt;10.455909&lt;/D&gt;&lt;/FQL&gt;&lt;FQL&gt;&lt;Q&gt;PLATI-FDS^FG_PRICE_MAVG(0,,,,30)&lt;/Q&gt;&lt;R&gt;1&lt;/R&gt;&lt;C&gt;1&lt;/C&gt;&lt;D xsi:type="xsd:double"&gt;984.4667&lt;/D&gt;&lt;/FQL&gt;&lt;FQL&gt;&lt;Q&gt;W-FDS^FG_PRICE_MAVG(0,,,,30)&lt;/Q&gt;&lt;R&gt;1&lt;/R&gt;&lt;C&gt;1&lt;/C&gt;&lt;D xsi:type="xsd:double"&gt;5.8275833&lt;/D&gt;&lt;/FQL&gt;&lt;FQL&gt;&lt;Q&gt;COPP-FDS^FG_PRICE_MAVG(0,,,,30)&lt;/Q&gt;&lt;R&gt;1&lt;/R&gt;&lt;C&gt;1&lt;/C&gt;&lt;D xsi:type="xsd:double"&gt;4.3473&lt;/D&gt;&lt;/FQL&gt;&lt;FQL&gt;&lt;Q&gt;CAGDPY@NL^EE_ACTUAL_ANNUAL(MED,0)&lt;/Q&gt;&lt;R&gt;1&lt;/R&gt;&lt;C&gt;1&lt;/C&gt;&lt;D xsi:type="xsd:double"&gt;9.85408501996988&lt;/D&gt;&lt;/FQL&gt;&lt;FQL&gt;&lt;Q&gt;CAGDPY@CA^EE_ACTUAL_ANNUAL(MED,0)&lt;/Q&gt;&lt;R&gt;1&lt;/R&gt;&lt;C&gt;1&lt;/C&gt;&lt;D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xsi:type="xsd:double"&gt;-1.8604636&lt;/D&gt;&lt;/FQL&gt;&lt;FQL&gt;&lt;Q&gt;USDANG^FG_PRICE_CHANGE(0,-6AM)&lt;/Q&gt;&lt;R&gt;1&lt;/R&gt;&lt;C&gt;1&lt;/C&gt;&lt;D xsi:type="xsd:double"&gt;0&lt;/D&gt;&lt;/FQL&gt;&lt;FQL&gt;&lt;Q&gt;USDGBP^FG_PRICE_CHANGE(0,-6AM)&lt;/Q&gt;&lt;R&gt;1&lt;/R&gt;&lt;C&gt;1&lt;/C&gt;&lt;D xsi:type="xsd:double"&gt;-4.533428&lt;/D&gt;&lt;/FQL&gt;&lt;FQL&gt;&lt;Q&gt;USDJPY^FG_PRICE_CHANGE(0,-6AM)&lt;/Q&gt;&lt;R&gt;1&lt;/R&gt;&lt;C&gt;1&lt;/C&gt;&lt;D xsi:type="xsd:double"&gt;-3.2465696&lt;/D&gt;&lt;/FQL&gt;&lt;FQL&gt;&lt;Q&gt;USDCAD^FG_PRICE_CHANGE(0,-6AM)&lt;/Q&gt;&lt;R&gt;1&lt;/R&gt;&lt;C&gt;1&lt;/C&gt;&lt;D xsi:type="xsd:double"&gt;0.35984516&lt;/D&gt;&lt;/FQL&gt;&lt;FQL&gt;&lt;Q&gt;USDNZD^FG_PRICE_CHANGE(0,-6AM)&lt;/Q&gt;&lt;R&gt;1&lt;/R&gt;&lt;C&gt;1&lt;/C&gt;&lt;D xsi:type="xsd:double"&gt;-2.578044&lt;/D&gt;&lt;/FQL&gt;&lt;FQL&gt;&lt;Q&gt;EWC^FMA_EPS(NTMA,-20AY,0,CY,,"PORTAGG","MEANR")&lt;/Q&gt;&lt;R&gt;20&lt;/R&gt;&lt;C&gt;1&lt;/C&gt;&lt;D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xsi:type="xsd:double"&gt;2.06895579824313&lt;/D&gt;&lt;D xsi:type="xsd:double"&gt;1.95234296531067&lt;/D&gt;&lt;D xsi:type="xsd:double"&gt;2.65881300816857&lt;/D&gt;&lt;D xsi:type="xsd:double"&gt;2.74371402167799&lt;/D&gt;&lt;D xsi:type="xsd:double"&gt;2.67770897270638&lt;/D&gt;&lt;/FQL&gt;&lt;FQL&gt;&lt;Q&gt;ENZL^P_PRICE_RETURNS_PR('52W',2,-10AY,0,AM)&lt;/Q&gt;&lt;R&gt;121&lt;/R&gt;&lt;C&gt;1&lt;/C&gt;&lt;D xsi:type="xsd:double"&gt;0.8392453&lt;/D&gt;&lt;D xsi:type="xsd:double"&gt;7.926953&lt;/D&gt;&lt;D xsi:type="xsd:double"&gt;13.260269&lt;/D&gt;&lt;D xsi:type="xsd:double"&gt;7.896459&lt;/D&gt;&lt;D xsi:type="xsd:double"&gt;7.6161146&lt;/D&gt;&lt;D xsi:type="xsd:double"&gt;-0.38468838&lt;/D&gt;&lt;D xsi:type="xsd:double"&gt;2.8755665&lt;/D&gt;&lt;D xsi:type="xsd:double"&gt;-4.0285053&lt;/D&gt;&lt;D xsi:type="xsd:double"&gt;-10.477882&lt;/D&gt;&lt;D xsi:type="xsd:double"&gt;-12.934321&lt;/D&gt;&lt;D xsi:type="xsd:double"&gt;-12.17565&lt;/D&gt;&lt;D xsi:type="xsd:double"&gt;-12.4033985&lt;/D&gt;&lt;D xsi:type="xsd:double"&gt;-2.4872541&lt;/D&gt;&lt;D xsi:type="xsd:double"&gt;-11.666166&lt;/D&gt;&lt;D xsi:type="xsd:double"&gt;-5.430871&lt;/D&gt;&lt;D xsi:type="xsd:double"&gt;-11.685556&lt;/D&gt;&lt;D xsi:type="xsd:double"&gt;-7.294214&lt;/D&gt;&lt;D xsi:type="xsd:double"&gt;1.738596&lt;/D&gt;&lt;D xsi:type="xsd:double"&gt;6.8019032&lt;/D&gt;&lt;D xsi:type="xsd:double"&gt;9.584212&lt;/D&gt;&lt;D xsi:type="xsd:double"&gt;20.758915&lt;/D&gt;&lt;D xsi:type="xsd:double"&gt;34.17213&lt;/D&gt;&lt;D xsi:type="xsd:double"&gt;45.346405&lt;/D&gt;&lt;D xsi:type="xsd:double"&gt;46.31208&lt;/D&gt;&lt;D xsi:type="xsd:double"&gt;25.996983&lt;/D&gt;&lt;D xsi:type="xsd:double"&gt;24.122059&lt;/D&gt;&lt;D xsi:type="xsd:double"&gt;13.190007&lt;/D&gt;&lt;D xsi:type="xsd:double"&gt;27.926624&lt;/D&gt;&lt;D xsi:type="xsd:double"&gt;25.510765&lt;/D&gt;&lt;D xsi:type="xsd:double"&gt;11.342251&lt;/D&gt;&lt;D xsi:type="xsd:double"&gt;5.8417916&lt;/D&gt;&lt;D xsi:type="xsd:double"&gt;8.473337&lt;/D&gt;&lt;D xsi:type="xsd:double"&gt;12.827587&lt;/D&gt;&lt;D xsi:type="xsd:double"&gt;11.50198&lt;/D&gt;&lt;D xsi:type="xsd:double"&gt;6.079054&lt;/D&gt;&lt;D xsi:type="xsd:double"&gt;6.30455&lt;/D&gt;&lt;D xsi:type="xsd:double"&gt;15.944874&lt;/D&gt;&lt;D xsi:type="xsd:double"&gt;14.290535&lt;/D&gt;&lt;D xsi:type="xsd:double"&gt;24.486637&lt;/D&gt;&lt;D xsi:type="xsd:double"&gt;19.125319&lt;/D&gt;&lt;D xsi:type="xsd:double"&gt;15.894151&lt;/D&gt;&lt;D xsi:type="xsd:double"&gt;23.003054&lt;/D&gt;&lt;D xsi:type="xsd:double"&gt;20.048439&lt;/D&gt;&lt;D xsi:type="xsd:double"&gt;16.04755&lt;/D&gt;&lt;D xsi:type="xsd:double"&gt;12.780523&lt;/D&gt;&lt;D xsi:type="xsd:double"&gt;6.4453125&lt;/D&gt;&lt;D xsi:type="xsd:double"&gt;5.3826213&lt;/D&gt;&lt;D xsi:type="xsd:double"&gt;8.870935&lt;/D&gt;&lt;D xsi:type="xsd:double"&gt;-0.21230578&lt;/D&gt;&lt;D xsi:type="xsd:double"&gt;10.682285&lt;/D&gt;&lt;D xsi:type="xsd:double"&gt;1.893723&lt;/D&gt;&lt;D xsi:type="xsd:double"&gt;3.3406377&lt;/D&gt;&lt;D xsi:type="xsd:double"&gt;7.3292017&lt;/D&gt;&lt;D xsi:type="xsd:double"&gt;6.7233443&lt;/D&gt;&lt;D xsi:type="xsd:double"&gt;8.826447&lt;/D&gt;&lt;D xsi:type="xsd:double"&gt;12.359774&lt;/D&gt;&lt;D xsi:type="xsd:double"&gt;5.5152416&lt;/D&gt;&lt;D xsi:type="xsd:double"&gt;19.419098&lt;/D&gt;&lt;D xsi:type="xsd:double"&gt;14.179587&lt;/D&gt;&lt;D xsi:type="xsd:double"&gt;9.909069&lt;/D&gt;&lt;D xsi:type="xsd:double"&gt;21.161116&lt;/D&gt;&lt;D xsi:type="xsd:double"&gt;14.312053&lt;/D&gt;&lt;D xsi:type="xsd:double"&gt;24.866724&lt;/D&gt;&lt;D xsi:type="xsd:double"&gt;25.592005&lt;/D&gt;&lt;D xsi:type="xsd:double"&gt;19.017113&lt;/D&gt;&lt;D xsi:type="xsd:double"&gt;-16.82477&lt;/D&gt;&lt;D xsi:type="xsd:double"&gt;-2.377832&lt;/D&gt;&lt;D xsi:type="xsd:double"&gt;2.147007&lt;/D&gt;&lt;D xsi:type="xsd:double"&gt;10.935152&lt;/D&gt;&lt;D xsi:type="xsd:double"&gt;8.708692&lt;/D&gt;&lt;D xsi:type="xsd:double"&gt;18.05122&lt;/D&gt;&lt;D xsi:type="xsd:double"&gt;16.261625&lt;/D&gt;&lt;D xsi:type="xsd:double"&gt;18.294704&lt;/D&gt;&lt;D xsi:type="xsd:double"&gt;25.167679&lt;/D&gt;&lt;D xsi:type="xsd:double"&gt;19.526302&lt;/D&gt;&lt;D xsi:type="xsd:double"&gt;17.366196&lt;/D&gt;&lt;D xsi:type="xsd:double"&gt;15.592718&lt;/D&gt;&lt;D xsi:type="xsd:double"&gt;59.569298&lt;/D&gt;&lt;D xsi:type="xsd:double"&gt;36.742176&lt;/D&gt;&lt;D xsi:type="xsd:double"&gt;25.73756&lt;/D&gt;&lt;D xsi:type="xsd:double"&gt;12.058485&lt;/D&gt;&lt;D xsi:type="xsd:double"&gt;9.674692&lt;/D&gt;&lt;D xsi:type="xsd:double"&gt;2.309072&lt;/D&gt;&lt;D xsi:type="xsd:double"&gt;8.387637&lt;/D&gt;&lt;D xsi:type="xsd:double"&gt;3.9820433&lt;/D&gt;&lt;D xsi:type="xsd:double"&gt;-3.7010252&lt;/D&gt;&lt;D xsi:type="xsd:double"&gt;-13.658762&lt;/D&gt;&lt;D xsi:type="xsd:double"&gt;-12.335051&lt;/D&gt;&lt;D xsi:type="xsd:double"&gt;-15.3697195&lt;/D&gt;&lt;D xsi:type="xsd:double"&gt;-9.137684&lt;/D&gt;&lt;D xsi:type="xsd:double"&gt;-16.581238&lt;/D&gt;&lt;D xsi:type="xsd:double"&gt;-24.174864&lt;/D&gt;&lt;D xsi:type="xsd:double"&gt;-26.982515&lt;/D&gt;&lt;D xsi:type="xsd:double"&gt;-24.424744&lt;/D&gt;&lt;D xsi:type="xsd:double"&gt;-15.736037&lt;/D&gt;&lt;D xsi:type="xsd:double"&gt;-25.360292&lt;/D&gt;&lt;D xsi:type="xsd:double"&gt;-32.799&lt;/D&gt;&lt;D xsi:type="xsd:double"&gt;-21.633179&lt;/D&gt;&lt;D xsi:type="xsd:double"&gt;-14.105469&lt;/D&gt;&lt;D xsi:type="xsd:double"&gt;-8.438147&lt;/D&gt;&lt;D xsi:type="xsd:double"&gt;-4.373699&lt;/D&gt;&lt;D xsi:type="xsd:double"&gt;-11.11235&lt;/D&gt;&lt;D xsi:type="xsd:double"&gt;-4.2508545&lt;/D&gt;&lt;D xsi:type="xsd:double"&gt;10.555637&lt;/D&gt;&lt;D xsi:type="xsd:double"&gt;13.760889&lt;/D&gt;&lt;D xsi:type="xsd:double"&gt;12.149799&lt;/D&gt;&lt;D xsi:type="xsd:double"&gt;-6.284511&lt;/D&gt;&lt;D xsi:type="xsd:double"&gt;-1.753962&lt;/D&gt;&lt;D xsi:type="xsd:double"&gt;6.724012&lt;/D&gt;&lt;D xsi:type="xsd:double"&gt;-2.1520674&lt;/D&gt;&lt;D xsi:type="xsd:double"&gt;-0.99828243&lt;/D&gt;&lt;D xsi:type="xsd:double"&gt;-6.5208673&lt;/D&gt;&lt;D xsi:type="xsd:double"&gt;-7.915759&lt;/D&gt;&lt;D xsi:type="xsd:double"&gt;-5.045724&lt;/D&gt;&lt;D xsi:type="xsd:double"&gt;-8.26962&lt;/D&gt;&lt;D xsi:type="xsd:double"&gt;-6.632656&lt;/D&gt;&lt;D xsi:type="xsd:double"&gt;-3.1367898&lt;/D&gt;&lt;D xsi:type="xsd:double"&gt;-4.3855963&lt;/D&gt;&lt;D xsi:type="xsd:double"&gt;7.4403763&lt;/D&gt;&lt;D xsi:type="xsd:double"&gt;13.655663&lt;/D&gt;&lt;D xsi:type="xsd:double"&gt;17.636526&lt;/D&gt;&lt;/FQL&gt;&lt;FQL&gt;&lt;Q&gt;EWI^FMA_DIV_YLD(NTMA,-10AY,0,AM,"PORTAGG","MEANR")&lt;/Q&gt;&lt;R&gt;121&lt;/R&gt;&lt;C&gt;1&lt;/C&gt;&lt;D xsi:type="xsd:double"&gt;4.08857713429136&lt;/D&gt;&lt;D xsi:type="xsd:double"&gt;3.95670030768122&lt;/D&gt;&lt;D xsi:type="xsd:double"&gt;4.04591559274003&lt;/D&gt;&lt;D xsi:type="xsd:double"&gt;4.04382352170221&lt;/D&gt;&lt;D xsi:type="xsd:double"&gt;3.51855245144576&lt;/D&gt;&lt;D xsi:type="xsd:double"&gt;3.20481426593504&lt;/D&gt;&lt;D xsi:type="xsd:double"&gt;3.16458340530868&lt;/D&gt;&lt;D xsi:type="xsd:double"&gt;3.2073565135227&lt;/D&gt;&lt;D xsi:type="xsd:double"&gt;3.3747119323474&lt;/D&gt;&lt;D xsi:type="xsd:double"&gt;3.1554905469398&lt;/D&gt;&lt;D xsi:type="xsd:double"&gt;3.14940029098058&lt;/D&gt;&lt;D xsi:type="xsd:double"&gt;3.46852254345392&lt;/D&gt;&lt;D xsi:type="xsd:double"&gt;3.55207073737418&lt;/D&gt;&lt;D xsi:type="xsd:double"&gt;3.64272232206201&lt;/D&gt;&lt;D xsi:type="xsd:double"&gt;3.84886814215635&lt;/D&gt;&lt;D xsi:type="xsd:double"&gt;4.30985214745065&lt;/D&gt;&lt;D xsi:type="xsd:double"&gt;4.65445340435889&lt;/D&gt;&lt;D xsi:type="xsd:double"&gt;4.25994178135223&lt;/D&gt;&lt;D xsi:type="xsd:double"&gt;4.37673608520483&lt;/D&gt;&lt;D xsi:type="xsd:double"&gt;4.54468893858671&lt;/D&gt;&lt;D xsi:type="xsd:double"&gt;4.8366151161657&lt;/D&gt;&lt;D xsi:type="xsd:double"&gt;4.76228333906135&lt;/D&gt;&lt;D xsi:type="xsd:double"&gt;4.77295699418237&lt;/D&gt;&lt;D xsi:type="xsd:double"&gt;5.01482055046861&lt;/D&gt;&lt;D xsi:type="xsd:double"&gt;4.84665594127021&lt;/D&gt;&lt;D xsi:type="xsd:double"&gt;4.89782628578067&lt;/D&gt;&lt;D xsi:type="xsd:double"&gt;4.33500027503235&lt;/D&gt;&lt;D xsi:type="xsd:double"&gt;4.33217484498994&lt;/D&gt;&lt;D xsi:type="xsd:double"&gt;4.43891666415069&lt;/D&gt;&lt;D xsi:type="xsd:double"&gt;3.9863165802137&lt;/D&gt;&lt;D xsi:type="xsd:double"&gt;4.12601387645854&lt;/D&gt;&lt;D xsi:type="xsd:double"&gt;3.80973121205636&lt;/D&gt;&lt;D xsi:type="xsd:double"&gt;3.7853080044945&lt;/D&gt;&lt;D xsi:type="xsd:double"&gt;3.76468447782024&lt;/D&gt;&lt;D xsi:type="xsd:double"&gt;3.76372439793915&lt;/D&gt;&lt;D xsi:type="xsd:double"&gt;3.70665795433972&lt;/D&gt;&lt;D xsi:type="xsd:double"&gt;3.83142448340642&lt;/D&gt;&lt;D xsi:type="xsd:double"&gt;3.92266861476023&lt;/D&gt;&lt;D xsi:type="xsd:double"&gt;3.87702585838985&lt;/D&gt;&lt;D xsi:type="xsd:double"&gt;3.73747517532804&lt;/D&gt;&lt;D xsi:type="xsd:double"&gt;3.92503073918298&lt;/D&gt;&lt;D xsi:type="xsd:double"&gt;4.01384244607288&lt;/D&gt;&lt;D xsi:type="xsd:double"&gt;3.91327911618714&lt;/D&gt;&lt;D xsi:type="xsd:double"&gt;4.02712981032919&lt;/D&gt;&lt;D xsi:type="xsd:double"&gt;4.39188166948059&lt;/D&gt;&lt;D xsi:type="xsd:double"&gt;4.46401139120189&lt;/D&gt;&lt;D xsi:type="xsd:double"&gt;4.70533723590552&lt;/D&gt;&lt;D xsi:type="xsd:double"&gt;4.57409903242044&lt;/D&gt;&lt;D xsi:type="xsd:double"&gt;5.09041400903525&lt;/D&gt;&lt;D xsi:type="xsd:double"&gt;5.17219035349407&lt;/D&gt;&lt;D xsi:type="xsd:double"&gt;5.31942751395732&lt;/D&gt;&lt;D xsi:type="xsd:double"&gt;5.07212143979012&lt;/D&gt;&lt;D xsi:type="xsd:double"&gt;4.919361234089&lt;/D&gt;&lt;D xsi:type="xsd:double"&gt;4.70143356398454&lt;/D&gt;&lt;D xsi:type="xsd:double"&gt;4.60895623624655&lt;/D&gt;&lt;D xsi:type="xsd:double"&gt;4.82135189210368&lt;/D&gt;&lt;D xsi:type="xsd:double"&gt;4.84599681767759&lt;/D&gt;&lt;D xsi:type="xsd:double"&gt;4.66535107729266&lt;/D&gt;&lt;D xsi:type="xsd:double"&gt;5.10238955572681&lt;/D&gt;&lt;D xsi:type="xsd:double"&gt;4.76487166176215&lt;/D&gt;&lt;D xsi:type="xsd:double"&gt;4.70944685406451&lt;/D&gt;&lt;D xsi:type="xsd:double"&gt;4.53299130976608&lt;/D&gt;&lt;D xsi:type="xsd:double"&gt;4.46580460180627&lt;/D&gt;&lt;D xsi:type="xsd:double"&gt;4.40434774007868&lt;/D&gt;&lt;D xsi:type="xsd:double"&gt;4.39223103378862&lt;/D&gt;&lt;D xsi:type="xsd:double"&gt;7.01484104424483&lt;/D&gt;&lt;D xsi:type="xsd:double"&gt;5.83046663565817&lt;/D&gt;&lt;D xsi:type="xsd:double"&gt;4.95432522947276&lt;/D&gt;&lt;D xsi:type="xsd:double"&gt;4.29071472835945&lt;/D&gt;&lt;D xsi:type="xsd:double"&gt;4.19572870807577&lt;/D&gt;&lt;D xsi:type="xsd:double"&gt;3.97184911104098&lt;/D&gt;&lt;D xsi:type="xsd:double"&gt;4.09721807676856&lt;/D&gt;&lt;D xsi:type="xsd:double"&gt;4.13893151430475&lt;/D&gt;&lt;D xsi:type="xsd:double"&gt;3.94143905936604&lt;/D&gt;&lt;D xsi:type="xsd:double"&gt;3.95761846991395&lt;/D&gt;&lt;D xsi:type="xsd:double"&gt;3.9855176020305&lt;/D&gt;&lt;D xsi:type="xsd:double"&gt;4.04064660011001&lt;/D&gt;&lt;D xsi:type="xsd:double"&gt;4.01346324371236&lt;/D&gt;&lt;D xsi:type="xsd:double"&gt;4.06134480810066&lt;/D&gt;&lt;D xsi:type="xsd:double"&gt;4.16168156298897&lt;/D&gt;&lt;D xsi:type="xsd:double"&gt;4.11617877378006&lt;/D&gt;&lt;D xsi:type="xsd:double"&gt;4.24017078880966&lt;/D&gt;&lt;D xsi:type="xsd:double"&gt;4.30606917476732&lt;/D&gt;&lt;D xsi:type="xsd:double"&gt;4.54412784350503&lt;/D&gt;&lt;D xsi:type="xsd:double"&gt;4.43282955151366&lt;/D&gt;&lt;D xsi:type="xsd:double"&gt;4.32627135466019&lt;/D&gt;&lt;D xsi:type="xsd:double"&gt;4.69808614891234&lt;/D&gt;&lt;D xsi:type="xsd:double"&gt;4.63532669077181&lt;/D&gt;&lt;D xsi:type="xsd:double"&gt;4.87964102174215&lt;/D&gt;&lt;D xsi:type="xsd:double"&gt;5.2268303707849&lt;/D&gt;&lt;D xsi:type="xsd:double"&gt;5.0396047168005&lt;/D&gt;&lt;D xsi:type="xsd:double"&gt;5.18540972927764&lt;/D&gt;&lt;D xsi:type="xsd:double"&gt;5.82827541128323&lt;/D&gt;&lt;D xsi:type="xsd:double"&gt;6.01984708693832&lt;/D&gt;&lt;D xsi:type="xsd:double"&gt;5.54068392338247&lt;/D&gt;&lt;D xsi:type="xsd:double"&gt;5.64220026183468&lt;/D&gt;&lt;D xsi:type="xsd:double"&gt;5.9927189379172&lt;/D&gt;&lt;D xsi:type="xsd:double"&gt;5.43747334441652&lt;/D&gt;&lt;D xsi:type="xsd:double"&gt;5.93650648808106&lt;/D&gt;&lt;D xsi:type="xsd:double"&gt;5.42659505146563&lt;/D&gt;&lt;D xsi:type="xsd:double"&gt;5.39837307237516&lt;/D&gt;&lt;D xsi:type="xsd:double"&gt;5.76067849918915&lt;/D&gt;&lt;D xsi:type="xsd:double"&gt;5.29564947602393&lt;/D&gt;&lt;D xsi:</t>
        </r>
      </text>
    </comment>
    <comment ref="A14" authorId="0" shapeId="0" xr:uid="{4260F04C-716E-466B-BE77-2C2490C06BF4}">
      <text>
        <r>
          <rPr>
            <b/>
            <sz val="9"/>
            <color indexed="81"/>
            <rFont val="Tahoma"/>
            <charset val="1"/>
          </rPr>
          <t>type="xsd:double"&gt;5.58341402501358&lt;/D&gt;&lt;D xsi:type="xsd:double"&gt;5.31867044434659&lt;/D&gt;&lt;D xsi:type="xsd:double"&gt;5.24498636956616&lt;/D&gt;&lt;D xsi:type="xsd:double"&gt;5.66894183522519&lt;/D&gt;&lt;D xsi:type="xsd:double"&gt;5.42576097598712&lt;/D&gt;&lt;D xsi:type="xsd:double"&gt;5.60096260692307&lt;/D&gt;&lt;D xsi:type="xsd:double"&gt;5.48845698401944&lt;/D&gt;&lt;D xsi:type="xsd:double"&gt;5.49708591385233&lt;/D&gt;&lt;D xsi:type="xsd:double"&gt;5.42903126898852&lt;/D&gt;&lt;D xsi:type="xsd:double"&gt;5.44316417210731&lt;/D&gt;&lt;D xsi:type="xsd:double"&gt;5.16784054869348&lt;/D&gt;&lt;D xsi:type="xsd:double"&gt;5.26945550028821&lt;/D&gt;&lt;D xsi:type="xsd:double"&gt;5.09784050531865&lt;/D&gt;&lt;D xsi:type="xsd:double"&gt;5.45029776776204&lt;/D&gt;&lt;D xsi:type="xsd:double"&gt;5.27322106486263&lt;/D&gt;&lt;D xsi:type="xsd:double"&gt;5.47539170856396&lt;/D&gt;&lt;D xsi:type="xsd:double"&gt;5.39221575166983&lt;/D&gt;&lt;D xsi:type="xsd:double"&gt;5.08793066924611&lt;/D&gt;&lt;/FQL&gt;&lt;FQL&gt;&lt;Q&gt;EWN^FMA_PE(NTMA,-10AY,0,AM,"PORTAGG","MEANR")&lt;/Q&gt;&lt;R&gt;121&lt;/R&gt;&lt;C&gt;1&lt;/C&gt;&lt;D xsi:type="xsd:double"&gt;13.5006858606735&lt;/D&gt;&lt;D xsi:type="xsd:double"&gt;14.9030491055146&lt;/D&gt;&lt;D xsi:type="xsd:double"&gt;14.683577048972&lt;/D&gt;&lt;D xsi:type="xsd:double"&gt;15.0926858747339&lt;/D&gt;&lt;D xsi:type="xsd:double"&gt;16.2342555722826&lt;/D&gt;&lt;D xsi:type="xsd:double"&gt;17.5219300119249&lt;/D&gt;&lt;D xsi:type="xsd:double"&gt;17.1777104831432&lt;/D&gt;&lt;D xsi:type="xsd:double"&gt;16.8821202677832&lt;/D&gt;&lt;D xsi:type="xsd:double"&gt;16.1688485196385&lt;/D&gt;&lt;D xsi:type="xsd:double"&gt;17.0950567755387&lt;/D&gt;&lt;D xsi:type="xsd:double"&gt;16.0785690798329&lt;/D&gt;&lt;D xsi:type="xsd:double"&gt;14.5339075503058&lt;/D&gt;&lt;D xsi:type="xsd:double"&gt;15.1715846055331&lt;/D&gt;&lt;D xsi:type="xsd:double"&gt;16.2399283242846&lt;/D&gt;&lt;D xsi:type="xsd:double"&gt;15.392730635689&lt;/D&gt;&lt;D xsi:type="xsd:double"&gt;14.1271977719314&lt;/D&gt;&lt;D xsi:type="xsd:double"&gt;14.3664811030354&lt;/D&gt;&lt;D xsi:type="xsd:double"&gt;15.3854813962068&lt;/D&gt;&lt;D xsi:type="xsd:double"&gt;15.3722621281522&lt;/D&gt;&lt;D xsi:type="xsd:double"&gt;14.7553358232917&lt;/D&gt;&lt;D xsi:type="xsd:double"&gt;13.9513203304134&lt;/D&gt;&lt;D xsi:type="xsd:double"&gt;14.5424199433114&lt;/D&gt;&lt;D xsi:type="xsd:double"&gt;14.8481458969402&lt;/D&gt;&lt;D xsi:type="xsd:double"&gt;14.4750377367676&lt;/D&gt;&lt;D xsi:type="xsd:double"&gt;14.8255191725871&lt;/D&gt;&lt;D xsi:type="xsd:double"&gt;14.5486188107582&lt;/D&gt;&lt;D xsi:type="xsd:double"&gt;14.946536712276&lt;/D&gt;&lt;D xsi:type="xsd:double"&gt;14.9759024964651&lt;/D&gt;&lt;D xsi:type="xsd:double"&gt;15.6782842710407&lt;/D&gt;&lt;D xsi:type="xsd:double"&gt;16.0975580919081&lt;/D&gt;&lt;D xsi:type="xsd:double"&gt;15.9751344097462&lt;/D&gt;&lt;D xsi:type="xsd:double"&gt;16.2245195766043&lt;/D&gt;&lt;D xsi:type="xsd:double"&gt;16.0596069330318&lt;/D&gt;&lt;D xsi:type="xsd:double"&gt;15.8850028793428&lt;/D&gt;&lt;D xsi:type="xsd:double"&gt;15.7735999655174&lt;/D&gt;&lt;D xsi:type="xsd:double"&gt;15.93940672107&lt;/D&gt;&lt;D xsi:type="xsd:double"&gt;16.2835671887699&lt;/D&gt;&lt;D xsi:type="xsd:double"&gt;15.9378221525605&lt;/D&gt;&lt;D xsi:type="xsd:double"&gt;16.2159428409939&lt;/D&gt;&lt;D xsi:type="xsd:double"&gt;16.3954278019766&lt;/D&gt;&lt;D xsi:type="xsd:double"&gt;15.5175437484168&lt;/D&gt;&lt;D xsi:type="xsd:double"&gt;15.691995133409&lt;/D&gt;&lt;D xsi:type="xsd:double"&gt;15.7270590226948&lt;/D&gt;&lt;D xsi:type="xsd:double"&gt;15.8355442174791&lt;/D&gt;&lt;D xsi:type="xsd:double"&gt;15.8622472241377&lt;/D&gt;&lt;D xsi:type="xsd:double"&gt;15.9415113954696&lt;/D&gt;&lt;D xsi:type="xsd:double"&gt;15.3546322799965&lt;/D&gt;&lt;D xsi:type="xsd:double"&gt;14.9456159280396&lt;/D&gt;&lt;D xsi:type="xsd:double"&gt;14.166412309166&lt;/D&gt;&lt;D xsi:type="xsd:double"&gt;14.1917440632078&lt;/D&gt;&lt;D xsi:type="xsd:double"&gt;13.3865622334263&lt;/D&gt;&lt;D xsi:type="xsd:double"&gt;13.6370287671703&lt;/D&gt;&lt;D xsi:type="xsd:double"&gt;14.8547936676726&lt;/D&gt;&lt;D xsi:type="xsd:double"&gt;15.2838637875516&lt;/D&gt;&lt;D xsi:type="xsd:double"&gt;15.7626743854562&lt;/D&gt;&lt;D xsi:type="xsd:double"&gt;15.3786629098857&lt;/D&gt;&lt;D xsi:type="xsd:double"&gt;15.3988379851846&lt;/D&gt;&lt;D xsi:type="xsd:double"&gt;15.7068225553813&lt;/D&gt;&lt;D xsi:type="xsd:double"&gt;15.0658976462051&lt;/D&gt;&lt;D xsi:type="xsd:double"&gt;16.2763294823196&lt;/D&gt;&lt;D xsi:type="xsd:double"&gt;16.1260344326453&lt;/D&gt;&lt;D xsi:type="xsd:double"&gt;16.7432385521015&lt;/D&gt;&lt;D xsi:type="xsd:double"&gt;17.0438436650986&lt;/D&gt;&lt;D xsi:type="xsd:double"&gt;17.361706253399&lt;/D&gt;&lt;D xsi:type="xsd:double"&gt;18.0335281735372&lt;/D&gt;&lt;D xsi:type="xsd:double"&gt;11.8970902132664&lt;/D&gt;&lt;D xsi:type="xsd:double"&gt;16.3937242705573&lt;/D&gt;&lt;D xsi:type="xsd:double"&gt;17.6065996937205&lt;/D&gt;&lt;D xsi:type="xsd:double"&gt;19.5781378740957&lt;/D&gt;&lt;D xsi:type="xsd:double"&gt;20.1912885634275&lt;/D&gt;&lt;D xsi:type="xsd:double"&gt;19.89999405733&lt;/D&gt;&lt;D xsi:type="xsd:double"&gt;19.4091159686511&lt;/D&gt;&lt;D xsi:type="xsd:double"&gt;19.9240630826034&lt;/D&gt;&lt;D xsi:type="xsd:double"&gt;20.605510596802&lt;/D&gt;&lt;D xsi:type="xsd:double"&gt;20.6496805185682&lt;/D&gt;&lt;D xsi:type="xsd:double"&gt;21.2620503251552&lt;/D&gt;&lt;D xsi:type="xsd:double"&gt;22.2857601894375&lt;/D&gt;&lt;D xsi:type="xsd:double"&gt;21.8722802828734&lt;/D&gt;&lt;D xsi:type="xsd:double"&gt;22.8318427884251&lt;/D&gt;&lt;D xsi:type="xsd:double"&gt;21.1907552037528&lt;/D&gt;&lt;D xsi:type="xsd:double"&gt;21.1612010807824&lt;/D&gt;&lt;D xsi:type="xsd:double"&gt;21.0801283769239&lt;/D&gt;&lt;D xsi:type="xsd:double"&gt;21.6417748098538&lt;/D&gt;&lt;D xsi:type="xsd:double"&gt;21.5889950443131&lt;/D&gt;&lt;D xsi:type="xsd:double"&gt;20.790116625714&lt;/D&gt;&lt;D xsi:type="xsd:double"&gt;21.6615817873472&lt;/D&gt;&lt;D xsi:type="xsd:double"&gt;19.7594201591511&lt;/D&gt;&lt;D xsi:type="xsd:double"&gt;19.4865764068741&lt;/D&gt;&lt;D xsi:type="xsd:double"&gt;18.042736246988&lt;/D&gt;&lt;D xsi:type="xsd:double"&gt;18.1348975286223&lt;/D&gt;&lt;D xsi:type="xsd:double"&gt;17.6668427365227&lt;/D&gt;&lt;D xsi:type="xsd:double"&gt;16.6692931391149&lt;/D&gt;&lt;D xsi:type="xsd:double"&gt;15.4267058467541&lt;/D&gt;&lt;D xsi:type="xsd:double"&gt;16.4101596889021&lt;/D&gt;&lt;D xsi:type="xsd:double"&gt;17.6811032171834&lt;/D&gt;&lt;D xsi:type="xsd:double"&gt;15.4635639000286&lt;/D&gt;&lt;D xsi:type="xsd:double"&gt;14.4445692529674&lt;/D&gt;&lt;D xsi:type="xsd:double"&gt;16.4331000055177&lt;/D&gt;&lt;D xsi:type="xsd:double"&gt;15.7371947614159&lt;/D&gt;&lt;D xsi:type="xsd:double"&gt;17.0279588798126&lt;/D&gt;&lt;D xsi:type="xsd:double"&gt;17.0390918366177&lt;/D&gt;&lt;D xsi:type="xsd:double"&gt;15.7458410391421&lt;/D&gt;&lt;D xsi:type="xsd:double"&gt;16.3422238846554&lt;/D&gt;&lt;D xsi:type="xsd:double"&gt;15.8726399774513&lt;/D&gt;&lt;D xsi:type="xsd:double"&gt;15.8420191653538&lt;/D&gt;&lt;D xsi:type="xsd:double"&gt;16.0967645361464&lt;/D&gt;&lt;D xsi:type="xsd:double"&gt;14.6772240303892&lt;/D&gt;&lt;D xsi:type="xsd:double"&gt;13.8706107530294&lt;/D&gt;&lt;D xsi:type="xsd:double"&gt;13.3187963763136&lt;/D&gt;&lt;D xsi:type="xsd:double"&gt;14.6723318452394&lt;/D&gt;&lt;D xsi:type="xsd:double"&gt;15.1433790468815&lt;/D&gt;&lt;D xsi:type="xsd:double"&gt;14.821213240918&lt;/D&gt;&lt;D xsi:type="xsd:double"&gt;16.3751148072778&lt;/D&gt;&lt;D xsi:type="xsd:double"&gt;15.955443347711&lt;/D&gt;&lt;D xsi:type="xsd:double"&gt;15.6088142779454&lt;/D&gt;&lt;D xsi:type="xsd:double"&gt;16.367096928352&lt;/D&gt;&lt;D xsi:type="xsd:double"&gt;16.6024624325437&lt;/D&gt;&lt;D xsi:type="xsd:double"&gt;15.9720924847561&lt;/D&gt;&lt;D xsi:type="xsd:double"&gt;15.1440599613331&lt;/D&gt;&lt;D xsi:type="xsd:double"&gt;14.718019825111&lt;/D&gt;&lt;D xsi:type="xsd:double"&gt;14.7712298428494&lt;/D&gt;&lt;/FQL&gt;&lt;FQL&gt;&lt;Q&gt;SPY^FMA_PE(LTMA,-10AY,0,AM,"PORTAGG","MEANR")&lt;/Q&gt;&lt;R&gt;121&lt;/R&gt;&lt;C&gt;1&lt;/C&gt;&lt;D xsi:type="xsd:double"&gt;15.8473913586229&lt;/D&gt;&lt;D xsi:type="xsd:double"&gt;16.9839570321396&lt;/D&gt;&lt;D xsi:type="xsd:double"&gt;17.2765939902662&lt;/D&gt;&lt;D xsi:type="xsd:double"&gt;16.9591436776908&lt;/D&gt;&lt;D xsi:type="xsd:double"&gt;17.5575503992601&lt;/D&gt;&lt;D xsi:type="xsd:double"&gt;17.5683662017921&lt;/D&gt;&lt;D xsi:type="xsd:double"&gt;17.5202825073247&lt;/D&gt;&lt;D xsi:type="xsd:double"&gt;17.5924823243729&lt;/D&gt;&lt;D xsi:type="xsd:double"&gt;17.559150815921&lt;/D&gt;&lt;D xsi:type="xsd:double"&gt;17.6302497900012&lt;/D&gt;&lt;D xsi:type="xsd:double"&gt;17.4986249700203&lt;/D&gt;&lt;D xsi:type="xsd:double"&gt;16.7007234873084&lt;/D&gt;&lt;D xsi:type="xsd:double"&gt;17.1847933276884&lt;/D&gt;&lt;D xsi:type="xsd:double"&gt;17.4520700352513&lt;/D&gt;&lt;D xsi:type="xsd:double"&gt;16.8174984182461&lt;/D&gt;&lt;D xsi:type="xsd:double"&gt;15.7767110477485&lt;/D&gt;&lt;D xsi:type="xsd:double"&gt;16.2966838906097&lt;/D&gt;&lt;D xsi:type="xsd:double"&gt;16.18819342752&lt;/D&gt;&lt;D xsi:type="xsd:double"&gt;16.4452153070474&lt;/D&gt;&lt;D xsi:type="xsd:double"&gt;16.565182572191&lt;/D&gt;&lt;D xsi:type="xsd:double"&gt;16.7256261745427&lt;/D&gt;&lt;D xsi:type="xsd:double"&gt;17.2894754103028&lt;/D&gt;&lt;D xsi:type="xsd:double"&gt;17.5723674264573&lt;/D&gt;&lt;D xsi:type="xsd:double"&gt;17.4840399970967&lt;/D&gt;&lt;D xsi:type="xsd:double"&gt;17.6355201346223&lt;/D&gt;&lt;D xsi:type="xsd:double"&gt;18.0617103989256&lt;/D&gt;&lt;D xsi:type="xsd:double"&gt;18.8285687523753&lt;/D&gt;&lt;D xsi:type="xsd:double"&gt;18.9709463813224&lt;/D&gt;&lt;D xsi:type="xsd:double"&gt;19.4499488578833&lt;/D&gt;&lt;D xsi:type="xsd:double"&gt;19.4355308648251&lt;/D&gt;&lt;D xsi:type="xsd:double"&gt;19.2032882911726&lt;/D&gt;&lt;D xsi:type="xsd:double"&gt;19.0843829449953&lt;/D&gt;&lt;D xsi:type="xsd:double"&gt;19.1742879317122&lt;/D&gt;&lt;D xsi:type="xsd:double"&gt;19.1976785228623&lt;/D&gt;&lt;D xsi:type="xsd:double"&gt;18.8952078804336&lt;/D&gt;&lt;D xsi:type="xsd:double"&gt;19.243103066265&lt;/D&gt;&lt;D xsi:type="xsd:double"&gt;19.5748568147634&lt;/D&gt;&lt;D xsi:type="xsd:double"&gt;19.5710537212846&lt;/D&gt;&lt;D xsi:type="xsd:double"&gt;20.3668225624892&lt;/D&gt;&lt;D xsi:type="xsd:double"&gt;21.0171057257661&lt;/D&gt;&lt;D xsi:type="xsd:double"&gt;20.0308807036986&lt;/D&gt;&lt;D xsi:type="xsd:double"&gt;19.7085349609422&lt;/D&gt;&lt;D xsi:type="xsd:double"&gt;19.3628745059458&lt;/D&gt;&lt;D xsi:type="xsd:double"&gt;19.0089893537816&lt;/D&gt;&lt;D xsi:type="xsd:double"&gt;18.8869877058729&lt;/D&gt;&lt;D xsi:type="xsd:double"&gt;18.7474380549928&lt;/D&gt;&lt;D xsi:type="xsd:double"&gt;18.5936275063908&lt;/D&gt;&lt;D xsi:type="xsd:double"&gt;18.5906262493504&lt;/D&gt;&lt;D xsi:type="xsd:double"&gt;17.7663211759576&lt;/D&gt;&lt;D xsi:type="xsd:double"&gt;17.2553677944083&lt;/D&gt;&lt;D xsi:type="xsd:double"&gt;15.8526766815773&lt;/D&gt;&lt;D xsi:type="xsd:double"&gt;16.5224888589966&lt;/D&gt;&lt;D xsi:type="xsd:double"&gt;17.0772159171718&lt;/D&gt;&lt;D xsi:type="xsd:double"&gt;17.1452726974594&lt;/D&gt;&lt;D xsi:type="xsd:double"&gt;17.2409943389753&lt;/D&gt;&lt;D xsi:type="xsd:double"&gt;17.1403868413901&lt;/D&gt;&lt;D xsi:type="xsd:double"&gt;17.3272861242078&lt;/D&gt;&lt;D xsi:type="xsd:double"&gt;17.6734438118933&lt;/D&gt;&lt;D xsi:type="xsd:double"&gt;17.3653734233629&lt;/D&gt;&lt;D xsi:type="xsd:double"&gt;17.9191072426374&lt;/D&gt;&lt;D xsi:type="xsd:double"&gt;18.0382962312643&lt;/D&gt;&lt;D xsi:type="xsd:double"&gt;18.8635412995551&lt;/D&gt;&lt;D xsi:type="xsd:double"&gt;19.5071164455252&lt;/D&gt;&lt;D xsi:type="xsd:double"&gt;20.4344992799994&lt;/D&gt;&lt;D xsi:type="xsd:double"&gt;20.4516342480632&lt;/D&gt;&lt;D xsi:type="xsd:double"&gt;17.2614710354629&lt;/D&gt;&lt;D xsi:type="xsd:double"&gt;18.799060674036&lt;/D&gt;&lt;D xsi:type="xsd:double"&gt;19.9359887115118&lt;/D&gt;&lt;D xsi:type="xsd:double"&gt;21.0158792850789&lt;/D&gt;&lt;D xsi:type="xsd:double"&gt;22.0250041570218&lt;/D&gt;&lt;D xsi:type="xsd:double"&gt;22.9178723269846&lt;/D&gt;&lt;D xsi:type="xsd:double"&gt;23.0510287002918&lt;/D&gt;&lt;D xsi:type="xsd:double"&gt;24.3645954499391&lt;/D&gt;&lt;D xsi:type="xsd:double"&gt;24.776521367301&lt;/D&gt;&lt;D xsi:type="xsd:double"&gt;26.2505407827323&lt;/D&gt;&lt;D xsi:type="xsd:double"&gt;27.1287536183282&lt;/D&gt;&lt;D xsi:type="xsd:double"&gt;27.1849261113397&lt;/D&gt;&lt;D xsi:type="xsd:double"&gt;26.0994050864702&lt;/D&gt;&lt;D xsi:type="xsd:double"&gt;25.9954651244375&lt;/D&gt;&lt;D xsi:type="xsd:double"&gt;25.148344538101&lt;/D&gt;&lt;D xsi:type="xsd:double"&gt;24.6836793275577&lt;/D&gt;&lt;D xsi:type="xsd:double"&gt;24.5509956554195&lt;/D&gt;&lt;D xsi:type="xsd:double"&gt;23.8162220206947&lt;/D&gt;&lt;D xsi:type="xsd:double"&gt;23.491480692137&lt;/D&gt;&lt;D xsi:type="xsd:double"&gt;23.1978579561332&lt;/D&gt;&lt;D xsi:type="xsd:double"&gt;23.4089332559287&lt;/D&gt;&lt;D xsi:type="xsd:double"&gt;22.6499193502638&lt;/D&gt;&lt;D xsi:type="xsd:double"&gt;22.1718898806095&lt;/D&gt;&lt;D xsi:type="xsd:double"&gt;20.6739850103871&lt;/D&gt;&lt;D xsi:type="xsd:double"&gt;20.6906518605917&lt;/D&gt;&lt;D xsi:type="xsd:double"&gt;20.4350244403419&lt;/D&gt;&lt;D xsi:type="xsd:double"&gt;19.5124767038431&lt;/D&gt;&lt;D xsi:type="xsd:double"&gt;18.6617657739647&lt;/D&gt;&lt;D xsi:type="xsd:double"&gt;18.6439566708645&lt;/D&gt;&lt;D xsi:type="xsd:double"&gt;19.674419343805&lt;/D&gt;&lt;D xsi:type="xsd:double"&gt;18.2616895192345&lt;/D&gt;&lt;D xsi:type="xsd:double"&gt;17.5875472677184&lt;/D&gt;&lt;D xsi:type="xsd:double"&gt;18.2999252024137&lt;/D&gt;&lt;D xsi:type="xsd:double"&gt;17.5851734932016&lt;/D&gt;&lt;D xsi:type="xsd:double"&gt;17.8283203883398&lt;/D&gt;&lt;D xsi:type="xsd:double"&gt;18.5242311270087&lt;/D&gt;&lt;D xsi:type="xsd:double"&gt;17.9933580282209&lt;/D&gt;&lt;D xsi:type="xsd:double"&gt;18.3188032293423&lt;/D&gt;&lt;D xsi:type="xsd:double"&gt;18.4346585026908&lt;/D&gt;&lt;D xsi:type="xsd:double"&gt;18.9213240518089&lt;/D&gt;&lt;D xsi:type="xsd:double"&gt;19.5975359477827&lt;/D&gt;&lt;D xsi:type="xsd:double"&gt;19.1139142203233&lt;/D&gt;&lt;D xsi:type="xsd:double"&gt;19.5461280029182&lt;/D&gt;&lt;D xsi:type="xsd:double"&gt;19.2923098739318&lt;/D&gt;&lt;D xsi:type="xsd:double"&gt;20.1668935716268&lt;/D&gt;&lt;D xsi:type="xsd:double"&gt;21.4524095684819&lt;/D&gt;&lt;D xsi:type="xsd:double"&gt;21.8400218804837&lt;/D&gt;&lt;D xsi:type="xsd:double"&gt;22.454997163971&lt;/D&gt;&lt;D xsi:type="xsd:double"&gt;22.7192386942893&lt;/D&gt;&lt;D xsi:type="xsd:double"&gt;22.3947427507409&lt;/D&gt;&lt;D xsi:type="xsd:double"&gt;22.6102254501511&lt;/D&gt;&lt;D xsi:type="xsd:double"&gt;22.809049046764&lt;/D&gt;&lt;D xsi:type="xsd:double"&gt;22.9482897979456&lt;/D&gt;&lt;D xsi:type="xsd:double"&gt;23.0002758078716&lt;/D&gt;&lt;D xsi:type="xsd:double"&gt;23.1829048012913&lt;/D&gt;&lt;D xsi:type="xsd:double"&gt;24.1414723340094&lt;/D&gt;&lt;/FQL&gt;&lt;FQL&gt;&lt;Q&gt;DDR3512M-FDS^FG_PRICE_MAVG(0,,,,30)&lt;/Q&gt;&lt;R&gt;1&lt;/R&gt;&lt;C&gt;1&lt;/C&gt;&lt;D xsi:type="xsd:double"&gt;0.8775117&lt;/D&gt;&lt;/FQL&gt;&lt;FQL&gt;&lt;Q&gt;PASP-FDS^FG_PRICE_MAVG(0,,,,30)&lt;/Q&gt;&lt;R&gt;1&lt;/R&gt;&lt;C&gt;1&lt;/C&gt;&lt;D xsi:type="xsd:double"&gt;1042.1&lt;/D&gt;&lt;/FQL&gt;&lt;FQL&gt;&lt;Q&gt;EWI^FMA_ROE(NTMA,-20AY,NOW,FY,"PORTAGG","MEANR")&lt;/Q&gt;&lt;R&gt;20&lt;/R&gt;&lt;C&gt;1&lt;/C&gt;&lt;D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xsi:type="xsd:double"&gt;1.211&lt;/D&gt;&lt;/FQL&gt;&lt;FQL&gt;&lt;Q&gt;EWQ^FG_ROE(0)&lt;/Q&gt;&lt;R&gt;1&lt;/R&gt;&lt;C&gt;1&lt;/C&gt;&lt;D xsi:type="xsd:double"&gt;12.056276614805&lt;/D&gt;&lt;/FQL&gt;&lt;FQL&gt;&lt;Q&gt;TRYNL10Y-FDS^PCTCHG(FG_YIELD(0,,,,"YTM"),FG_YIELD(-1AM,,,,"YTM"))&lt;/Q&gt;&lt;R&gt;1&lt;/R&gt;&lt;C&gt;1&lt;/C&gt;&lt;D xsi:type="xsd:double"&gt;-1.1272093&lt;/D&gt;&lt;/FQL&gt;&lt;FQL&gt;&lt;Q&gt;TRYCA10Y-FDS^PCTCHG(FG_YIELD(0,,,,"YTM"),FG_YIELD(-1AM,,,,"YTM"))&lt;/Q&gt;&lt;R&gt;1&lt;/R&gt;&lt;C&gt;1&lt;/C&gt;&lt;D xsi:type="xsd:double"&gt;8.28661&lt;/D&gt;&lt;/FQL&gt;&lt;FQL&gt;&lt;Q&gt;TRYNZ10Y-FDS^FG_YIELD_NAME&lt;/Q&gt;&lt;R&gt;1&lt;/R&gt;&lt;C&gt;1&lt;/C&gt;&lt;D xsi:type="xsd:string"&gt;New Zealand Benchmark Bond - 10 Year&lt;/D&gt;&lt;/FQL&gt;&lt;FQL&gt;&lt;Q&gt;EWI^FMA_PE(NTMA,0,,,"PORTAGG","MEANR")&lt;/Q&gt;&lt;R&gt;1&lt;/R&gt;&lt;C&gt;1&lt;/C&gt;&lt;D xsi:type="xsd:double"&gt;10.5741868540631&lt;/D&gt;&lt;/FQL&gt;&lt;FQL&gt;&lt;Q&gt;EWN^JULIAN(FMA_DIV_YLD(NTMA,NOW,NOW,M,"PORTAGG","MEANR").DATES)&lt;/Q&gt;&lt;R&gt;1&lt;/R&gt;&lt;C&gt;1&lt;/C&gt;&lt;D xsi:type="xsd:long"&gt;45565&lt;/D&gt;&lt;/FQL&gt;&lt;FQL&gt;&lt;Q&gt;QQQ^FMA_EVAL_EBITDA(NTMA,0,,,"PORTAGG","MEANR")&lt;/Q&gt;&lt;R&gt;1&lt;/R&gt;&lt;C&gt;1&lt;/C&gt;&lt;D xsi:type="xsd:double"&gt;16.6670075865554&lt;/D&gt;&lt;/FQL&gt;&lt;FQL&gt;&lt;Q&gt;EWG^FMA_PE(LTM,0,,,"PORTAGG","MEANR")&lt;/Q&gt;&lt;R&gt;1&lt;/R&gt;&lt;C&gt;1&lt;/C&gt;&lt;D xsi:type="xsd:double"&gt;15.4043631702557&lt;/D&gt;&lt;/FQL&gt;&lt;FQL&gt;&lt;Q&gt;QQQ^P_PRICE(0)/P_PRICE_HIGH_PR(0,,,USD,,,"PRICE","INTRA","52W")&lt;/Q&gt;&lt;R&gt;1&lt;/R&gt;&lt;C&gt;1&lt;/C&gt;&lt;D xsi:type="xsd:double"&gt;0.9820266&lt;/D&gt;&lt;/FQL&gt;&lt;FQL&gt;&lt;Q&gt;EWN^FMA_RBICS_REV_CURRENT(30, LOC, "PORTAGG")&lt;/Q&gt;&lt;R&gt;1&lt;/R&gt;&lt;C&gt;1&lt;/C&gt;&lt;D xsi:type="xsd:double"&gt;26.6800733680609&lt;/D&gt;&lt;/FQL&gt;&lt;FQL&gt;&lt;Q&gt;CC_SE^IMF_IFS_RCPI_Q(0)&lt;/Q&gt;&lt;R&gt;0&lt;/R&gt;&lt;C&gt;0&lt;/C&gt;&lt;/FQL&gt;&lt;FQL&gt;&lt;Q&gt;VWO^FG_PE_NTM(0,,,90,0)&lt;/Q&gt;&lt;R&gt;1&lt;/R&gt;&lt;C&gt;1&lt;/C&gt;&lt;D xsi:type="xsd:double"&gt;12.8414875718824&lt;/D&gt;&lt;/FQL&gt;&lt;FQL&gt;&lt;Q&gt;EWI^JULIAN(FMA_DIV_YLD(NTMA,NOW,NOW,M,"PORTAGG","MEANR").DATES)&lt;/Q&gt;&lt;R&gt;1&lt;/R&gt;&lt;C&gt;1&lt;/C&gt;&lt;D xsi:type="xsd:long"&gt;45565&lt;/D&gt;&lt;/FQL&gt;&lt;FQL&gt;&lt;Q&gt;EWL^FMA_PE(LTM,0,,,"PORTAGG","MEANR")&lt;/Q&gt;&lt;R&gt;1&lt;/R&gt;&lt;C&gt;1&lt;/C&gt;&lt;D xsi:type="xsd:double"&gt;20.7895497472477&lt;/D&gt;&lt;/FQL&gt;&lt;FQL&gt;&lt;Q&gt;REFCATARG-FDS^FG_YIELD(NOW,,,0)&lt;/Q&gt;&lt;R&gt;1&lt;/R&gt;&lt;C&gt;1&lt;/C&gt;&lt;D xsi:type="xsd:double"&gt;4.25&lt;/D&gt;&lt;/FQL&gt;&lt;FQL&gt;&lt;Q&gt;EWQ^FG_PRICE(0)&lt;/Q&gt;&lt;R&gt;1&lt;/R&gt;&lt;C&gt;1&lt;/C&gt;&lt;D xsi:type="xsd:double"&gt;39.25&lt;/D&gt;&lt;/FQL&gt;&lt;FQL&gt;&lt;Q&gt;URTH^FG_TOTAL_RETURNC(0,-1AM)&lt;/Q&gt;&lt;R&gt;1&lt;/R&gt;&lt;C&gt;1&lt;/C&gt;&lt;D xsi:type="xsd:double"&gt;3.5226464&lt;/D&gt;&lt;/FQL&gt;&lt;FQL&gt;&lt;Q&gt;EWL^FG_TOTAL_RETURNC(0,-1AM)&lt;/Q&gt;&lt;R&gt;1&lt;/R&gt;&lt;C&gt;1&lt;/C&gt;&lt;D xsi:type="xsd:double"&gt;0.6841302&lt;/D&gt;&lt;/FQL&gt;&lt;FQL&gt;&lt;Q&gt;REFAUCASH-FDS^(SUBARRAY(NOT_NA(NO_REPEAT_F(FG_YIELD(NOW,-10AY,D))),0,1)-SUBARRAY(NOT_NA(NO_REPEAT_F(FG_YIELD(NOW,-10AY,D))),1,1))*100&lt;/Q&gt;&lt;R&gt;1&lt;/R&gt;&lt;C&gt;1&lt;/C&gt;&lt;D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xsi:type="xsd:double"&gt;25&lt;/D&gt;&lt;/FQL&gt;&lt;FQL&gt;&lt;Q&gt;TRYFR10Y-FDS^FG_YIELD_NAME&lt;/Q&gt;&lt;R&gt;1&lt;/R&gt;&lt;C&gt;1&lt;/C&gt;&lt;D xsi:type="xsd:string"&gt;France Benchmark Bond - 10 Year&lt;/D&gt;&lt;/FQL&gt;&lt;FQL&gt;&lt;Q&gt;VGK^FMA_DIV_YLD(NTMA,NOW,NOW,M,"PORTAGG","MEANR")&lt;/Q&gt;&lt;R&gt;1&lt;/R&gt;&lt;C&gt;1&lt;/C&gt;&lt;D xsi:type="xsd:double"&gt;3.45848200051206&lt;/D&gt;&lt;/FQL&gt;&lt;FQL&gt;&lt;Q&gt;SPY^FMA_PE(LTM,0,,,"PORTAGG","MEANR")&lt;/Q&gt;&lt;R&gt;1&lt;/R&gt;&lt;C&gt;1&lt;/C&gt;&lt;D xsi:type="xsd:double"&gt;27.3830814376741&lt;/D&gt;&lt;/FQL&gt;&lt;FQL&gt;&lt;Q&gt;EWC^FMA_PE(LTM,0,,,"PORTAGG","MEANR")&lt;/Q&gt;&lt;R&gt;1&lt;/R&gt;&lt;C&gt;1&lt;/C&gt;&lt;D xsi:type="xsd:double"&gt;19.0989910593884&lt;/D&gt;&lt;/FQL&gt;&lt;FQL&gt;&lt;Q&gt;SPY^JULIAN(FMA_DIV_YLD(NTMA,NOW,NOW,M,"PORTAGG","MEANR").DATES)&lt;/Q&gt;&lt;R&gt;1&lt;/R&gt;&lt;C&gt;1&lt;/C&gt;&lt;D xsi:type="xsd:long"&gt;45565&lt;/D&gt;&lt;/FQL&gt;&lt;FQL&gt;&lt;Q&gt;EWJ^FMA_PE(NTMA,-10AY,0,AM,"PORTAGG","MEANR")&lt;/Q&gt;&lt;R&gt;121&lt;/R&gt;&lt;C&gt;1&lt;/C&gt;&lt;D xsi:type="xsd:double"&gt;12.415970232638&lt;/D&gt;&lt;D xsi:type="xsd:double"&gt;14.534203679458&lt;/D&gt;&lt;D xsi:type="xsd:double"&gt;14.0048116716979&lt;/D&gt;&lt;D xsi:type="xsd:double"&gt;13.7228271357823&lt;/D&gt;&lt;D xsi:type="xsd:double"&gt;14.7298146451068&lt;/D&gt;&lt;D xsi:type="xsd:double"&gt;15.6356368792858&lt;/D&gt;&lt;D xsi:type="xsd:double"&gt;15.6274564646433&lt;/D&gt;&lt;D xsi:type="xsd:double"&gt;16.0534259287465&lt;/D&gt;&lt;D xsi:type="xsd:double"&gt;15.4071663000587&lt;/D&gt;&lt;D xsi:type="xsd:double"&gt;15.6311543919345&lt;/D&gt;&lt;D xsi:type="xsd:double"&gt;15.4942678622726&lt;/D&gt;&lt;D xsi:type="xsd:double"&gt;13.4773772927952&lt;/D&gt;&lt;D xsi:type="xsd:double"&gt;13.9017858807677&lt;/D&gt;&lt;D xsi:type="xsd:double"&gt;14.6534958032028&lt;/D&gt;&lt;D xsi:type="xsd:double"&gt;13.9932071677903&lt;/D&gt;&lt;D xsi:type="xsd:double"&gt;12.7150164356575&lt;/D&gt;&lt;D xsi:type="xsd:double"&gt;12.198210280114&lt;/D&gt;&lt;D xsi:type="xsd:double"&gt;12.7838977739362&lt;/D&gt;&lt;D xsi:type="xsd:double"&gt;12.6247797216697&lt;/D&gt;&lt;D xsi:type="xsd:double"&gt;13.1511075772018&lt;/D&gt;&lt;D xsi:type="xsd:double"&gt;12.5994391161941&lt;/D&gt;&lt;D xsi:type="xsd:double"&gt;13.5069637056813&lt;/D&gt;&lt;D xsi:type="xsd:double"&gt;13.1311557725659&lt;/D&gt;&lt;D xsi:type="xsd:double"&gt;13.2545299732359&lt;/D&gt;&lt;D xsi:type="xsd:double"&gt;13.5178351099685&lt;/D&gt;&lt;D xsi:type="xsd:double"&gt;14.1084546273783&lt;/D&gt;&lt;D xsi:type="xsd:double"&gt;15.0974042728696&lt;/D&gt;&lt;D xsi:type="xsd:double"&gt;14.4778085306256&lt;/D&gt;&lt;D xsi:type="xsd:double"&gt;14.3461138025709&lt;/D&gt;&lt;D xsi:type="xsd:double"&gt;14.2762787931405&lt;/D&gt;&lt;D xsi:type="xsd:double"&gt;13.337454298054&lt;/D&gt;&lt;D xsi:type="xsd:double"&gt;14.1286566817634&lt;/D&gt;&lt;D xsi:type="xsd:double"&gt;14.3406458346215&lt;/D&gt;&lt;D xsi:type="xsd:double"&gt;14.2350139342393&lt;/D&gt;&lt;D xsi:type="xsd:double"&gt;13.6964738944036&lt;/D&gt;&lt;D xsi:type="xsd:double"&gt;13.7327866859996&lt;/D&gt;&lt;D xsi:type="xsd:double"&gt;14.3276021594744&lt;/D&gt;&lt;D xsi:type="xsd:double"&gt;14.5129847382699&lt;/D&gt;&lt;D xsi:type="xsd:double"&gt;14.7074384220746&lt;/D&gt;&lt;D xsi:type="xsd:double"&gt;15.1755292760283&lt;/D&gt;&lt;D xsi:type="xsd:double"&gt;13.6765004916888&lt;/D&gt;&lt;D xsi:type="xsd:double"&gt;12.9926588377316&lt;/D&gt;&lt;D xsi:type="xsd:double"&gt;13.0219445908398&lt;/D&gt;&lt;D xsi:type="xsd:double"&gt;13.4718910986803&lt;/D&gt;&lt;D xsi:type="xsd:double"&gt;13.0825361938963&lt;/D&gt;&lt;D xsi:type="xsd:double"&gt;12.9326249071949&lt;/D&gt;&lt;D xsi:type="xsd:double"&gt;12.4859410522818&lt;/D&gt;&lt;D xsi:type="xsd:double"&gt;12.8647940652856&lt;/D&gt;&lt;D xsi:type="xsd:double"&gt;12.4187274315551&lt;/D&gt;&lt;D xsi:type="xsd:double"&gt;11.9547377548086&lt;/D&gt;&lt;D xsi:type="xsd:double"&gt;11.5811881456893&lt;/D&gt;&lt;D xsi:type="xsd:double"&gt;11.7525552123163&lt;/D&gt;&lt;D xsi:type="xsd:double"&gt;12.1300495250649&lt;/D&gt;&lt;D xsi:type="xsd:double"&gt;12.6317480098837&lt;/D&gt;&lt;D xsi:type="xsd:double"&gt;12.7032387453532&lt;/D&gt;&lt;D xsi:type="xsd:double"&gt;12.3512842800335&lt;/D&gt;&lt;D xsi:type="xsd:double"&gt;12.4890227806792&lt;/D&gt;&lt;D xsi:type="xsd:double"&gt;12.6005718974146&lt;/D&gt;&lt;D xsi:type="xsd:double"&gt;12.2720165751769&lt;/D&gt;&lt;D xsi:type="xsd:double"&gt;13.4081520667792&lt;/D&gt;&lt;D xsi:type="xsd:double"&gt;13.5034077543929&lt;/D&gt;&lt;D xsi:type="xsd:double"&gt;14.1396348548095&lt;/D&gt;&lt;D xsi:type="xsd:double"&gt;14.6746637385104&lt;/D&gt;&lt;D xsi:type="xsd:double"&gt;14.6604378281227&lt;/D&gt;&lt;D xsi:type="xsd:double"&gt;14.1115206534061&lt;/D&gt;&lt;D xsi:type="xsd:double"&gt;10.9796344841185&lt;/D&gt;&lt;D xsi:type="xsd:double"&gt;13.4643165378639&lt;/D&gt;&lt;D xsi:type="xsd:double"&gt;14.4570817802232&lt;/D&gt;&lt;D xsi:type="xsd:double"&gt;17.8337737424629&lt;/D&gt;&lt;D xsi:type="xsd:double"&gt;17.9124245295479&lt;/D&gt;&lt;D xsi:type="xsd:double"&gt;17.8742773195042&lt;/D&gt;&lt;D xsi:type="xsd:double"&gt;18.4542859655764&lt;/D&gt;&lt;D xsi:type="xsd:double"&gt;17.778873010695&lt;/D&gt;&lt;D xsi:type="xsd:double"&gt;18.3886438468394&lt;/D&gt;&lt;D xsi:type="xsd:double"&gt;18.4267800003989&lt;/D&gt;&lt;D xsi:type="xsd:double"&gt;18.7269321429095&lt;/D&gt;&lt;D xsi:type="xsd:double"&gt;18.7296284136474&lt;/D&gt;&lt;D xsi:type="xsd:double"&gt;18.1634292704706&lt;/D&gt;&lt;D xsi:type="xsd:double"&gt;17.3945115882732&lt;/D&gt;&lt;D xsi:type="xsd:double"&gt;16.3887857649676&lt;/D&gt;&lt;D xsi:type="xsd:double"&gt;16.3647654492474&lt;/D&gt;&lt;D xsi:type="xsd:double"&gt;15.9731749397972&lt;/D&gt;&lt;D xsi:type="xsd:double"&gt;15.3132393368801&lt;/D&gt;&lt;D xsi:type="xsd:double"&gt;16.115115336677&lt;/D&gt;&lt;D xsi:type="xsd:double"&gt;15.3664159421592&lt;/D&gt;&lt;D xsi:type="xsd:double"&gt;15.2551216282868&lt;/D&gt;&lt;D xsi:type="xsd:double"&gt;14.5190071370556&lt;/D&gt;&lt;D xsi:type="xsd:double"&gt;14.3414909378008&lt;/D&gt;&lt;D xsi:type="xsd:double"&gt;13.551260067651&lt;/D&gt;&lt;D xsi:type="xsd:double"&gt;13.0381578954523&lt;/D&gt;&lt;D xsi:type="xsd:double"&gt;12.8112947424113&lt;/D&gt;&lt;D xsi:type="xsd:double"&gt;12.7143199632515&lt;/D&gt;&lt;D xsi:type="xsd:double"&gt;12.152898924852&lt;/D&gt;&lt;D xsi:type="xsd:double"&gt;12.4549218496093&lt;/D&gt;&lt;D xsi:type="xsd:double"&gt;13.0377550604448&lt;/D&gt;&lt;D xsi:type="xsd:double"&gt;12.630676616562999&lt;/D&gt;&lt;D xsi:type="xsd:double"&gt;12.3094751345297&lt;/D&gt;&lt;D xsi:type="xsd:double"&gt;12.8079437883057&lt;/D&gt;&lt;D xsi:type="xsd:double"&gt;12.6369625367062&lt;/D&gt;&lt;D xsi:type="xsd:double"&gt;12.6123860834976&lt;/D&gt;&lt;D xsi:type="xsd:double"&gt;13.0594441260428&lt;/D&gt;&lt;D xsi:type="xsd:double"&gt;12.8366555533089&lt;/D&gt;&lt;D xsi:type="xsd:double"&gt;13.4384574601731&lt;/D&gt;&lt;D xsi:type="xsd:double"&gt;14.2092402509124&lt;/D&gt;&lt;D xsi:type="xsd:double"&gt;15.0238881644243&lt;/D&gt;&lt;D xsi:type="xsd:double"&gt;14.5294470844241&lt;/D&gt;&lt;D xsi:type="xsd:double"&gt;14.0398386979962&lt;/D&gt;&lt;D xsi:type="xsd:double"&gt;15.0905632465117&lt;/D&gt;&lt;D xsi:type="xsd:double"&gt;14.1563155145715&lt;/D&gt;&lt;D xsi:type="xsd:double"&gt;14.533418686755&lt;/D&gt;&lt;D xsi:type="xsd:double"&gt;13.8213335175067&lt;/D&gt;&lt;D xsi:type="xsd:double"&gt;14.7829753684807&lt;/D&gt;&lt;D xsi:type="xsd:double"&gt;15.3623208231659&lt;/D&gt;&lt;D xsi:type="xsd:double"&gt;15.6335267389273&lt;/D&gt;&lt;D xsi:type="xsd:double"&gt;15.1716861558742&lt;/D&gt;&lt;D xsi:type="xsd:double"&gt;15.4831113650867&lt;/D&gt;&lt;D xsi:type="xsd:double"&gt;15.0937522219138&lt;/D&gt;&lt;D xsi:type="xsd:double"&gt;15.7739170807275&lt;/D&gt;&lt;D xsi:type="xsd:double"&gt;14.5041686711887&lt;/D&gt;&lt;D xsi:type="xsd:double"&gt;13.6745075328885&lt;/D&gt;&lt;D xsi:type="xsd:double"&gt;14.3724839955223&lt;/D&gt;&lt;/FQL&gt;&lt;FQL&gt;&lt;Q&gt;VGK^FG_TOTAL_RETURNC(0,-12AM)&lt;/Q&gt;&lt;R&gt;1&lt;/R&gt;&lt;C&gt;1&lt;/C&gt;&lt;D xsi:type="xsd:double"&gt;25.830948&lt;/D&gt;&lt;/FQL&gt;&lt;FQL&gt;&lt;Q&gt;QQQ^FMA_PE(NTMA,0,,,"PORTAGG","MEANR")&lt;/Q&gt;&lt;R&gt;1&lt;/R&gt;&lt;C&gt;1&lt;/C&gt;&lt;D xsi:type="xsd:double"&gt;26.4329532900295&lt;/D&gt;&lt;/FQL&gt;&lt;FQL&gt;&lt;Q&gt;EWA^FMA_PE(LTM,0,,,"PORTAGG","MEANR")&lt;/Q&gt;&lt;R&gt;1&lt;/R&gt;&lt;C&gt;1&lt;/C&gt;&lt;D xsi:type="xsd:double"&gt;19.4033061912693&lt;/D&gt;&lt;/FQL&gt;&lt;FQL&gt;&lt;Q&gt;TRYCA10Y-FDS^FG_YIELD(0,,,,"YTM")&lt;/Q&gt;&lt;R&gt;1&lt;/R&gt;&lt;C&gt;1&lt;/C&gt;&lt;D xsi:type="xsd:double"&gt;3.1284&lt;/D&gt;&lt;/FQL&gt;&lt;FQL&gt;&lt;Q&gt;EWD^FMA_EVAL_EBIT(LTMA,NOW,NOW,M,"PORTAGG","MEANR")&lt;/Q&gt;&lt;R&gt;1&lt;/R&gt;&lt;C&gt;1&lt;/C&gt;&lt;D xsi:type="xsd:double"&gt;16.3856796070416&lt;/D&gt;&lt;/FQL&gt;&lt;FQL&gt;&lt;Q&gt;ENZL^FMA_PE(LTM,0,,,"PORTAGG","MEANR")&lt;/Q&gt;&lt;R&gt;1&lt;/R&gt;&lt;C&gt;1&lt;/C&gt;&lt;D xsi:type="xsd:double"&gt;49.052673976871&lt;/D&gt;&lt;/FQL&gt;&lt;FQL&gt;&lt;Q&gt;EWL^FMA_EVAL_EBITDA(NTMA,0,,,"PORTAGG","MEANR")&lt;/Q&gt;&lt;R&gt;1&lt;/R&gt;&lt;C&gt;1&lt;/C&gt;&lt;D xsi:type="xsd:double"&gt;13.2766517377494&lt;/D&gt;&lt;/FQL&gt;&lt;FQL&gt;&lt;Q&gt;UUP^FG_TOTAL_RETURNC(0,-3AM)&lt;/Q&gt;&lt;R&gt;1&lt;/R&gt;&lt;C&gt;1&lt;/C&gt;&lt;D xsi:type="xsd:double"&gt;1.009047&lt;/D&gt;&lt;/FQL&gt;&lt;FQL&gt;&lt;Q&gt;EWI^FG_ROE(0)&lt;/Q&gt;&lt;R&gt;1&lt;/R&gt;&lt;C&gt;1&lt;/C&gt;&lt;D xsi:type="xsd:double"&gt;13.3094617631728&lt;/D&gt;&lt;/FQL&gt;&lt;FQL&gt;&lt;Q&gt;EWG^FMA_EVAL_EBIT(LTMA,NOW,NOW,M,"PORTAGG","MEANR")&lt;/Q&gt;&lt;R&gt;1&lt;/R&gt;&lt;C&gt;1&lt;/C&gt;&lt;D xsi:type="xsd:double"&gt;14.6996131061121&lt;/D&gt;&lt;/FQL&gt;&lt;FQL&gt;&lt;Q&gt;EWG^FG_FCF_YIELD_NTM(0)&lt;/Q&gt;&lt;R&gt;1&lt;/R&gt;&lt;C&gt;1&lt;/C&gt;&lt;D xsi:type="xsd:double"&gt;5.61117501275937&lt;/D&gt;&lt;/FQL&gt;&lt;FQL&gt;&lt;Q&gt;VWO^P_PRICE(0)/P_PRICE_HIGH_PR(0,,,,,,"PRICE","INTRA","52W")&lt;/Q&gt;&lt;R&gt;1&lt;/R&gt;&lt;C&gt;1&lt;/C&gt;&lt;D xsi:type="xsd:double"&gt;0.96489817&lt;/D&gt;&lt;/FQL&gt;&lt;FQL&gt;&lt;Q&gt;EWL^FMA_PCT_ABOVE_MAVG(200,0,,,,"PORTAGG")&lt;/Q&gt;&lt;R&gt;1&lt;/R&gt;&lt;C&gt;1&lt;/C&gt;&lt;D xsi:type="xsd:double"&gt;60.8695652173913&lt;/D&gt;&lt;/FQL&gt;&lt;FQL&gt;&lt;Q&gt;EWU^FMA_COS_DOWN("EPS","1M",+1,0,,,"PORTAGG","MEANR")&lt;/Q&gt;&lt;R&gt;1&lt;/R&gt;&lt;C&gt;1&lt;/C&gt;&lt;D xsi:type="xsd:double"&gt;35&lt;/D&gt;&lt;/FQL&gt;&lt;FQL&gt;&lt;Q&gt;TRYAU10Y-FDS^FG_YIELD_NAME&lt;/Q&gt;&lt;R&gt;1&lt;/R&gt;&lt;C&gt;1&lt;/C&gt;&lt;D xsi:type="xsd:string"&gt;Australia Benchmark Bond - 10 Year&lt;/D&gt;&lt;/FQL&gt;&lt;FQL&gt;&lt;Q&gt;REFAUCASH-FDS^FG_YIELD(NOW,,,0)&lt;/Q&gt;&lt;R&gt;1&lt;/R&gt;&lt;C&gt;1&lt;/C&gt;&lt;D xsi:type="xsd:double"&gt;4.35&lt;/D&gt;&lt;/FQL&gt;&lt;FQL&gt;&lt;Q&gt;VGK^FG_PE_NTM(0,,,90,0)&lt;/Q&gt;&lt;R&gt;1&lt;/R&gt;&lt;C&gt;1&lt;/C&gt;&lt;D xsi:type="xsd:double"&gt;13.4581465373991&lt;/D&gt;&lt;/FQL&gt;&lt;FQL&gt;&lt;Q&gt;EWC^JULIAN(FMA_DIV_YLD(NTMA,NOW,NOW,M,"PORTAGG","MEANR").DATES)&lt;/Q&gt;&lt;R&gt;1&lt;/R&gt;&lt;C&gt;1&lt;/C&gt;&lt;D xsi:type="xsd:long"&gt;45565&lt;/D&gt;&lt;/FQL&gt;&lt;FQL&gt;&lt;Q&gt;TLT^FG_TOTAL_RETURNC(0,-6AM)&lt;/Q&gt;&lt;R&gt;1&lt;/R&gt;&lt;C&gt;1&lt;/C&gt;&lt;D xsi:type="xsd:double"&gt;7.7821136&lt;/D&gt;&lt;/FQL&gt;&lt;FQL&gt;&lt;Q&gt;EWU^FG_PRICE_MAVG(0,,,,200)&lt;/Q&gt;&lt;R&gt;1&lt;/R&gt;&lt;C&gt;1&lt;/C&gt;&lt;D xsi:type="xsd:double"&gt;34.9551&lt;/D&gt;&lt;/FQL&gt;&lt;FQL&gt;&lt;Q&gt;REFNZOCR-FDS^(SUBARRAY(NOT_NA(NO_REPEAT_F(FG_YIELD(NOW,-10AY,D))),0,1)-SUBARRAY(NOT_NA(NO_REPEAT_F(FG_YIELD(NOW,-10AY,D))),1,1))*100&lt;/Q&gt;&lt;R&gt;1&lt;/R&gt;&lt;C&gt;1&lt;/C&gt;&lt;D xsi:type="xsd:double"&gt;-50&lt;/D&gt;&lt;/FQL&gt;&lt;FQL&gt;&lt;Q&gt;QQQ^JULIAN(FMA_DIV_YLD(NTMA,NOW,NOW,M,"PORTAGG","MEANR").DATES)&lt;/Q&gt;&lt;R&gt;1&lt;/R&gt;&lt;C&gt;1&lt;/C&gt;&lt;D xsi:type="xsd:long"&gt;45565&lt;/D&gt;&lt;/FQL&gt;&lt;FQL&gt;&lt;Q&gt;EWA^FG_FCF_YIELD_NTM(0)&lt;/Q&gt;&lt;R&gt;1&lt;/R&gt;&lt;C&gt;1&lt;/C&gt;&lt;D xsi:type="xsd:double"&gt;4.59917950657433&lt;/D&gt;&lt;/FQL&gt;&lt;FQL&gt;&lt;Q&gt;USO^P_PRICE(0)/P_PRICE_HIGH_PR(0,,,USD,,,"PRICE","INTRA","52W")&lt;/Q&gt;&lt;R&gt;1&lt;/R&gt;&lt;C&gt;1&lt;/C&gt;&lt;D xsi:type="xsd:double"&gt;0.8557726&lt;/D&gt;&lt;/FQL&gt;&lt;FQL&gt;&lt;Q&gt;EWC^FMA_PE(LTMA,-10AY,0,AM,"PORTAGG","MEANR")&lt;/Q&gt;&lt;R&gt;121&lt;/R&gt;&lt;C&gt;1&lt;/C&gt;&lt;D xsi:type="xsd:double"&gt;15.3434476033209&lt;/D&gt;&lt;D xsi:type="xsd:double"&gt;15.9113920305673&lt;/D&gt;&lt;D xsi:type="xsd:double"&gt;15.3612247784413&lt;/D&gt;&lt;D xsi:type="xsd:double"&gt;15.2893769634409&lt;/D&gt;&lt;D xsi:type="xsd:double"&gt;16.7892022417055&lt;/D&gt;&lt;D xsi:type="xsd:double"&gt;17.0476362608566&lt;/D&gt;&lt;D xsi:type="xsd:double"&gt;17.2681170025104&lt;/D&gt;&lt;D xsi:type="xsd:double"&gt;17.2406990362182&lt;/D&gt;&lt;D xsi:type="xsd:double"&gt;17.1390756015911&lt;/D&gt;&lt;D xsi:type="xsd:double"&gt;17.08570769628&lt;/D&gt;&lt;D xsi:type="xsd:double"&gt;16.8923966688621&lt;/D&gt;&lt;D xsi:type="xsd:double"&gt;16.6173622574832&lt;/D&gt;&lt;D xsi:type="xsd:double"&gt;16.9531012943588&lt;/D&gt;&lt;D xsi:type="xsd:double"&gt;16.6879593417685&lt;/D&gt;&lt;D xsi:type="xsd:double"&gt;16.2044338192525&lt;/D&gt;&lt;D xsi:type="xsd:double"&gt;14.614080256697&lt;/D&gt;&lt;D xsi:type="xsd:double"&gt;15.6388653543668&lt;/D&gt;&lt;D xsi:type="xsd:double"&gt;16.0012491738604&lt;/D&gt;&lt;D xsi:type="xsd:double"&gt;16.2006798763332&lt;/D&gt;&lt;D xsi:type="xsd:double"&gt;16.5337793838338&lt;/D&gt;&lt;D xsi:type="xsd:double"&gt;16.6565012785106&lt;/D&gt;&lt;D xsi:type="xsd:double"&gt;17.184045732163&lt;/D&gt;&lt;D xsi:type="xsd:double"&gt;17.4855816249878&lt;/D&gt;&lt;D xsi:type="xsd:double"&gt;17.5038836609723&lt;/D&gt;&lt;D xsi:type="xsd:double"&gt;18.07747098397&lt;/D&gt;&lt;D xsi:type="xsd:double"&gt;18.5159929741304&lt;/D&gt;&lt;D xsi:type="xsd:double"&gt;19.1963482221362&lt;/D&gt;&lt;D xsi:type="xsd:double"&gt;19.7909489421815&lt;/D&gt;&lt;D xsi:type="xsd:double"&gt;19.8608379956003&lt;/D&gt;&lt;D xsi:type="xsd:double"&gt;19.2297529044701&lt;/D&gt;&lt;D xsi:type="xsd:double"&gt;18.9303958355358&lt;/D&gt;&lt;D xsi:type="xsd:double"&gt;18.4865622642239&lt;/D&gt;&lt;D xsi:type="xsd:double"&gt;18.1752045616531&lt;/D&gt;&lt;D xsi:type="xsd:double"&gt;18.0320609114729&lt;/D&gt;&lt;D xsi:type="xsd:double"&gt;17.6269060632948&lt;/D&gt;&lt;D xsi:type="xsd:double"&gt;17.417461824874&lt;/D&gt;&lt;D xsi:type="xsd:double"&gt;17.4859201343507&lt;/D&gt;&lt;D xsi:type="xsd:double"&gt;17.3186437375246&lt;/D&gt;&lt;D xsi:type="xsd:double"&gt;17.2354339845038&lt;/D&gt;&lt;D xsi:type="xsd:double"&gt;17.224491051902&lt;/D&gt;&lt;D xsi:type="xsd:double"&gt;15.9096190829983&lt;/D&gt;&lt;D xsi:type="xsd:double"&gt;15.8167066919703&lt;/D&gt;&lt;D xsi:type="xsd:double"&gt;15.6317740158481&lt;/D&gt;&lt;D xsi:type="xsd:double"&gt;15.6373216145773&lt;/D&gt;&lt;D xsi:type="xsd:double"&gt;15.6201138107115&lt;/D&gt;&lt;D xsi:type="xsd:double"&gt;15.5279466095925&lt;/D&gt;&lt;D xsi:type="xsd:double"&gt;15.3785952002805&lt;/D&gt;&lt;D xsi:type="xsd:double"&gt;15.1360683952759&lt;/D&gt;&lt;D xsi:type="xsd:double"&gt;14.4738224061903&lt;/D&gt;&lt;D xsi:type="xsd:double"&gt;14.107601794778&lt;/D&gt;&lt;D xsi:type="xsd:double"&gt;13.3010409253466&lt;/D&gt;&lt;D xsi:type="xsd:double"&gt;14.1209983742583&lt;/D&gt;&lt;D xsi:type="xsd:double"&gt;14.6942866053121&lt;/D&gt;&lt;D xsi:type="xsd:double"&gt;14.756350245786&lt;/D&gt;&lt;D xsi:type="xsd:double"&gt;14.6669825600435&lt;/D&gt;&lt;D xsi:type="xsd:double"&gt;14.5237470741693&lt;/D&gt;&lt;D xsi:type="xsd:double"&gt;14.5346775643385&lt;/D&gt;&lt;D xsi:type="xsd:double"&gt;14.4856636902345&lt;/D&gt;&lt;D xsi:type="xsd:double"&gt;14.3046126127651&lt;/D&gt;&lt;D xsi:type="xsd:double"&gt;14.7173057990537&lt;/D&gt;&lt;D xsi:type="xsd:double"&gt;14.5952212510109&lt;/D&gt;&lt;D xsi:type="xsd:double"&gt;15.1727611267525&lt;/D&gt;&lt;D xsi:type="xsd:double"&gt;15.289692849868&lt;/D&gt;&lt;D xsi:type="xsd:double"&gt;15.7145017995756&lt;/D&gt;&lt;D xsi:type="xsd:double"&gt;15.7484287091253&lt;/D&gt;&lt;D xsi:type="xsd:double"&gt;13.7385404752508&lt;/D&gt;&lt;D xsi:type="xsd:double"&gt;15.0541028798413&lt;/D&gt;&lt;D xsi:type="xsd:double"&gt;16.47177418196&lt;/D&gt;&lt;D xsi:type="xsd:double"&gt;17.3144003232777&lt;/D&gt;&lt;D xsi:type="xsd:double"&gt;17.8848736142777&lt;/D&gt;&lt;D xsi:type="xsd:double"&gt;18.3926876290723&lt;/D&gt;&lt;D xsi:type="xsd:double"&gt;18.2750491733597&lt;/D&gt;&lt;D xsi:type="xsd:double"&gt;18.8857377921362&lt;/D&gt;&lt;D xsi:type="xsd:double"&gt;19.5194823575879&lt;/D&gt;&lt;D xsi:type="xsd:double"&gt;20.3645854239007&lt;/D&gt;&lt;D xsi:type="xsd:double"&gt;21.1547936716373&lt;/D&gt;&lt;D xsi:type="xsd:double"&gt;20.6579353111022&lt;/D&gt;&lt;D xsi:type="xsd:double"&gt;19.8532090274087&lt;/D&gt;&lt;D xsi:type="xsd:double"&gt;19.5375321164349&lt;/D&gt;&lt;D xsi:type="xsd:double"&gt;19.0152861304052&lt;/D&gt;&lt;D xsi:type="xsd:double"&gt;18.638245821316&lt;/D&gt;&lt;D xsi:type="xsd:double"&gt;18.0690309041648&lt;/D&gt;&lt;D xsi:type="xsd:double"&gt;17.4210838984969&lt;/D&gt;&lt;D xsi:type="xsd:double"&gt;16.8508378395795&lt;/D&gt;&lt;D xsi:type="xsd:double"&gt;16.7959425713152&lt;/D&gt;&lt;D xsi:type="xsd:double"&gt;16.4669944649378&lt;/D&gt;&lt;D xsi:type="xsd:double"&gt;15.417609426484&lt;/D&gt;&lt;D xsi:type="xsd:double"&gt;15.5401243889045&lt;/D&gt;&lt;D xsi:type="xsd:double"&gt;15.2260121483448&lt;/D&gt;&lt;D xsi:type="xsd:double"&gt;15.1724311379423&lt;/D&gt;&lt;D xsi:type="xsd:double"&gt;14.9440897192609&lt;/D&gt;&lt;D xsi:type="xsd:double"&gt;14.3044716543389&lt;/D&gt;&lt;D xsi:type="xsd:double"&gt;13.6315937514493&lt;/D&gt;&lt;D xsi:type="xsd:double"&gt;13.110274949125&lt;/D&gt;&lt;D xsi:type="xsd:double"&gt;13.3620358347036&lt;/D&gt;&lt;D xsi:type="xsd:double"&gt;12.7375642422106&lt;/D&gt;&lt;D xsi:type="xsd:double"&gt;12.2458907211983&lt;/D&gt;&lt;D xsi:type="xsd:double"&gt;12.636203289392&lt;/D&gt;&lt;D xsi:type="xsd:double"&gt;12.218628332553&lt;/D&gt;&lt;D xsi:type="xsd:double"&gt;12.6783416479849&lt;/D&gt;&lt;D xsi:type="xsd:double"&gt;12.7698943660424&lt;/D&gt;&lt;D xsi:type="xsd:double"&gt;12.5188481513881&lt;/D&gt;&lt;D xsi:type="xsd:double"&gt;12.8296468092011&lt;/D&gt;&lt;D xsi:type="xsd:double"&gt;12.8638568383588&lt;/D&gt;&lt;D xsi:type="xsd:double"&gt;12.9642202121665&lt;/D&gt;&lt;D xsi:type="xsd:double"&gt;13.393921065334&lt;/D&gt;&lt;D xsi:type="xsd:double"&gt;13.2897714923713&lt;/D&gt;&lt;D xsi:type="xsd:double"&gt;13.7659453944545&lt;/D&gt;&lt;D xsi:type="xsd:double"&gt;13.3028547282051&lt;/D&gt;&lt;D xsi:type="xsd:double"&gt;13.7540549223529&lt;/D&gt;&lt;D xsi:type="xsd:double"&gt;14.3091981276807&lt;/D&gt;&lt;D xsi:type="xsd:double"&gt;14.4825940328724&lt;/D&gt;&lt;D xsi:type="xsd:double"&gt;14.784472863401&lt;/D&gt;&lt;D xsi:type="xsd:double"&gt;14.9521975475389&lt;/D&gt;&lt;D xsi:type="xsd:double"&gt;14.8873774720166&lt;/D&gt;&lt;D xsi:type="xsd:double"&gt;15.0425167281961&lt;/D&gt;&lt;D xsi:type="xsd:double"&gt;14.750747536877&lt;/D&gt;&lt;D xsi:type="xsd:double"&gt;15.143774243807&lt;/D&gt;&lt;D xsi:type="xsd:double"&gt;15.2168654712956&lt;/D&gt;&lt;D xsi:type="xsd:double"&gt;15.652137028362&lt;/D&gt;&lt;D xsi:type="xsd:double"&gt;16.3886430285831&lt;/D&gt;&lt;/FQL&gt;&lt;FQL&gt;&lt;Q&gt;EWC^FMA_COS_UP("EPS","1M",+1,0,,,"PORTAGG","MEANR")&lt;/Q&gt;&lt;R&gt;1&lt;/R&gt;&lt;C&gt;1&lt;/C&gt;&lt;D xsi:type="xsd:double"&gt;23&lt;/D&gt;&lt;/FQL&gt;&lt;FQL&gt;&lt;Q&gt;EWA^FMA_DIV_YLD(NTMA,NOW,NOW,M,"PORTAGG","MEANR")&lt;/Q&gt;&lt;R&gt;1&lt;/R&gt;&lt;C&gt;1&lt;/C&gt;&lt;D xsi:type="xsd:double"&gt;3.56154784632894&lt;/D&gt;&lt;/FQL&gt;&lt;FQL&gt;&lt;Q&gt;USO^FG_TOTAL_RETURNC(0,-3AM)&lt;/Q&gt;&lt;R&gt;1&lt;/R&gt;&lt;C&gt;1&lt;/C&gt;&lt;D xsi:type="xsd:double"&gt;-10.663337&lt;/D&gt;&lt;/FQL&gt;&lt;FQL&gt;&lt;Q&gt;SPY^FG_PRICE_MAVG(0,,,,30)&lt;/Q&gt;&lt;R&gt;1&lt;/R&gt;&lt;C&gt;1&lt;/C&gt;&lt;D xsi:type="xsd:double"&gt;569.708&lt;/D&gt;&lt;/FQL&gt;&lt;FQL&gt;&lt;Q&gt;REFAUCASH-FDS^PROPER_NAME(0,,,"SECURITY","NAME")&lt;/Q&gt;&lt;R&gt;1&lt;/R&gt;&lt;C&gt;1&lt;/C&gt;&lt;D xsi:type="xsd:string"&gt;Australia Target Cash Rate&lt;/D&gt;&lt;/FQL&gt;&lt;FQL&gt;&lt;Q&gt;TRYGB10Y-FDS^FG_YIELD(0,,,,"YTM")&lt;/Q&gt;&lt;R&gt;1&lt;/R&gt;&lt;C&gt;1&lt;/C&gt;&lt;D xsi:type="xsd:double"&gt;4.07&lt;/D&gt;&lt;/FQL&gt;&lt;FQL&gt;&lt;Q&gt;VGK^FG_PE(0)&lt;/Q&gt;&lt;R&gt;1&lt;/R&gt;&lt;C&gt;1&lt;/C&gt;&lt;D xsi:type="xsd:double"&gt;15.5162731436269&lt;/D&gt;&lt;/FQL&gt;&lt;FQL&gt;&lt;Q&gt;QQQ^FMA_EVAL_EBIT(LTMA,NOW,NOW,M,"PORTAGG","MEANR")&lt;/Q&gt;&lt;R&gt;1&lt;/R&gt;&lt;C&gt;1&lt;/C&gt;&lt;D xsi:type="xsd:double"&gt;25.1754010451192&lt;/D&gt;&lt;/FQL&gt;&lt;FQL&gt;&lt;Q&gt;EWA^FMA_EVAL_EBIT(LTMA,NOW,NOW,M,"PORTAGG","MEANR")&lt;/Q&gt;&lt;R&gt;1&lt;/R&gt;&lt;C&gt;1&lt;/C&gt;&lt;D xsi:type="xsd:double"&gt;13.4359801799229&lt;/D&gt;&lt;/FQL&gt;&lt;FQL&gt;&lt;Q&gt;TLT^FG_TOTAL_RETURNC(0,-3AM)&lt;/Q&gt;&lt;R&gt;1&lt;/R&gt;&lt;C&gt;1&lt;/C&gt;&lt;D xsi:type="xsd:double"&gt;1.4061809&lt;/D&gt;&lt;/FQL&gt;&lt;FQL&gt;&lt;Q&gt;TRYCH10Y-FDS^FG_YIELD(0,,,,"YTM")&lt;/Q&gt;&lt;R&gt;1&lt;/R&gt;&lt;C&gt;1&lt;/C&gt;&lt;D xsi:type="xsd:double"&gt;0.429&lt;/D&gt;&lt;/FQL&gt;&lt;FQL&gt;&lt;Q&gt;VGK^JULIAN(FMA_DIV_YLD(NTMA,NOW,NOW,M,"PORTAGG","MEANR").DATES)&lt;/Q&gt;&lt;R&gt;1&lt;/R&gt;&lt;C&gt;1&lt;/C&gt;&lt;D xsi:type="xsd:long"&gt;45534&lt;/D&gt;&lt;/FQL&gt;&lt;FQL&gt;&lt;Q&gt;EWA^FMA_EVAL_EBITDA(NTMA,0,,,"PORTAGG","MEANR")&lt;/Q&gt;&lt;R&gt;1&lt;/R&gt;&lt;C&gt;1&lt;/C&gt;&lt;D xsi:type="xsd:double"&gt;9.20327360435665&lt;/D&gt;&lt;/FQL&gt;&lt;FQL&gt;&lt;Q&gt;TLT^FG_TOTAL_RETURNC(0,-1AM)&lt;/Q&gt;&lt;R&gt;1&lt;/R&gt;&lt;C&gt;1&lt;/C&gt;&lt;D xsi:type="xsd:double"&gt;-5.4413614&lt;/D&gt;&lt;/FQL&gt;&lt;FQL&gt;&lt;Q&gt;REFNZOCR-FDS^PROPER_NAME(0,,,"SECURITY","NAME")&lt;/Q&gt;&lt;R&gt;1&lt;/R&gt;&lt;C&gt;1&lt;/C&gt;&lt;D xsi:type="xsd:string"&gt;New Zealand Official Cash Rate&lt;/D&gt;&lt;/FQL&gt;&lt;FQL&gt;&lt;Q&gt;USO^FG_TOTAL_RETURNC(0,-6AM)&lt;/Q&gt;&lt;R&gt;1&lt;/R&gt;&lt;C&gt;1&lt;/C&gt;&lt;D xsi:type="xsd:double"&gt;-9.393251&lt;/D&gt;&lt;/FQL&gt;&lt;FQL&gt;&lt;Q&gt;EWI^FG_FCF_YIELD_NTM(0)&lt;/Q&gt;&lt;R&gt;1&lt;/R&gt;&lt;C&gt;1&lt;/C&gt;&lt;D xsi:type="xsd:double"&gt;5.00831556079752&lt;/D&gt;&lt;/FQL&gt;&lt;FQL&gt;&lt;Q&gt;EWA^FMA_PE(NTMA,0,,,"PORTAGG","MEANR")&lt;/Q&gt;&lt;R&gt;1&lt;/R&gt;&lt;C&gt;1&lt;/C&gt;&lt;D xsi:type="xsd:double"&gt;18.4106160368686&lt;/D&gt;&lt;/FQL&gt;&lt;FQL&gt;&lt;Q&gt;EWA^JULIAN(FMA_DIV_YLD(NTMA,NOW,NOW,M,"PORTAGG","MEANR").DATES)&lt;/Q&gt;&lt;R&gt;1&lt;/R&gt;&lt;C&gt;1&lt;/C&gt;&lt;D xsi:type="xsd:long"&gt;45565&lt;/D&gt;&lt;/FQL&gt;&lt;FQL&gt;&lt;Q&gt;TRYNZ10Y-FDS^FG_YIELD(0,,,,"YTM"</t>
        </r>
      </text>
    </comment>
    <comment ref="A15" authorId="0" shapeId="0" xr:uid="{2B0AA2D7-2440-4A4E-9C83-A502B3600401}">
      <text>
        <r>
          <rPr>
            <b/>
            <sz val="9"/>
            <color indexed="81"/>
            <rFont val="Tahoma"/>
            <charset val="1"/>
          </rPr>
          <t>)&lt;/Q&gt;&lt;R&gt;1&lt;/R&gt;&lt;C&gt;1&lt;/C&gt;&lt;D xsi:type="xsd:double"&gt;4.4338&lt;/D&gt;&lt;/FQL&gt;&lt;FQL&gt;&lt;Q&gt;CC_NL^IMF_IFS_RCPI_Q(0)&lt;/Q&gt;&lt;R&gt;1&lt;/R&gt;&lt;C&gt;1&lt;/C&gt;&lt;D xsi:type="xsd:double"&gt;3.5812383&lt;/D&gt;&lt;/FQL&gt;&lt;FQL&gt;&lt;Q&gt;EWG^FG_TOTAL_RETURNC(0,-12AM)&lt;/Q&gt;&lt;R&gt;1&lt;/R&gt;&lt;C&gt;1&lt;/C&gt;&lt;D xsi:type="xsd:double"&gt;34.215332&lt;/D&gt;&lt;/FQL&gt;&lt;FQL&gt;&lt;Q&gt;EWU^FMA_EVAL_EBITDA(NTMA,0,,,"PORTAGG","MEANR")&lt;/Q&gt;&lt;R&gt;1&lt;/R&gt;&lt;C&gt;1&lt;/C&gt;&lt;D xsi:type="xsd:double"&gt;7.6799907478043&lt;/D&gt;&lt;/FQL&gt;&lt;FQL&gt;&lt;Q&gt;USO^FG_TOTAL_RETURNC(0,-1AM)&lt;/Q&gt;&lt;R&gt;1&lt;/R&gt;&lt;C&gt;1&lt;/C&gt;&lt;D xsi:type="xsd:double"&gt;1.0189533&lt;/D&gt;&lt;/FQL&gt;&lt;FQL&gt;&lt;Q&gt;EWU^FG_PRICE_MAVG(0,,,,60)&lt;/Q&gt;&lt;R&gt;1&lt;/R&gt;&lt;C&gt;1&lt;/C&gt;&lt;D xsi:type="xsd:double"&gt;36.644165&lt;/D&gt;&lt;/FQL&gt;&lt;FQL&gt;&lt;Q&gt;EWG^FMA_COS_UP("EPS","1M",+1,0,,,"PORTAGG","MEANR")&lt;/Q&gt;&lt;R&gt;1&lt;/R&gt;&lt;C&gt;1&lt;/C&gt;&lt;D xsi:type="xsd:double"&gt;20&lt;/D&gt;&lt;/FQL&gt;&lt;FQL&gt;&lt;Q&gt;REFNZOCR-FDS^FG_YIELD(NOW,,,0)&lt;/Q&gt;&lt;R&gt;1&lt;/R&gt;&lt;C&gt;1&lt;/C&gt;&lt;D xsi:type="xsd:double"&gt;4.75&lt;/D&gt;&lt;/FQL&gt;&lt;FQL&gt;&lt;Q&gt;EWI^FMA_EVAL_EBIT(LTMA,NOW,NOW,M,"PORTAGG","MEANR")&lt;/Q&gt;&lt;R&gt;1&lt;/R&gt;&lt;C&gt;1&lt;/C&gt;&lt;D xsi:type="xsd:double"&gt;12.027190968177&lt;/D&gt;&lt;/FQL&gt;&lt;FQL&gt;&lt;Q&gt;TRYJP10Y-FDS^FG_YIELD(0,,,,"YTM")&lt;/Q&gt;&lt;R&gt;1&lt;/R&gt;&lt;C&gt;1&lt;/C&gt;&lt;D xsi:type="xsd:double"&gt;0.9687&lt;/D&gt;&lt;/FQL&gt;&lt;FQL&gt;&lt;Q&gt;EWG^FG_TOTAL_RETURNC(0,-6AM)&lt;/Q&gt;&lt;R&gt;1&lt;/R&gt;&lt;C&gt;1&lt;/C&gt;&lt;D xsi:type="xsd:double"&gt;13.791132&lt;/D&gt;&lt;/FQL&gt;&lt;FQL&gt;&lt;Q&gt;EWI^FMA_EVAL_EBITDA(NTMA,0,,,"PORTAGG","MEANR")&lt;/Q&gt;&lt;R&gt;1&lt;/R&gt;&lt;C&gt;1&lt;/C&gt;&lt;D xsi:type="xsd:double"&gt;7.98880739158904&lt;/D&gt;&lt;/FQL&gt;&lt;FQL&gt;&lt;Q&gt;EWI^FMA_DIV_YLD(NTMA,NOW,NOW,M,"PORTAGG","MEANR")&lt;/Q&gt;&lt;R&gt;1&lt;/R&gt;&lt;C&gt;1&lt;/C&gt;&lt;D xsi:type="xsd:double"&gt;5.32625820394549&lt;/D&gt;&lt;/FQL&gt;&lt;FQL&gt;&lt;Q&gt;ENZL^FMA_DIV_YLD(NTMA,NOW,NOW,M,"PORTAGG","MEANR")&lt;/Q&gt;&lt;R&gt;1&lt;/R&gt;&lt;C&gt;1&lt;/C&gt;&lt;D xsi:type="xsd:double"&gt;3.10558619759125&lt;/D&gt;&lt;/FQL&gt;&lt;FQL&gt;&lt;Q&gt;EWN^FMA_EVAL_EBIT(LTMA,NOW,NOW,M,"PORTAGG","MEANR")&lt;/Q&gt;&lt;R&gt;1&lt;/R&gt;&lt;C&gt;1&lt;/C&gt;&lt;D xsi:type="xsd:double"&gt;20.9855521936583&lt;/D&gt;&lt;/FQL&gt;&lt;FQL&gt;&lt;Q&gt;UUP^FG_TOTAL_RETURNC(0,-1AM)&lt;/Q&gt;&lt;R&gt;1&lt;/R&gt;&lt;C&gt;1&lt;/C&gt;&lt;D xsi:type="xsd:double"&gt;2.9067755&lt;/D&gt;&lt;/FQL&gt;&lt;FQL&gt;&lt;Q&gt;EWG^FMA_EVAL_EBITDA(NTMA,0,,,"PORTAGG","MEANR")&lt;/Q&gt;&lt;R&gt;1&lt;/R&gt;&lt;C&gt;1&lt;/C&gt;&lt;D xsi:type="xsd:double"&gt;8.99062193433603&lt;/D&gt;&lt;/FQL&gt;&lt;FQL&gt;&lt;Q&gt;EWL^FG_PRICE(0)&lt;/Q&gt;&lt;R&gt;1&lt;/R&gt;&lt;C&gt;1&lt;/C&gt;&lt;D xsi:type="xsd:double"&gt;51.51&lt;/D&gt;&lt;/FQL&gt;&lt;FQL&gt;&lt;Q&gt;EWU^FMA_EVAL_EBIT(LTMA,NOW,NOW,M,"PORTAGG","MEANR")&lt;/Q&gt;&lt;R&gt;1&lt;/R&gt;&lt;C&gt;1&lt;/C&gt;&lt;D xsi:type="xsd:double"&gt;10.9552698590792&lt;/D&gt;&lt;/FQL&gt;&lt;FQL&gt;&lt;Q&gt;TRYIT10Y-FDS^PCTCHG(FG_YIELD(0,,,,"YTM"),FG_YIELD(-1AM,,,,"YTM"))&lt;/Q&gt;&lt;R&gt;1&lt;/R&gt;&lt;C&gt;1&lt;/C&gt;&lt;D xsi:type="xsd:double"&gt;-5.771928&lt;/D&gt;&lt;/FQL&gt;&lt;FQL&gt;&lt;Q&gt;DBA^P_PRICE(0)/P_PRICE_HIGH_PR(0,,,USD,,,"PRICE","INTRA","52W")&lt;/Q&gt;&lt;R&gt;1&lt;/R&gt;&lt;C&gt;1&lt;/C&gt;&lt;D xsi:type="xsd:double"&gt;0.93726933&lt;/D&gt;&lt;/FQL&gt;&lt;FQL&gt;&lt;Q&gt;EWD^FG_FCF_YIELD_NTM(0)&lt;/Q&gt;&lt;R&gt;1&lt;/R&gt;&lt;C&gt;1&lt;/C&gt;&lt;D xsi:type="xsd:double"&gt;4.98095739149407&lt;/D&gt;&lt;/FQL&gt;&lt;FQL&gt;&lt;Q&gt;EWU^JULIAN(FMA_DIV_YLD(NTMA,NOW,NOW,M,"PORTAGG","MEANR").DATES)&lt;/Q&gt;&lt;R&gt;1&lt;/R&gt;&lt;C&gt;1&lt;/C&gt;&lt;D xsi:type="xsd:long"&gt;45565&lt;/D&gt;&lt;/FQL&gt;&lt;FQL&gt;&lt;Q&gt;TRYGB10Y-FDS^PCTCHG(FG_YIELD(0,,,,"YTM"),FG_YIELD(-1AM,,,,"YTM"))&lt;/Q&gt;&lt;R&gt;1&lt;/R&gt;&lt;C&gt;1&lt;/C&gt;&lt;D xsi:type="xsd:double"&gt;5.7417564&lt;/D&gt;&lt;/FQL&gt;&lt;FQL&gt;&lt;Q&gt;TRYCH10Y-FDS^PCTCHG(FG_YIELD(0,,,,"YTM"),FG_YIELD(-3AM,,,,"YTM"))&lt;/Q&gt;&lt;R&gt;1&lt;/R&gt;&lt;C&gt;1&lt;/C&gt;&lt;D xsi:type="xsd:double"&gt;-23.801071&lt;/D&gt;&lt;/FQL&gt;&lt;FQL&gt;&lt;Q&gt;QQQ^FMA_RBICS_REV_CURRENT(30, LOC, "PORTAGG")&lt;/Q&gt;&lt;R&gt;1&lt;/R&gt;&lt;C&gt;1&lt;/C&gt;&lt;D xsi:type="xsd:double"&gt;0.944515959592102&lt;/D&gt;&lt;/FQL&gt;&lt;FQL&gt;&lt;Q&gt;EWJ^FMA_DIV_YLD(NTMA,NOW,NOW,M,"PORTAGG","MEANR")&lt;/Q&gt;&lt;R&gt;1&lt;/R&gt;&lt;C&gt;1&lt;/C&gt;&lt;D xsi:type="xsd:double"&gt;2.46287008489174&lt;/D&gt;&lt;/FQL&gt;&lt;FQL&gt;&lt;Q&gt;EWJ^JULIAN(FMA_DIV_YLD(NTMA,NOW,NOW,M,"PORTAGG","MEANR").DATES)&lt;/Q&gt;&lt;R&gt;1&lt;/R&gt;&lt;C&gt;1&lt;/C&gt;&lt;D xsi:type="xsd:long"&gt;45565&lt;/D&gt;&lt;/FQL&gt;&lt;FQL&gt;&lt;Q&gt;VWO^SIZE(FG_CONSTITUENTS)&lt;/Q&gt;&lt;R&gt;1&lt;/R&gt;&lt;C&gt;1&lt;/C&gt;&lt;D xsi:type="xsd:long"&gt;4849&lt;/D&gt;&lt;/FQL&gt;&lt;FQL&gt;&lt;Q&gt;EWI^FG_TOTAL_RETURNC(0,-12AM)&lt;/Q&gt;&lt;R&gt;1&lt;/R&gt;&lt;C&gt;1&lt;/C&gt;&lt;D xsi:type="xsd:double"&gt;35.331844&lt;/D&gt;&lt;/FQL&gt;&lt;FQL&gt;&lt;Q&gt;EWU^FG_FCF_YIELD_NTM(0)&lt;/Q&gt;&lt;R&gt;1&lt;/R&gt;&lt;C&gt;1&lt;/C&gt;&lt;D xsi:type="xsd:double"&gt;6.14511069536552&lt;/D&gt;&lt;/FQL&gt;&lt;FQL&gt;&lt;Q&gt;EWU^FMA_DIV_YLD(NTMA,NOW,NOW,M,"PORTAGG","MEANR")&lt;/Q&gt;&lt;R&gt;1&lt;/R&gt;&lt;C&gt;1&lt;/C&gt;&lt;D xsi:type="xsd:double"&gt;3.87280755498331&lt;/D&gt;&lt;/FQL&gt;&lt;FQL&gt;&lt;Q&gt;CC_US^IMF_IFS_RCPI_Q(0)&lt;/Q&gt;&lt;R&gt;0&lt;/R&gt;&lt;C&gt;0&lt;/C&gt;&lt;/FQL&gt;&lt;FQL&gt;&lt;Q&gt;EWL^JULIAN(FMA_DIV_YLD(NTMA,NOW,NOW,M,"PORTAGG","MEANR").DATES)&lt;/Q&gt;&lt;R&gt;1&lt;/R&gt;&lt;C&gt;1&lt;/C&gt;&lt;D xsi:type="xsd:long"&gt;45565&lt;/D&gt;&lt;/FQL&gt;&lt;FQL&gt;&lt;Q&gt;REFGBBANK-FDS^FG_YIELD(NOW,,,0)&lt;/Q&gt;&lt;R&gt;1&lt;/R&gt;&lt;C&gt;1&lt;/C&gt;&lt;D xsi:type="xsd:double"&gt;5&lt;/D&gt;&lt;/FQL&gt;&lt;FQL&gt;&lt;Q&gt;CC_AU^IMF_IFS_RCPI_Q(0)&lt;/Q&gt;&lt;R&gt;0&lt;/R&gt;&lt;C&gt;0&lt;/C&gt;&lt;/FQL&gt;&lt;FQL&gt;&lt;Q&gt;SPY^FMA_EVAL_EBIT(LTMA,NOW,NOW,M,"PORTAGG","MEANR")&lt;/Q&gt;&lt;R&gt;1&lt;/R&gt;&lt;C&gt;1&lt;/C&gt;&lt;D xsi:type="xsd:double"&gt;21.5241698163648&lt;/D&gt;&lt;/FQL&gt;&lt;FQL&gt;&lt;Q&gt;EWJ^FG_PRICE_MAVG(0,,,,30)&lt;/Q&gt;&lt;R&gt;1&lt;/R&gt;&lt;C&gt;1&lt;/C&gt;&lt;D xsi:type="xsd:double"&gt;70.71233&lt;/D&gt;&lt;/FQL&gt;&lt;FQL&gt;&lt;Q&gt;EWI^P_PRICE(0)/P_PRICE_LOW_PR(0,,,,,,"PRICE","INTRA","52W")-1&lt;/Q&gt;&lt;R&gt;1&lt;/R&gt;&lt;C&gt;1&lt;/C&gt;&lt;D xsi:type="xsd:double"&gt;0.3506807&lt;/D&gt;&lt;/FQL&gt;&lt;FQL&gt;&lt;Q&gt;EWG^PERCENT_CHANGE(FMA_EPS(+1,0,,,,"PORTAGG","MEAN"),FMA_EPS(+1,-3AM,,,,"PORTAGG","MEAN"))&lt;/Q&gt;&lt;R&gt;1&lt;/R&gt;&lt;C&gt;1&lt;/C&gt;&lt;D xsi:type="xsd:double"&gt;-5.4809720028323&lt;/D&gt;&lt;/FQL&gt;&lt;FQL&gt;&lt;Q&gt;EWA^SIZE(FG_CONSTITUENTS)&lt;/Q&gt;&lt;R&gt;1&lt;/R&gt;&lt;C&gt;1&lt;/C&gt;&lt;D xsi:type="xsd:long"&gt;58&lt;/D&gt;&lt;/FQL&gt;&lt;FQL&gt;&lt;Q&gt;TRYDE10Y-FDS^FG_YIELD(0,,,,"YTM")&lt;/Q&gt;&lt;R&gt;1&lt;/R&gt;&lt;C&gt;1&lt;/C&gt;&lt;D xsi:type="xsd:double"&gt;2.187&lt;/D&gt;&lt;/FQL&gt;&lt;FQL&gt;&lt;Q&gt;EWU^FMA_PE(LTM,0,,,"PORTAGG","MEANR")&lt;/Q&gt;&lt;R&gt;1&lt;/R&gt;&lt;C&gt;1&lt;/C&gt;&lt;D xsi:type="xsd:double"&gt;13.694229254774&lt;/D&gt;&lt;/FQL&gt;&lt;FQL&gt;&lt;Q&gt;CC_CH^IMF_IFS_RCPI_Q(0)&lt;/Q&gt;&lt;R&gt;1&lt;/R&gt;&lt;C&gt;1&lt;/C&gt;&lt;D xsi:type="xsd:double"&gt;1.064543&lt;/D&gt;&lt;/FQL&gt;&lt;FQL&gt;&lt;Q&gt;GLD^FG_TOTAL_RETURNC(0,-6AM)&lt;/Q&gt;&lt;R&gt;1&lt;/R&gt;&lt;C&gt;1&lt;/C&gt;&lt;D xsi:type="xsd:double"&gt;14.037407&lt;/D&gt;&lt;/FQL&gt;&lt;FQL&gt;&lt;Q&gt;EWQ^FG_FCF_YIELD_NTM(0)&lt;/Q&gt;&lt;R&gt;1&lt;/R&gt;&lt;C&gt;1&lt;/C&gt;&lt;D xsi:type="xsd:double"&gt;5.77451152928148&lt;/D&gt;&lt;/FQL&gt;&lt;FQL&gt;&lt;Q&gt;SPY^P_PRICE(0)/P_PRICE_HIGH_PR(0,,,USD,,,"PRICE","INTRA","52W")&lt;/Q&gt;&lt;R&gt;1&lt;/R&gt;&lt;C&gt;1&lt;/C&gt;&lt;D xsi:type="xsd:double"&gt;0.9973897&lt;/D&gt;&lt;/FQL&gt;&lt;FQL&gt;&lt;Q&gt;TRYFR10Y-FDS^FG_YIELD(0,,,,"YTM")&lt;/Q&gt;&lt;R&gt;1&lt;/R&gt;&lt;C&gt;1&lt;/C&gt;&lt;D xsi:type="xsd:double"&gt;2.915&lt;/D&gt;&lt;/FQL&gt;&lt;FQL&gt;&lt;Q&gt;NI-FDS^FG_PRICE_CHANGE(0,-3AM)&lt;/Q&gt;&lt;R&gt;1&lt;/R&gt;&lt;C&gt;1&lt;/C&gt;&lt;D xsi:type="xsd:double"&gt;3.54828756556618&lt;/D&gt;&lt;/FQL&gt;&lt;FQL&gt;&lt;Q&gt;EWC^FG_PRICE_MAVG(0,,,,200)&lt;/Q&gt;&lt;R&gt;1&lt;/R&gt;&lt;C&gt;1&lt;/C&gt;&lt;D xsi:type="xsd:double"&gt;38.1465&lt;/D&gt;&lt;/FQL&gt;&lt;FQL&gt;&lt;Q&gt;EWI^FG_TOTAL_RETURNC(0,-3AM)&lt;/Q&gt;&lt;R&gt;1&lt;/R&gt;&lt;C&gt;1&lt;/C&gt;&lt;D xsi:type="xsd:double"&gt;4.007423&lt;/D&gt;&lt;/FQL&gt;&lt;FQL&gt;&lt;Q&gt;EWA^FMA_COS_UP("EPS","1M",+1,0,,,"PORTAGG","MEANR")&lt;/Q&gt;&lt;R&gt;1&lt;/R&gt;&lt;C&gt;1&lt;/C&gt;&lt;D xsi:type="xsd:double"&gt;21&lt;/D&gt;&lt;/FQL&gt;&lt;FQL&gt;&lt;Q&gt;TRYSE10Y-FDS^PCTCHG(FG_YIELD(0,,,,"YTM"),FG_YIELD(-3AM,,,,"YTM"))&lt;/Q&gt;&lt;R&gt;1&lt;/R&gt;&lt;C&gt;1&lt;/C&gt;&lt;D xsi:type="xsd:double"&gt;0.53895915&lt;/D&gt;&lt;/FQL&gt;&lt;FQL&gt;&lt;Q&gt;EWU^FMA_PE(NTMA,0,,,"PORTAGG","MEANR")&lt;/Q&gt;&lt;R&gt;1&lt;/R&gt;&lt;C&gt;1&lt;/C&gt;&lt;D xsi:type="xsd:double"&gt;11.737284527165&lt;/D&gt;&lt;/FQL&gt;&lt;FQL&gt;&lt;Q&gt;EWC^FG_PRICE_MAVG(0,,,,60)&lt;/Q&gt;&lt;R&gt;1&lt;/R&gt;&lt;C&gt;1&lt;/C&gt;&lt;D xsi:type="xsd:double"&gt;40.0465&lt;/D&gt;&lt;/FQL&gt;&lt;FQL&gt;&lt;Q&gt;EWI^PERCENT_CHANGE(FMA_EPS(+1,0,,,,"PORTAGG","MEAN"),FMA_EPS(+1,-1AM,,,,"PORTAGG","MEAN"))&lt;/Q&gt;&lt;R&gt;1&lt;/R&gt;&lt;C&gt;1&lt;/C&gt;&lt;D xsi:type="xsd:double"&gt;-6.96463600684276&lt;/D&gt;&lt;/FQL&gt;&lt;FQL&gt;&lt;Q&gt;EWC^FG_TOTAL_RETURNC(0,-12AM)&lt;/Q&gt;&lt;R&gt;1&lt;/R&gt;&lt;C&gt;1&lt;/C&gt;&lt;D xsi:type="xsd:double"&gt;30.352354&lt;/D&gt;&lt;/FQL&gt;&lt;FQL&gt;&lt;Q&gt;TRYSE10Y-FDS^PCTCHG(FG_YIELD(0,,,,"YTM"),FG_YIELD(-1AM,,,,"YTM"))&lt;/Q&gt;&lt;R&gt;1&lt;/R&gt;&lt;C&gt;1&lt;/C&gt;&lt;D xsi:type="xsd:double"&gt;3.8461585&lt;/D&gt;&lt;/FQL&gt;&lt;FQL&gt;&lt;Q&gt;EWN^FG_TOTAL_RETURNC(0,-1AM)&lt;/Q&gt;&lt;R&gt;1&lt;/R&gt;&lt;C&gt;1&lt;/C&gt;&lt;D xsi:type="xsd:double"&gt;-0.95879436&lt;/D&gt;&lt;/FQL&gt;&lt;FQL&gt;&lt;Q&gt;TRYIT10Y-FDS^FG_YIELD(0,,,,"YTM")&lt;/Q&gt;&lt;R&gt;1&lt;/R&gt;&lt;C&gt;1&lt;/C&gt;&lt;D xsi:type="xsd:double"&gt;3.363&lt;/D&gt;&lt;/FQL&gt;&lt;FQL&gt;&lt;Q&gt;EWC^FMA_DIV_YLD(NTMA,NOW,NOW,M,"PORTAGG","MEANR")&lt;/Q&gt;&lt;R&gt;1&lt;/R&gt;&lt;C&gt;1&lt;/C&gt;&lt;D xsi:type="xsd:double"&gt;3.05959736796896&lt;/D&gt;&lt;/FQL&gt;&lt;FQL&gt;&lt;Q&gt;VGK^FG_FCF_YIELD_NTM(0)&lt;/Q&gt;&lt;R&gt;1&lt;/R&gt;&lt;C&gt;1&lt;/C&gt;&lt;D xsi:type="xsd:double"&gt;5.26489378505668&lt;/D&gt;&lt;/FQL&gt;&lt;FQL&gt;&lt;Q&gt;CPALM-FDS^FG_PRICE_CHANGE(0,-3AM)&lt;/Q&gt;&lt;R&gt;1&lt;/R&gt;&lt;C&gt;1&lt;/C&gt;&lt;D xsi:type="xsd:double"&gt;8.35633626097867&lt;/D&gt;&lt;/FQL&gt;&lt;FQL&gt;&lt;Q&gt;EWA^FG_PRICE(0)&lt;/Q&gt;&lt;R&gt;1&lt;/R&gt;&lt;C&gt;1&lt;/C&gt;&lt;D xsi:type="xsd:double"&gt;26.56&lt;/D&gt;&lt;/FQL&gt;&lt;FQL&gt;&lt;Q&gt;EWC^PERCENT_CHANGE(FMA_EPS(+1,0,,,,"PORTAGG","MEAN"),FMA_EPS(+1,-3AM,,,,"PORTAGG","MEAN"))&lt;/Q&gt;&lt;R&gt;1&lt;/R&gt;&lt;C&gt;1&lt;/C&gt;&lt;D xsi:type="xsd:double"&gt;-0.729177604361315&lt;/D&gt;&lt;/FQL&gt;&lt;FQL&gt;&lt;Q&gt;TRYNL10Y-FDS^PCTCHG(FG_YIELD(0,,,,"YTM"),FG_YIELD(-3AM,,,,"YTM"))&lt;/Q&gt;&lt;R&gt;1&lt;/R&gt;&lt;C&gt;1&lt;/C&gt;&lt;D xsi:type="xsd:double"&gt;-8.494781&lt;/D&gt;&lt;/FQL&gt;&lt;FQL&gt;&lt;Q&gt;REFSEREPO-FDS^PROPER_NAME(0,,,"SECURITY","NAME")&lt;/Q&gt;&lt;R&gt;1&lt;/R&gt;&lt;C&gt;1&lt;/C&gt;&lt;D xsi:type="xsd:string"&gt;Sweden Repo Rate&lt;/D&gt;&lt;/FQL&gt;&lt;FQL&gt;&lt;Q&gt;TRYJP10Y-FDS^PCTCHG(FG_YIELD(0,,,,"YTM"),FG_YIELD(-1AM,,,,"YTM"))&lt;/Q&gt;&lt;R&gt;1&lt;/R&gt;&lt;C&gt;1&lt;/C&gt;&lt;D xsi:type="xsd:double"&gt;18.249514&lt;/D&gt;&lt;/FQL&gt;&lt;FQL&gt;&lt;Q&gt;EWN^FMA_DIV_YLD(NTMA,NOW,NOW,M,"PORTAGG","MEANR")&lt;/Q&gt;&lt;R&gt;1&lt;/R&gt;&lt;C&gt;1&lt;/C&gt;&lt;D xsi:type="xsd:double"&gt;2.62186349245346&lt;/D&gt;&lt;/FQL&gt;&lt;FQL&gt;&lt;Q&gt;EWD^P_PRICE(0)/P_PRICE_LOW_PR(0,,,,,,"PRICE","INTRA","52W")-1&lt;/Q&gt;&lt;R&gt;1&lt;/R&gt;&lt;C&gt;1&lt;/C&gt;&lt;D xsi:type="xsd:double"&gt;0.34267557&lt;/D&gt;&lt;/FQL&gt;&lt;FQL&gt;&lt;Q&gt;EWC^PERCENT_CHANGE(FMA_EPS(+1,0,,,,"PORTAGG","MEAN"),FMA_EPS(+1,-1AM,,,,"PORTAGG","MEAN"))&lt;/Q&gt;&lt;R&gt;1&lt;/R&gt;&lt;C&gt;1&lt;/C&gt;&lt;D xsi:type="xsd:double"&gt;-1.77268538842481&lt;/D&gt;&lt;/FQL&gt;&lt;FQL&gt;&lt;Q&gt;EWD^FMA_DIV_YLD(NTMA,NOW,NOW,M,"PORTAGG","MEANR")&lt;/Q&gt;&lt;R&gt;1&lt;/R&gt;&lt;C&gt;1&lt;/C&gt;&lt;D xsi:type="xsd:double"&gt;3.12328948102814&lt;/D&gt;&lt;/FQL&gt;&lt;FQL&gt;&lt;Q&gt;DBA^FG_TOTAL_RETURNC(0,-6AM)&lt;/Q&gt;&lt;R&gt;1&lt;/R&gt;&lt;C&gt;1&lt;/C&gt;&lt;D xsi:type="xsd:double"&gt;-2.0439684&lt;/D&gt;&lt;/FQL&gt;&lt;FQL&gt;&lt;Q&gt;EWN^FMA_EVAL_EBITDA(NTMA,0,,,"PORTAGG","MEANR")&lt;/Q&gt;&lt;R&gt;1&lt;/R&gt;&lt;C&gt;1&lt;/C&gt;&lt;D xsi:type="xsd:double"&gt;11.7921544662668&lt;/D&gt;&lt;/FQL&gt;&lt;FQL&gt;&lt;Q&gt;GLD^P_PRICE(0)/P_PRICE_HIGH_PR(0,,,USD,,,"PRICE","INTRA","52W")&lt;/Q&gt;&lt;R&gt;1&lt;/R&gt;&lt;C&gt;1&lt;/C&gt;&lt;D xsi:type="xsd:double"&gt;0.9996022&lt;/D&gt;&lt;/FQL&gt;&lt;FQL&gt;&lt;Q&gt;BRENT-FDS^FG_PRICE_CHANGE(0,-3AM)&lt;/Q&gt;&lt;R&gt;1&lt;/R&gt;&lt;C&gt;1&lt;/C&gt;&lt;D xsi:type="xsd:double"&gt;0&lt;/D&gt;&lt;/FQL&gt;&lt;FQL&gt;&lt;Q&gt;ENZL^FG_PRICE_MAVG(0,,,,30)&lt;/Q&gt;&lt;R&gt;1&lt;/R&gt;&lt;C&gt;1&lt;/C&gt;&lt;D xsi:type="xsd:double"&gt;49.1905&lt;/D&gt;&lt;/FQL&gt;&lt;FQL&gt;&lt;Q&gt;EWD^PERCENT_CHANGE(FMA_EPS(+1,0,,,,"PORTAGG","MEAN"),FMA_EPS(+1,-1AM,,,,"PORTAGG","MEAN"))&lt;/Q&gt;&lt;R&gt;1&lt;/R&gt;&lt;C&gt;1&lt;/C&gt;&lt;D xsi:type="xsd:double"&gt;-2.55267932360694&lt;/D&gt;&lt;/FQL&gt;&lt;FQL&gt;&lt;Q&gt;EWA^P_PRICE(0)/P_PRICE_LOW_PR(0,,,,,,"PRICE","INTRA","52W")-1&lt;/Q&gt;&lt;R&gt;1&lt;/R&gt;&lt;C&gt;1&lt;/C&gt;&lt;D xsi:type="xsd:double"&gt;0.2981428&lt;/D&gt;&lt;/FQL&gt;&lt;FQL&gt;&lt;Q&gt;TRYAU10Y-FDS^FG_YIELD(0,,,,"YTM")&lt;/Q&gt;&lt;R&gt;1&lt;/R&gt;&lt;C&gt;1&lt;/C&gt;&lt;D xsi:type="xsd:double"&gt;4.307&lt;/D&gt;&lt;/FQL&gt;&lt;FQL&gt;&lt;Q&gt;EWD^FMA_PE(NTMA,0,,,"PORTAGG","MEANR")&lt;/Q&gt;&lt;R&gt;1&lt;/R&gt;&lt;C&gt;1&lt;/C&gt;&lt;D xsi:type="xsd:double"&gt;16.1600153365475&lt;/D&gt;&lt;/FQL&gt;&lt;FQL&gt;&lt;Q&gt;ENZL^JULIAN(FMA_DIV_YLD(NTMA,NOW,NOW,M,"PORTAGG","MEANR").DATES)&lt;/Q&gt;&lt;R&gt;1&lt;/R&gt;&lt;C&gt;1&lt;/C&gt;&lt;D xsi:type="xsd:long"&gt;45565&lt;/D&gt;&lt;/FQL&gt;&lt;FQL&gt;&lt;Q&gt;DBA^FG_TOTAL_RETURNC(0,-3AM)&lt;/Q&gt;&lt;R&gt;1&lt;/R&gt;&lt;C&gt;1&lt;/C&gt;&lt;D xsi:type="xsd:double"&gt;6.0542703&lt;/D&gt;&lt;/FQL&gt;&lt;FQL&gt;&lt;Q&gt;TRYGB10Y-FDS^PCTCHG(FG_YIELD(0,,,,"YTM"),FG_YIELD(-3AM,,,,"YTM"))&lt;/Q&gt;&lt;R&gt;1&lt;/R&gt;&lt;C&gt;1&lt;/C&gt;&lt;D xsi:type="xsd:double"&gt;0.79247314&lt;/D&gt;&lt;/FQL&gt;&lt;FQL&gt;&lt;Q&gt;EWD^FMA_PE(LTM,0,,,"PORTAGG","MEANR")&lt;/Q&gt;&lt;R&gt;1&lt;/R&gt;&lt;C&gt;1&lt;/C&gt;&lt;D xsi:type="xsd:double"&gt;14.3098089556782&lt;/D&gt;&lt;/FQL&gt;&lt;FQL&gt;&lt;Q&gt;EWL^FMA_EVAL_EBIT(LTMA,NOW,NOW,M,"PORTAGG","MEANR")&lt;/Q&gt;&lt;R&gt;1&lt;/R&gt;&lt;C&gt;1&lt;/C&gt;&lt;D xsi:type="xsd:double"&gt;16.9419199105708&lt;/D&gt;&lt;/FQL&gt;&lt;FQL&gt;&lt;Q&gt;DBA^FG_TOTAL_RETURNC(0,-1AM)&lt;/Q&gt;&lt;R&gt;1&lt;/R&gt;&lt;C&gt;1&lt;/C&gt;&lt;D xsi:type="xsd:double"&gt;-0.9360373&lt;/D&gt;&lt;/FQL&gt;&lt;FQL&gt;&lt;Q&gt;EWD^JULIAN(FMA_DIV_YLD(NTMA,NOW,NOW,M,"PORTAGG","MEANR").DATES)&lt;/Q&gt;&lt;R&gt;1&lt;/R&gt;&lt;C&gt;1&lt;/C&gt;&lt;D xsi:type="xsd:long"&gt;45565&lt;/D&gt;&lt;/FQL&gt;&lt;FQL&gt;&lt;Q&gt;EWL^FG_FCF_YIELD_NTM(0)&lt;/Q&gt;&lt;R&gt;1&lt;/R&gt;&lt;C&gt;1&lt;/C&gt;&lt;D xsi:type="xsd:double"&gt;4.67167935894942&lt;/D&gt;&lt;/FQL&gt;&lt;FQL&gt;&lt;Q&gt;EWN^FG_FCF_YIELD_NTM(0)&lt;/Q&gt;&lt;R&gt;1&lt;/R&gt;&lt;C&gt;1&lt;/C&gt;&lt;D xsi:type="xsd:double"&gt;4.11255142502846&lt;/D&gt;&lt;/FQL&gt;&lt;FQL&gt;&lt;Q&gt;EWD^FMA_PCT_ABOVE_MAVG(200,0,,,,"PORTAGG")&lt;/Q&gt;&lt;R&gt;1&lt;/R&gt;&lt;C&gt;1&lt;/C&gt;&lt;D xsi:type="xsd:double"&gt;66.6666666666667&lt;/D&gt;&lt;/FQL&gt;&lt;FQL&gt;&lt;Q&gt;EWA^FG_TOTAL_RETURNC(0,-3AM)&lt;/Q&gt;&lt;R&gt;1&lt;/R&gt;&lt;C&gt;1&lt;/C&gt;&lt;D xsi:type="xsd:double"&gt;5.7745814&lt;/D&gt;&lt;/FQL&gt;&lt;FQL&gt;&lt;Q&gt;REFSEREPO-FDS^(SUBARRAY(NOT_NA(NO_REPEAT_F(FG_YIELD(NOW,-10AY,D))),0,1)-SUBARRAY(NOT_NA(NO_REPEAT_F(FG_YIELD(NOW,-10AY,D))),1,1))*100&lt;/Q&gt;&lt;R&gt;1&lt;/R&gt;&lt;C&gt;1&lt;/C&gt;&lt;D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xsi:type="xsd:double"&gt;-25&lt;/D&gt;&lt;/FQL&gt;&lt;FQL&gt;&lt;Q&gt;REFSEREPO-FDS^FG_YIELD(NOW,,,0)&lt;/Q&gt;&lt;R&gt;1&lt;/R&gt;&lt;C&gt;1&lt;/C&gt;&lt;D xsi:type="xsd:double"&gt;3.25&lt;/D&gt;&lt;/FQL&gt;&lt;FQL&gt;&lt;Q&gt;ENZL^FG_TOTAL_RETURNC(0,-1AM)&lt;/Q&gt;&lt;R&gt;1&lt;/R&gt;&lt;C&gt;1&lt;/C&gt;&lt;D xsi:type="xsd:double"&gt;0.060999393&lt;/D&gt;&lt;/FQL&gt;&lt;FQL&gt;&lt;Q&gt;TRYDE10Y-FDS^PCTCHG(FG_YIELD(0,,,,"YTM"),FG_YIELD(-3AM,,,,"YTM"))&lt;/Q&gt;&lt;R&gt;1&lt;/R&gt;&lt;C&gt;1&lt;/C&gt;&lt;D xsi:type="xsd:double"&gt;-9.29075&lt;/D&gt;&lt;/FQL&gt;&lt;FQL&gt;&lt;Q&gt;TIOS-FDS^FG_PRICE_CHANGE(0,-3AM)&lt;/Q&gt;&lt;R&gt;1&lt;/R&gt;&lt;C&gt;1&lt;/C&gt;&lt;D xsi:type="xsd:double"&gt;-3.09942058309575&lt;/D&gt;&lt;/FQL&gt;&lt;FQL&gt;&lt;Q&gt;EWN^P_PRICE(0)/P_PRICE_HIGH_PR(0,,,,,,"PRICE","INTRA","52W")&lt;/Q&gt;&lt;R&gt;1&lt;/R&gt;&lt;C&gt;1&lt;/C&gt;&lt;D xsi:type="xsd:double"&gt;0.91551954&lt;/D&gt;&lt;/FQL&gt;&lt;FQL&gt;&lt;Q&gt;UUP^FG_TOTAL_RETURNC(0,-6AM)&lt;/Q&gt;&lt;R&gt;1&lt;/R&gt;&lt;C&gt;1&lt;/C&gt;&lt;D xsi:type="xsd:double"&gt;0.44983625&lt;/D&gt;&lt;/FQL&gt;&lt;FQL&gt;&lt;Q&gt;EWJ^FMA_RBICS_REV_CURRENT(30, LOC, "PORTAGG")&lt;/Q&gt;&lt;R&gt;1&lt;/R&gt;&lt;C&gt;1&lt;/C&gt;&lt;D xsi:type="xsd:double"&gt;18.3724552738071&lt;/D&gt;&lt;/FQL&gt;&lt;FQL&gt;&lt;Q&gt;EWA^PERCENT_CHANGE(FMA_EPS(+1,0,,,,"PORTAGG","MEAN"),FMA_EPS(+1,-1AM,,,,"PORTAGG","MEAN"))&lt;/Q&gt;&lt;R&gt;1&lt;/R&gt;&lt;C&gt;1&lt;/C&gt;&lt;D xsi:type="xsd:double"&gt;-0.0882223806082973&lt;/D&gt;&lt;/FQL&gt;&lt;FQL&gt;&lt;Q&gt;ENZL^FG_TOTAL_RETURNC(0,-3AM)&lt;/Q&gt;&lt;R&gt;1&lt;/R&gt;&lt;C&gt;1&lt;/C&gt;&lt;D xsi:type="xsd:double"&gt;5.987501&lt;/D&gt;&lt;/FQL&gt;&lt;FQL&gt;&lt;Q&gt;TRYCH10Y-FDS^PCTCHG(FG_YIELD(0,,,,"YTM"),FG_YIELD(-1AM,,,,"YTM"))&lt;/Q&gt;&lt;R&gt;1&lt;/R&gt;&lt;C&gt;1&lt;/C&gt;&lt;D xsi:type="xsd:double"&gt;-4.878052&lt;/D&gt;&lt;/FQL&gt;&lt;FQL&gt;&lt;Q&gt;EWJ^FMA_EVAL_EBITDA(NTMA,0,,,"PORTAGG","MEANR")&lt;/Q&gt;&lt;R&gt;1&lt;/R&gt;&lt;C&gt;1&lt;/C&gt;&lt;D xsi:type="xsd:double"&gt;10.1639127100557&lt;/D&gt;&lt;/FQL&gt;&lt;FQL&gt;&lt;Q&gt;EWQ^FMA_PE(NTMA,0,,,"PORTAGG","MEANR")&lt;/Q&gt;&lt;R&gt;1&lt;/R&gt;&lt;C&gt;1&lt;/C&gt;&lt;D xsi:type="xsd:double"&gt;13.8092374281818&lt;/D&gt;&lt;/FQL&gt;&lt;FQL&gt;&lt;Q&gt;EWQ^FMA_PE(LTM,0,,,"PORTAGG","MEANR")&lt;/Q&gt;&lt;R&gt;1&lt;/R&gt;&lt;C&gt;1&lt;/C&gt;&lt;D xsi:type="xsd:double"&gt;16.1239695088254&lt;/D&gt;&lt;/FQL&gt;&lt;FQL&gt;&lt;Q&gt;EWC^FMA_EVAL_EBITDA(NTMA,0,,,"PORTAGG","MEANR")&lt;/Q&gt;&lt;R&gt;1&lt;/R&gt;&lt;C&gt;1&lt;/C&gt;&lt;D xsi:type="xsd:double"&gt;10.2388224133071&lt;/D&gt;&lt;/FQL&gt;&lt;FQL&gt;&lt;Q&gt;QQQ^FMA_COS_DOWN("EPS","1M",+1,0,,,"PORTAGG","MEANR")&lt;/Q&gt;&lt;R&gt;1&lt;/R&gt;&lt;C&gt;1&lt;/C&gt;&lt;D xsi:type="xsd:double"&gt;35&lt;/D&gt;&lt;/FQL&gt;&lt;FQL&gt;&lt;Q&gt;EWN^FMA_PCT_ABOVE_MAVG(200,0,,,,"PORTAGG")&lt;/Q&gt;&lt;R&gt;1&lt;/R&gt;&lt;C&gt;1&lt;/C&gt;&lt;D xsi:type="xsd:double"&gt;50&lt;/D&gt;&lt;/FQL&gt;&lt;FQL&gt;&lt;Q&gt;EWQ^FG_TOTAL_RETURNC(0,-1AM)&lt;/Q&gt;&lt;R&gt;1&lt;/R&gt;&lt;C&gt;1&lt;/C&gt;&lt;D xsi:type="xsd:double"&gt;0.12755394&lt;/D&gt;&lt;/FQL&gt;&lt;FQL&gt;&lt;Q&gt;ENZL^FMA_PCT_ABOVE_MAVG(200,0,,,,"PORTAGG")&lt;/Q&gt;&lt;R&gt;1&lt;/R&gt;&lt;C&gt;1&lt;/C&gt;&lt;D xsi:type="xsd:double"&gt;50&lt;/D&gt;&lt;/FQL&gt;&lt;FQL&gt;&lt;Q&gt;EWU^FMA_RBICS_REV_CURRENT(30, LOC, "PORTAGG")&lt;/Q&gt;&lt;R&gt;1&lt;/R&gt;&lt;C&gt;1&lt;/C&gt;&lt;D xsi:type="xsd:double"&gt;19.9116441469539&lt;/D&gt;&lt;/FQL&gt;&lt;FQL&gt;&lt;Q&gt;CC_GB^IMF_IFS_RCPI_Q(0)&lt;/Q&gt;&lt;R&gt;0&lt;/R&gt;&lt;C&gt;0&lt;/C&gt;&lt;/FQL&gt;&lt;FQL&gt;&lt;Q&gt;EWJ^FG_FCF_YIELD_NTM(0)&lt;/Q&gt;&lt;R&gt;1&lt;/R&gt;&lt;C&gt;1&lt;/C&gt;&lt;D xsi:type="xsd:double"&gt;4.27530227986865&lt;/D&gt;&lt;/FQL&gt;&lt;FQL&gt;&lt;Q&gt;CC_CA^IMF_IFS_RCPI_Q(0)&lt;/Q&gt;&lt;R&gt;0&lt;/R&gt;&lt;C&gt;0&lt;/C&gt;&lt;/FQL&gt;&lt;FQL&gt;&lt;Q&gt;SPY^FMA_EVAL_EBITDA(NTMA,0,,,"PORTAGG","MEANR")&lt;/Q&gt;&lt;R&gt;1&lt;/R&gt;&lt;C&gt;1&lt;/C&gt;&lt;D xsi:type="xsd:double"&gt;14.9803844845993&lt;/D&gt;&lt;/FQL&gt;&lt;FQL&gt;&lt;Q&gt;SPY^FMA_DIV_YLD(NTMA,NOW,NOW,M,"PORTAGG","MEANR")&lt;/Q&gt;&lt;R&gt;1&lt;/R&gt;&lt;C&gt;1&lt;/C&gt;&lt;D xsi:type="xsd:double"&gt;1.34601198921344&lt;/D&gt;&lt;/FQL&gt;&lt;FQL&gt;&lt;Q&gt;EWL^P_PRICE(0)/P_PRICE_HIGH_PR(0,,,,,,"PRICE","INTRA","52W")&lt;/Q&gt;&lt;R&gt;1&lt;/R&gt;&lt;C&gt;1&lt;/C&gt;&lt;D xsi:type="xsd:double"&gt;0.97133696&lt;/D&gt;&lt;/FQL&gt;&lt;FQL&gt;&lt;Q&gt;EWC^FMA_PE(NTMA,0,,,"PORTAGG","MEANR")&lt;/Q&gt;&lt;R&gt;1&lt;/R&gt;&lt;C&gt;1&lt;/C&gt;&lt;D xsi:type="xsd:double"&gt;15.4600398345513&lt;/D&gt;&lt;/FQL&gt;&lt;FQL&gt;&lt;Q&gt;EWQ^PERCENT_CHANGE(FMA_EPS(+1,0,,,,"PORTAGG","MEAN"),FMA_EPS(+1,-3AM,,,,"PORTAGG","MEAN"))&lt;/Q&gt;&lt;R&gt;1&lt;/R&gt;&lt;C&gt;1&lt;/C&gt;&lt;D xsi:type="xsd:double"&gt;-3.42283360148562&lt;/D&gt;&lt;/FQL&gt;&lt;FQL&gt;&lt;Q&gt;FXI^FMA_COS_UP("EPS","1M",+1,0,,,"PORTAGG","MEANR")&lt;/Q&gt;&lt;R&gt;1&lt;/R&gt;&lt;C&gt;1&lt;/C&gt;&lt;D xsi:type="xsd:double"&gt;20&lt;/D&gt;&lt;/FQL&gt;&lt;FQL&gt;&lt;Q&gt;EWG^FMA_RBICS_REV_CURRENT(30, LOC, "PORTAGG")&lt;/Q&gt;&lt;R&gt;1&lt;/R&gt;&lt;C&gt;1&lt;/C&gt;&lt;D xsi:type="xsd:double"&gt;23.5276247083657&lt;/D&gt;&lt;/FQL&gt;&lt;FQL&gt;&lt;Q&gt;TRYDE10Y-FDS^PCTCHG(FG_YIELD(0,,,,"YTM"),FG_YIELD(-1AM,,,,"YTM"))&lt;/Q&gt;&lt;R&gt;1&lt;/R&gt;&lt;C&gt;1&lt;/C&gt;&lt;D xsi:type="xsd:double"&gt;-0.22809653&lt;/D&gt;&lt;/FQL&gt;&lt;FQL&gt;&lt;Q&gt;CC_JP^IMF_IFS_RCPI_Q(0)&lt;/Q&gt;&lt;R&gt;0&lt;/R&gt;&lt;C&gt;0&lt;/C&gt;&lt;/FQL&gt;&lt;FQL&gt;&lt;Q&gt;EWN^FMA_PE(NTMA,0,,,"PORTAGG","MEANR")&lt;/Q&gt;&lt;R&gt;1&lt;/R&gt;&lt;C&gt;1&lt;/C&gt;&lt;D xsi:type="xsd:double"&gt;14.7712298428494&lt;/D&gt;&lt;/FQL&gt;&lt;FQL&gt;&lt;Q&gt;EWJ^FMA_PE(NTMA,0,,,"PORTAGG","MEANR")&lt;/Q&gt;&lt;R&gt;1&lt;/R&gt;&lt;C&gt;1&lt;/C&gt;&lt;D xsi:type="xsd:double"&gt;14.3724839955223&lt;/D&gt;&lt;/FQL&gt;&lt;FQL&gt;&lt;Q&gt;GLD^FG_TOTAL_RETURNC(0,-3AM)&lt;/Q&gt;&lt;R&gt;1&lt;/R&gt;&lt;C&gt;1&lt;/C&gt;&lt;D xsi:type="xsd:double"&gt;11.289751&lt;/D&gt;&lt;/FQL&gt;&lt;FQL&gt;&lt;Q&gt;GLD^FG_TOTAL_RETURNC(0,-1AM)&lt;/Q&gt;&lt;R&gt;1&lt;/R&gt;&lt;C&gt;1&lt;/C&gt;&lt;D xsi:type="xsd:double"&gt;6.691861&lt;/D&gt;&lt;/FQL&gt;&lt;FQL&gt;&lt;Q&gt;URTH^FMA_COS_UP("EPS","1M",+1,0,,,"PORTAGG","MEANR")&lt;/Q&gt;&lt;R&gt;1&lt;/R&gt;&lt;C&gt;1&lt;/C&gt;&lt;D xsi:type="xsd:double"&gt;440&lt;/D&gt;&lt;/FQL&gt;&lt;FQL&gt;&lt;Q&gt;EWG^FMA_DIV_YLD(NTMA,NOW,NOW,M,"PORTAGG","MEANR")&lt;/Q&gt;&lt;R&gt;1&lt;/R&gt;&lt;C&gt;1&lt;/C&gt;&lt;D xsi:type="xsd:double"&gt;3.18327234619462&lt;/D&gt;&lt;/FQL&gt;&lt;FQL&gt;&lt;Q&gt;ENZL^FMA_RBICS_REV_CURRENT(30, LOC, "PORTAGG")&lt;/Q&gt;&lt;R&gt;1&lt;/R&gt;&lt;C&gt;1&lt;/C&gt;&lt;D xsi:type="xsd:double"&gt;25.6286998493894&lt;/D&gt;&lt;/FQL&gt;&lt;FQL&gt;&lt;Q&gt;TRYCA10Y-FDS^PCTCHG(FG_YIELD(0,,,,"YTM"),FG_YIELD(-3AM,,,,"YTM"))&lt;/Q&gt;&lt;R&gt;1&lt;/R&gt;&lt;C&gt;1&lt;/C&gt;&lt;D xsi:type="xsd:double"&gt;-6.7485366&lt;/D&gt;&lt;/FQL&gt;&lt;FQL&gt;&lt;Q&gt;CC_DE^IMF_IFS_RCPI_Q(0)&lt;/Q&gt;&lt;R&gt;0&lt;/R&gt;&lt;C&gt;0&lt;/C&gt;&lt;/FQL&gt;&lt;FQL&gt;&lt;Q&gt;EWN^FMA_PE(LTM,0,,,"PORTAGG","MEANR")&lt;/Q&gt;&lt;R&gt;1&lt;/R&gt;&lt;C&gt;1&lt;/C&gt;&lt;D xsi:type="xsd:double"&gt;20.233831070081&lt;/D&gt;&lt;/FQL&gt;&lt;FQL&gt;&lt;Q&gt;EWJ^FMA_PE(LTM,0,,,"PORTAGG","MEANR")&lt;/Q&gt;&lt;R&gt;1&lt;/R&gt;&lt;C&gt;1&lt;/C&gt;&lt;D xsi:type="xsd:double"&gt;15.7845949322151&lt;/D&gt;&lt;/FQL&gt;&lt;FQL&gt;&lt;Q&gt;VWO^FMA_EVAL_EBITDA(NTMA,0,,,"PORTAGG","MEANR")&lt;/Q&gt;&lt;R&gt;1&lt;/R&gt;&lt;C&gt;1&lt;/C&gt;&lt;D xsi:type="xsd:double"&gt;8.91685634064862&lt;/D&gt;&lt;/FQL&gt;&lt;FQL&gt;&lt;Q&gt;FXI^FG_TOTAL_RETURNC(0,-12AM)&lt;/Q&gt;&lt;R&gt;1&lt;/R&gt;&lt;C&gt;1&lt;/C&gt;&lt;D xsi:type="xsd:double"&gt;27.369297&lt;/D&gt;&lt;/FQL&gt;&lt;FQL&gt;&lt;Q&gt;REFGBBANK-FDS^(SUBARRAY(NOT_NA(NO_REPEAT_F(FG_YIELD(NOW,-10AY,D))),0,1)-SUBARRAY(NOT_NA(NO_REPEAT_F(FG_YIELD(NOW,-10AY,D))),1,1))*100&lt;/Q&gt;&lt;R&gt;1&lt;/R&gt;&lt;C&gt;1&lt;/C&gt;&lt;D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xsi:type="xsd:double"&gt;-25&lt;/D&gt;&lt;/FQL&gt;&lt;FQL&gt;&lt;Q&gt;FXI^PERCENT_CHANGE(FMA_EPS(+1,0,,,,"PORTAGG","MEAN"),FMA_EPS(+1,-3AM,,,,"PORTAGG","MEAN"))&lt;/Q&gt;&lt;R&gt;1&lt;/R&gt;&lt;C&gt;1&lt;/C&gt;&lt;D xsi:type="xsd:double"&gt;4.77178877627084&lt;/D&gt;&lt;/FQL&gt;&lt;FQL&gt;&lt;Q&gt;EWJ^P_PRICE(0)/P_PRICE_HIGH_PR(0,,,USD,,,"PRICE","INTRA","52W")&lt;/Q&gt;&lt;R&gt;1&lt;/R&gt;&lt;C&gt;1&lt;/C&gt;&lt;D xsi:type="xsd:double"&gt;0.9575369&lt;/D&gt;&lt;/FQL&gt;&lt;FQL&gt;&lt;Q&gt;FXI^PERCENT_CHANGE(FMA_EPS(+1,0,,,,"PORTAGG","MEAN"),FMA_EPS(+1,-1AM,,,,"PORTAGG","MEAN"))&lt;/Q&gt;&lt;R&gt;1&lt;/R&gt;&lt;C&gt;1&lt;/C&gt;&lt;D xsi:type="xsd:double"&gt;-0.507457340753782&lt;/D&gt;&lt;/FQL&gt;&lt;FQL&gt;&lt;Q&gt;VGK^SIZE(FG_CONSTITUENTS)&lt;/Q&gt;&lt;R&gt;1&lt;/R&gt;&lt;C&gt;1&lt;/C&gt;&lt;D xsi:type="xsd:long"&gt;1271&lt;/D&gt;&lt;/FQL&gt;&lt;FQL&gt;&lt;Q&gt;EWN^FG_ROE(0)&lt;/Q&gt;&lt;R&gt;1&lt;/R&gt;&lt;C&gt;1&lt;/C&gt;&lt;D xsi:type="xsd:double"&gt;10.922854772748&lt;/D&gt;&lt;/FQL&gt;&lt;FQL&gt;&lt;Q&gt;REFGBBANK-FDS^PROPER_NAME(0,,,"SECURITY","NAME")&lt;/Q&gt;&lt;R&gt;1&lt;/R&gt;&lt;C&gt;1&lt;/C&gt;&lt;D xsi:type="xsd:string"&gt;UK Bank Rate&lt;/D&gt;&lt;/FQL&gt;&lt;FQL&gt;&lt;Q&gt;REFJPTON-FDS^PROPER_NAME(0,,,"SECURITY","NAME")&lt;/Q&gt;&lt;R&gt;1&lt;/R&gt;&lt;C&gt;1&lt;/C&gt;&lt;D xsi:type="xsd:string"&gt;Japan Policy Rate&lt;/D&gt;&lt;/FQL&gt;&lt;FQL&gt;&lt;Q&gt;VGK^FMA_EVAL_EBITDA(NTMA,0,,,"PORTAGG","MEANR")&lt;/Q&gt;&lt;R&gt;1&lt;/R&gt;&lt;C&gt;1&lt;/C&gt;&lt;D xsi:type="xsd:double"&gt;9.00351081404339&lt;/D&gt;&lt;/FQL&gt;&lt;FQL&gt;&lt;Q&gt;EWI^SIZE(FG_CONSTITUENTS)&lt;/Q&gt;&lt;R&gt;1&lt;/R&gt;&lt;C&gt;1&lt;/C&gt;&lt;D xsi:type="xsd:long"&gt;27&lt;/D&gt;&lt;/FQL&gt;&lt;FQL&gt;&lt;Q&gt;EWJ^FG_ROE(0)&lt;/Q&gt;&lt;R&gt;1&lt;/R&gt;&lt;C&gt;1&lt;/C&gt;&lt;D xsi:type="xsd:double"&gt;9.08445468058334&lt;/D&gt;&lt;/FQL&gt;&lt;FQL&gt;&lt;Q&gt;REFCHMPR-FDS^(SUBARRAY(NOT_NA(NO_REPEAT_F(FG_YIELD(NOW,-10AY,D))),0,1)-SUBARRAY(NOT_NA(NO_REPEAT_F(FG_YIELD(NOW,-10AY,D))),1,1))*100&lt;/Q&gt;&lt;R&gt;1&lt;/R&gt;&lt;C&gt;1&lt;/C&gt;&lt;D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CC_NZ^IMF_IFS_RCPI_Q(0)&lt;/Q&gt;&lt;R&gt;0&lt;/R&gt;&lt;C&gt;0&lt;/C&gt;&lt;/FQL&gt;&lt;FQL&gt;&lt;Q&gt;EWQ^JULIAN(FMA_DIV_YLD(NTMA,NOW,NOW,M,"PORTAGG","MEANR").DATES)&lt;/Q&gt;&lt;R&gt;1&lt;/R&gt;&lt;C&gt;1&lt;/C&gt;&lt;D xsi:type="xsd:long"&gt;45565&lt;/D&gt;&lt;/FQL&gt;&lt;FQL&gt;&lt;Q&gt;QQQ^PERCENT_CHANGE(FMA_EPS(+1,0,,,,"PORTAGG","MEAN"),FMA_EPS(+1,-1AM,,,,"PORTAGG","MEAN"))&lt;/Q&gt;&lt;R&gt;1&lt;/R&gt;&lt;C&gt;1&lt;/C&gt;&lt;D xsi:type="xsd:double"&gt;-0.147508078683461&lt;/D&gt;&lt;/FQL&gt;&lt;FQL&gt;&lt;Q&gt;EWG^FG_ROE(0)&lt;/Q&gt;&lt;R&gt;1&lt;/R&gt;&lt;C&gt;1&lt;/C&gt;&lt;D xsi:type="xsd:double"&gt;10.7565579289452&lt;/D&gt;&lt;/FQL&gt;&lt;FQL&gt;&lt;Q&gt;REFCHMPR-FDS^FG_YIELD(NOW,,,0)&lt;/Q&gt;&lt;R&gt;1&lt;/R&gt;&lt;C&gt;1&lt;/C&gt;&lt;D xsi:type="xsd:double"&gt;1&lt;/D&gt;&lt;/FQL&gt;&lt;FQL&gt;&lt;Q&gt;TRYSE10Y-FDS^FG_YIELD(0,,,,"YTM")&lt;/Q&gt;&lt;R&gt;1&lt;/R&gt;&lt;C&gt;1&lt;/C&gt;&lt;D xsi:type="xsd:double"&gt;2.052&lt;/D&gt;&lt;/FQL&gt;&lt;FQL&gt;&lt;Q&gt;VWO^FMA_EVAL_EBIT(LTMA,NOW,NOW,M,"PORTAGG","MEANR")&lt;/Q&gt;&lt;R&gt;1&lt;/R&gt;&lt;C&gt;1&lt;/C&gt;&lt;D xsi:type="xsd:double"&gt;14.5112745325381&lt;/D&gt;&lt;/FQL&gt;&lt;FQL&gt;&lt;Q&gt;EWU^P_PRICE(0)/P_PRICE_LOW_PR(0,,,,,,"PRICE","INTRA","52W")-1&lt;/Q&gt;&lt;R&gt;1&lt;/R&gt;&lt;C&gt;1&lt;/C&gt;&lt;D xsi:type="xsd:double"&gt;0.22793627&lt;/D&gt;&lt;/FQL&gt;&lt;FQL&gt;&lt;Q&gt;EWD^SIZE(FG_CONSTITUENTS)&lt;/Q&gt;&lt;R&gt;1&lt;/R&gt;&lt;C&gt;1&lt;/C&gt;&lt;D xsi:type="xsd:long"&gt;47&lt;/D&gt;&lt;/FQL&gt;&lt;FQL&gt;&lt;Q&gt;EWA^FG_ROE(0)&lt;/Q&gt;&lt;R&gt;1&lt;/R&gt;&lt;C&gt;1&lt;/C&gt;&lt;D xsi:type="xsd:double"&gt;12.5519591774996&lt;/D&gt;&lt;/FQL&gt;&lt;FQL&gt;&lt;Q&gt;REFJPTON-FDS^(SUBARRAY(NOT_NA(NO_REPEAT_F(FG_YIELD(NOW,-10AY,D))),0,1)-SUBARRAY(NOT_NA(NO_REPEAT_F(FG_YIELD(NOW,-10AY,D))),1,1))*100&lt;/Q&gt;&lt;R&gt;1&lt;/R&gt;&lt;C&gt;1&lt;/C&gt;&lt;D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xsi:type="xsd:double"&gt;15&lt;/D&gt;&lt;/FQL&gt;&lt;FQL&gt;&lt;Q&gt;EWQ^SIZE(FG_CONSTITUENTS)&lt;/Q&gt;&lt;R&gt;1&lt;/R&gt;&lt;C&gt;1&lt;/C&gt;&lt;D xsi:type="xsd:long"&gt;61&lt;/D&gt;&lt;/FQL&gt;&lt;FQL&gt;&lt;Q&gt;ENZL^FG_ROE(0)&lt;/Q&gt;&lt;R&gt;1&lt;/R&gt;&lt;C&gt;1&lt;/C&gt;&lt;D xsi:type="xsd:double"&gt;3.25508441772478&lt;/D&gt;&lt;/FQL&gt;&lt;FQL&gt;&lt;Q&gt;TRYNL10Y-FDS^FG_YIELD(0,,,,"YTM")&lt;/Q&gt;&lt;R&gt;1&lt;/R&gt;&lt;C&gt;1&lt;/C&gt;&lt;D xsi:type="xsd:double"&gt;2.456&lt;/D&gt;&lt;/FQL&gt;&lt;FQL&gt;&lt;Q&gt;VWO^FG_PE(0)&lt;/Q&gt;&lt;R&gt;1&lt;/R&gt;&lt;C&gt;1&lt;/C&gt;&lt;D xsi:type="xsd:double"&gt;15.264493899113&lt;/D&gt;&lt;/FQL&gt;&lt;FQL&gt;&lt;Q&gt;SPY^FG_FCF_YIELD_NTM(0)&lt;/Q&gt;&lt;R&gt;1&lt;/R&gt;&lt;C&gt;1&lt;/C&gt;&lt;D xsi:type="xsd:double"&gt;3.91337476036944&lt;/D&gt;&lt;/FQL&gt;&lt;FQL&gt;&lt;Q&gt;EWG^FMA_PE(NTMA,0,,,"PORTAGG","MEANR")&lt;/Q&gt;&lt;R&gt;1&lt;/R&gt;&lt;C&gt;1&lt;/C&gt;&lt;D xsi:type="xsd:double"&gt;12.914296507962&lt;/D&gt;&lt;/FQL&gt;&lt;FQL&gt;&lt;Q&gt;SPY^FMA_PE(NTMA,0,,,"PORTAGG","MEANR")&lt;/Q&gt;&lt;R&gt;1&lt;/R&gt;&lt;C&gt;1&lt;/C&gt;&lt;D xsi:type="xsd:double"&gt;21.8779590433116&lt;/D&gt;&lt;/FQL&gt;&lt;FQL&gt;&lt;Q&gt;EWI^FG_PRICE_MAVG(0,,,,30)&lt;/Q&gt;&lt;R&gt;1&lt;/R&gt;&lt;C&gt;1&lt;/C&gt;&lt;D xsi:type="xsd:double"&gt;38.361668&lt;/D&gt;&lt;/FQL&gt;&lt;FQL&gt;&lt;Q&gt;EWU^FG_TOTAL_RETURNC(0,-3AM)&lt;/Q&gt;&lt;R&gt;1&lt;/R&gt;&lt;C&gt;1&lt;/C&gt;&lt;D xsi:type="xsd:double"&gt;3.9314747&lt;/D&gt;&lt;/FQL&gt;&lt;FQL&gt;&lt;Q&gt;EWQ^FMA_COS_DOWN("EPS","1M",+1,0,,,"PORTAGG","MEANR")&lt;/Q&gt;&lt;R&gt;1&lt;/R&gt;&lt;C&gt;1&lt;/C&gt;&lt;D xsi:type="xsd:double"&gt;32&lt;/D&gt;&lt;/FQL&gt;&lt;FQL&gt;&lt;Q&gt;TRYNL10Y-FDS^FG_YIELD_NAME&lt;/Q&gt;&lt;R&gt;1&lt;/R&gt;&lt;C&gt;1&lt;/C&gt;&lt;D xsi:type="xsd:string"&gt;Netherlands Benchmark Bond - 10 Year&lt;/D&gt;&lt;/FQL&gt;&lt;FQL&gt;&lt;Q&gt;REFJPTON-FDS^FG_YIELD(NOW,,,0)&lt;/Q&gt;&lt;R&gt;1&lt;/R&gt;&lt;C&gt;1&lt;/C&gt;&lt;D xsi:type="xsd:double"&gt;0.25&lt;/D&gt;&lt;/FQL&gt;&lt;FQL&gt;&lt;Q&gt;VGK^FMA_EVAL_EBIT(LTMA,NOW,NOW,M,"PORTAGG","MEANR")&lt;/Q&gt;&lt;R&gt;1&lt;/R&gt;&lt;C&gt;1&lt;/C&gt;&lt;D xsi:type="xsd:double"&gt;13.5759419592558&lt;/D&gt;&lt;/FQL&gt;&lt;FQL&gt;&lt;Q&gt;EWN^FG_PRICE_MAVG(0,,,,200)&lt;/Q&gt;&lt;R&gt;1&lt;/R&gt;&lt;C&gt;1&lt;/C&gt;&lt;D xsi:type="xsd:double"&gt;48.911674&lt;/D&gt;&lt;/FQL&gt;&lt;FQL&gt;&lt;Q&gt;URTH^P_PRICE(0)/P_PRICE_HIGH_PR(0,,,,,,"PRICE","INTRA","52W")&lt;/Q&gt;&lt;R&gt;1&lt;/R&gt;&lt;C&gt;1&lt;/C&gt;&lt;D xsi:type="xsd:double"&gt;0.9978267&lt;/D&gt;&lt;/FQL&gt;&lt;FQL&gt;&lt;Q&gt;EWL^P_PRICE(0)/P_PRICE_LOW_PR(0,,,,,,"PRICE","INTRA","52W")-1&lt;/Q&gt;&lt;R&gt;1&lt;/R&gt;&lt;C&gt;1&lt;/C&gt;&lt;D xsi:type="xsd:double"&gt;0.23971117&lt;/D&gt;&lt;/FQL&gt;&lt;FQL&gt;&lt;Q&gt;EWN^FG_PRICE_MAVG(0,,,,60)&lt;/Q&gt;&lt;R&gt;1&lt;/R&gt;&lt;C&gt;1&lt;/C&gt;&lt;D xsi:type="xsd:double"&gt;49.245003&lt;/D&gt;&lt;/FQL&gt;&lt;FQL&gt;&lt;Q&gt;DUMMY^ECON_DATE(45462,,, 'MM/YYYY')&lt;/Q&gt;&lt;R&gt;1&lt;/R&gt;&lt;C&gt;1&lt;/C&gt;&lt;D xsi:type="xsd:string"&gt;06/2024&lt;/D&gt;&lt;/FQL&gt;&lt;FQL&gt;&lt;Q&gt;DUMMY^ECON_DATE(45554,,, 'MM/YYYY')&lt;/Q&gt;&lt;R&gt;1&lt;/R&gt;&lt;C&gt;1&lt;/C&gt;&lt;D xsi:type="xsd:string"&gt;09/2024&lt;/D&gt;&lt;/FQL&gt;&lt;FQL&gt;&lt;Q&gt;CC_SE^IMF_IFS_RCPI_Q(-1AM)&lt;/Q&gt;&lt;R&gt;1&lt;/R&gt;&lt;C&gt;1&lt;/C&gt;&lt;D xsi:type="xsd:double"&gt;3.39215&lt;/D&gt;&lt;/FQL&gt;&lt;FQL&gt;&lt;Q&gt;CC_IT^IMF_IFS_RCPI_Q(-1AM)&lt;/Q&gt;&lt;R&gt;1&lt;/R&gt;&lt;C&gt;1&lt;/C&gt;&lt;D xsi:type="xsd:double"&gt;0.80847347&lt;/D&gt;&lt;/FQL&gt;&lt;FQL&gt;&lt;Q&gt;CC_US^IMF_IFS_RCPI_Q(-1AM)&lt;/Q&gt;&lt;R&gt;1&lt;/R&gt;&lt;C&gt;1&lt;/C&gt;&lt;D xsi:type="xsd:double"&gt;3.19889&lt;/D&gt;&lt;/FQL&gt;&lt;FQL&gt;&lt;Q&gt;CC_GB^IMF_IFS_RCPI_Q(-1AM)&lt;/Q&gt;&lt;R&gt;1&lt;/R&gt;&lt;C&gt;1&lt;/C&gt;&lt;D xsi:type="xsd:double"&gt;2.8697004&lt;/D&gt;&lt;/FQL&gt;&lt;FQL&gt;&lt;Q&gt;CC_FR^IMF_IFS_RCPI_Q(-1AM)&lt;/Q&gt;&lt;R&gt;1&lt;/R&gt;&lt;C&gt;1&lt;/C&gt;&lt;D xsi:type="xsd:double"&gt;2.2093682&lt;/D&gt;&lt;/FQL&gt;&lt;FQL&gt;&lt;Q&gt;CC_NZ^IMF_IFS_RCPI_Q(-1AM)&lt;/Q&gt;&lt;R&gt;1&lt;/R&gt;&lt;C&gt;1&lt;/C&gt;&lt;D xsi:type="xsd:double"&gt;3.330626&lt;/D&gt;&lt;/FQL&gt;&lt;FQL&gt;&lt;Q&gt;CC_AU^IMF_IFS_RCPI_Q(-1AM)&lt;/Q&gt;&lt;R&gt;1&lt;/R&gt;&lt;C&gt;1&lt;/C&gt;&lt;D xsi:type="xsd:double"&gt;3.81451&lt;/D&gt;&lt;/FQL&gt;&lt;FQL&gt;&lt;Q&gt;CC_CA^IMF_IFS_RCPI_Q(-1AM)&lt;/Q&gt;&lt;R&gt;1&lt;/R&gt;&lt;C&gt;1&lt;/C&gt;&lt;D xsi:type="xsd:double"&gt;2.7411842&lt;/D&gt;&lt;/FQL&gt;&lt;FQL&gt;&lt;Q&gt;CC_DE^IMF_IFS_RCPI_Q(-1AM)&lt;/Q&gt;&lt;R&gt;1&lt;/R&gt;&lt;C&gt;1&lt;/C&gt;&lt;D xsi:type="xsd:double"&gt;2.2863681&lt;/D&gt;&lt;/FQL&gt;&lt;FQL&gt;&lt;Q&gt;CC_JP^IMF_IFS_RCPI_Q(-1AM)&lt;/Q&gt;&lt;R&gt;1&lt;/R&gt;&lt;C&gt;1&lt;/C&gt;&lt;D xsi:type="xsd:double"&gt;2.7266946&lt;/D&gt;&lt;/FQL&gt;&lt;FQL&gt;&lt;Q&gt;DUMMY^ECON_EXPR_DATA('FDS_ECON[PMIDMMANHE]',09/2024,,Q)&lt;/Q&gt;&lt;R&gt;1&lt;/R&gt;&lt;C&gt;1&lt;/C&gt;&lt;D xsi:type="xsd:double"&gt;48.213497&lt;/D&gt;&lt;/FQL&gt;&lt;FQL&gt;&lt;Q&gt;DUMMY^ECON_EXPR_DATA('FDS_ECON[PMIDMMANHE]',06/2024,,Q)&lt;/Q&gt;&lt;R&gt;1&lt;/R&gt;&lt;C&gt;1&lt;/C&gt;&lt;D xsi:type="xsd:double"&gt;49.418636&lt;/D&gt;&lt;/FQL&gt;&lt;FQL&gt;&lt;Q&gt;DUMMY^ECON_EXPR_DATA('FDS_ECON[NTCPMIMFGSA@EME]',09/2024,,Q)&lt;/Q&gt;&lt;R&gt;1&lt;/R&gt;&lt;C&gt;1&lt;/C&gt;&lt;D xsi:type="xsd:double"&gt;50.418407&lt;/D&gt;&lt;/FQL&gt;&lt;FQL&gt;&lt;Q&gt;DUMMY^ECON_EXPR_DATA('FDS_ECON[NTCPMIMFGSA@EME]',06/2024,,Q)&lt;/Q&gt;&lt;R&gt;1&lt;/R&gt;&lt;C&gt;1&lt;/C&gt;&lt;D xsi:type="xsd:double"&gt;51.999874&lt;/D&gt;&lt;/FQL&gt;&lt;FQL&gt;&lt;Q&gt;DUMMY^ECON_EXPR_DATA('FDS_ECON[NTCPMIMFGSA@NZ]',09/2024,,Q)&lt;/Q&gt;&lt;R&gt;1&lt;/R&gt;&lt;C&gt;1&lt;/C&gt;&lt;D xsi:type="xsd:double"&gt;45.848022&lt;/D&gt;&lt;/FQL&gt;&lt;FQL&gt;&lt;Q&gt;DUMMY^ECON_EXPR_DATA('FDS_ECON[NTCPMIMFGSA@NZ]',06/2024,,Q)&lt;/Q&gt;&lt;R&gt;1&lt;/R&gt;&lt;C&gt;1&lt;/C&gt;&lt;D xsi:type="xsd:double"&gt;45.54339&lt;/D&gt;&lt;/FQL&gt;&lt;FQL&gt;&lt;Q&gt;DUMMY^ECON_EXPR_DATA('FDS_ECON[NTCPMIMFGSA@AU]',09/2024,,Q)&lt;/Q&gt;&lt;R&gt;1&lt;/R&gt;&lt;C&gt;1&lt;/C&gt;&lt;D xsi:type="xsd:double"&gt;47.56789&lt;/D&gt;&lt;/FQL&gt;&lt;FQL&gt;&lt;Q&gt;DUMMY^ECON_EXPR_DATA('FDS_ECON[NTCPMIMFGSA@AU]',06/2024,,Q)&lt;/Q&gt;&lt;R&gt;1&lt;/R&gt;&lt;C&gt;1&lt;/C&gt;&lt;D xsi:type="xsd:double"&gt;48.811333&lt;/D&gt;&lt;/FQL&gt;&lt;FQL&gt;&lt;Q&gt;DUMMY^ECON_EXPR_DATA('FDS_ECON[NTCPMIMFGSA@CA]',09/2024,,Q)&lt;/Q&gt;&lt;R&gt;1&lt;/R&gt;&lt;C&gt;1&lt;/C&gt;&lt;D xsi:type="xsd:double"&gt;49.193687&lt;/D&gt;&lt;/FQL&gt;&lt;FQL&gt;&lt;Q&gt;DUMMY^ECON_EXPR_DATA('FDS_ECON[NTCPMIMFGSA@CA]',06/2024,,Q)&lt;/Q&gt;&lt;R&gt;1&lt;/R&gt;&lt;C&gt;1&lt;/C&gt;&lt;D xsi:type="xsd:double"&gt;49.331886&lt;/D&gt;&lt;/FQL&gt;&lt;FQL&gt;&lt;Q&gt;DUMMY^ECON_EXPR_DATA('FDS_ECON[NTCPMIMFGSA@DE]',09/2024,,Q)&lt;/Q&gt;&lt;R&gt;1&lt;/R&gt;&lt;C&gt;1&lt;/C&gt;&lt;D xsi:type="xsd:double"&gt;42.06591&lt;/D&gt;&lt;/FQL&gt;&lt;FQL&gt;&lt;Q&gt;DUMMY^ECON_EXPR_DATA('FDS_ECON[NTCPMIMFGSA@DE]',06/2024,,Q)&lt;/Q&gt;&lt;R&gt;1&lt;/R&gt;&lt;C&gt;1&lt;/C&gt;&lt;D xsi:type="xsd:double"&gt;43.782&lt;/D&gt;&lt;/FQL&gt;&lt;FQL&gt;&lt;Q&gt;DUMMY^ECON_EXPR_DATA('FDS_ECON[NTCPMIMFGSA@JP]',09/2024,,Q)&lt;/Q&gt;&lt;R&gt;1&lt;/R&gt;&lt;C&gt;1&lt;/C&gt;&lt;D xsi:type="xsd:double"&gt;49.560066&lt;/D&gt;&lt;/FQL&gt;&lt;FQL&gt;&lt;Q&gt;DUMMY^ECON_EXPR_DATA('FDS_ECON[NTCPMIMFGSA@JP]',06/2024,,Q)&lt;/Q&gt;&lt;R&gt;1&lt;/R&gt;&lt;C&gt;1&lt;/C&gt;&lt;D xsi:type="xsd:double"&gt;49.991356&lt;/D&gt;&lt;/FQL&gt;&lt;FQL&gt;&lt;Q&gt;DUMMY^ECON_EXPR_DATA('FDS_ECON[NTCPMIMFGSA@CH]',09/2024,,Q)&lt;/Q&gt;&lt;R&gt;1&lt;/R&gt;&lt;C&gt;1&lt;/C&gt;&lt;D xsi:type="xsd:double"&gt;47.458324&lt;/D&gt;&lt;/FQL&gt;&lt;FQL&gt;&lt;Q&gt;DUMMY^ECON_EXPR_DATA('FDS_ECON[NTCPMIMFGSA@CH]',06/2024,,Q)&lt;/Q&gt;&lt;R&gt;1&lt;/R&gt;&lt;C&gt;1&lt;/C&gt;&lt;D xsi:type="xsd:double"&gt;43.896877&lt;/D&gt;&lt;/FQL&gt;&lt;FQL&gt;&lt;Q&gt;DUMMY^ECON_EXPR_DATA('FDS_ECON[NTCPMIMFGSA@GB]',09/2024,,Q)&lt;/Q&gt;&lt;R&gt;1&lt;/R&gt;&lt;C&gt;1&lt;/C&gt;&lt;D xsi:type="xsd:double"&gt;52.055466&lt;/D&gt;&lt;/FQL&gt;&lt;FQL&gt;&lt;Q&gt;DUMMY^ECON_EXPR_DATA('FDS_ECON[NTCPMIMFGSA@GB]',06/2024,,Q)&lt;/Q&gt;&lt;R&gt;1&lt;/R&gt;&lt;C&gt;1&lt;/C&gt;&lt;D xsi:type="xsd:double"&gt;50.395269999999996&lt;/D&gt;&lt;/FQL&gt;&lt;FQL&gt;&lt;Q&gt;DUMMY^ECON_EXPR_DATA('FDS_ECON[NTCPMIMFGMESA@US]',09/2024,,Q)&lt;/Q&gt;&lt;R&gt;1&lt;/R&gt;&lt;C&gt;1&lt;/C&gt;&lt;D xsi:type="xsd:double"&gt;48.26175&lt;/D&gt;&lt;/FQL&gt;&lt;FQL&gt;&lt;Q&gt;DUMMY^ECON_EXPR_DATA('FDS_ECON[NTCPMIMFGMESA@US]',06/2024,,Q)&lt;/Q&gt;&lt;R&gt;1&lt;/R&gt;&lt;C&gt;1&lt;/C&gt;&lt;D xsi:type="xsd:double"&gt;50.939392&lt;/D&gt;&lt;/FQL&gt;&lt;FQL&gt;&lt;Q&gt;DUMMY^ECON_EXPR_DATA('FDS_ECON[NTCPMIMFGSA@FR]',09/2024,,Q)&lt;/Q&gt;&lt;R&gt;1&lt;/R&gt;&lt;C&gt;1&lt;/C&gt;&lt;D xsi:type="xsd:double"&gt;44.15712&lt;/D&gt;&lt;/FQL&gt;&lt;FQL&gt;&lt;Q&gt;DUMMY^ECON_EXPR_DATA('FDS_ECON[NTCPMIMFGSA@FR]',06/2024,,Q)&lt;/Q&gt;&lt;R&gt;1&lt;/R&gt;&lt;C&gt;1&lt;/C&gt;&lt;D xsi:type="xsd:double"&gt;45.684513&lt;/D&gt;&lt;/FQL&gt;&lt;FQL&gt;&lt;Q&gt;DUMMY^ECON_EXPR_DATA('FDS_ECON[NTCPMIMFGSA@NL]',09/2024,,Q)&lt;/Q&gt;&lt;R&gt;1&lt;/R&gt;&lt;C&gt;1&lt;/C&gt;&lt;D xsi:type="xsd:double"&gt;48.353455&lt;/D&gt;&lt;/FQL&gt;&lt;FQL&gt;&lt;Q&gt;DUMMY^ECON_EXPR_DATA('FDS_ECON[NTCPMIMFGSA@NL]',06/2024,,Q)&lt;/Q&gt;&lt;R&gt;1&lt;/R&gt;&lt;C&gt;1&lt;/C&gt;&lt;D xsi:type="xsd:double"&gt;51.49388&lt;/D&gt;&lt;/FQL&gt;&lt;FQL&gt;&lt;Q&gt;DUMMY^ECON_EXPR_DATA('FDS_ECON[]',09/2024,,Q)&lt;/Q&gt;&lt;R&gt;0&lt;/R&gt;&lt;C&gt;0&lt;/C&gt;&lt;/FQL&gt;&lt;FQL&gt;&lt;Q&gt;DUMMY^ECON_EXPR_DATA('FDS_ECON[]',06/2024,,Q)&lt;/Q&gt;&lt;R&gt;0&lt;/R&gt;&lt;C&gt;0&lt;/C&gt;&lt;/FQL&gt;&lt;FQL&gt;&lt;Q&gt;DUMMY^ECON_EXPR_DATA('FDS_ECON[NTCPMIMFGSA@IT]',09/2024,,Q)&lt;/Q&gt;&lt;R&gt;1&lt;/R&gt;&lt;C&gt;1&lt;/C&gt;&lt;D xsi:type="xsd:double"&gt;48.375774&lt;/D&gt;&lt;/FQL&gt;&lt;FQL&gt;&lt;Q&gt;DUMMY^ECON_EXPR_DATA('FDS_ECON[NTCPMIMFGSA@IT]',06/2024,,Q)&lt;/Q&gt;&lt;R&gt;1&lt;/R&gt;&lt;C&gt;1&lt;/C&gt;&lt;D xsi:type="xsd:double"&gt;46.215786&lt;/D&gt;&lt;/FQL&gt;&lt;/Schema&gt;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<sst xmlns="http://schemas.openxmlformats.org/spreadsheetml/2006/main" count="2053" uniqueCount="915">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</sst>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4.570810275402331E-2</v>
      </c>
      <c r="O13" s="55">
        <f>N13*(1+N9)</f>
        <v>4.8450588919264709E-2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3.6518899535688605E-2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0.05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4.0788999999999999E-2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-4.2918972459766933E-3</v>
      </c>
      <c r="O21" s="57">
        <f>O13-O16</f>
        <v>3.4505889192647105E-3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4.9191027540233107E-3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3</v>
      </c>
      <c r="E8" s="11">
        <f t="shared" ref="E8:E17" si="0">D8</f>
        <v>3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0.69230769230769229</v>
      </c>
    </row>
    <row r="10" spans="3:9" x14ac:dyDescent="0.35">
      <c r="C10" s="56" t="s">
        <v>888</v>
      </c>
      <c r="D10">
        <f>'Asset class'!S5</f>
        <v>2</v>
      </c>
      <c r="E10" s="58">
        <f t="shared" si="0"/>
        <v>2</v>
      </c>
      <c r="H10" s="56" t="s">
        <v>904</v>
      </c>
      <c r="I10" s="57">
        <f>Timing!M22</f>
        <v>0.92307692307692313</v>
      </c>
    </row>
    <row r="11" spans="3:9" ht="15" thickBot="1" x14ac:dyDescent="0.4">
      <c r="C11" s="56" t="s">
        <v>889</v>
      </c>
      <c r="D11">
        <f>'Asset class'!S6</f>
        <v>8</v>
      </c>
      <c r="E11" s="58">
        <f t="shared" si="0"/>
        <v>8</v>
      </c>
      <c r="H11" s="12" t="s">
        <v>905</v>
      </c>
      <c r="I11" s="59">
        <f>Timing!N22</f>
        <v>0.84615384615384615</v>
      </c>
    </row>
    <row r="12" spans="3:9" x14ac:dyDescent="0.35">
      <c r="C12" s="56" t="s">
        <v>51</v>
      </c>
      <c r="D12">
        <f>'Asset class'!S7</f>
        <v>4</v>
      </c>
      <c r="E12" s="58">
        <f t="shared" si="0"/>
        <v>4</v>
      </c>
    </row>
    <row r="13" spans="3:9" x14ac:dyDescent="0.35">
      <c r="C13" s="56" t="s">
        <v>890</v>
      </c>
      <c r="D13">
        <f>'Asset class'!S8</f>
        <v>6</v>
      </c>
      <c r="E13" s="58">
        <f t="shared" si="0"/>
        <v>6</v>
      </c>
    </row>
    <row r="14" spans="3:9" ht="15" thickBot="1" x14ac:dyDescent="0.4">
      <c r="C14" s="12" t="s">
        <v>457</v>
      </c>
      <c r="D14">
        <f>'Asset class'!S9</f>
        <v>10</v>
      </c>
      <c r="E14" s="14">
        <f t="shared" si="0"/>
        <v>10</v>
      </c>
    </row>
    <row r="15" spans="3:9" ht="15" thickBot="1" x14ac:dyDescent="0.4">
      <c r="C15" s="144" t="s">
        <v>891</v>
      </c>
      <c r="D15">
        <f>'Asset class'!S10</f>
        <v>8</v>
      </c>
      <c r="E15" s="14">
        <f t="shared" si="0"/>
        <v>8</v>
      </c>
    </row>
    <row r="16" spans="3:9" ht="15" thickBot="1" x14ac:dyDescent="0.4">
      <c r="C16" s="178" t="s">
        <v>536</v>
      </c>
      <c r="D16">
        <f>'Asset class'!S11</f>
        <v>5</v>
      </c>
      <c r="E16" s="14">
        <f t="shared" si="0"/>
        <v>5</v>
      </c>
    </row>
    <row r="17" spans="2:15" ht="15" thickBot="1" x14ac:dyDescent="0.4">
      <c r="C17" s="148" t="s">
        <v>46</v>
      </c>
      <c r="D17">
        <f>'Asset class'!S12</f>
        <v>9</v>
      </c>
      <c r="E17" s="14">
        <f t="shared" si="0"/>
        <v>9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0.31610337972166996</v>
      </c>
      <c r="D23" s="170"/>
      <c r="E23" s="171">
        <f>'Momnetum ranking'!I22</f>
        <v>0.42147117296222664</v>
      </c>
    </row>
    <row r="24" spans="2:15" x14ac:dyDescent="0.35">
      <c r="B24" s="56" t="s">
        <v>51</v>
      </c>
      <c r="C24" s="9">
        <f>'Momnetum ranking'!H10</f>
        <v>0.27450980392156865</v>
      </c>
      <c r="D24" s="9"/>
      <c r="E24" s="57">
        <f>'Momnetum ranking'!I10</f>
        <v>0.34313725490196079</v>
      </c>
    </row>
    <row r="25" spans="2:15" x14ac:dyDescent="0.35">
      <c r="B25" s="56" t="s">
        <v>895</v>
      </c>
      <c r="C25" s="9">
        <f>'Momnetum ranking'!H23</f>
        <v>0.38461538461538464</v>
      </c>
      <c r="D25" s="9"/>
      <c r="E25" s="57">
        <f>'Momnetum ranking'!I23</f>
        <v>0.36538461538461536</v>
      </c>
    </row>
    <row r="26" spans="2:15" x14ac:dyDescent="0.35">
      <c r="B26" s="56" t="s">
        <v>46</v>
      </c>
      <c r="C26" s="9">
        <f>'Momnetum ranking'!H21</f>
        <v>0.41708542713567837</v>
      </c>
      <c r="D26" s="9"/>
      <c r="E26" s="57">
        <f>'Momnetum ranking'!I21</f>
        <v>0.36683417085427134</v>
      </c>
    </row>
    <row r="27" spans="2:15" ht="15" thickBot="1" x14ac:dyDescent="0.4">
      <c r="B27" s="12" t="s">
        <v>536</v>
      </c>
      <c r="C27" s="172">
        <f>'Momnetum ranking'!H18</f>
        <v>0.34697088906372936</v>
      </c>
      <c r="D27" s="172"/>
      <c r="E27" s="59">
        <f>'Momnetum ranking'!I18</f>
        <v>0.39889850511408342</v>
      </c>
    </row>
    <row r="28" spans="2:15" x14ac:dyDescent="0.35">
      <c r="B28" s="62" t="s">
        <v>6</v>
      </c>
      <c r="C28" s="170">
        <f>'Momnetum ranking'!H19</f>
        <v>0.21097133429573109</v>
      </c>
      <c r="D28" s="170"/>
      <c r="E28" s="171">
        <f>'Momnetum ranking'!I19</f>
        <v>0.3448133635801196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-5.1927616050354064E-2</v>
      </c>
      <c r="F35" s="5">
        <f>'Momnetum ranking'!K18</f>
        <v>0.600317208564631</v>
      </c>
      <c r="G35" s="9">
        <f>'Momnetum ranking'!Q18</f>
        <v>0.96503879999999997</v>
      </c>
      <c r="H35" s="3">
        <f>'Momnetum ranking'!O18</f>
        <v>2.4238944</v>
      </c>
      <c r="K35">
        <f>_xlfn.RANK.EQ(E35,$E$35:$E$39)</f>
        <v>2</v>
      </c>
      <c r="L35">
        <f>_xlfn.RANK.EQ(F35,$F$35:$F$39)</f>
        <v>3</v>
      </c>
      <c r="M35">
        <f>_xlfn.RANK.EQ(G35,$G$35:$G$39)</f>
        <v>3</v>
      </c>
      <c r="N35">
        <f>_xlfn.RANK.EQ(H35,$H$35:$H$39)</f>
        <v>4</v>
      </c>
      <c r="O35" s="58">
        <f>MEDIAN(K35:N35)</f>
        <v>3</v>
      </c>
    </row>
    <row r="36" spans="3:15" x14ac:dyDescent="0.35">
      <c r="C36" s="56" t="s">
        <v>749</v>
      </c>
      <c r="E36" s="9">
        <f>'Momnetum ranking'!J19</f>
        <v>-0.13384202928438851</v>
      </c>
      <c r="F36" s="5">
        <f>'Momnetum ranking'!K19</f>
        <v>0.36867724867724905</v>
      </c>
      <c r="G36" s="9">
        <f>'Momnetum ranking'!Q19</f>
        <v>0.96489817</v>
      </c>
      <c r="H36" s="3">
        <f>'Momnetum ranking'!O19</f>
        <v>8.1423400000000008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4</v>
      </c>
      <c r="N36">
        <f t="shared" ref="N36:N39" si="4">_xlfn.RANK.EQ(H36,$H$35:$H$39)</f>
        <v>1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-0.12039660056657225</v>
      </c>
      <c r="F37" s="5">
        <f>'Momnetum ranking'!K20</f>
        <v>0.67874911158493201</v>
      </c>
      <c r="G37" s="9">
        <f>'Momnetum ranking'!Q20</f>
        <v>0.99782669999999996</v>
      </c>
      <c r="H37" s="3">
        <f>'Momnetum ranking'!O20</f>
        <v>5.4313064000000004</v>
      </c>
      <c r="K37">
        <f t="shared" si="1"/>
        <v>4</v>
      </c>
      <c r="L37">
        <f t="shared" si="2"/>
        <v>2</v>
      </c>
      <c r="M37">
        <f t="shared" si="3"/>
        <v>1</v>
      </c>
      <c r="N37">
        <f t="shared" si="4"/>
        <v>3</v>
      </c>
      <c r="O37" s="58">
        <f t="shared" si="5"/>
        <v>2.5</v>
      </c>
    </row>
    <row r="38" spans="3:15" x14ac:dyDescent="0.35">
      <c r="C38" s="56" t="s">
        <v>816</v>
      </c>
      <c r="E38" s="9">
        <f>'Momnetum ranking'!J21</f>
        <v>5.0251256281407031E-2</v>
      </c>
      <c r="F38" s="5">
        <f>'Momnetum ranking'!K21</f>
        <v>0.46733668341708501</v>
      </c>
      <c r="G38" s="9">
        <f>'Momnetum ranking'!Q21</f>
        <v>0.95753690000000002</v>
      </c>
      <c r="H38" s="3">
        <f>'Momnetum ranking'!O21</f>
        <v>-0.38352609999999998</v>
      </c>
      <c r="K38">
        <f t="shared" si="1"/>
        <v>1</v>
      </c>
      <c r="L38">
        <f t="shared" si="2"/>
        <v>4</v>
      </c>
      <c r="M38">
        <f t="shared" si="3"/>
        <v>5</v>
      </c>
      <c r="N38">
        <f t="shared" si="4"/>
        <v>5</v>
      </c>
      <c r="O38" s="58">
        <f t="shared" si="5"/>
        <v>4.5</v>
      </c>
    </row>
    <row r="39" spans="3:15" ht="15" thickBot="1" x14ac:dyDescent="0.4">
      <c r="C39" s="12" t="s">
        <v>119</v>
      </c>
      <c r="D39" s="13"/>
      <c r="E39" s="172">
        <f>'Momnetum ranking'!J22</f>
        <v>-0.10536779324055667</v>
      </c>
      <c r="F39" s="17">
        <f>'Momnetum ranking'!K22</f>
        <v>0.78400000000000003</v>
      </c>
      <c r="G39" s="172">
        <f>'Momnetum ranking'!Q22</f>
        <v>0.99738970000000005</v>
      </c>
      <c r="H39" s="175">
        <f>'Momnetum ranking'!O22</f>
        <v>6.1024427000000001</v>
      </c>
      <c r="I39" s="13"/>
      <c r="J39" s="13"/>
      <c r="K39" s="13">
        <f t="shared" si="1"/>
        <v>3</v>
      </c>
      <c r="L39" s="13">
        <f t="shared" si="2"/>
        <v>1</v>
      </c>
      <c r="M39" s="13">
        <f t="shared" si="3"/>
        <v>2</v>
      </c>
      <c r="N39" s="13">
        <f t="shared" si="4"/>
        <v>2</v>
      </c>
      <c r="O39" s="14">
        <f t="shared" si="5"/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7.7536820000000004</v>
      </c>
      <c r="F3" s="3" cm="1">
        <f t="array" ref="F3">_xll.FDS(C3,"FG_TOTAL_RETURNC(0,-3AM)")</f>
        <v>8.1423400000000008</v>
      </c>
      <c r="G3" s="3" cm="1">
        <f t="array" ref="G3">_xll.FDS(C3,"FG_TOTAL_RETURNC(0,-6AM)")</f>
        <v>17.429732999999999</v>
      </c>
      <c r="H3" s="9" cm="1">
        <f t="array" ref="H3">_xll.FDS(C3,"P_PRICE(0)/P_PRICE_HIGH_PR(0,,,USD,,,""PRICE"",""INTRA"",""52W"")")</f>
        <v>0.96489817</v>
      </c>
      <c r="K3" s="4">
        <f>_xlfn.RANK.EQ(H3,H$3:H$12)</f>
        <v>5</v>
      </c>
      <c r="L3" s="4">
        <f>_xlfn.RANK.EQ(F3,F$3:F$12)</f>
        <v>2</v>
      </c>
      <c r="M3" s="4">
        <f>_xlfn.RANK.EQ(G3,G$3:G$12)</f>
        <v>2</v>
      </c>
      <c r="N3" s="4"/>
      <c r="P3" s="3">
        <f t="shared" ref="P3:P12" si="0">SUMPRODUCT($K$2:$M$2,K3:M3)</f>
        <v>2.97</v>
      </c>
      <c r="Q3">
        <f t="shared" ref="Q3:Q12" si="1">COUNTIF(K3:N3,"&gt;70")</f>
        <v>0</v>
      </c>
      <c r="S3" s="3">
        <f>11-_xlfn.RANK.EQ(P3,$P$3:$P$12)</f>
        <v>3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4.4505954000000001</v>
      </c>
      <c r="F4" s="3" cm="1">
        <f t="array" ref="F4">_xll.FDS(C4,"FG_TOTAL_RETURNC(0,-3AM)")</f>
        <v>6.1024427000000001</v>
      </c>
      <c r="G4" s="3" cm="1">
        <f t="array" ref="G4">_xll.FDS(C4,"FG_TOTAL_RETURNC(0,-6AM)")</f>
        <v>17.769062000000002</v>
      </c>
      <c r="H4" s="9" cm="1">
        <f t="array" ref="H4">_xll.FDS(C4,"P_PRICE(0)/P_PRICE_HIGH_PR(0,,,USD,,,""PRICE"",""INTRA"",""52W"")")</f>
        <v>0.99738970000000005</v>
      </c>
      <c r="I4" s="177"/>
      <c r="K4" s="4">
        <f t="shared" ref="K4:K12" si="3">_xlfn.RANK.EQ(H4,H$3:H$12)</f>
        <v>2</v>
      </c>
      <c r="L4" s="4">
        <f t="shared" ref="L4:M12" si="4">_xlfn.RANK.EQ(F4,F$3:F$12)</f>
        <v>3</v>
      </c>
      <c r="M4" s="4">
        <f t="shared" si="4"/>
        <v>1</v>
      </c>
      <c r="N4" s="4"/>
      <c r="P4" s="3">
        <f t="shared" si="0"/>
        <v>1.98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6.6918610000000003</v>
      </c>
      <c r="F5" s="3" cm="1">
        <f t="array" ref="F5">_xll.FDS(C5,"FG_TOTAL_RETURNC(0,-3AM)")</f>
        <v>11.289751000000001</v>
      </c>
      <c r="G5" s="3" cm="1">
        <f t="array" ref="G5">_xll.FDS(C5,"FG_TOTAL_RETURNC(0,-6AM)")</f>
        <v>14.037407</v>
      </c>
      <c r="H5" s="9" cm="1">
        <f t="array" ref="H5">_xll.FDS(C5,"P_PRICE(0)/P_PRICE_HIGH_PR(0,,,USD,,,""PRICE"",""INTRA"",""52W"")")</f>
        <v>0.9996022</v>
      </c>
      <c r="I5" s="177"/>
      <c r="K5" s="4">
        <f t="shared" si="3"/>
        <v>1</v>
      </c>
      <c r="L5" s="4">
        <f t="shared" si="4"/>
        <v>1</v>
      </c>
      <c r="M5" s="4">
        <f t="shared" si="4"/>
        <v>4</v>
      </c>
      <c r="N5" s="4"/>
      <c r="P5" s="3">
        <f t="shared" si="0"/>
        <v>1.98</v>
      </c>
      <c r="Q5">
        <f t="shared" si="1"/>
        <v>0</v>
      </c>
      <c r="S5" s="3">
        <f t="shared" si="5"/>
        <v>2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2.9067755000000002</v>
      </c>
      <c r="F6" s="3" cm="1">
        <f t="array" ref="F6">_xll.FDS(C6,"FG_TOTAL_RETURNC(0,-3AM)")</f>
        <v>1.009047</v>
      </c>
      <c r="G6" s="3" cm="1">
        <f t="array" ref="G6">_xll.FDS(C6,"FG_TOTAL_RETURNC(0,-6AM)")</f>
        <v>0.44983624999999999</v>
      </c>
      <c r="H6" s="9" cm="1">
        <f t="array" ref="H6">_xll.FDS(C6,"P_PRICE(0)/P_PRICE_HIGH_PR(0,,,USD,,,""PRICE"",""INTRA"",""52W"")")</f>
        <v>0.96237360000000005</v>
      </c>
      <c r="I6" s="177"/>
      <c r="K6" s="4">
        <f t="shared" si="3"/>
        <v>6</v>
      </c>
      <c r="L6" s="4">
        <f t="shared" si="4"/>
        <v>8</v>
      </c>
      <c r="M6" s="4">
        <f t="shared" si="4"/>
        <v>8</v>
      </c>
      <c r="N6" s="4"/>
      <c r="P6" s="3">
        <f t="shared" si="0"/>
        <v>7.26</v>
      </c>
      <c r="Q6">
        <f t="shared" si="1"/>
        <v>0</v>
      </c>
      <c r="S6" s="3">
        <f t="shared" si="5"/>
        <v>8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5.0320029999999996</v>
      </c>
      <c r="F7" s="3" cm="1">
        <f t="array" ref="F7">_xll.FDS(C7,"FG_TOTAL_RETURNC(0,-3AM)")</f>
        <v>3.2686472000000002</v>
      </c>
      <c r="G7" s="3" cm="1">
        <f t="array" ref="G7">_xll.FDS(C7,"FG_TOTAL_RETURNC(0,-6AM)")</f>
        <v>17.134308000000001</v>
      </c>
      <c r="H7" s="9" cm="1">
        <f t="array" ref="H7">_xll.FDS(C7,"P_PRICE(0)/P_PRICE_HIGH_PR(0,,,USD,,,""PRICE"",""INTRA"",""52W"")")</f>
        <v>0.98202659999999997</v>
      </c>
      <c r="I7" s="1"/>
      <c r="K7" s="4">
        <f t="shared" si="3"/>
        <v>3</v>
      </c>
      <c r="L7" s="4">
        <f t="shared" si="4"/>
        <v>5</v>
      </c>
      <c r="M7" s="4">
        <f t="shared" si="4"/>
        <v>3</v>
      </c>
      <c r="N7" s="4"/>
      <c r="P7" s="3">
        <f t="shared" si="0"/>
        <v>3.63</v>
      </c>
      <c r="Q7">
        <f t="shared" si="1"/>
        <v>0</v>
      </c>
      <c r="S7" s="3">
        <f t="shared" si="5"/>
        <v>4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-0.93603729999999996</v>
      </c>
      <c r="F8" s="3" cm="1">
        <f t="array" ref="F8">_xll.FDS(C8,"FG_TOTAL_RETURNC(0,-3AM)")</f>
        <v>6.0542702999999998</v>
      </c>
      <c r="G8" s="3" cm="1">
        <f t="array" ref="G8">_xll.FDS(C8,"FG_TOTAL_RETURNC(0,-6AM)")</f>
        <v>-2.0439683999999998</v>
      </c>
      <c r="H8" s="9" cm="1">
        <f t="array" ref="H8">_xll.FDS(C8,"P_PRICE(0)/P_PRICE_HIGH_PR(0,,,USD,,,""PRICE"",""INTRA"",""52W"")")</f>
        <v>0.93726933000000001</v>
      </c>
      <c r="I8" s="1"/>
      <c r="K8" s="4">
        <f t="shared" si="3"/>
        <v>8</v>
      </c>
      <c r="L8" s="4">
        <f t="shared" si="4"/>
        <v>4</v>
      </c>
      <c r="M8" s="4">
        <f t="shared" si="4"/>
        <v>9</v>
      </c>
      <c r="N8" s="4"/>
      <c r="P8" s="3">
        <f t="shared" si="0"/>
        <v>6.93</v>
      </c>
      <c r="Q8">
        <f t="shared" si="1"/>
        <v>0</v>
      </c>
      <c r="S8" s="3">
        <f t="shared" si="5"/>
        <v>6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1.0189533</v>
      </c>
      <c r="F9" s="3" cm="1">
        <f t="array" ref="F9">_xll.FDS(C9,"FG_TOTAL_RETURNC(0,-3AM)")</f>
        <v>-10.663337</v>
      </c>
      <c r="G9" s="3" cm="1">
        <f t="array" ref="G9">_xll.FDS(C9,"FG_TOTAL_RETURNC(0,-6AM)")</f>
        <v>-9.3932509999999994</v>
      </c>
      <c r="H9" s="9" cm="1">
        <f t="array" ref="H9">_xll.FDS(C9,"P_PRICE(0)/P_PRICE_HIGH_PR(0,,,USD,,,""PRICE"",""INTRA"",""52W"")")</f>
        <v>0.85577259999999999</v>
      </c>
      <c r="I9" s="1"/>
      <c r="K9" s="4">
        <f t="shared" si="3"/>
        <v>10</v>
      </c>
      <c r="L9" s="4">
        <f t="shared" si="4"/>
        <v>10</v>
      </c>
      <c r="M9" s="4">
        <f t="shared" si="4"/>
        <v>10</v>
      </c>
      <c r="N9" s="4"/>
      <c r="P9" s="3">
        <f t="shared" si="0"/>
        <v>9.9</v>
      </c>
      <c r="Q9">
        <f t="shared" si="1"/>
        <v>0</v>
      </c>
      <c r="S9" s="3">
        <f t="shared" si="5"/>
        <v>10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-5.4413613999999999</v>
      </c>
      <c r="F10" s="3" cm="1">
        <f t="array" ref="F10">_xll.FDS(C10,"FG_TOTAL_RETURNC(0,-3AM)")</f>
        <v>1.4061809000000001</v>
      </c>
      <c r="G10" s="3" cm="1">
        <f t="array" ref="G10">_xll.FDS(C10,"FG_TOTAL_RETURNC(0,-6AM)")</f>
        <v>7.7821135999999997</v>
      </c>
      <c r="H10" s="9" cm="1">
        <f t="array" ref="H10">_xll.FDS(C10,"P_PRICE(0)/P_PRICE_HIGH_PR(0,,,USD,,,""PRICE"",""INTRA"",""52W"")")</f>
        <v>0.92355376</v>
      </c>
      <c r="K10" s="4">
        <f t="shared" si="3"/>
        <v>9</v>
      </c>
      <c r="L10" s="4">
        <f t="shared" si="4"/>
        <v>7</v>
      </c>
      <c r="M10" s="4">
        <f t="shared" si="4"/>
        <v>6</v>
      </c>
      <c r="N10" s="4"/>
      <c r="P10" s="3">
        <f t="shared" si="0"/>
        <v>7.26</v>
      </c>
      <c r="Q10">
        <f t="shared" si="1"/>
        <v>0</v>
      </c>
      <c r="S10" s="3">
        <f t="shared" si="5"/>
        <v>8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-0.14294386000000001</v>
      </c>
      <c r="F11" s="3" cm="1">
        <f t="array" ref="F11">_xll.FDS(C11,"FG_TOTAL_RETURNC(0,-3AM)")</f>
        <v>2.4238944</v>
      </c>
      <c r="G11" s="3" cm="1">
        <f t="array" ref="G11">_xll.FDS(C11,"FG_TOTAL_RETURNC(0,-6AM)")</f>
        <v>9.738016</v>
      </c>
      <c r="H11" s="9" cm="1">
        <f t="array" ref="H11">_xll.FDS(C11,"P_PRICE(0)/P_PRICE_HIGH_PR(0,,,USD,,,""PRICE"",""INTRA"",""52W"")")</f>
        <v>0.96503879999999997</v>
      </c>
      <c r="K11" s="4">
        <f t="shared" si="3"/>
        <v>4</v>
      </c>
      <c r="L11" s="4">
        <f t="shared" si="4"/>
        <v>6</v>
      </c>
      <c r="M11" s="4">
        <f t="shared" si="4"/>
        <v>5</v>
      </c>
      <c r="P11" s="3">
        <f t="shared" si="0"/>
        <v>4.95</v>
      </c>
      <c r="Q11">
        <f t="shared" si="1"/>
        <v>0</v>
      </c>
      <c r="S11" s="3">
        <f t="shared" si="5"/>
        <v>5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1.0664343999999999</v>
      </c>
      <c r="F12" s="3" cm="1">
        <f t="array" ref="F12">_xll.FDS(C12,"FG_TOTAL_RETURNC(0,-3AM)")</f>
        <v>-0.38352609999999998</v>
      </c>
      <c r="G12" s="3" cm="1">
        <f t="array" ref="G12">_xll.FDS(C12,"FG_TOTAL_RETURNC(0,-6AM)")</f>
        <v>5.6273220000000004</v>
      </c>
      <c r="H12" s="9" cm="1">
        <f t="array" ref="H12">_xll.FDS(C12,"P_PRICE(0)/P_PRICE_HIGH_PR(0,,,USD,,,""PRICE"",""INTRA"",""52W"")")</f>
        <v>0.95753690000000002</v>
      </c>
      <c r="K12" s="4">
        <f t="shared" si="3"/>
        <v>7</v>
      </c>
      <c r="L12" s="4">
        <f t="shared" si="4"/>
        <v>9</v>
      </c>
      <c r="M12" s="4">
        <f t="shared" si="4"/>
        <v>7</v>
      </c>
      <c r="P12" s="3">
        <f t="shared" si="0"/>
        <v>7.59</v>
      </c>
      <c r="Q12">
        <f t="shared" si="1"/>
        <v>0</v>
      </c>
      <c r="S12" s="3">
        <f t="shared" si="5"/>
        <v>9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H29" sqref="H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78.5</v>
      </c>
      <c r="F6" s="153">
        <f>VLOOKUP(B6,Safety!$B$4:$R$16,17,FALSE)</f>
        <v>78.5</v>
      </c>
      <c r="G6" s="179">
        <f t="shared" ref="G6:G18" si="0">(D6*$D$2 +E6*$E$2 +F6*$F$2)/($D$2+$E$2+$F$2)</f>
        <v>71.366666666666674</v>
      </c>
      <c r="H6" s="124" cm="1">
        <f t="array" ref="H6">_xlfn.PERCENTRANK.EXC(_xlfn._xlws.FILTER($G$6:G$18, ISNUMBER($G$6:G$18)),G6)*100</f>
        <v>85.7</v>
      </c>
      <c r="I6" s="153">
        <f>VLOOKUP(B6,'LIQIDITY 2'!$A$3:$X$15,24,FALSE)</f>
        <v>64.2</v>
      </c>
      <c r="J6" s="120">
        <f ca="1">VLOOKUP(B6,'Momnetum ranking'!$A$3:$AJ$15,36,FALSE)</f>
        <v>35.699999999999996</v>
      </c>
      <c r="K6" s="163">
        <f>VLOOKUP(B6,'Momnetum ranking'!$A$3:$H$15,8,FALSE)</f>
        <v>0.23404255319148937</v>
      </c>
      <c r="L6" s="120">
        <f>VLOOKUP(B6,'Currency- 2'!$A$3:$U$15,21,FALSE)</f>
        <v>92.800000000000011</v>
      </c>
      <c r="M6" s="162">
        <f t="shared" ref="M6:M18" ca="1" si="1">D6*$D$2 + E6*$E$2 + F6*$F$2 + I6*$I$2 + J6*$J$2 + L6*$L$2</f>
        <v>57.807859000000001</v>
      </c>
      <c r="N6" s="120" cm="1">
        <f t="array" aca="1" ref="N6" ca="1">_xlfn.PERCENTRANK.EXC(_xlfn._xlws.FILTER($M$6:M$18, ISNUMBER($M$6:M$18)),M6)*100</f>
        <v>71.399999999999991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71.399999999999991</v>
      </c>
      <c r="F7" s="159">
        <f>VLOOKUP(B7,Safety!$B$4:$R$16,17,FALSE)</f>
        <v>64.2</v>
      </c>
      <c r="G7" s="180">
        <f t="shared" si="0"/>
        <v>61.866666666666667</v>
      </c>
      <c r="H7" s="125" cm="1">
        <f t="array" ref="H7">_xlfn.PERCENTRANK.EXC(_xlfn._xlws.FILTER($G$6:G$18, ISNUMBER($G$6:G$18)),G7)*100</f>
        <v>71.399999999999991</v>
      </c>
      <c r="I7" s="159">
        <f>VLOOKUP(B7,'LIQIDITY 2'!$A$3:$X$15,24,FALSE)</f>
        <v>14.2</v>
      </c>
      <c r="J7" s="121">
        <f ca="1">VLOOKUP(B7,'Momnetum ranking'!$A$3:$AJ$15,36,FALSE)</f>
        <v>21.4</v>
      </c>
      <c r="K7" s="161">
        <f>VLOOKUP(B7,'Momnetum ranking'!$A$3:$H$15,8,FALSE)</f>
        <v>0.41708542713567837</v>
      </c>
      <c r="L7" s="121">
        <f>VLOOKUP(B7,'Currency- 2'!$A$3:$U$15,21,FALSE)</f>
        <v>35.699999999999996</v>
      </c>
      <c r="M7" s="160">
        <f t="shared" ca="1" si="1"/>
        <v>33.528143999999998</v>
      </c>
      <c r="N7" s="121" cm="1">
        <f t="array" aca="1" ref="N7" ca="1">_xlfn.PERCENTRANK.EXC(_xlfn._xlws.FILTER($M$6:M$18, ISNUMBER($M$6:M$18)),M7)*100</f>
        <v>14.2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92.800000000000011</v>
      </c>
      <c r="F8" s="159">
        <f>VLOOKUP(B8,Safety!$B$4:$R$16,17,FALSE)</f>
        <v>92.800000000000011</v>
      </c>
      <c r="G8" s="180">
        <f t="shared" si="0"/>
        <v>66.600000000000023</v>
      </c>
      <c r="H8" s="125" cm="1">
        <f t="array" ref="H8">_xlfn.PERCENTRANK.EXC(_xlfn._xlws.FILTER($G$6:G$18, ISNUMBER($G$6:G$18)),G8)*100</f>
        <v>78.5</v>
      </c>
      <c r="I8" s="159">
        <f>VLOOKUP(B8,'LIQIDITY 2'!$A$3:$X$15,24,FALSE)</f>
        <v>42.8</v>
      </c>
      <c r="J8" s="121">
        <f ca="1">VLOOKUP(B8,'Momnetum ranking'!$A$3:$AJ$15,36,FALSE)</f>
        <v>71.399999999999991</v>
      </c>
      <c r="K8" s="161">
        <f>VLOOKUP(B8,'Momnetum ranking'!$A$3:$H$15,8,FALSE)</f>
        <v>0.27450980392156865</v>
      </c>
      <c r="L8" s="121">
        <f>VLOOKUP(B8,'Currency- 2'!$A$3:$U$15,21,FALSE)</f>
        <v>64.2</v>
      </c>
      <c r="M8" s="160">
        <f t="shared" ca="1" si="1"/>
        <v>63.51800200000001</v>
      </c>
      <c r="N8" s="121" cm="1">
        <f t="array" aca="1" ref="N8" ca="1">_xlfn.PERCENTRANK.EXC(_xlfn._xlws.FILTER($M$6:M$18, ISNUMBER($M$6:M$18)),M8)*100</f>
        <v>85.7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85.7</v>
      </c>
      <c r="F9" s="159">
        <f>VLOOKUP(B9,Safety!$B$4:$R$16,17,FALSE)</f>
        <v>50</v>
      </c>
      <c r="G9" s="180">
        <f t="shared" si="0"/>
        <v>54.733333333333334</v>
      </c>
      <c r="H9" s="125" cm="1">
        <f t="array" ref="H9">_xlfn.PERCENTRANK.EXC(_xlfn._xlws.FILTER($G$6:G$18, ISNUMBER($G$6:G$18)),G9)*100</f>
        <v>64.2</v>
      </c>
      <c r="I9" s="159">
        <f>VLOOKUP(B9,'LIQIDITY 2'!$A$3:$X$15,24,FALSE)</f>
        <v>42.8</v>
      </c>
      <c r="J9" s="121">
        <f ca="1">VLOOKUP(B9,'Momnetum ranking'!$A$3:$AJ$15,36,FALSE)</f>
        <v>92.800000000000011</v>
      </c>
      <c r="K9" s="161">
        <f>VLOOKUP(B9,'Momnetum ranking'!$A$3:$H$15,8,FALSE)</f>
        <v>0.31610337972166996</v>
      </c>
      <c r="L9" s="121">
        <f>VLOOKUP(B9,'Currency- 2'!$A$3:$U$15,21,FALSE)</f>
        <v>64.2</v>
      </c>
      <c r="M9" s="160">
        <f t="shared" ca="1" si="1"/>
        <v>68.518358000000006</v>
      </c>
      <c r="N9" s="121" cm="1">
        <f t="array" aca="1" ref="N9" ca="1">_xlfn.PERCENTRANK.EXC(_xlfn._xlws.FILTER($M$6:M$18, ISNUMBER($M$6:M$18)),M9)*100</f>
        <v>92.800000000000011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78.5</v>
      </c>
      <c r="E10" s="121">
        <f>VLOOKUP(B10,'Quality - 2'!$B$2:$S$14,18,FALSE)</f>
        <v>42.8</v>
      </c>
      <c r="F10" s="159">
        <f>VLOOKUP(B10,Safety!$B$4:$R$16,17,FALSE)</f>
        <v>7.1</v>
      </c>
      <c r="G10" s="180">
        <f t="shared" si="0"/>
        <v>42.800000000000004</v>
      </c>
      <c r="H10" s="125" cm="1">
        <f t="array" ref="H10">_xlfn.PERCENTRANK.EXC(_xlfn._xlws.FILTER($G$6:G$18, ISNUMBER($G$6:G$18)),G10)*100</f>
        <v>28.499999999999996</v>
      </c>
      <c r="I10" s="159">
        <f>VLOOKUP(B10,'LIQIDITY 2'!$A$3:$X$15,24,FALSE)</f>
        <v>64.2</v>
      </c>
      <c r="J10" s="121">
        <f ca="1">VLOOKUP(B10,'Momnetum ranking'!$A$3:$AJ$15,36,FALSE)</f>
        <v>78.5</v>
      </c>
      <c r="K10" s="161">
        <f>VLOOKUP(B10,'Momnetum ranking'!$A$3:$H$15,8,FALSE)</f>
        <v>0.35087719298245612</v>
      </c>
      <c r="L10" s="121">
        <f>VLOOKUP(B10,'Currency- 2'!$A$3:$U$15,21,FALSE)</f>
        <v>50</v>
      </c>
      <c r="M10" s="160">
        <f t="shared" ca="1" si="1"/>
        <v>62.078716</v>
      </c>
      <c r="N10" s="121" cm="1">
        <f t="array" aca="1" ref="N10" ca="1">_xlfn.PERCENTRANK.EXC(_xlfn._xlws.FILTER($M$6:M$18, ISNUMBER($M$6:M$18)),M10)*100</f>
        <v>78.5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28.499999999999996</v>
      </c>
      <c r="F11" s="159">
        <f>VLOOKUP(B11,Safety!$B$4:$R$16,17,FALSE)</f>
        <v>42.8</v>
      </c>
      <c r="G11" s="180">
        <f t="shared" si="0"/>
        <v>52.333333333333343</v>
      </c>
      <c r="H11" s="125" cm="1">
        <f t="array" ref="H11">_xlfn.PERCENTRANK.EXC(_xlfn._xlws.FILTER($G$6:G$18, ISNUMBER($G$6:G$18)),G11)*100</f>
        <v>57.099999999999994</v>
      </c>
      <c r="I11" s="159">
        <f>VLOOKUP(B11,'LIQIDITY 2'!$A$3:$X$15,24,FALSE)</f>
        <v>21.4</v>
      </c>
      <c r="J11" s="121">
        <f ca="1">VLOOKUP(B11,'Momnetum ranking'!$A$3:$AJ$15,36,FALSE)</f>
        <v>42.8</v>
      </c>
      <c r="K11" s="161">
        <f>VLOOKUP(B11,'Momnetum ranking'!$A$3:$H$15,8,FALSE)</f>
        <v>0.35</v>
      </c>
      <c r="L11" s="121">
        <f>VLOOKUP(B11,'Currency- 2'!$A$3:$U$15,21,FALSE)</f>
        <v>57.099999999999994</v>
      </c>
      <c r="M11" s="160">
        <f t="shared" ca="1" si="1"/>
        <v>42.808430000000001</v>
      </c>
      <c r="N11" s="121" cm="1">
        <f t="array" aca="1" ref="N11" ca="1">_xlfn.PERCENTRANK.EXC(_xlfn._xlws.FILTER($M$6:M$18, ISNUMBER($M$6:M$18)),M11)*100</f>
        <v>42.8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35.699999999999996</v>
      </c>
      <c r="E12" s="121">
        <f>VLOOKUP(B12,'Quality - 2'!$B$2:$S$14,18,FALSE)</f>
        <v>42.8</v>
      </c>
      <c r="F12" s="159">
        <f>VLOOKUP(B12,Safety!$B$4:$R$16,17,FALSE)</f>
        <v>35.699999999999996</v>
      </c>
      <c r="G12" s="180">
        <f t="shared" si="0"/>
        <v>38.06666666666667</v>
      </c>
      <c r="H12" s="125" cm="1">
        <f t="array" ref="H12">_xlfn.PERCENTRANK.EXC(_xlfn._xlws.FILTER($G$6:G$18, ISNUMBER($G$6:G$18)),G12)*100</f>
        <v>21.4</v>
      </c>
      <c r="I12" s="159">
        <f>VLOOKUP(B12,'LIQIDITY 2'!$A$3:$X$15,24,FALSE)</f>
        <v>42.8</v>
      </c>
      <c r="J12" s="121">
        <f ca="1">VLOOKUP(B12,'Momnetum ranking'!$A$3:$AJ$15,36,FALSE)</f>
        <v>85.7</v>
      </c>
      <c r="K12" s="161">
        <f>VLOOKUP(B12,'Momnetum ranking'!$A$3:$H$15,8,FALSE)</f>
        <v>0.26744186046511625</v>
      </c>
      <c r="L12" s="121">
        <f>VLOOKUP(B12,'Currency- 2'!$A$3:$U$15,21,FALSE)</f>
        <v>14.2</v>
      </c>
      <c r="M12" s="160">
        <f t="shared" ca="1" si="1"/>
        <v>55.678858000000005</v>
      </c>
      <c r="N12" s="121" cm="1">
        <f t="array" aca="1" ref="N12" ca="1">_xlfn.PERCENTRANK.EXC(_xlfn._xlws.FILTER($M$6:M$18, ISNUMBER($M$6:M$18)),M12)*100</f>
        <v>64.2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14.2</v>
      </c>
      <c r="F13" s="159">
        <f>VLOOKUP(B13,Safety!$B$4:$R$16,17,FALSE)</f>
        <v>21.4</v>
      </c>
      <c r="G13" s="180">
        <f t="shared" si="0"/>
        <v>19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57.099999999999994</v>
      </c>
      <c r="K13" s="161">
        <f>VLOOKUP(B13,'Momnetum ranking'!$A$3:$H$15,8,FALSE)</f>
        <v>0.36206896551724138</v>
      </c>
      <c r="L13" s="121">
        <f>VLOOKUP(B13,'Currency- 2'!$A$3:$U$15,21,FALSE)</f>
        <v>21.4</v>
      </c>
      <c r="M13" s="160">
        <f t="shared" ca="1" si="1"/>
        <v>32.099429999999998</v>
      </c>
      <c r="N13" s="121" cm="1">
        <f t="array" aca="1" ref="N13" ca="1">_xlfn.PERCENTRANK.EXC(_xlfn._xlws.FILTER($M$6:M$18, ISNUMBER($M$6:M$18)),M13)*100</f>
        <v>7.1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7.1</v>
      </c>
      <c r="F14" s="159">
        <f>VLOOKUP(B14,Safety!$B$4:$R$16,17,FALSE)</f>
        <v>71.399999999999991</v>
      </c>
      <c r="G14" s="180">
        <f t="shared" si="0"/>
        <v>28.533333333333331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21.4</v>
      </c>
      <c r="J14" s="121">
        <f ca="1">VLOOKUP(B14,'Momnetum ranking'!$A$3:$AJ$15,36,FALSE)</f>
        <v>50</v>
      </c>
      <c r="K14" s="161">
        <f>VLOOKUP(B14,'Momnetum ranking'!$A$3:$H$15,8,FALSE)</f>
        <v>0.15384615384615385</v>
      </c>
      <c r="L14" s="121">
        <f>VLOOKUP(B14,'Currency- 2'!$A$3:$U$15,21,FALSE)</f>
        <v>7.1</v>
      </c>
      <c r="M14" s="160">
        <f t="shared" ca="1" si="1"/>
        <v>33.549143999999998</v>
      </c>
      <c r="N14" s="121" cm="1">
        <f t="array" aca="1" ref="N14" ca="1">_xlfn.PERCENTRANK.EXC(_xlfn._xlws.FILTER($M$6:M$18, ISNUMBER($M$6:M$18)),M14)*100</f>
        <v>21.4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64.2</v>
      </c>
      <c r="E15" s="121">
        <f>VLOOKUP(B15,'Quality - 2'!$B$2:$S$14,18,FALSE)</f>
        <v>64.2</v>
      </c>
      <c r="F15" s="159">
        <f>VLOOKUP(B15,Safety!$B$4:$R$16,17,FALSE)</f>
        <v>85.7</v>
      </c>
      <c r="G15" s="180">
        <f t="shared" si="0"/>
        <v>71.366666666666688</v>
      </c>
      <c r="H15" s="125" cm="1">
        <f t="array" ref="H15">_xlfn.PERCENTRANK.EXC(_xlfn._xlws.FILTER($G$6:G$18, ISNUMBER($G$6:G$18)),G15)*100</f>
        <v>92.800000000000011</v>
      </c>
      <c r="I15" s="159">
        <f>VLOOKUP(B15,'LIQIDITY 2'!$A$3:$X$15,24,FALSE)</f>
        <v>64.2</v>
      </c>
      <c r="J15" s="121">
        <f ca="1">VLOOKUP(B15,'Momnetum ranking'!$A$3:$AJ$15,36,FALSE)</f>
        <v>14.2</v>
      </c>
      <c r="K15" s="161">
        <f>VLOOKUP(B15,'Momnetum ranking'!$A$3:$H$15,8,FALSE)</f>
        <v>0.27868852459016391</v>
      </c>
      <c r="L15" s="121">
        <f>VLOOKUP(B15,'Currency- 2'!$A$3:$U$15,21,FALSE)</f>
        <v>78.5</v>
      </c>
      <c r="M15" s="160">
        <f t="shared" ca="1" si="1"/>
        <v>47.777859000000007</v>
      </c>
      <c r="N15" s="121" cm="1">
        <f t="array" aca="1" ref="N15" ca="1">_xlfn.PERCENTRANK.EXC(_xlfn._xlws.FILTER($M$6:M$18, ISNUMBER($M$6:M$18)),M15)*100</f>
        <v>50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42.8</v>
      </c>
      <c r="E16" s="121">
        <f>VLOOKUP(B16,'Quality - 2'!$B$2:$S$14,18,FALSE)</f>
        <v>35.699999999999996</v>
      </c>
      <c r="F16" s="159">
        <f>VLOOKUP(B16,Safety!$B$4:$R$16,17,FALSE)</f>
        <v>57.099999999999994</v>
      </c>
      <c r="G16" s="180">
        <f t="shared" si="0"/>
        <v>45.199999999999996</v>
      </c>
      <c r="H16" s="125" cm="1">
        <f t="array" ref="H16">_xlfn.PERCENTRANK.EXC(_xlfn._xlws.FILTER($G$6:G$18, ISNUMBER($G$6:G$18)),G16)*100</f>
        <v>35.699999999999996</v>
      </c>
      <c r="I16" s="159">
        <f>VLOOKUP(B16,'LIQIDITY 2'!$A$3:$X$15,24,FALSE)</f>
        <v>64.2</v>
      </c>
      <c r="J16" s="121">
        <f ca="1">VLOOKUP(B16,'Momnetum ranking'!$A$3:$AJ$15,36,FALSE)</f>
        <v>7.1</v>
      </c>
      <c r="K16" s="161">
        <f>VLOOKUP(B16,'Momnetum ranking'!$A$3:$H$15,8,FALSE)</f>
        <v>0.25454545454545452</v>
      </c>
      <c r="L16" s="121">
        <f>VLOOKUP(B16,'Currency- 2'!$A$3:$U$15,21,FALSE)</f>
        <v>85.7</v>
      </c>
      <c r="M16" s="160">
        <f t="shared" ca="1" si="1"/>
        <v>37.808644000000001</v>
      </c>
      <c r="N16" s="121" cm="1">
        <f t="array" aca="1" ref="N16" ca="1">_xlfn.PERCENTRANK.EXC(_xlfn._xlws.FILTER($M$6:M$18, ISNUMBER($M$6:M$18)),M16)*100</f>
        <v>35.699999999999996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57.099999999999994</v>
      </c>
      <c r="F17" s="159">
        <f>VLOOKUP(B17,Safety!$B$4:$R$16,17,FALSE)</f>
        <v>14.2</v>
      </c>
      <c r="G17" s="180">
        <f t="shared" si="0"/>
        <v>47.56666666666667</v>
      </c>
      <c r="H17" s="125" cm="1">
        <f t="array" ref="H17">_xlfn.PERCENTRANK.EXC(_xlfn._xlws.FILTER($G$6:G$18, ISNUMBER($G$6:G$18)),G17)*100</f>
        <v>42.8</v>
      </c>
      <c r="I17" s="159">
        <f>VLOOKUP(B17,'LIQIDITY 2'!$A$3:$X$15,24,FALSE)</f>
        <v>21.4</v>
      </c>
      <c r="J17" s="121">
        <f ca="1">VLOOKUP(B17,'Momnetum ranking'!$A$3:$AJ$15,36,FALSE)</f>
        <v>28.499999999999996</v>
      </c>
      <c r="K17" s="161">
        <f>VLOOKUP(B17,'Momnetum ranking'!$A$3:$H$15,8,FALSE)</f>
        <v>0.21276595744680851</v>
      </c>
      <c r="L17" s="121">
        <f>VLOOKUP(B17,'Currency- 2'!$A$3:$U$15,21,FALSE)</f>
        <v>42.8</v>
      </c>
      <c r="M17" s="160">
        <f t="shared" ca="1" si="1"/>
        <v>34.228572999999997</v>
      </c>
      <c r="N17" s="121" cm="1">
        <f t="array" aca="1" ref="N17" ca="1">_xlfn.PERCENTRANK.EXC(_xlfn._xlws.FILTER($M$6:M$18, ISNUMBER($M$6:M$18)),M17)*100</f>
        <v>28.499999999999996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21.4</v>
      </c>
      <c r="F18" s="154">
        <f>VLOOKUP(B18,Safety!$B$4:$R$16,17,FALSE)</f>
        <v>28.499999999999996</v>
      </c>
      <c r="G18" s="181">
        <f t="shared" si="0"/>
        <v>47.56666666666667</v>
      </c>
      <c r="H18" s="126" cm="1">
        <f t="array" ref="H18">_xlfn.PERCENTRANK.EXC(_xlfn._xlws.FILTER($G$6:G$18, ISNUMBER($G$6:G$18)),G18)*100</f>
        <v>42.8</v>
      </c>
      <c r="I18" s="154">
        <f>VLOOKUP(B18,'LIQIDITY 2'!$A$3:$X$15,24,FALSE)</f>
        <v>64.2</v>
      </c>
      <c r="J18" s="122">
        <f ca="1">VLOOKUP(B18,'Momnetum ranking'!$A$3:$AJ$15,36,FALSE)</f>
        <v>64.2</v>
      </c>
      <c r="K18" s="165">
        <f>VLOOKUP(B18,'Momnetum ranking'!$A$3:$H$15,8,FALSE)</f>
        <v>0.25925925925925924</v>
      </c>
      <c r="L18" s="122">
        <f>VLOOKUP(B18,'Currency- 2'!$A$3:$U$15,21,FALSE)</f>
        <v>28.499999999999996</v>
      </c>
      <c r="M18" s="164">
        <f t="shared" ca="1" si="1"/>
        <v>55.638573000000001</v>
      </c>
      <c r="N18" s="122" cm="1">
        <f t="array" aca="1" ref="N18" ca="1">_xlfn.PERCENTRANK.EXC(_xlfn._xlws.FILTER($M$6:M$18, ISNUMBER($M$6:M$18)),M18)*100</f>
        <v>57.099999999999994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6</v>
      </c>
      <c r="S3" s="148">
        <f ca="1">COUNTIF(S9:S17,"&gt;0")</f>
        <v>6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0.20963749822811029</v>
      </c>
      <c r="F9">
        <f ca="1">VLOOKUP(B9,OUTPUT_COUNTRY!$B$6:$N$18, 9, FALSE)</f>
        <v>50</v>
      </c>
      <c r="G9" s="47">
        <f>IFERROR(VLOOKUP(B9,OUTPUT_COUNTRY!$B$6:$N$18, 7, FALSE),0)</f>
        <v>14.2</v>
      </c>
      <c r="H9">
        <f>VLOOKUP(B9,OUTPUT_COUNTRY!$B$6:$N$18, 8, FALSE)</f>
        <v>21.4</v>
      </c>
      <c r="I9">
        <f>VLOOKUP(B9,OUTPUT_COUNTRY!$B$6:$N$18, 11, FALSE)</f>
        <v>7.1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0.23901113480056357</v>
      </c>
      <c r="F10">
        <f ca="1">VLOOKUP(B10,OUTPUT_COUNTRY!$B$6:$N$18, 9, FALSE)</f>
        <v>57.099999999999994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21.4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 t="str">
        <f t="shared" ca="1" si="4"/>
        <v/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0.23482707249749174</v>
      </c>
      <c r="F11">
        <f ca="1">VLOOKUP(B11,OUTPUT_COUNTRY!$B$6:$N$18, 9, FALSE)</f>
        <v>85.7</v>
      </c>
      <c r="G11" s="47">
        <f>IFERROR(VLOOKUP(B11,OUTPUT_COUNTRY!$B$6:$N$18, 7, FALSE),0)</f>
        <v>21.4</v>
      </c>
      <c r="H11">
        <f>VLOOKUP(B11,OUTPUT_COUNTRY!$B$6:$N$18, 8, FALSE)</f>
        <v>42.8</v>
      </c>
      <c r="I11">
        <f>VLOOKUP(B11,OUTPUT_COUNTRY!$B$6:$N$18, 11, FALSE)</f>
        <v>14.2</v>
      </c>
      <c r="J11" s="47">
        <f t="shared" ca="1" si="0"/>
        <v>4.2584527812936956</v>
      </c>
      <c r="K11" s="136">
        <f t="shared" ca="1" si="6"/>
        <v>0.23484512309931488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>
        <f t="shared" ca="1" si="4"/>
        <v>0.11742256154965744</v>
      </c>
      <c r="S11" s="156">
        <f t="shared" ca="1" si="5"/>
        <v>0.1389973761511063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0.25087966429345937</v>
      </c>
      <c r="F12">
        <f ca="1">VLOOKUP(B12,OUTPUT_COUNTRY!$B$6:$N$18, 9, FALSE)</f>
        <v>78.5</v>
      </c>
      <c r="G12" s="47">
        <f>IFERROR(VLOOKUP(B12,OUTPUT_COUNTRY!$B$6:$N$18, 7, FALSE),0)</f>
        <v>28.499999999999996</v>
      </c>
      <c r="H12">
        <f>VLOOKUP(B12,OUTPUT_COUNTRY!$B$6:$N$18, 8, FALSE)</f>
        <v>64.2</v>
      </c>
      <c r="I12">
        <f>VLOOKUP(B12,OUTPUT_COUNTRY!$B$6:$N$18, 11, FALSE)</f>
        <v>50</v>
      </c>
      <c r="J12" s="47">
        <f t="shared" ca="1" si="0"/>
        <v>3.9859747214516292</v>
      </c>
      <c r="K12" s="136">
        <f t="shared" ca="1" si="6"/>
        <v>0.21981850503123038</v>
      </c>
      <c r="L12">
        <f t="shared" si="1"/>
        <v>0</v>
      </c>
      <c r="M12" s="136">
        <f t="shared" si="7"/>
        <v>0</v>
      </c>
      <c r="N12">
        <f t="shared" si="2"/>
        <v>3.9859747214516292</v>
      </c>
      <c r="O12" s="136">
        <f t="shared" si="8"/>
        <v>0.18327364355541156</v>
      </c>
      <c r="P12">
        <f t="shared" si="3"/>
        <v>0</v>
      </c>
      <c r="Q12" s="136">
        <f t="shared" si="9"/>
        <v>0</v>
      </c>
      <c r="R12" s="156">
        <f t="shared" ca="1" si="4"/>
        <v>0.12823661687115634</v>
      </c>
      <c r="S12" s="156">
        <f t="shared" ca="1" si="5"/>
        <v>0.15179836852773396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0.1749778419659464</v>
      </c>
      <c r="F13">
        <f ca="1">VLOOKUP(B13,OUTPUT_COUNTRY!$B$6:$N$18, 9, FALSE)</f>
        <v>21.4</v>
      </c>
      <c r="G13" s="47">
        <f>IFERROR(VLOOKUP(B13,OUTPUT_COUNTRY!$B$6:$N$18, 7, FALSE),0)</f>
        <v>71.399999999999991</v>
      </c>
      <c r="H13">
        <f>VLOOKUP(B13,OUTPUT_COUNTRY!$B$6:$N$18, 8, FALSE)</f>
        <v>14.2</v>
      </c>
      <c r="I13">
        <f>VLOOKUP(B13,OUTPUT_COUNTRY!$B$6:$N$18, 11, FALSE)</f>
        <v>35.699999999999996</v>
      </c>
      <c r="J13" s="47">
        <f t="shared" ca="1" si="0"/>
        <v>0</v>
      </c>
      <c r="K13" s="136">
        <f t="shared" ca="1" si="6"/>
        <v>0</v>
      </c>
      <c r="L13">
        <f t="shared" si="1"/>
        <v>5.7150093335510253</v>
      </c>
      <c r="M13" s="136">
        <f t="shared" si="7"/>
        <v>0.28343605497349894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8.5030816492049674E-2</v>
      </c>
      <c r="S13" s="156">
        <f t="shared" ca="1" si="5"/>
        <v>0.10065408409084058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0.18006752685877772</v>
      </c>
      <c r="F14">
        <f ca="1">VLOOKUP(B14,OUTPUT_COUNTRY!$B$6:$N$18, 9, FALSE)</f>
        <v>35.699999999999996</v>
      </c>
      <c r="G14" s="47">
        <f>IFERROR(VLOOKUP(B14,OUTPUT_COUNTRY!$B$6:$N$18, 7, FALSE),0)</f>
        <v>85.7</v>
      </c>
      <c r="H14">
        <f>VLOOKUP(B14,OUTPUT_COUNTRY!$B$6:$N$18, 8, FALSE)</f>
        <v>64.2</v>
      </c>
      <c r="I14">
        <f>VLOOKUP(B14,OUTPUT_COUNTRY!$B$6:$N$18, 11, FALSE)</f>
        <v>92.800000000000011</v>
      </c>
      <c r="J14" s="47">
        <f t="shared" ca="1" si="0"/>
        <v>0</v>
      </c>
      <c r="K14" s="136">
        <f t="shared" ca="1" si="6"/>
        <v>0</v>
      </c>
      <c r="L14">
        <f t="shared" si="1"/>
        <v>5.553472174826247</v>
      </c>
      <c r="M14" s="136">
        <f t="shared" si="7"/>
        <v>0.27542461486406866</v>
      </c>
      <c r="N14">
        <f t="shared" si="2"/>
        <v>5.553472174826247</v>
      </c>
      <c r="O14" s="136">
        <f t="shared" si="8"/>
        <v>0.25534659675245835</v>
      </c>
      <c r="P14">
        <f t="shared" si="3"/>
        <v>5.553472174826247</v>
      </c>
      <c r="Q14" s="136">
        <f t="shared" si="9"/>
        <v>0.23378006425960374</v>
      </c>
      <c r="R14" s="156">
        <f t="shared" ca="1" si="4"/>
        <v>0.13154005056042681</v>
      </c>
      <c r="S14" s="156">
        <f t="shared" ca="1" si="5"/>
        <v>0.15570876367699651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0.22391349227585181</v>
      </c>
      <c r="F15">
        <f ca="1">VLOOKUP(B15,OUTPUT_COUNTRY!$B$6:$N$18, 9, FALSE)</f>
        <v>42.8</v>
      </c>
      <c r="G15" s="47">
        <f>IFERROR(VLOOKUP(B15,OUTPUT_COUNTRY!$B$6:$N$18, 7, FALSE),0)</f>
        <v>57.099999999999994</v>
      </c>
      <c r="H15">
        <f>VLOOKUP(B15,OUTPUT_COUNTRY!$B$6:$N$18, 8, FALSE)</f>
        <v>21.4</v>
      </c>
      <c r="I15">
        <f>VLOOKUP(B15,OUTPUT_COUNTRY!$B$6:$N$18, 11, FALSE)</f>
        <v>57.099999999999994</v>
      </c>
      <c r="J15" s="47">
        <f t="shared" ca="1" si="0"/>
        <v>0</v>
      </c>
      <c r="K15" s="136">
        <f t="shared" ca="1" si="6"/>
        <v>0</v>
      </c>
      <c r="L15">
        <f t="shared" si="1"/>
        <v>0</v>
      </c>
      <c r="M15" s="136">
        <f t="shared" si="7"/>
        <v>0</v>
      </c>
      <c r="N15">
        <f t="shared" si="2"/>
        <v>0</v>
      </c>
      <c r="O15" s="136">
        <f t="shared" si="8"/>
        <v>0</v>
      </c>
      <c r="P15">
        <f t="shared" si="3"/>
        <v>0</v>
      </c>
      <c r="Q15" s="136">
        <f t="shared" si="9"/>
        <v>0</v>
      </c>
      <c r="R15" s="156" t="str">
        <f t="shared" ca="1" si="4"/>
        <v/>
      </c>
      <c r="S15" s="156" t="str">
        <f t="shared" ca="1" si="5"/>
        <v/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0.21797743966624242</v>
      </c>
      <c r="F16">
        <f ca="1">VLOOKUP(B16,OUTPUT_COUNTRY!$B$6:$N$18, 9, FALSE)</f>
        <v>71.399999999999991</v>
      </c>
      <c r="G16" s="47">
        <f>IFERROR(VLOOKUP(B16,OUTPUT_COUNTRY!$B$6:$N$18, 7, FALSE),0)</f>
        <v>78.5</v>
      </c>
      <c r="H16">
        <f>VLOOKUP(B16,OUTPUT_COUNTRY!$B$6:$N$18, 8, FALSE)</f>
        <v>42.8</v>
      </c>
      <c r="I16">
        <f>VLOOKUP(B16,OUTPUT_COUNTRY!$B$6:$N$18, 11, FALSE)</f>
        <v>64.2</v>
      </c>
      <c r="J16" s="47">
        <f t="shared" ca="1" si="0"/>
        <v>4.5876307269741154</v>
      </c>
      <c r="K16" s="136">
        <f t="shared" ca="1" si="6"/>
        <v>0.25299862606040974</v>
      </c>
      <c r="L16">
        <f t="shared" si="1"/>
        <v>4.5876307269741154</v>
      </c>
      <c r="M16" s="136">
        <f t="shared" si="7"/>
        <v>0.22752368002184975</v>
      </c>
      <c r="N16">
        <f t="shared" si="2"/>
        <v>0</v>
      </c>
      <c r="O16" s="136">
        <f t="shared" si="8"/>
        <v>0</v>
      </c>
      <c r="P16">
        <f t="shared" si="3"/>
        <v>4.5876307269741154</v>
      </c>
      <c r="Q16" s="136">
        <f t="shared" si="9"/>
        <v>0.19312181143410462</v>
      </c>
      <c r="R16" s="156">
        <f t="shared" ca="1" si="4"/>
        <v>0.21406859818017024</v>
      </c>
      <c r="S16" s="156">
        <f t="shared" ca="1" si="5"/>
        <v>0.25340082068305009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0.18864479027538195</v>
      </c>
      <c r="F17">
        <f ca="1">VLOOKUP(B17,OUTPUT_COUNTRY!$B$6:$N$18, 9, FALSE)</f>
        <v>92.800000000000011</v>
      </c>
      <c r="G17" s="47">
        <f>IFERROR(VLOOKUP(B17,OUTPUT_COUNTRY!$B$6:$N$18, 7, FALSE),0)</f>
        <v>64.2</v>
      </c>
      <c r="H17">
        <f>VLOOKUP(B17,OUTPUT_COUNTRY!$B$6:$N$18, 8, FALSE)</f>
        <v>42.8</v>
      </c>
      <c r="I17">
        <f>VLOOKUP(B17,OUTPUT_COUNTRY!$B$6:$N$18, 11, FALSE)</f>
        <v>64.2</v>
      </c>
      <c r="J17" s="47">
        <f t="shared" ca="1" si="0"/>
        <v>5.3009680179357677</v>
      </c>
      <c r="K17" s="136">
        <f t="shared" ca="1" si="6"/>
        <v>0.29233774580904487</v>
      </c>
      <c r="L17">
        <f t="shared" si="1"/>
        <v>0</v>
      </c>
      <c r="M17" s="136">
        <f t="shared" si="7"/>
        <v>0</v>
      </c>
      <c r="N17">
        <f t="shared" si="2"/>
        <v>0</v>
      </c>
      <c r="O17" s="136">
        <f t="shared" si="8"/>
        <v>0</v>
      </c>
      <c r="P17">
        <f t="shared" si="3"/>
        <v>5.3009680179357677</v>
      </c>
      <c r="Q17" s="136">
        <f t="shared" si="9"/>
        <v>0.22315059927529052</v>
      </c>
      <c r="R17" s="156">
        <f t="shared" ca="1" si="4"/>
        <v>0.16848393283205149</v>
      </c>
      <c r="S17" s="156">
        <f t="shared" ca="1" si="5"/>
        <v>0.19944058687027263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0.23216945575834552</v>
      </c>
      <c r="F18">
        <f ca="1">VLOOKUP(B18,OUTPUT_COUNTRY!$B$6:$N$18, 9, FALSE)</f>
        <v>14.2</v>
      </c>
      <c r="G18" s="47">
        <f>IFERROR(VLOOKUP(B18,OUTPUT_COUNTRY!$B$6:$N$18, 7, FALSE),0)</f>
        <v>92.800000000000011</v>
      </c>
      <c r="H18">
        <f>VLOOKUP(B18,OUTPUT_COUNTRY!$B$6:$N$18, 8, FALSE)</f>
        <v>64.2</v>
      </c>
      <c r="I18">
        <f>VLOOKUP(B18,OUTPUT_COUNTRY!$B$6:$N$18, 11, FALSE)</f>
        <v>78.5</v>
      </c>
      <c r="J18" s="47">
        <f t="shared" ca="1" si="0"/>
        <v>0</v>
      </c>
      <c r="K18" s="136">
        <f t="shared" ca="1" si="6"/>
        <v>0</v>
      </c>
      <c r="L18">
        <f t="shared" si="1"/>
        <v>4.3071987946633854</v>
      </c>
      <c r="M18" s="136">
        <f t="shared" si="7"/>
        <v>0.21361565014058256</v>
      </c>
      <c r="N18">
        <f t="shared" si="2"/>
        <v>4.3071987946633854</v>
      </c>
      <c r="O18" s="136">
        <f t="shared" si="8"/>
        <v>0.19804340764307454</v>
      </c>
      <c r="P18">
        <f t="shared" si="3"/>
        <v>4.3071987946633854</v>
      </c>
      <c r="Q18" s="136">
        <f t="shared" si="9"/>
        <v>0.18131669328599784</v>
      </c>
      <c r="R18" s="156">
        <f t="shared" ca="1" si="4"/>
        <v>0.102020705135082</v>
      </c>
      <c r="S18" s="156">
        <f t="shared" ca="1" si="5"/>
        <v>0.12076563600484209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0.24963523908705595</v>
      </c>
      <c r="F19">
        <f ca="1">VLOOKUP(B19,OUTPUT_COUNTRY!$B$6:$N$18, 9, FALSE)</f>
        <v>7.1</v>
      </c>
      <c r="G19" s="47">
        <f>IFERROR(VLOOKUP(B19,OUTPUT_COUNTRY!$B$6:$N$18, 7, FALSE),0)</f>
        <v>35.699999999999996</v>
      </c>
      <c r="H19">
        <f>VLOOKUP(B19,OUTPUT_COUNTRY!$B$6:$N$18, 8, FALSE)</f>
        <v>64.2</v>
      </c>
      <c r="I19">
        <f>VLOOKUP(B19,OUTPUT_COUNTRY!$B$6:$N$18, 11, FALSE)</f>
        <v>85.7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4.0058447022828672</v>
      </c>
      <c r="O19" s="136">
        <f t="shared" si="8"/>
        <v>0.18418725792549739</v>
      </c>
      <c r="P19">
        <f t="shared" si="3"/>
        <v>4.0058447022828672</v>
      </c>
      <c r="Q19" s="136">
        <f t="shared" si="9"/>
        <v>0.16863083174500321</v>
      </c>
      <c r="R19" s="156">
        <f t="shared" ca="1" si="4"/>
        <v>3.5281808967050063E-2</v>
      </c>
      <c r="S19" s="156">
        <f t="shared" ca="1" si="5"/>
        <v>4.1764366298640332E-2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0.23811865791503486</v>
      </c>
      <c r="F20">
        <f ca="1">VLOOKUP(B20,OUTPUT_COUNTRY!$B$6:$N$18, 9, FALSE)</f>
        <v>28.499999999999996</v>
      </c>
      <c r="G20" s="47">
        <f>IFERROR(VLOOKUP(B20,OUTPUT_COUNTRY!$B$6:$N$18, 7, FALSE),0)</f>
        <v>42.8</v>
      </c>
      <c r="H20">
        <f>VLOOKUP(B20,OUTPUT_COUNTRY!$B$6:$N$18, 8, FALSE)</f>
        <v>21.4</v>
      </c>
      <c r="I20">
        <f>VLOOKUP(B20,OUTPUT_COUNTRY!$B$6:$N$18, 11, FALSE)</f>
        <v>42.8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>
        <f t="shared" si="8"/>
        <v>0</v>
      </c>
      <c r="P20">
        <f t="shared" si="3"/>
        <v>0</v>
      </c>
      <c r="Q20" s="136">
        <f t="shared" si="9"/>
        <v>0</v>
      </c>
      <c r="R20" s="156" t="str">
        <f t="shared" ca="1" si="4"/>
        <v/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0.25665566657740907</v>
      </c>
      <c r="F21" s="13">
        <f ca="1">VLOOKUP(B21,OUTPUT_COUNTRY!$B$6:$N$18, 9, FALSE)</f>
        <v>64.2</v>
      </c>
      <c r="G21" s="138">
        <f>IFERROR(VLOOKUP(B21,OUTPUT_COUNTRY!$B$6:$N$18, 7, FALSE),0)</f>
        <v>42.8</v>
      </c>
      <c r="H21" s="13">
        <f>VLOOKUP(B21,OUTPUT_COUNTRY!$B$6:$N$18, 8, FALSE)</f>
        <v>64.2</v>
      </c>
      <c r="I21" s="13">
        <f>VLOOKUP(B21,OUTPUT_COUNTRY!$B$6:$N$18, 11, FALSE)</f>
        <v>28.499999999999996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3.8962708804965867</v>
      </c>
      <c r="O21" s="137">
        <f t="shared" si="8"/>
        <v>0.17914909412355803</v>
      </c>
      <c r="P21" s="13">
        <f t="shared" si="3"/>
        <v>0</v>
      </c>
      <c r="Q21" s="137">
        <f t="shared" si="9"/>
        <v>0</v>
      </c>
      <c r="R21" s="157">
        <f t="shared" ca="1" si="4"/>
        <v>1.7914909412355805E-2</v>
      </c>
      <c r="S21" s="157">
        <f t="shared" ca="1" si="5"/>
        <v>2.1206532794374042E-2</v>
      </c>
    </row>
    <row r="22" spans="2:21" x14ac:dyDescent="0.35">
      <c r="J22" s="47">
        <f ca="1">SUM(J9:J21)</f>
        <v>18.133026247655209</v>
      </c>
      <c r="K22" s="169"/>
      <c r="L22">
        <f>SUM(L9:L21)</f>
        <v>20.163311030014775</v>
      </c>
      <c r="N22">
        <f>SUM(N9:N21)</f>
        <v>21.748761273720717</v>
      </c>
      <c r="P22">
        <f>SUM(P9:P21)</f>
        <v>23.755114416682385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</v>
      </c>
      <c r="J4" s="120" t="str">
        <f ca="1">IF(VLOOKUP(C4,OUTPUT_COUNTRY!$B$6:$N$18,9,FALSE)&gt;75,"++",(IF(VLOOKUP(C4,OUTPUT_COUNTRY!$B$6:$N$18,9,FALSE)&gt;50,"+",(IF(VLOOKUP(C4,OUTPUT_COUNTRY!$B$6:$N$18,9,FALSE)&gt;25,"-","--")))))</f>
        <v>-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--</v>
      </c>
      <c r="K5" s="159" t="str">
        <f>IF(VLOOKUP(C5,OUTPUT_COUNTRY!$B$6:$N$18,11,FALSE)&gt;75,"++",(IF(VLOOKUP(C5,OUTPUT_COUNTRY!$B$6:$N$18,11,FALSE)&gt;50,"+",(IF(VLOOKUP(C5,OUTPUT_COUNTRY!$B$6:$N$18,11,FALSE)&gt;25,"-","--")))))</f>
        <v>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++</v>
      </c>
      <c r="I6" s="159" t="str">
        <f>IF(VLOOKUP(C6,OUTPUT_COUNTRY!$B$6:$N$18,8,FALSE)&gt;75,"++",(IF(VLOOKUP(C6,OUTPUT_COUNTRY!$B$6:$N$18,8,FALSE)&gt;50,"+",(IF(VLOOKUP(C6,OUTPUT_COUNTRY!$B$6:$N$18,8,FALSE)&gt;25,"-","--")))))</f>
        <v>-</v>
      </c>
      <c r="J6" s="121" t="str">
        <f ca="1">IF(VLOOKUP(C6,OUTPUT_COUNTRY!$B$6:$N$18,9,FALSE)&gt;75,"++",(IF(VLOOKUP(C6,OUTPUT_COUNTRY!$B$6:$N$18,9,FALSE)&gt;50,"+",(IF(VLOOKUP(C6,OUTPUT_COUNTRY!$B$6:$N$18,9,FALSE)&gt;25,"-","--")))))</f>
        <v>+</v>
      </c>
      <c r="K6" s="159" t="str">
        <f>IF(VLOOKUP(C6,OUTPUT_COUNTRY!$B$6:$N$18,11,FALSE)&gt;75,"++",(IF(VLOOKUP(C6,OUTPUT_COUNTRY!$B$6:$N$18,11,FALSE)&gt;50,"+",(IF(VLOOKUP(C6,OUTPUT_COUNTRY!$B$6:$N$18,11,FALSE)&gt;25,"-","--")))))</f>
        <v>+</v>
      </c>
      <c r="L6" s="121" t="str">
        <f ca="1">IF(VLOOKUP(C6,OUTPUT_COUNTRY!$B$6:$N$18,13,FALSE)&gt;75,"++",(IF(VLOOKUP(C6,OUTPUT_COUNTRY!$B$6:$N$18,13,FALSE)&gt;50,"+",(IF(VLOOKUP(C6,OUTPUT_COUNTRY!$B$6:$N$18,13,FALSE)&gt;25,"-","--")))))</f>
        <v>++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+</v>
      </c>
      <c r="L7" s="121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+</v>
      </c>
      <c r="J8" s="121" t="str">
        <f ca="1">IF(VLOOKUP(C8,OUTPUT_COUNTRY!$B$6:$N$18,9,FALSE)&gt;75,"++",(IF(VLOOKUP(C8,OUTPUT_COUNTRY!$B$6:$N$18,9,FALSE)&gt;50,"+",(IF(VLOOKUP(C8,OUTPUT_COUNTRY!$B$6:$N$18,9,FALSE)&gt;25,"-","--")))))</f>
        <v>++</v>
      </c>
      <c r="K8" s="159" t="str">
        <f>IF(VLOOKUP(C8,OUTPUT_COUNTRY!$B$6:$N$18,11,FALSE)&gt;75,"++",(IF(VLOOKUP(C8,OUTPUT_COUNTRY!$B$6:$N$18,11,FALSE)&gt;50,"+",(IF(VLOOKUP(C8,OUTPUT_COUNTRY!$B$6:$N$18,11,FALSE)&gt;25,"-","--")))))</f>
        <v>-</v>
      </c>
      <c r="L8" s="121" t="str">
        <f ca="1">IF(VLOOKUP(C8,OUTPUT_COUNTRY!$B$6:$N$18,13,FALSE)&gt;75,"++",(IF(VLOOKUP(C8,OUTPUT_COUNTRY!$B$6:$N$18,13,FALSE)&gt;50,"+",(IF(VLOOKUP(C8,OUTPUT_COUNTRY!$B$6:$N$18,13,FALSE)&gt;25,"-","--")))))</f>
        <v>++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-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-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-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--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++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--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+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+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+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--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+</v>
      </c>
      <c r="J16" s="122" t="str">
        <f ca="1">IF(VLOOKUP(C16,OUTPUT_COUNTRY!$B$6:$N$18,9,FALSE)&gt;75,"++",(IF(VLOOKUP(C16,OUTPUT_COUNTRY!$B$6:$N$18,9,FALSE)&gt;50,"+",(IF(VLOOKUP(C16,OUTPUT_COUNTRY!$B$6:$N$18,9,FALSE)&gt;25,"-","--")))))</f>
        <v>+</v>
      </c>
      <c r="K16" s="154" t="str">
        <f>IF(VLOOKUP(C16,OUTPUT_COUNTRY!$B$6:$N$18,11,FALSE)&gt;75,"++",(IF(VLOOKUP(C16,OUTPUT_COUNTRY!$B$6:$N$18,11,FALSE)&gt;50,"+",(IF(VLOOKUP(C16,OUTPUT_COUNTRY!$B$6:$N$18,11,FALSE)&gt;25,"-","--")))))</f>
        <v>-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45565</v>
      </c>
      <c r="G3" s="4" cm="1">
        <f t="array" ref="G3">_xll.FDS(D3,"FMA_PE(LTM,0,,,""PORTAGG"",""MEANR"")")</f>
        <v>49.052673976870999</v>
      </c>
      <c r="H3" s="4" cm="1">
        <f t="array" ref="H3">_xll.FDS(D3,"FMA_PE(NTMA,0,,,""PORTAGG"",""MEANR"")")</f>
        <v>24.2217974660233</v>
      </c>
      <c r="I3" cm="1">
        <f t="array" ref="I3">_xll.FDS(D3,"FMA_DIV_YLD(NTMA,NOW,NOW,M,""PORTAGG"",""MEANR"")")</f>
        <v>3.1055861975912502</v>
      </c>
      <c r="J3" s="52" cm="1">
        <f t="array" ref="J3">IFERROR(_xll.FDS(D3,"FG_FCF_YIELD_NTM(0)"),(1/G3*100))</f>
        <v>1.99822855454785</v>
      </c>
      <c r="K3" s="3" cm="1">
        <f t="array" ref="K3">_xll.FDS(D3,"FMA_EVAL_EBITDA(NTMA,0,,,""PORTAGG"",""MEANR"")")</f>
        <v>13.1020375662224</v>
      </c>
      <c r="L3" cm="1">
        <f t="array" ref="L3">_xll.FDS(D3,"FMA_EVAL_EBIT(LTMA,NOW,NOW,M,""PORTAGG"",""MEANR"")")</f>
        <v>19.7849457837534</v>
      </c>
      <c r="M3">
        <f>HLOOKUP(D3,'Index ROE'!$A$1:$N$25,25,FALSE)</f>
        <v>6.5791075223619204</v>
      </c>
      <c r="N3">
        <f>VLOOKUP(A3,'LIQIDITY 2'!$A$3:$E$16,5,FALSE)</f>
        <v>4.4337999999999997</v>
      </c>
      <c r="O3" cm="1">
        <f t="array" ref="O3">IFERROR(IFERROR(IFERROR(IFERROR(_xll.FDS(B3,"IMF_IFS_RCPI_Q(0)"),_xll.FDS(B3,"IMF_IFS_RCPI_Q(-1AM)")),_xll.FDS(B3,"IMF_IFS_RCPI_Q(-2AM)")),_xll.FDS(B3,"IMF_IFS_RCPI_Q(-3AM)")),$D$31)</f>
        <v>3.3306260000000001</v>
      </c>
      <c r="P3">
        <f>VLOOKUP(E3,GDP_GROWTH!$B$10:$W$165,22,FALSE)</f>
        <v>2.7196134550164452</v>
      </c>
      <c r="Q3">
        <f t="shared" ref="Q3:Q11" si="0">I3-N3</f>
        <v>-1.3282138024087495</v>
      </c>
      <c r="R3" s="52">
        <f t="shared" ref="R3:R11" si="1">J3-N3</f>
        <v>-2.4355714454521498</v>
      </c>
      <c r="S3">
        <f t="shared" ref="S3:S11" si="2">M3-N3</f>
        <v>2.1453075223619207</v>
      </c>
      <c r="T3">
        <f t="shared" ref="T3:T11" si="3">M3-O3</f>
        <v>3.2484815223619203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9.64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45565</v>
      </c>
      <c r="G4" s="4" cm="1">
        <f t="array" ref="G4">_xll.FDS(D4,"FMA_PE(LTM,0,,,""PORTAGG"",""MEANR"")")</f>
        <v>19.403306191269301</v>
      </c>
      <c r="H4" s="4" cm="1">
        <f t="array" ref="H4">_xll.FDS(D4,"FMA_PE(NTMA,0,,,""PORTAGG"",""MEANR"")")</f>
        <v>18.4106160368686</v>
      </c>
      <c r="I4" cm="1">
        <f t="array" ref="I4">_xll.FDS(D4,"FMA_DIV_YLD(NTMA,NOW,NOW,M,""PORTAGG"",""MEANR"")")</f>
        <v>3.5615478463289398</v>
      </c>
      <c r="J4" s="52" cm="1">
        <f t="array" ref="J4">IFERROR(_xll.FDS(D4,"FG_FCF_YIELD_NTM(0)"),(1/G4*100))</f>
        <v>4.5991795065743304</v>
      </c>
      <c r="K4" s="3" cm="1">
        <f t="array" ref="K4">_xll.FDS(D4,"FMA_EVAL_EBITDA(NTMA,0,,,""PORTAGG"",""MEANR"")")</f>
        <v>9.2032736043566494</v>
      </c>
      <c r="L4" cm="1">
        <f t="array" ref="L4">_xll.FDS(D4,"FMA_EVAL_EBIT(LTMA,NOW,NOW,M,""PORTAGG"",""MEANR"")")</f>
        <v>13.4359801799229</v>
      </c>
      <c r="M4">
        <f>HLOOKUP(D4,'Index ROE'!$A$1:$N$25,25,FALSE)</f>
        <v>13.226394097123199</v>
      </c>
      <c r="N4">
        <f>VLOOKUP(A4,'LIQIDITY 2'!$A$3:$E$16,5,FALSE)</f>
        <v>4.3070000000000004</v>
      </c>
      <c r="O4" cm="1">
        <f t="array" ref="O4">IFERROR(IFERROR(IFERROR(IFERROR(_xll.FDS(B4,"IMF_IFS_RCPI_Q(0)"),_xll.FDS(B4,"IMF_IFS_RCPI_Q(-1AM)")),_xll.FDS(B4,"IMF_IFS_RCPI_Q(-2AM)")),_xll.FDS(B4,"IMF_IFS_RCPI_Q(-3AM)")),$D$31)</f>
        <v>3.8145099999999998</v>
      </c>
      <c r="P4">
        <f>VLOOKUP(E4,GDP_GROWTH!$B$10:$W$165,22,FALSE)</f>
        <v>2.0879441195558623</v>
      </c>
      <c r="Q4">
        <f t="shared" si="0"/>
        <v>-0.74545215367106055</v>
      </c>
      <c r="R4" s="52">
        <f t="shared" si="1"/>
        <v>0.29217950657433001</v>
      </c>
      <c r="S4">
        <f t="shared" si="2"/>
        <v>8.9193940971231989</v>
      </c>
      <c r="T4">
        <f t="shared" si="3"/>
        <v>9.411884097123199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42.900000000000006</v>
      </c>
      <c r="Y4" cm="1">
        <f t="array" ref="Y4">(1-_xlfn.PERCENTRANK.EXC(_xlfn._xlws.FILTER(H$3:H$15, ISNUMBER(H$3:H$15)),H4))*100</f>
        <v>28.6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31.414999999999999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45565</v>
      </c>
      <c r="G5" s="4" cm="1">
        <f t="array" ref="G5">_xll.FDS(D5,"FMA_PE(LTM,0,,,""PORTAGG"",""MEANR"")")</f>
        <v>19.0989910593884</v>
      </c>
      <c r="H5" s="4" cm="1">
        <f t="array" ref="H5">_xll.FDS(D5,"FMA_PE(NTMA,0,,,""PORTAGG"",""MEANR"")")</f>
        <v>15.460039834551299</v>
      </c>
      <c r="I5" cm="1">
        <f t="array" ref="I5">_xll.FDS(D5,"FMA_DIV_YLD(NTMA,NOW,NOW,M,""PORTAGG"",""MEANR"")")</f>
        <v>3.0595973679689599</v>
      </c>
      <c r="J5" s="52" cm="1">
        <f t="array" ref="J5">IFERROR(_xll.FDS(D5,"FG_FCF_YIELD_NTM(0)"),(1/G5*100))</f>
        <v>4.6636510136716502</v>
      </c>
      <c r="K5" s="3" cm="1">
        <f t="array" ref="K5">_xll.FDS(D5,"FMA_EVAL_EBITDA(NTMA,0,,,""PORTAGG"",""MEANR"")")</f>
        <v>10.2388224133071</v>
      </c>
      <c r="L5" cm="1">
        <f t="array" ref="L5">_xll.FDS(D5,"FMA_EVAL_EBIT(LTMA,NOW,NOW,M,""PORTAGG"",""MEANR"")")</f>
        <v>16.294903745483701</v>
      </c>
      <c r="M5">
        <f>HLOOKUP(D5,'Index ROE'!$A$1:$N$25,25,FALSE)</f>
        <v>13.1479323697033</v>
      </c>
      <c r="N5">
        <f>VLOOKUP(A5,'LIQIDITY 2'!$A$3:$E$16,5,FALSE)</f>
        <v>3.1284000000000001</v>
      </c>
      <c r="O5" cm="1">
        <f t="array" ref="O5">IFERROR(IFERROR(IFERROR(IFERROR(_xll.FDS(B5,"IMF_IFS_RCPI_Q(0)"),_xll.FDS(B5,"IMF_IFS_RCPI_Q(-1AM)")),_xll.FDS(B5,"IMF_IFS_RCPI_Q(-2AM)")),_xll.FDS(B5,"IMF_IFS_RCPI_Q(-3AM)")),$D$31)</f>
        <v>2.7411842000000002</v>
      </c>
      <c r="P5">
        <f>VLOOKUP(E5,GDP_GROWTH!$B$10:$W$165,22,FALSE)</f>
        <v>1.4598842535213041</v>
      </c>
      <c r="Q5">
        <f t="shared" si="0"/>
        <v>-6.8802632031040201E-2</v>
      </c>
      <c r="R5" s="52">
        <f t="shared" si="1"/>
        <v>1.5352510136716502</v>
      </c>
      <c r="S5">
        <f t="shared" si="2"/>
        <v>10.019532369703299</v>
      </c>
      <c r="T5">
        <f t="shared" si="3"/>
        <v>10.406748169703299</v>
      </c>
      <c r="U5" cm="1">
        <f t="array" ref="U5">_xlfn.PERCENTRANK.EXC(_xlfn._xlws.FILTER(Q$3:Q$15, ISNUMBER(Q$3:Q$15)),Q5)*100</f>
        <v>42.8</v>
      </c>
      <c r="V5" cm="1">
        <f t="array" ref="V5">_xlfn.PERCENTRANK.EXC(_xlfn._xlws.FILTER(R$3:R$15, ISNUMBER(R$3:R$15)),R5)*100</f>
        <v>35.699999999999996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50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44.625</v>
      </c>
      <c r="AC5" cm="1">
        <f t="array" ref="AC5">_xlfn.PERCENTRANK.EXC(_xlfn._xlws.FILTER(AB$3:AB$15, ISNUMBER(AB$3:AB$15)),AB5)*100</f>
        <v>35.699999999999996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45565</v>
      </c>
      <c r="G6" s="4" cm="1">
        <f t="array" ref="G6">_xll.FDS(D6,"FMA_PE(LTM,0,,,""PORTAGG"",""MEANR"")")</f>
        <v>15.404363170255699</v>
      </c>
      <c r="H6" s="4" cm="1">
        <f t="array" ref="H6">_xll.FDS(D6,"FMA_PE(NTMA,0,,,""PORTAGG"",""MEANR"")")</f>
        <v>12.914296507962</v>
      </c>
      <c r="I6" cm="1">
        <f t="array" ref="I6">_xll.FDS(D6,"FMA_DIV_YLD(NTMA,NOW,NOW,M,""PORTAGG"",""MEANR"")")</f>
        <v>3.1832723461946202</v>
      </c>
      <c r="J6" s="52" cm="1">
        <f t="array" ref="J6">IFERROR(_xll.FDS(D6,"FG_FCF_YIELD_NTM(0)"),(1/G6*100))</f>
        <v>5.6111750127593698</v>
      </c>
      <c r="K6" s="3" cm="1">
        <f t="array" ref="K6">_xll.FDS(D6,"FMA_EVAL_EBITDA(NTMA,0,,,""PORTAGG"",""MEANR"")")</f>
        <v>8.9906219343360299</v>
      </c>
      <c r="L6" cm="1">
        <f t="array" ref="L6">_xll.FDS(D6,"FMA_EVAL_EBIT(LTMA,NOW,NOW,M,""PORTAGG"",""MEANR"")")</f>
        <v>14.6996131061121</v>
      </c>
      <c r="M6">
        <f>HLOOKUP(D6,'Index ROE'!$A$1:$N$25,25,FALSE)</f>
        <v>11.938792865095699</v>
      </c>
      <c r="N6">
        <f>VLOOKUP(A6,'LIQIDITY 2'!$A$3:$E$16,5,FALSE)</f>
        <v>2.1869999999999998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0.99627234619462035</v>
      </c>
      <c r="R6" s="52">
        <f t="shared" si="1"/>
        <v>3.42417501275937</v>
      </c>
      <c r="S6">
        <f t="shared" si="2"/>
        <v>9.7517928650957</v>
      </c>
      <c r="T6">
        <f t="shared" si="3"/>
        <v>9.6524247650956987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71.500000000000014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35.699999999999996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68.58</v>
      </c>
      <c r="AC6" cm="1">
        <f t="array" ref="AC6">_xlfn.PERCENTRANK.EXC(_xlfn._xlws.FILTER(AB$3:AB$15, ISNUMBER(AB$3:AB$15)),AB6)*100</f>
        <v>78.5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45565</v>
      </c>
      <c r="G7" s="4" cm="1">
        <f t="array" ref="G7">_xll.FDS(D7,"FMA_PE(LTM,0,,,""PORTAGG"",""MEANR"")")</f>
        <v>15.7845949322151</v>
      </c>
      <c r="H7" s="4" cm="1">
        <f t="array" ref="H7">_xll.FDS(D7,"FMA_PE(NTMA,0,,,""PORTAGG"",""MEANR"")")</f>
        <v>14.3724839955223</v>
      </c>
      <c r="I7" cm="1">
        <f t="array" ref="I7">_xll.FDS(D7,"FMA_DIV_YLD(NTMA,NOW,NOW,M,""PORTAGG"",""MEANR"")")</f>
        <v>2.46287008489174</v>
      </c>
      <c r="J7" s="52" cm="1">
        <f t="array" ref="J7">IFERROR(_xll.FDS(D7,"FG_FCF_YIELD_NTM(0)"),(1/G7*100))</f>
        <v>4.27530227986865</v>
      </c>
      <c r="K7" s="3" cm="1">
        <f t="array" ref="K7">_xll.FDS(D7,"FMA_EVAL_EBITDA(NTMA,0,,,""PORTAGG"",""MEANR"")")</f>
        <v>10.163912710055699</v>
      </c>
      <c r="L7" cm="1">
        <f t="array" ref="L7">_xll.FDS(D7,"FMA_EVAL_EBIT(LTMA,NOW,NOW,M,""PORTAGG"",""MEANR"")")</f>
        <v>16.811882442340298</v>
      </c>
      <c r="M7">
        <f>HLOOKUP(D7,'Index ROE'!$A$1:$N$25,25,FALSE)</f>
        <v>9.2997686176437302</v>
      </c>
      <c r="N7">
        <f>VLOOKUP(A7,'LIQIDITY 2'!$A$3:$E$16,5,FALSE)</f>
        <v>0.96870000000000001</v>
      </c>
      <c r="O7" cm="1">
        <f t="array" ref="O7">IFERROR(IFERROR(IFERROR(IFERROR(_xll.FDS(B7,"IMF_IFS_RCPI_Q(0)"),_xll.FDS(B7,"IMF_IFS_RCPI_Q(-1AM)")),_xll.FDS(B7,"IMF_IFS_RCPI_Q(-2AM)")),_xll.FDS(B7,"IMF_IFS_RCPI_Q(-3AM)")),$D$31)</f>
        <v>2.7266946000000001</v>
      </c>
      <c r="P7">
        <f>VLOOKUP(E7,GDP_GROWTH!$B$10:$W$165,22,FALSE)</f>
        <v>0.31456851442112077</v>
      </c>
      <c r="Q7">
        <f t="shared" si="0"/>
        <v>1.4941700848917399</v>
      </c>
      <c r="R7" s="52">
        <f t="shared" si="1"/>
        <v>3.3066022798686499</v>
      </c>
      <c r="S7">
        <f t="shared" si="2"/>
        <v>8.3310686176437301</v>
      </c>
      <c r="T7">
        <f t="shared" si="3"/>
        <v>6.5730740176437301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64.3</v>
      </c>
      <c r="Y7" cm="1">
        <f t="array" ref="Y7">(1-_xlfn.PERCENTRANK.EXC(_xlfn._xlws.FILTER(H$3:H$15, ISNUMBER(H$3:H$15)),H7))*100</f>
        <v>64.3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58.540000000000006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45565</v>
      </c>
      <c r="G8" s="4" cm="1">
        <f t="array" ref="G8">_xll.FDS(D8,"FMA_PE(LTM,0,,,""PORTAGG"",""MEANR"")")</f>
        <v>20.789549747247701</v>
      </c>
      <c r="H8" s="4" cm="1">
        <f t="array" ref="H8">_xll.FDS(D8,"FMA_PE(NTMA,0,,,""PORTAGG"",""MEANR"")")</f>
        <v>17.308922515588101</v>
      </c>
      <c r="I8" cm="1">
        <f t="array" ref="I8">_xll.FDS(D8,"FMA_DIV_YLD(NTMA,NOW,NOW,M,""PORTAGG"",""MEANR"")")</f>
        <v>3.1385323410216799</v>
      </c>
      <c r="J8" s="52" cm="1">
        <f t="array" ref="J8">IFERROR(_xll.FDS(D8,"FG_FCF_YIELD_NTM(0)"),(1/G8*100))</f>
        <v>4.6716793589494197</v>
      </c>
      <c r="K8" s="3" cm="1">
        <f t="array" ref="K8">_xll.FDS(D8,"FMA_EVAL_EBITDA(NTMA,0,,,""PORTAGG"",""MEANR"")")</f>
        <v>13.2766517377494</v>
      </c>
      <c r="L8" cm="1">
        <f t="array" ref="L8">_xll.FDS(D8,"FMA_EVAL_EBIT(LTMA,NOW,NOW,M,""PORTAGG"",""MEANR"")")</f>
        <v>16.9419199105708</v>
      </c>
      <c r="M8">
        <f>HLOOKUP(D8,'Index ROE'!$A$1:$N$25,25,FALSE)</f>
        <v>19.302463641340701</v>
      </c>
      <c r="N8">
        <f>VLOOKUP(A8,'LIQIDITY 2'!$A$3:$E$16,5,FALSE)</f>
        <v>0.42899999999999999</v>
      </c>
      <c r="O8" cm="1">
        <f t="array" ref="O8">IFERROR(IFERROR(IFERROR(IFERROR(_xll.FDS(B8,"IMF_IFS_RCPI_Q(0)"),_xll.FDS(B8,"IMF_IFS_RCPI_Q(-1AM)")),_xll.FDS(B8,"IMF_IFS_RCPI_Q(-2AM)")),_xll.FDS(B8,"IMF_IFS_RCPI_Q(-3AM)")),$D$31)</f>
        <v>1.064543</v>
      </c>
      <c r="P8">
        <f>VLOOKUP(E8,GDP_GROWTH!$B$10:$W$165,22,FALSE)</f>
        <v>2.077185911672963</v>
      </c>
      <c r="Q8">
        <f t="shared" si="0"/>
        <v>2.7095323410216801</v>
      </c>
      <c r="R8" s="52">
        <f t="shared" si="1"/>
        <v>4.2426793589494194</v>
      </c>
      <c r="S8">
        <f t="shared" si="2"/>
        <v>18.873463641340702</v>
      </c>
      <c r="T8">
        <f t="shared" si="3"/>
        <v>18.2379206413407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28.6</v>
      </c>
      <c r="Y8" cm="1">
        <f t="array" ref="Y8">(1-_xlfn.PERCENTRANK.EXC(_xlfn._xlws.FILTER(H$3:H$15, ISNUMBER(H$3:H$15)),H8))*100</f>
        <v>35.799999999999997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61.08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45565</v>
      </c>
      <c r="G9" s="4" cm="1">
        <f t="array" ref="G9">_xll.FDS(D9,"FMA_PE(LTM,0,,,""PORTAGG"",""MEANR"")")</f>
        <v>13.694229254773999</v>
      </c>
      <c r="H9" s="4" cm="1">
        <f t="array" ref="H9">_xll.FDS(D9,"FMA_PE(NTMA,0,,,""PORTAGG"",""MEANR"")")</f>
        <v>11.737284527165</v>
      </c>
      <c r="I9" cm="1">
        <f t="array" ref="I9">_xll.FDS(D9,"FMA_DIV_YLD(NTMA,NOW,NOW,M,""PORTAGG"",""MEANR"")")</f>
        <v>3.8728075549833099</v>
      </c>
      <c r="J9" s="52" cm="1">
        <f t="array" ref="J9">IFERROR(_xll.FDS(D9,"FG_FCF_YIELD_NTM(0)"),(1/G9*100))</f>
        <v>6.1451106953655197</v>
      </c>
      <c r="K9" s="3" cm="1">
        <f t="array" ref="K9">_xll.FDS(D9,"FMA_EVAL_EBITDA(NTMA,0,,,""PORTAGG"",""MEANR"")")</f>
        <v>7.6799907478043004</v>
      </c>
      <c r="L9" cm="1">
        <f t="array" ref="L9">_xll.FDS(D9,"FMA_EVAL_EBIT(LTMA,NOW,NOW,M,""PORTAGG"",""MEANR"")")</f>
        <v>10.9552698590792</v>
      </c>
      <c r="M9">
        <f>HLOOKUP(D9,'Index ROE'!$A$1:$N$25,25,FALSE)</f>
        <v>14.7202942014685</v>
      </c>
      <c r="N9">
        <f>VLOOKUP(A9,'LIQIDITY 2'!$A$3:$E$16,5,FALSE)</f>
        <v>4.07</v>
      </c>
      <c r="O9" cm="1">
        <f t="array" ref="O9">IFERROR(IFERROR(IFERROR(IFERROR(_xll.FDS(B9,"IMF_IFS_RCPI_Q(0)"),_xll.FDS(B9,"IMF_IFS_RCPI_Q(-1AM)")),_xll.FDS(B9,"IMF_IFS_RCPI_Q(-2AM)")),_xll.FDS(B9,"IMF_IFS_RCPI_Q(-3AM)")),$D$31)</f>
        <v>2.8697004000000002</v>
      </c>
      <c r="P9">
        <f>VLOOKUP(E9,GDP_GROWTH!$B$10:$W$165,22,FALSE)</f>
        <v>1.0976426250664972</v>
      </c>
      <c r="Q9">
        <f t="shared" si="0"/>
        <v>-0.19719244501669042</v>
      </c>
      <c r="R9" s="52">
        <f t="shared" si="1"/>
        <v>2.0751106953655194</v>
      </c>
      <c r="S9">
        <f t="shared" si="2"/>
        <v>10.650294201468499</v>
      </c>
      <c r="T9">
        <f t="shared" si="3"/>
        <v>11.850593801468499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57.099999999999994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71.089999999999989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45565</v>
      </c>
      <c r="G10" s="4" cm="1">
        <f t="array" ref="G10">_xll.FDS(D10,"FMA_PE(LTM,0,,,""PORTAGG"",""MEANR"")")</f>
        <v>36.246881371852403</v>
      </c>
      <c r="H10" s="4" cm="1">
        <f t="array" ref="H10">_xll.FDS(D10,"FMA_PE(NTMA,0,,,""PORTAGG"",""MEANR"")")</f>
        <v>26.432953290029499</v>
      </c>
      <c r="I10" cm="1">
        <f t="array" ref="I10">_xll.FDS(D10,"FMA_DIV_YLD(NTMA,NOW,NOW,M,""PORTAGG"",""MEANR"")")</f>
        <v>0.81734330114744103</v>
      </c>
      <c r="J10" s="52" cm="1">
        <f t="array" ref="J10">IFERROR(_xll.FDS(D10,"FG_FCF_YIELD_NTM(0)"),(1/G10*100))</f>
        <v>3.53468804937626</v>
      </c>
      <c r="K10" s="3" cm="1">
        <f t="array" ref="K10">_xll.FDS(D10,"FMA_EVAL_EBITDA(NTMA,0,,,""PORTAGG"",""MEANR"")")</f>
        <v>16.6670075865554</v>
      </c>
      <c r="L10" cm="1">
        <f t="array" ref="L10">_xll.FDS(D10,"FMA_EVAL_EBIT(LTMA,NOW,NOW,M,""PORTAGG"",""MEANR"")")</f>
        <v>25.175401045119202</v>
      </c>
      <c r="M10">
        <f>HLOOKUP(D10,'Index ROE'!$A$1:$N$25,25,FALSE)</f>
        <v>25.30628712435</v>
      </c>
      <c r="N10">
        <f>VLOOKUP(A10,'LIQIDITY 2'!$A$3:$E$16,5,FALSE)</f>
        <v>4.0789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-3.2615566988525591</v>
      </c>
      <c r="R10" s="52">
        <f t="shared" si="1"/>
        <v>-0.54421195062373995</v>
      </c>
      <c r="S10">
        <f t="shared" si="2"/>
        <v>21.227387124349999</v>
      </c>
      <c r="T10">
        <f t="shared" si="3"/>
        <v>22.107397124350001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27.840000000000003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45565</v>
      </c>
      <c r="G11" s="4" cm="1">
        <f t="array" ref="G11">_xll.FDS(D11,"FMA_PE(LTM,0,,,""PORTAGG"",""MEANR"")")</f>
        <v>27.3830814376741</v>
      </c>
      <c r="H11" s="4" cm="1">
        <f t="array" ref="H11">_xll.FDS(D11,"FMA_PE(NTMA,0,,,""PORTAGG"",""MEANR"")")</f>
        <v>21.877959043311598</v>
      </c>
      <c r="I11" cm="1">
        <f t="array" ref="I11">_xll.FDS(D11,"FMA_DIV_YLD(NTMA,NOW,NOW,M,""PORTAGG"",""MEANR"")")</f>
        <v>1.3460119892134399</v>
      </c>
      <c r="J11" s="52" cm="1">
        <f t="array" ref="J11">IFERROR(_xll.FDS(D11,"FG_FCF_YIELD_NTM(0)"),(1/G11*100))</f>
        <v>3.91337476036944</v>
      </c>
      <c r="K11" s="3" cm="1">
        <f t="array" ref="K11">_xll.FDS(D11,"FMA_EVAL_EBITDA(NTMA,0,,,""PORTAGG"",""MEANR"")")</f>
        <v>14.9803844845993</v>
      </c>
      <c r="L11" cm="1">
        <f t="array" ref="L11">_xll.FDS(D11,"FMA_EVAL_EBIT(LTMA,NOW,NOW,M,""PORTAGG"",""MEANR"")")</f>
        <v>21.5241698163648</v>
      </c>
      <c r="M11">
        <f>HLOOKUP(D11,'Index ROE'!$A$1:$N$25,25,FALSE)</f>
        <v>20.344268503591</v>
      </c>
      <c r="N11">
        <f>VLOOKUP(A11,'LIQIDITY 2'!$A$3:$E$16,5,FALSE)</f>
        <v>4.0789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-2.7328880107865601</v>
      </c>
      <c r="R11" s="52">
        <f t="shared" si="1"/>
        <v>-0.16552523963055998</v>
      </c>
      <c r="S11">
        <f t="shared" si="2"/>
        <v>16.265368503590999</v>
      </c>
      <c r="T11">
        <f t="shared" si="3"/>
        <v>17.145378503591001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45565</v>
      </c>
      <c r="G12" s="4" cm="1">
        <f t="array" ref="G12">_xll.FDS(D12,"FMA_PE(LTM,0,,,""PORTAGG"",""MEANR"")")</f>
        <v>16.1239695088254</v>
      </c>
      <c r="H12" s="4" cm="1">
        <f t="array" ref="H12">_xll.FDS(D12,"FMA_PE(NTMA,0,,,""PORTAGG"",""MEANR"")")</f>
        <v>13.809237428181801</v>
      </c>
      <c r="I12" cm="1">
        <f t="array" ref="I12">_xll.FDS(D12,"FMA_DIV_YLD(NTMA,NOW,NOW,M,""PORTAGG"",""MEANR"")")</f>
        <v>3.33360249425087</v>
      </c>
      <c r="J12" s="52" cm="1">
        <f t="array" ref="J12">IFERROR(_xll.FDS(D12,"FG_FCF_YIELD_NTM(0)"),(1/G12*100))</f>
        <v>5.7745115292814804</v>
      </c>
      <c r="K12" s="3" cm="1">
        <f t="array" ref="K12">_xll.FDS(D12,"FMA_EVAL_EBITDA(NTMA,0,,,""PORTAGG"",""MEANR"")")</f>
        <v>9.21820259247278</v>
      </c>
      <c r="L12" cm="1">
        <f t="array" ref="L12">_xll.FDS(D12,"FMA_EVAL_EBIT(LTMA,NOW,NOW,M,""PORTAGG"",""MEANR"")")</f>
        <v>13.583475036114001</v>
      </c>
      <c r="M12">
        <f>HLOOKUP(D12,'Index ROE'!$A$1:$N$25,25,FALSE)</f>
        <v>13.2312741384504</v>
      </c>
      <c r="N12">
        <f>VLOOKUP(A12,'LIQIDITY 2'!$A$3:$E$16,5,FALSE)</f>
        <v>2.915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0.41860249425086993</v>
      </c>
      <c r="R12" s="52">
        <f t="shared" ref="R12:R15" si="5">J12-N12</f>
        <v>2.8595115292814803</v>
      </c>
      <c r="S12">
        <f t="shared" ref="S12:S15" si="6">M12-N12</f>
        <v>10.3162741384504</v>
      </c>
      <c r="T12">
        <f t="shared" ref="T12:T15" si="7">M12-O12</f>
        <v>11.0219059384504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57.2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61.79</v>
      </c>
      <c r="AC12" cm="1">
        <f t="array" ref="AC12">_xlfn.PERCENTRANK.EXC(_xlfn._xlws.FILTER(AB$3:AB$15, ISNUMBER(AB$3:AB$15)),AB12)*100</f>
        <v>64.2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45565</v>
      </c>
      <c r="G13" s="4" cm="1">
        <f t="array" ref="G13">_xll.FDS(D13,"FMA_PE(LTM,0,,,""PORTAGG"",""MEANR"")")</f>
        <v>20.233831070080999</v>
      </c>
      <c r="H13" s="4" cm="1">
        <f t="array" ref="H13">_xll.FDS(D13,"FMA_PE(NTMA,0,,,""PORTAGG"",""MEANR"")")</f>
        <v>14.771229842849401</v>
      </c>
      <c r="I13" cm="1">
        <f t="array" ref="I13">_xll.FDS(D13,"FMA_DIV_YLD(NTMA,NOW,NOW,M,""PORTAGG"",""MEANR"")")</f>
        <v>2.6218634924534601</v>
      </c>
      <c r="J13" s="52" cm="1">
        <f t="array" ref="J13">IFERROR(_xll.FDS(D13,"FG_FCF_YIELD_NTM(0)"),(1/G13*100))</f>
        <v>4.1125514250284603</v>
      </c>
      <c r="K13" s="3" cm="1">
        <f t="array" ref="K13">_xll.FDS(D13,"FMA_EVAL_EBITDA(NTMA,0,,,""PORTAGG"",""MEANR"")")</f>
        <v>11.792154466266799</v>
      </c>
      <c r="L13" cm="1">
        <f t="array" ref="L13">_xll.FDS(D13,"FMA_EVAL_EBIT(LTMA,NOW,NOW,M,""PORTAGG"",""MEANR"")")</f>
        <v>20.9855521936583</v>
      </c>
      <c r="M13">
        <f>HLOOKUP(D13,'Index ROE'!$A$1:$N$25,25,FALSE)</f>
        <v>12.750726724682799</v>
      </c>
      <c r="N13">
        <f>VLOOKUP(A13,'LIQIDITY 2'!$A$3:$E$16,5,FALSE)</f>
        <v>2.456</v>
      </c>
      <c r="O13" cm="1">
        <f t="array" ref="O13">IFERROR(IFERROR(IFERROR(IFERROR(_xll.FDS(B13,"IMF_IFS_RCPI_Q(0)"),_xll.FDS(B13,"IMF_IFS_RCPI_Q(-1AM)")),_xll.FDS(B13,"IMF_IFS_RCPI_Q(-2AM)")),_xll.FDS(B13,"IMF_IFS_RCPI_Q(-3AM)")),$D$31)</f>
        <v>3.5812382999999999</v>
      </c>
      <c r="P13">
        <f>VLOOKUP(E13,GDP_GROWTH!$B$10:$W$165,22,FALSE)</f>
        <v>1.7793785730007783</v>
      </c>
      <c r="Q13">
        <f t="shared" si="4"/>
        <v>0.1658634924534601</v>
      </c>
      <c r="R13" s="52">
        <f t="shared" si="5"/>
        <v>1.6565514250284603</v>
      </c>
      <c r="S13">
        <f t="shared" si="6"/>
        <v>10.2947267246828</v>
      </c>
      <c r="T13">
        <f t="shared" si="7"/>
        <v>9.1694884246828003</v>
      </c>
      <c r="U13" cm="1">
        <f t="array" ref="U13">_xlfn.PERCENTRANK.EXC(_xlfn._xlws.FILTER(Q$3:Q$15, ISNUMBER(Q$3:Q$15)),Q13)*100</f>
        <v>50</v>
      </c>
      <c r="V13" cm="1">
        <f t="array" ref="V13">_xlfn.PERCENTRANK.EXC(_xlfn._xlws.FILTER(R$3:R$15, ISNUMBER(R$3:R$15)),R13)*100</f>
        <v>50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35.799999999999997</v>
      </c>
      <c r="Y13" cm="1">
        <f t="array" ref="Y13">(1-_xlfn.PERCENTRANK.EXC(_xlfn._xlws.FILTER(H$3:H$15, ISNUMBER(H$3:H$15)),H13))*100</f>
        <v>57.2</v>
      </c>
      <c r="Z13" cm="1">
        <f t="array" ref="Z13">_xlfn.PERCENTRANK.EXC(_xlfn._xlws.FILTER(T$3:T$15, ISNUMBER(T$3:T$15)),T13)*100</f>
        <v>21.4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45.39</v>
      </c>
      <c r="AC13" cm="1">
        <f t="array" ref="AC13">_xlfn.PERCENTRANK.EXC(_xlfn._xlws.FILTER(AB$3:AB$15, ISNUMBER(AB$3:AB$15)),AB13)*100</f>
        <v>42.8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45565</v>
      </c>
      <c r="G14" s="4" cm="1">
        <f t="array" ref="G14">_xll.FDS(D14,"FMA_PE(LTM,0,,,""PORTAGG"",""MEANR"")")</f>
        <v>14.3098089556782</v>
      </c>
      <c r="H14" s="4" cm="1">
        <f t="array" ref="H14">_xll.FDS(D14,"FMA_PE(NTMA,0,,,""PORTAGG"",""MEANR"")")</f>
        <v>16.160015336547499</v>
      </c>
      <c r="I14" cm="1">
        <f t="array" ref="I14">_xll.FDS(D14,"FMA_DIV_YLD(NTMA,NOW,NOW,M,""PORTAGG"",""MEANR"")")</f>
        <v>3.1232894810281402</v>
      </c>
      <c r="J14" s="52" cm="1">
        <f t="array" ref="J14">IFERROR(_xll.FDS(D14,"FG_FCF_YIELD_NTM(0)"),(1/G14*100))</f>
        <v>4.9809573914940701</v>
      </c>
      <c r="K14" s="3" cm="1">
        <f t="array" ref="K14">_xll.FDS(D14,"FMA_EVAL_EBITDA(NTMA,0,,,""PORTAGG"",""MEANR"")")</f>
        <v>11.083153637010099</v>
      </c>
      <c r="L14" cm="1">
        <f t="array" ref="L14">_xll.FDS(D14,"FMA_EVAL_EBIT(LTMA,NOW,NOW,M,""PORTAGG"",""MEANR"")")</f>
        <v>16.385679607041599</v>
      </c>
      <c r="M14">
        <f>HLOOKUP(D14,'Index ROE'!$A$1:$N$25,25,FALSE)</f>
        <v>15.368050598586001</v>
      </c>
      <c r="N14">
        <f>VLOOKUP(A14,'LIQIDITY 2'!$A$3:$E$16,5,FALSE)</f>
        <v>2.052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1.0712894810281401</v>
      </c>
      <c r="R14" s="52">
        <f t="shared" si="5"/>
        <v>2.9289573914940701</v>
      </c>
      <c r="S14">
        <f t="shared" si="6"/>
        <v>13.316050598586001</v>
      </c>
      <c r="T14">
        <f t="shared" si="7"/>
        <v>11.975900598586001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65.355000000000004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45565</v>
      </c>
      <c r="G15" s="4" cm="1">
        <f t="array" ref="G15">_xll.FDS(D15,"FMA_PE(LTM,0,,,""PORTAGG"",""MEANR"")")</f>
        <v>11.1780145597982</v>
      </c>
      <c r="H15" s="4" cm="1">
        <f t="array" ref="H15">_xll.FDS(D15,"FMA_PE(NTMA,0,,,""PORTAGG"",""MEANR"")")</f>
        <v>10.5741868540631</v>
      </c>
      <c r="I15" cm="1">
        <f t="array" ref="I15">_xll.FDS(D15,"FMA_DIV_YLD(NTMA,NOW,NOW,M,""PORTAGG"",""MEANR"")")</f>
        <v>5.32625820394549</v>
      </c>
      <c r="J15" s="52" cm="1">
        <f t="array" ref="J15">IFERROR(_xll.FDS(D15,"FG_FCF_YIELD_NTM(0)"),(1/G15*100))</f>
        <v>5.00831556079752</v>
      </c>
      <c r="K15" s="3" cm="1">
        <f t="array" ref="K15">_xll.FDS(D15,"FMA_EVAL_EBITDA(NTMA,0,,,""PORTAGG"",""MEANR"")")</f>
        <v>7.9888073915890399</v>
      </c>
      <c r="L15" cm="1">
        <f t="array" ref="L15">_xll.FDS(D15,"FMA_EVAL_EBIT(LTMA,NOW,NOW,M,""PORTAGG"",""MEANR"")")</f>
        <v>12.027190968177001</v>
      </c>
      <c r="M15">
        <f>HLOOKUP(D15,'Index ROE'!$A$1:$N$25,25,FALSE)</f>
        <v>13.3572149047324</v>
      </c>
      <c r="N15">
        <f>VLOOKUP(A15,'LIQIDITY 2'!$A$3:$E$16,5,FALSE)</f>
        <v>3.363</v>
      </c>
      <c r="O15" cm="1">
        <f t="array" ref="O15">IFERROR(IFERROR(IFERROR(IFERROR(_xll.FDS(B15,"IMF_IFS_RCPI_Q(0)"),_xll.FDS(B15,"IMF_IFS_RCPI_Q(-1AM)")),_xll.FDS(B15,"IMF_IFS_RCPI_Q(-2AM)")),_xll.FDS(B15,"IMF_IFS_RCPI_Q(-3AM)")),$D$31)</f>
        <v>0.80847347000000003</v>
      </c>
      <c r="P15">
        <f>VLOOKUP(E15,GDP_GROWTH!$B$10:$W$165,22,FALSE)</f>
        <v>0.32855305426654491</v>
      </c>
      <c r="Q15">
        <f t="shared" si="4"/>
        <v>1.96325820394549</v>
      </c>
      <c r="R15" s="52">
        <f t="shared" si="5"/>
        <v>1.6453155607975201</v>
      </c>
      <c r="S15">
        <f t="shared" si="6"/>
        <v>9.9942149047324005</v>
      </c>
      <c r="T15">
        <f t="shared" si="7"/>
        <v>12.548741434732399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42.8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72.144999999999996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45534</v>
      </c>
      <c r="G19" s="4" cm="1">
        <f t="array" ref="G19">_xll.FDS(D19,"FG_PE(0)")</f>
        <v>15.516273143626901</v>
      </c>
      <c r="H19" s="4" cm="1">
        <f t="array" ref="H19">_xll.FDS(D19,"FG_PE_NTM(0,,,90,0)")</f>
        <v>13.4581465373991</v>
      </c>
      <c r="I19" cm="1">
        <f t="array" ref="I19">_xll.FDS(D19,"FMA_DIV_YLD(NTMA,NOW,NOW,M,""PORTAGG"",""MEANR"")")</f>
        <v>3.4584820005120598</v>
      </c>
      <c r="J19" s="52" cm="1">
        <f t="array" ref="J19">_xll.FDS(D19,"FG_FCF_YIELD_NTM(0)")</f>
        <v>5.2648937850566799</v>
      </c>
      <c r="K19" s="3" cm="1">
        <f t="array" ref="K19">_xll.FDS(D19,"FMA_EVAL_EBITDA(NTMA,0,,,""PORTAGG"",""MEANR"")")</f>
        <v>9.0035108140433895</v>
      </c>
      <c r="L19" cm="1">
        <f t="array" ref="L19">_xll.FDS(D19,"FMA_EVAL_EBIT(LTMA,NOW,NOW,M,""PORTAGG"",""MEANR"")")</f>
        <v>13.5759419592558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45534</v>
      </c>
      <c r="G20" s="4" cm="1">
        <f t="array" ref="G20">_xll.FDS(D20,"FG_PE(0)")</f>
        <v>15.264493899113001</v>
      </c>
      <c r="H20" s="4" cm="1">
        <f t="array" ref="H20">_xll.FDS(D20,"FG_PE_NTM(0,,,90,0)")</f>
        <v>12.8414875718824</v>
      </c>
      <c r="I20" cm="1">
        <f t="array" ref="I20">_xll.FDS(D20,"FMA_DIV_YLD(NTMA,NOW,NOW,M,""PORTAGG"",""MEANR"")")</f>
        <v>2.9810356016614201</v>
      </c>
      <c r="J20" s="52" cm="1">
        <f t="array" ref="J20">_xll.FDS(D20,"FG_FCF_YIELD_NTM(0)")</f>
        <v>5.3747256296936197</v>
      </c>
      <c r="K20" s="3" cm="1">
        <f t="array" ref="K20">_xll.FDS(D20,"FMA_EVAL_EBITDA(NTMA,0,,,""PORTAGG"",""MEANR"")")</f>
        <v>8.9168563406486196</v>
      </c>
      <c r="L20" cm="1">
        <f t="array" ref="L20">_xll.FDS(D20,"FMA_EVAL_EBIT(LTMA,NOW,NOW,M,""PORTAGG"",""MEANR"")")</f>
        <v>14.511274532538099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4.4337999999999997</v>
      </c>
      <c r="G3" s="26" cm="1">
        <f t="array" ref="G3">_xll.FDSB(C3,"PCTCHG(FG_YIELD(0,,,,""YTM""),FG_YIELD(-1AM,,,,""YTM""))")</f>
        <v>7.368938</v>
      </c>
      <c r="H3" s="26" cm="1">
        <f t="array" ref="H3">_xll.FDSB(C3,"PCTCHG(FG_YIELD(0,,,,""YTM""),FG_YIELD(-3AM,,,,""YTM""))")</f>
        <v>2.0108697000000002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4.75</v>
      </c>
      <c r="M3" s="36" cm="1">
        <f t="array" ref="M3">_xll.FDSB(J3,"(SUBARRAY(NOT_NA(NO_REPEAT_F(FG_YIELD(now,-10AY,D))),0,1)-SUBARRAY(NOT_NA(NO_REPEAT_F(FG_YIELD(now,-10AY,D))),1,1))*100")</f>
        <v>-50</v>
      </c>
      <c r="N3" s="38">
        <f t="shared" ref="N3:N15" si="0">M3*-1</f>
        <v>50</v>
      </c>
      <c r="O3" s="26">
        <f>L3-E3</f>
        <v>0.31620000000000026</v>
      </c>
      <c r="S3">
        <f t="shared" ref="S3:S15" si="1">IF(M3&gt; 0, 0, 1)</f>
        <v>1</v>
      </c>
      <c r="T3">
        <f t="shared" ref="T3:T15" si="2">IF(G3&lt;0, 1, 0)</f>
        <v>0</v>
      </c>
      <c r="U3">
        <f t="shared" ref="U3:U15" si="3">IF(H3&lt;0, 1, 0)</f>
        <v>0</v>
      </c>
      <c r="V3" s="47">
        <f t="shared" ref="V3:V15" si="4">SUMPRODUCT($S$1:$U$1,S3:U3)</f>
        <v>0.5</v>
      </c>
      <c r="X3">
        <f>_xlfn.PERCENTRANK.EXC($V$3:$V$15,V3)*100</f>
        <v>21.4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4.3070000000000004</v>
      </c>
      <c r="G4" s="26" cm="1">
        <f t="array" ref="G4">_xll.FDSB(C4,"PCTCHG(FG_YIELD(0,,,,""YTM""),FG_YIELD(-1AM,,,,""YTM""))")</f>
        <v>11.464805</v>
      </c>
      <c r="H4" s="26" cm="1">
        <f t="array" ref="H4">_xll.FDSB(C4,"PCTCHG(FG_YIELD(0,,,,""YTM""),FG_YIELD(-3AM,,,,""YTM""))")</f>
        <v>1.5801978999999999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4.2999999999999261E-2</v>
      </c>
      <c r="S4">
        <f t="shared" si="1"/>
        <v>0</v>
      </c>
      <c r="T4">
        <f t="shared" si="2"/>
        <v>0</v>
      </c>
      <c r="U4">
        <f t="shared" si="3"/>
        <v>0</v>
      </c>
      <c r="V4" s="47">
        <f t="shared" si="4"/>
        <v>0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3.1284000000000001</v>
      </c>
      <c r="G5" s="26" cm="1">
        <f t="array" ref="G5">_xll.FDSB(C5,"PCTCHG(FG_YIELD(0,,,,""YTM""),FG_YIELD(-1AM,,,,""YTM""))")</f>
        <v>8.2866099999999996</v>
      </c>
      <c r="H5" s="26" cm="1">
        <f t="array" ref="H5">_xll.FDSB(C5,"PCTCHG(FG_YIELD(0,,,,""YTM""),FG_YIELD(-3AM,,,,""YTM""))")</f>
        <v>-6.7485366000000004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4.25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1.1215999999999999</v>
      </c>
      <c r="S5">
        <f t="shared" si="1"/>
        <v>1</v>
      </c>
      <c r="T5">
        <f t="shared" si="2"/>
        <v>0</v>
      </c>
      <c r="U5">
        <f t="shared" si="3"/>
        <v>1</v>
      </c>
      <c r="V5" s="47">
        <f t="shared" si="4"/>
        <v>0.75</v>
      </c>
      <c r="X5">
        <f t="shared" si="6"/>
        <v>42.8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2.1869999999999998</v>
      </c>
      <c r="G6" s="26" cm="1">
        <f t="array" ref="G6">_xll.FDSB(C6,"PCTCHG(FG_YIELD(0,,,,""YTM""),FG_YIELD(-1AM,,,,""YTM""))")</f>
        <v>-0.22809652999999999</v>
      </c>
      <c r="H6" s="26" cm="1">
        <f t="array" ref="H6">_xll.FDSB(C6,"PCTCHG(FG_YIELD(0,,,,""YTM""),FG_YIELD(-3AM,,,,""YTM""))")</f>
        <v>-9.2907499999999992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3.65</v>
      </c>
      <c r="M6" s="36" cm="1">
        <f t="array" ref="M6">_xll.FDSB(J6,"(SUBARRAY(NOT_NA(NO_REPEAT_F(FG_YIELD(now,-10AY,D))),0,1)-SUBARRAY(NOT_NA(NO_REPEAT_F(FG_YIELD(now,-10AY,D))),1,1))*100")</f>
        <v>-60</v>
      </c>
      <c r="N6" s="38">
        <f t="shared" si="0"/>
        <v>60</v>
      </c>
      <c r="O6" s="26">
        <f t="shared" si="5"/>
        <v>1.4630000000000001</v>
      </c>
      <c r="S6">
        <f t="shared" si="1"/>
        <v>1</v>
      </c>
      <c r="T6">
        <f t="shared" si="2"/>
        <v>1</v>
      </c>
      <c r="U6">
        <f t="shared" si="3"/>
        <v>1</v>
      </c>
      <c r="V6" s="47">
        <f t="shared" si="4"/>
        <v>1</v>
      </c>
      <c r="X6">
        <f t="shared" si="6"/>
        <v>64.2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0.96870000000000001</v>
      </c>
      <c r="G7" s="26" cm="1">
        <f t="array" ref="G7">_xll.FDSB(C7,"PCTCHG(FG_YIELD(0,,,,""YTM""),FG_YIELD(-1AM,,,,""YTM""))")</f>
        <v>18.249514000000001</v>
      </c>
      <c r="H7" s="26" cm="1">
        <f t="array" ref="H7">_xll.FDSB(C7,"PCTCHG(FG_YIELD(0,,,,""YTM""),FG_YIELD(-3AM,,,,""YTM""))")</f>
        <v>-7.5844319999999996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-0.71870000000000001</v>
      </c>
      <c r="S7">
        <f t="shared" si="1"/>
        <v>0</v>
      </c>
      <c r="T7">
        <f t="shared" si="2"/>
        <v>0</v>
      </c>
      <c r="U7">
        <f t="shared" si="3"/>
        <v>1</v>
      </c>
      <c r="V7" s="47">
        <f t="shared" si="4"/>
        <v>0.25</v>
      </c>
      <c r="X7">
        <f t="shared" si="6"/>
        <v>14.2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0.42899999999999999</v>
      </c>
      <c r="G8" s="26" cm="1">
        <f t="array" ref="G8">_xll.FDSB(C8,"PCTCHG(FG_YIELD(0,,,,""YTM""),FG_YIELD(-1AM,,,,""YTM""))")</f>
        <v>-4.8780520000000003</v>
      </c>
      <c r="H8" s="26" cm="1">
        <f t="array" ref="H8">_xll.FDSB(C8,"PCTCHG(FG_YIELD(0,,,,""YTM""),FG_YIELD(-3AM,,,,""YTM""))")</f>
        <v>-23.801071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0.57099999999999995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64.2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4.07</v>
      </c>
      <c r="G9" s="26" cm="1">
        <f t="array" ref="G9">_xll.FDSB(C9,"PCTCHG(FG_YIELD(0,,,,""YTM""),FG_YIELD(-1AM,,,,""YTM""))")</f>
        <v>5.7417563999999999</v>
      </c>
      <c r="H9" s="26" cm="1">
        <f t="array" ref="H9">_xll.FDSB(C9,"PCTCHG(FG_YIELD(0,,,,""YTM""),FG_YIELD(-3AM,,,,""YTM""))")</f>
        <v>0.79247314000000002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0.92999999999999972</v>
      </c>
      <c r="S9">
        <f t="shared" si="1"/>
        <v>1</v>
      </c>
      <c r="T9">
        <f t="shared" si="2"/>
        <v>0</v>
      </c>
      <c r="U9">
        <f t="shared" si="3"/>
        <v>0</v>
      </c>
      <c r="V9" s="47">
        <f t="shared" si="4"/>
        <v>0.5</v>
      </c>
      <c r="X9">
        <f t="shared" si="6"/>
        <v>21.4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4.0789</v>
      </c>
      <c r="G10" s="26" cm="1">
        <f t="array" ref="G10">_xll.FDSB(C10,"PCTCHG(FG_YIELD(0,,,,""YTM""),FG_YIELD(-1AM,,,,""YTM""))")</f>
        <v>9.8900740000000003</v>
      </c>
      <c r="H10" s="26" cm="1">
        <f t="array" ref="H10">_xll.FDSB(C10,"PCTCHG(FG_YIELD(0,,,,""YTM""),FG_YIELD(-3AM,,,,""YTM""))")</f>
        <v>-2.7861186999999998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</v>
      </c>
      <c r="M10" s="36" cm="1">
        <f t="array" ref="M10">_xll.FDSB(J10,"(SUBARRAY(NOT_NA(NO_REPEAT_F(FG_YIELD(now,-10AY,D))),0,1)-SUBARRAY(NOT_NA(NO_REPEAT_F(FG_YIELD(now,-10AY,D))),1,1))*100")</f>
        <v>-50</v>
      </c>
      <c r="N10" s="38">
        <f t="shared" si="0"/>
        <v>50</v>
      </c>
      <c r="O10" s="26">
        <f t="shared" si="5"/>
        <v>0.92110000000000003</v>
      </c>
      <c r="S10">
        <f t="shared" si="1"/>
        <v>1</v>
      </c>
      <c r="T10">
        <f t="shared" si="2"/>
        <v>0</v>
      </c>
      <c r="U10">
        <f t="shared" si="3"/>
        <v>1</v>
      </c>
      <c r="V10" s="47">
        <f t="shared" si="4"/>
        <v>0.75</v>
      </c>
      <c r="X10">
        <f t="shared" si="6"/>
        <v>42.8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4.0789</v>
      </c>
      <c r="G11" s="26" cm="1">
        <f t="array" ref="G11">_xll.FDSB(C11,"PCTCHG(FG_YIELD(0,,,,""YTM""),FG_YIELD(-1AM,,,,""YTM""))")</f>
        <v>9.8900740000000003</v>
      </c>
      <c r="H11" s="26" cm="1">
        <f t="array" ref="H11">_xll.FDSB(C11,"PCTCHG(FG_YIELD(0,,,,""YTM""),FG_YIELD(-3AM,,,,""YTM""))")</f>
        <v>-2.7861186999999998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</v>
      </c>
      <c r="M11" s="36" cm="1">
        <f t="array" ref="M11">_xll.FDSB(J11,"(SUBARRAY(NOT_NA(NO_REPEAT_F(FG_YIELD(now,-10AY,D))),0,1)-SUBARRAY(NOT_NA(NO_REPEAT_F(FG_YIELD(now,-10AY,D))),1,1))*100")</f>
        <v>-50</v>
      </c>
      <c r="N11" s="38">
        <f t="shared" si="0"/>
        <v>50</v>
      </c>
      <c r="O11" s="26">
        <f t="shared" si="5"/>
        <v>0.92110000000000003</v>
      </c>
      <c r="S11">
        <f t="shared" si="1"/>
        <v>1</v>
      </c>
      <c r="T11">
        <f t="shared" si="2"/>
        <v>0</v>
      </c>
      <c r="U11">
        <f t="shared" si="3"/>
        <v>1</v>
      </c>
      <c r="V11" s="47">
        <f t="shared" si="4"/>
        <v>0.75</v>
      </c>
      <c r="X11">
        <f t="shared" si="6"/>
        <v>42.8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2.915</v>
      </c>
      <c r="G12" s="26" cm="1">
        <f t="array" ref="G12">_xll.FDSB(C12,"PCTCHG(FG_YIELD(0,,,,""YTM""),FG_YIELD(-1AM,,,,""YTM""))")</f>
        <v>-0.34188002000000001</v>
      </c>
      <c r="H12" s="26" cm="1">
        <f t="array" ref="H12">_xll.FDSB(C12,"PCTCHG(FG_YIELD(0,,,,""YTM""),FG_YIELD(-3AM,,,,""YTM""))")</f>
        <v>-4.8318643999999997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3.65</v>
      </c>
      <c r="M12" s="36" cm="1">
        <f t="array" ref="M12">_xll.FDSB(J12,"(SUBARRAY(NOT_NA(NO_REPEAT_F(FG_YIELD(now,-10AY,D))),0,1)-SUBARRAY(NOT_NA(NO_REPEAT_F(FG_YIELD(now,-10AY,D))),1,1))*100")</f>
        <v>-60</v>
      </c>
      <c r="N12" s="38">
        <f t="shared" si="0"/>
        <v>60</v>
      </c>
      <c r="O12" s="26">
        <f t="shared" si="5"/>
        <v>0.73499999999999988</v>
      </c>
      <c r="S12">
        <f t="shared" si="1"/>
        <v>1</v>
      </c>
      <c r="T12">
        <f t="shared" si="2"/>
        <v>1</v>
      </c>
      <c r="U12">
        <f t="shared" si="3"/>
        <v>1</v>
      </c>
      <c r="V12" s="47">
        <f t="shared" si="4"/>
        <v>1</v>
      </c>
      <c r="X12">
        <f t="shared" si="6"/>
        <v>64.2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2.456</v>
      </c>
      <c r="G13" s="26" cm="1">
        <f t="array" ref="G13">_xll.FDSB(C13,"PCTCHG(FG_YIELD(0,,,,""YTM""),FG_YIELD(-1AM,,,,""YTM""))")</f>
        <v>-1.1272093000000001</v>
      </c>
      <c r="H13" s="26" cm="1">
        <f t="array" ref="H13">_xll.FDSB(C13,"PCTCHG(FG_YIELD(0,,,,""YTM""),FG_YIELD(-3AM,,,,""YTM""))")</f>
        <v>-8.4947809999999997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3.65</v>
      </c>
      <c r="M13" s="36" cm="1">
        <f t="array" ref="M13">_xll.FDSB(J13,"(SUBARRAY(NOT_NA(NO_REPEAT_F(FG_YIELD(now,-10AY,D))),0,1)-SUBARRAY(NOT_NA(NO_REPEAT_F(FG_YIELD(now,-10AY,D))),1,1))*100")</f>
        <v>-60</v>
      </c>
      <c r="N13" s="38">
        <f t="shared" si="0"/>
        <v>60</v>
      </c>
      <c r="O13" s="26">
        <f t="shared" si="5"/>
        <v>1.194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64.2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2.052</v>
      </c>
      <c r="G14" s="26" cm="1">
        <f t="array" ref="G14">_xll.FDSB(C14,"PCTCHG(FG_YIELD(0,,,,""YTM""),FG_YIELD(-1AM,,,,""YTM""))")</f>
        <v>3.8461585</v>
      </c>
      <c r="H14" s="26" cm="1">
        <f t="array" ref="H14">_xll.FDSB(C14,"PCTCHG(FG_YIELD(0,,,,""YTM""),FG_YIELD(-3AM,,,,""YTM""))")</f>
        <v>0.53895915000000005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3.25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1.198</v>
      </c>
      <c r="S14">
        <f t="shared" si="1"/>
        <v>1</v>
      </c>
      <c r="T14">
        <f t="shared" si="2"/>
        <v>0</v>
      </c>
      <c r="U14">
        <f t="shared" si="3"/>
        <v>0</v>
      </c>
      <c r="V14" s="47">
        <f t="shared" si="4"/>
        <v>0.5</v>
      </c>
      <c r="X14">
        <f t="shared" si="6"/>
        <v>21.4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3.363</v>
      </c>
      <c r="G15" s="26" cm="1">
        <f t="array" ref="G15">_xll.FDSB(C15,"PCTCHG(FG_YIELD(0,,,,""YTM""),FG_YIELD(-1AM,,,,""YTM""))")</f>
        <v>-5.7719279999999999</v>
      </c>
      <c r="H15" s="26" cm="1">
        <f t="array" ref="H15">_xll.FDSB(C15,"PCTCHG(FG_YIELD(0,,,,""YTM""),FG_YIELD(-3AM,,,,""YTM""))")</f>
        <v>-8.8123660000000008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3.65</v>
      </c>
      <c r="M15" s="36" cm="1">
        <f t="array" ref="M15">_xll.FDSB(J15,"(SUBARRAY(NOT_NA(NO_REPEAT_F(FG_YIELD(now,-10AY,D))),0,1)-SUBARRAY(NOT_NA(NO_REPEAT_F(FG_YIELD(now,-10AY,D))),1,1))*100")</f>
        <v>-60</v>
      </c>
      <c r="N15" s="38">
        <f t="shared" si="0"/>
        <v>60</v>
      </c>
      <c r="O15" s="26">
        <f t="shared" si="5"/>
        <v>0.28699999999999992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64.2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4.0789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4.4337999999999997</v>
      </c>
      <c r="H2" cm="1">
        <f t="array" ref="H2">_xll.FDS(B2,"FG_ROE(0)")</f>
        <v>3.2550844177247802</v>
      </c>
      <c r="I2">
        <f>HLOOKUP(B2,'Index ROE'!$B$1:$N$25,24,FALSE)</f>
        <v>9.8238973987983247</v>
      </c>
      <c r="J2" cm="1">
        <f t="array" ref="J2">_xll.FDS(B2, "FMA_RBICS_REV_CURRENT(30, LOC, ""PORTAGG"")")</f>
        <v>25.628699849389399</v>
      </c>
      <c r="K2" s="74">
        <f>HLOOKUP(B2,'Index earnings'!$B$1:$N$25,25,FALSE)</f>
        <v>-9.3828156139095231E-3</v>
      </c>
      <c r="L2">
        <f>HLOOKUP(A2,'Yearly returns'!$B$1:$N$128,126,FALSE)</f>
        <v>-32.798999999999999</v>
      </c>
      <c r="M2">
        <f t="shared" ref="M2:M10" si="0">I2-G2</f>
        <v>5.3900973987983249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42.900000000000006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42.8</v>
      </c>
      <c r="R2">
        <f>N2*Assumption!$F$64 + O2*Assumption!$F$61 + P2*Assumption!$F$62 + Q2*Assumption!$F$63</f>
        <v>24.975000000000001</v>
      </c>
      <c r="S2" cm="1">
        <f t="array" ref="S2">_xlfn.PERCENTRANK.EXC(_xlfn._xlws.FILTER(R$2:R$14, ISNUMBER(R$2:R$14)),R2)*100</f>
        <v>7.1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4.3070000000000004</v>
      </c>
      <c r="H3" cm="1">
        <f t="array" ref="H3">_xll.FDS(B3,"FG_ROE(0)")</f>
        <v>12.551959177499601</v>
      </c>
      <c r="I3">
        <f>HLOOKUP(B3,'Index ROE'!$B$1:$N$25,24,FALSE)</f>
        <v>13.020733299173699</v>
      </c>
      <c r="J3" cm="1">
        <f t="array" ref="J3">_xll.FDS(B3, "FMA_RBICS_REV_CURRENT(30, LOC, ""PORTAGG"")")</f>
        <v>43.296210954324202</v>
      </c>
      <c r="K3" s="74">
        <f>HLOOKUP(B3,'Index earnings'!$B$1:$N$25,25,FALSE)</f>
        <v>1.1174820218081027E-2</v>
      </c>
      <c r="L3">
        <f>HLOOKUP(A3,'Yearly returns'!$B$1:$N$128,126,FALSE)</f>
        <v>-33.642322999999998</v>
      </c>
      <c r="M3">
        <f t="shared" si="0"/>
        <v>8.7137332991736987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N3*Assumption!$F$64 + O3*Assumption!$F$61 + P3*Assumption!$F$62 + Q3*Assumption!$F$63</f>
        <v>26.774999999999999</v>
      </c>
      <c r="S3" cm="1">
        <f t="array" ref="S3">_xlfn.PERCENTRANK.EXC(_xlfn._xlws.FILTER(R$2:R$14, ISNUMBER(R$2:R$14)),R3)*100</f>
        <v>14.2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3.1284000000000001</v>
      </c>
      <c r="H4" cm="1">
        <f t="array" ref="H4">_xll.FDS(B4,"FG_ROE(0)")</f>
        <v>10.5557156840225</v>
      </c>
      <c r="I4">
        <f>HLOOKUP(B4,'Index ROE'!$B$1:$N$25,24,FALSE)</f>
        <v>12.7516875895064</v>
      </c>
      <c r="J4" cm="1">
        <f t="array" ref="J4">_xll.FDS(B4, "FMA_RBICS_REV_CURRENT(30, LOC, ""PORTAGG"")")</f>
        <v>42.359395995410203</v>
      </c>
      <c r="K4" s="74">
        <f>HLOOKUP(B4,'Index earnings'!$B$1:$N$25,25,FALSE)</f>
        <v>4.0814241598043699E-2</v>
      </c>
      <c r="L4">
        <f>HLOOKUP(A4,'Yearly returns'!$B$1:$N$128,126,FALSE)</f>
        <v>-31.902754000000002</v>
      </c>
      <c r="M4">
        <f t="shared" si="0"/>
        <v>9.6232875895064005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50</v>
      </c>
      <c r="R4">
        <f>N4*Assumption!$F$64 + O4*Assumption!$F$61 + P4*Assumption!$F$62 + Q4*Assumption!$F$63</f>
        <v>44.625</v>
      </c>
      <c r="S4" cm="1">
        <f t="array" ref="S4">_xlfn.PERCENTRANK.EXC(_xlfn._xlws.FILTER(R$2:R$14, ISNUMBER(R$2:R$14)),R4)*100</f>
        <v>42.8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2.1869999999999998</v>
      </c>
      <c r="H5" cm="1">
        <f t="array" ref="H5">_xll.FDS(B5,"FG_ROE(0)")</f>
        <v>10.756557928945201</v>
      </c>
      <c r="I5">
        <f>HLOOKUP(B5,'Index ROE'!$B$1:$N$25,24,FALSE)</f>
        <v>11.98362890343655</v>
      </c>
      <c r="J5" cm="1">
        <f t="array" ref="J5">_xll.FDS(B5, "FMA_RBICS_REV_CURRENT(30, LOC, ""PORTAGG"")")</f>
        <v>23.5276247083657</v>
      </c>
      <c r="K5" s="74">
        <f>HLOOKUP(B5,'Index earnings'!$B$1:$N$25,25,FALSE)</f>
        <v>2.8283094678403842E-2</v>
      </c>
      <c r="L5">
        <f>HLOOKUP(A5,'Yearly returns'!$B$1:$N$128,126,FALSE)</f>
        <v>-34.979934999999998</v>
      </c>
      <c r="M5">
        <f t="shared" si="0"/>
        <v>9.7966289034365506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50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21.4</v>
      </c>
      <c r="R5">
        <f>N5*Assumption!$F$64 + O5*Assumption!$F$61 + P5*Assumption!$F$62 + Q5*Assumption!$F$63</f>
        <v>44.625</v>
      </c>
      <c r="S5" cm="1">
        <f t="array" ref="S5">_xlfn.PERCENTRANK.EXC(_xlfn._xlws.FILTER(R$2:R$14, ISNUMBER(R$2:R$14)),R5)*100</f>
        <v>42.8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0.96870000000000001</v>
      </c>
      <c r="H6" cm="1">
        <f t="array" ref="H6">_xll.FDS(B6,"FG_ROE(0)")</f>
        <v>9.0844546805833399</v>
      </c>
      <c r="I6">
        <f>HLOOKUP(B6,'Index ROE'!$B$1:$N$25,24,FALSE)</f>
        <v>8.994618118763011</v>
      </c>
      <c r="J6" cm="1">
        <f t="array" ref="J6">_xll.FDS(B6, "FMA_RBICS_REV_CURRENT(30, LOC, ""PORTAGG"")")</f>
        <v>18.372455273807098</v>
      </c>
      <c r="K6" s="74">
        <f>HLOOKUP(B6,'Index earnings'!$B$1:$N$25,25,FALSE)</f>
        <v>2.4111183294471816E-2</v>
      </c>
      <c r="L6">
        <f>HLOOKUP(A6,'Yearly returns'!$B$1:$N$128,126,FALSE)</f>
        <v>-28.563445999999999</v>
      </c>
      <c r="M6">
        <f t="shared" si="0"/>
        <v>8.0259181187630109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71.500000000000014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78.5</v>
      </c>
      <c r="R6">
        <f>N6*Assumption!$F$64 + O6*Assumption!$F$61 + P6*Assumption!$F$62 + Q6*Assumption!$F$63</f>
        <v>53.55</v>
      </c>
      <c r="S6" cm="1">
        <f t="array" ref="S6">_xlfn.PERCENTRANK.EXC(_xlfn._xlws.FILTER(R$2:R$14, ISNUMBER(R$2:R$14)),R6)*100</f>
        <v>71.399999999999991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0.42899999999999999</v>
      </c>
      <c r="H7" cm="1">
        <f t="array" ref="H7">_xll.FDS(B7,"FG_ROE(0)")</f>
        <v>18.770625129163001</v>
      </c>
      <c r="I7">
        <f>HLOOKUP(B7,'Index ROE'!$B$1:$N$25,24,FALSE)</f>
        <v>15.55096443559315</v>
      </c>
      <c r="J7" cm="1">
        <f t="array" ref="J7">_xll.FDS(B7, "FMA_RBICS_REV_CURRENT(30, LOC, ""PORTAGG"")")</f>
        <v>18.379237132783299</v>
      </c>
      <c r="K7" s="74">
        <f>HLOOKUP(B7,'Index earnings'!$B$1:$N$25,25,FALSE)</f>
        <v>4.6616158051884682E-2</v>
      </c>
      <c r="L7">
        <f>HLOOKUP(A7,'Yearly returns'!$B$1:$N$128,126,FALSE)</f>
        <v>-18.947030000000002</v>
      </c>
      <c r="M7">
        <f t="shared" si="0"/>
        <v>15.121964435593149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4.07</v>
      </c>
      <c r="H8" cm="1">
        <f t="array" ref="H8">_xll.FDS(B8,"FG_ROE(0)")</f>
        <v>13.611498883982501</v>
      </c>
      <c r="I8">
        <f>HLOOKUP(B8,'Index ROE'!$B$1:$N$25,24,FALSE)</f>
        <v>14.561964916400001</v>
      </c>
      <c r="J8" cm="1">
        <f t="array" ref="J8">_xll.FDS(B8, "FMA_RBICS_REV_CURRENT(30, LOC, ""PORTAGG"")")</f>
        <v>19.911644146953901</v>
      </c>
      <c r="K8" s="74">
        <f>HLOOKUP(B8,'Index earnings'!$B$1:$N$25,25,FALSE)</f>
        <v>3.714974898957335E-3</v>
      </c>
      <c r="L8">
        <f>HLOOKUP(A8,'Yearly returns'!$B$1:$N$128,126,FALSE)</f>
        <v>-37.134326999999999</v>
      </c>
      <c r="M8">
        <f t="shared" si="0"/>
        <v>10.491964916400001</v>
      </c>
      <c r="N8" cm="1">
        <f t="array" ref="N8">_xlfn.PERCENTRANK.EXC(_xlfn._xlws.FILTER(M$2:M$14, ISNUMBER(M$2:M$14)),M8)*100</f>
        <v>57.099999999999994</v>
      </c>
      <c r="O8" cm="1">
        <f t="array" ref="O8">(1-_xlfn.PERCENTRANK.EXC(_xlfn._xlws.FILTER(J$2:J$14, ISNUMBER(J$2:J$14)),J8))*100</f>
        <v>57.2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14.2</v>
      </c>
      <c r="R8">
        <f>N8*Assumption!$F$64 + O8*Assumption!$F$61 + P8*Assumption!$F$62 + Q8*Assumption!$F$63</f>
        <v>35.674999999999997</v>
      </c>
      <c r="S8" cm="1">
        <f t="array" ref="S8">_xlfn.PERCENTRANK.EXC(_xlfn._xlws.FILTER(R$2:R$14, ISNUMBER(R$2:R$14)),R8)*100</f>
        <v>28.499999999999996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4.0789</v>
      </c>
      <c r="H9" cm="1">
        <f t="array" ref="H9">_xll.FDS(B9,"FG_ROE(0)")</f>
        <v>22.396059397290099</v>
      </c>
      <c r="I9">
        <f>HLOOKUP(B9,'Index ROE'!$B$1:$N$25,24,FALSE)</f>
        <v>21.036882269896502</v>
      </c>
      <c r="J9" cm="1">
        <f t="array" ref="J9">_xll.FDS(B9, "FMA_RBICS_REV_CURRENT(30, LOC, ""PORTAGG"")")</f>
        <v>0.94451595959210199</v>
      </c>
      <c r="K9" s="74">
        <f>HLOOKUP(B9,'Index earnings'!$B$1:$N$25,25,FALSE)</f>
        <v>0.12989456714169711</v>
      </c>
      <c r="L9">
        <f>HLOOKUP(A9,'Yearly returns'!$B$1:$N$128,126,FALSE)</f>
        <v>-28.665482999999998</v>
      </c>
      <c r="M9">
        <f t="shared" si="0"/>
        <v>16.957982269896501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71.399999999999991</v>
      </c>
      <c r="R9">
        <f>N9*Assumption!$F$64 + O9*Assumption!$F$61 + P9*Assumption!$F$62 + Q9*Assumption!$F$63</f>
        <v>87.474999999999994</v>
      </c>
      <c r="S9" cm="1">
        <f t="array" ref="S9">_xlfn.PERCENTRANK.EXC(_xlfn._xlws.FILTER(R$2:R$14, ISNUMBER(R$2:R$14)),R9)*100</f>
        <v>92.800000000000011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4.0789</v>
      </c>
      <c r="H10" cm="1">
        <f t="array" ref="H10">_xll.FDS(B10,"FG_ROE(0)")</f>
        <v>18.631147122553202</v>
      </c>
      <c r="I10">
        <f>HLOOKUP(B10,'Index ROE'!$B$1:$N$25,24,FALSE)</f>
        <v>16.391058174766847</v>
      </c>
      <c r="J10" cm="1">
        <f t="array" ref="J10">_xll.FDS(B10, "FMA_RBICS_REV_CURRENT(30, LOC, ""PORTAGG"")")</f>
        <v>12.4668204376818</v>
      </c>
      <c r="K10" s="74">
        <f>HLOOKUP(B10,'Index earnings'!$B$1:$N$25,25,FALSE)</f>
        <v>5.9885244145746919E-2</v>
      </c>
      <c r="L10">
        <f>HLOOKUP(A10,'Yearly returns'!$B$1:$N$128,126,FALSE)</f>
        <v>-16.198634999999999</v>
      </c>
      <c r="M10">
        <f t="shared" si="0"/>
        <v>12.312158174766846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85.7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2.915</v>
      </c>
      <c r="H11" cm="1">
        <f t="array" ref="H11">_xll.FDS(B11,"FG_ROE(0)")</f>
        <v>12.056276614805</v>
      </c>
      <c r="I11">
        <f>HLOOKUP(B11,'Index ROE'!$B$1:$N$25,24,FALSE)</f>
        <v>11.16089938202855</v>
      </c>
      <c r="J11" cm="1">
        <f t="array" ref="J11">_xll.FDS(B11, "FMA_RBICS_REV_CURRENT(30, LOC, ""PORTAGG"")")</f>
        <v>11.5124215499026</v>
      </c>
      <c r="K11" s="74">
        <f>HLOOKUP(B11,'Index earnings'!$B$1:$N$25,25,FALSE)</f>
        <v>1.8533351250322294E-2</v>
      </c>
      <c r="L11">
        <f>HLOOKUP(A11,'Yearly returns'!$B$1:$N$128,126,FALSE)</f>
        <v>-31.705278</v>
      </c>
      <c r="M11">
        <f t="shared" ref="M11:M14" si="1">I11-G11</f>
        <v>8.2458993820285507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57.099999999999994</v>
      </c>
      <c r="R11">
        <f>N11*Assumption!$F$64 + O11*Assumption!$F$61 + P11*Assumption!$F$62 + Q11*Assumption!$F$63</f>
        <v>51.774999999999999</v>
      </c>
      <c r="S11" cm="1">
        <f t="array" ref="S11">_xlfn.PERCENTRANK.EXC(_xlfn._xlws.FILTER(R$2:R$14, ISNUMBER(R$2:R$14)),R11)*100</f>
        <v>64.2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2.456</v>
      </c>
      <c r="H12" cm="1">
        <f t="array" ref="H12">_xll.FDS(B12,"FG_ROE(0)")</f>
        <v>10.922854772748</v>
      </c>
      <c r="I12">
        <f>HLOOKUP(B12,'Index ROE'!$B$1:$N$25,24,FALSE)</f>
        <v>13.04966082823935</v>
      </c>
      <c r="J12" cm="1">
        <f t="array" ref="J12">_xll.FDS(B12, "FMA_RBICS_REV_CURRENT(30, LOC, ""PORTAGG"")")</f>
        <v>26.680073368060899</v>
      </c>
      <c r="K12" s="74">
        <f>HLOOKUP(B12,'Index earnings'!$B$1:$N$25,25,FALSE)</f>
        <v>3.4820198321761975E-2</v>
      </c>
      <c r="L12">
        <f>HLOOKUP(A12,'Yearly returns'!$B$1:$N$128,126,FALSE)</f>
        <v>-37.692802</v>
      </c>
      <c r="M12">
        <f t="shared" si="1"/>
        <v>10.593660828239351</v>
      </c>
      <c r="N12" cm="1">
        <f t="array" ref="N12">_xlfn.PERCENTRANK.EXC(_xlfn._xlws.FILTER(M$2:M$14, ISNUMBER(M$2:M$14)),M12)*100</f>
        <v>64.2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42.824999999999996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2.052</v>
      </c>
      <c r="H13" cm="1">
        <f t="array" ref="H13">_xll.FDS(B13,"FG_ROE(0)")</f>
        <v>16.597948584440498</v>
      </c>
      <c r="I13">
        <f>HLOOKUP(B13,'Index ROE'!$B$1:$N$25,24,FALSE)</f>
        <v>14.442959457883401</v>
      </c>
      <c r="J13" cm="1">
        <f t="array" ref="J13">_xll.FDS(B13, "FMA_RBICS_REV_CURRENT(30, LOC, ""PORTAGG"")")</f>
        <v>26.732323101591199</v>
      </c>
      <c r="K13" s="74">
        <f>HLOOKUP(B13,'Index earnings'!$B$1:$N$25,25,FALSE)</f>
        <v>2.4305006375947347E-2</v>
      </c>
      <c r="L13">
        <f>HLOOKUP(A13,'Yearly returns'!$B$1:$N$128,126,FALSE)</f>
        <v>-34.721733</v>
      </c>
      <c r="M13">
        <f t="shared" si="1"/>
        <v>12.390959457883401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28.499999999999996</v>
      </c>
      <c r="R13">
        <f>N13*Assumption!$F$64 + O13*Assumption!$F$61 + P13*Assumption!$F$62 + Q13*Assumption!$F$63</f>
        <v>46.4</v>
      </c>
      <c r="S13" cm="1">
        <f t="array" ref="S13">_xlfn.PERCENTRANK.EXC(_xlfn._xlws.FILTER(R$2:R$14, ISNUMBER(R$2:R$14)),R13)*100</f>
        <v>57.099999999999994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3.363</v>
      </c>
      <c r="H14" cm="1">
        <f t="array" ref="H14">_xll.FDS(B14,"FG_ROE(0)")</f>
        <v>13.3094617631728</v>
      </c>
      <c r="I14">
        <f>HLOOKUP(B14,'Index ROE'!$B$1:$N$25,24,FALSE)</f>
        <v>9.6445775045501065</v>
      </c>
      <c r="J14" cm="1">
        <f t="array" ref="J14">_xll.FDS(B14, "FMA_RBICS_REV_CURRENT(30, LOC, ""PORTAGG"")")</f>
        <v>39.950361512674803</v>
      </c>
      <c r="K14" s="74">
        <f>HLOOKUP(B14,'Index earnings'!$B$1:$N$25,25,FALSE)</f>
        <v>9.2743946932130061E-3</v>
      </c>
      <c r="L14">
        <f>HLOOKUP(A14,'Yearly returns'!$B$1:$N$128,126,FALSE)</f>
        <v>-31.255405</v>
      </c>
      <c r="M14">
        <f t="shared" si="1"/>
        <v>6.281577504550107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64.2</v>
      </c>
      <c r="R14">
        <f>N14*Assumption!$F$64 + O14*Assumption!$F$61 + P14*Assumption!$F$62 + Q14*Assumption!$F$63</f>
        <v>30.324999999999999</v>
      </c>
      <c r="S14" cm="1">
        <f t="array" ref="S14">_xlfn.PERCENTRANK.EXC(_xlfn._xlws.FILTER(R$2:R$14, ISNUMBER(R$2:R$14)),R14)*100</f>
        <v>21.4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100240.49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26</v>
      </c>
      <c r="H3" s="9">
        <f t="shared" ref="H3:H11" si="0">E3/$G3</f>
        <v>0.15384615384615385</v>
      </c>
      <c r="I3" s="9">
        <f t="shared" ref="I3:I11" si="1">F3/$G3</f>
        <v>0.26923076923076922</v>
      </c>
      <c r="J3" s="9">
        <f t="shared" ref="J3:J11" si="2">H3-I3</f>
        <v>-0.11538461538461536</v>
      </c>
      <c r="K3" s="5" cm="1">
        <f t="array" ref="K3">_xll.FDS(A3,"FMA_PCT_ABOVE_MAVG(200,0,,,,""PORTAGG"")")/100</f>
        <v>0.5</v>
      </c>
      <c r="L3" s="41" cm="1">
        <f t="array" ref="L3">_xll.FDSB(A3,"PERCENT_CHANGE(FMA_EPS(+1,0,,,,""PORTAGG"",""MEAN""),FMA_EPS(+1,-1AM,,,,""PORTAGG"",""MEAN""))")</f>
        <v>-3.5050613596373701</v>
      </c>
      <c r="M3" s="41" cm="1">
        <f t="array" ref="M3">_xll.FDSB(A3,"PERCENT_CHANGE(FMA_EPS(+1,0,,,,""PORTAGG"",""MEAN""),FMA_EPS(+1,-3AM,,,,""PORTAGG"",""MEAN""))")</f>
        <v>10.9622952386155</v>
      </c>
      <c r="N3" s="3" cm="1">
        <f t="array" ref="N3">_xll.FDS(C3,"FG_TOTAL_RETURNC(0,-1AM)")</f>
        <v>6.0999392999999999E-2</v>
      </c>
      <c r="O3" s="3" cm="1">
        <f t="array" ref="O3">_xll.FDS(C3,"FG_TOTAL_RETURNC(0,-3AM)")</f>
        <v>5.987501</v>
      </c>
      <c r="P3" s="3" cm="1">
        <f t="array" ref="P3">_xll.FDS(C3,"FG_TOTAL_RETURNC(0,-6AM)")</f>
        <v>12.697899</v>
      </c>
      <c r="Q3" s="9" cm="1">
        <f t="array" ref="Q3">_xll.FDS(C3,"P_PRICE(0)/P_PRICE_HIGH_PR(0,,,,,,""PRICE"",""INTRA"",""52W"")")</f>
        <v>0.97619515999999995</v>
      </c>
      <c r="R3" s="9" cm="1">
        <f t="array" ref="R3">_xll.FDS(C3,"P_PRICE(0)/P_PRICE_low_PR(0,,,,,,""PRICE"",""INTRA"",""52W"")-1")</f>
        <v>0.19936334999999999</v>
      </c>
      <c r="S3" s="3" cm="1">
        <f t="array" ref="S3">_xll.FDS(C3,"FG_TOTAL_RETURNC(0,-12AM)")</f>
        <v>17.636526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50</v>
      </c>
      <c r="W3" s="4" cm="1">
        <f t="array" ref="W3">_xlfn.PERCENTRANK.EXC(_xlfn._xlws.FILTER($O$3:$O$15, ISNUMBER($O$3:$O$15)),O3)*100</f>
        <v>71.399999999999991</v>
      </c>
      <c r="X3" s="4" cm="1">
        <f t="array" ref="X3">_xlfn.PERCENTRANK.EXC(_xlfn._xlws.FILTER($P$3:$P$15, ISNUMBER($P$3:$P$15)),P3)*100</f>
        <v>42.8</v>
      </c>
      <c r="Y3" s="201" cm="1">
        <f t="array" ref="Y3">_xlfn.PERCENTRANK.EXC(_xlfn._xlws.FILTER($S$3:$S$15, ISNUMBER($S$3:$S$15)),S3)*100</f>
        <v>14.2</v>
      </c>
      <c r="Z3" s="4" cm="1">
        <f t="array" ref="Z3">_xlfn.PERCENTRANK.EXC(_xlfn._xlws.FILTER($K$3:$K$15, ISNUMBER($K$3:$K$15)),K3)*100</f>
        <v>14.2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57.099999999999994</v>
      </c>
      <c r="AC3" s="4">
        <f t="shared" ref="AC3:AC15" si="4">_xlfn.PERCENTRANK.EXC($L$3:$L$15,L3)*100</f>
        <v>28.499999999999996</v>
      </c>
      <c r="AD3" s="4">
        <f t="shared" ref="AD3:AD15" si="5">_xlfn.PERCENTRANK.EXC($M$3:$M$15,M3)*100</f>
        <v>92.800000000000011</v>
      </c>
      <c r="AE3" s="4">
        <f t="shared" ref="AE3:AE15" si="6">_xlfn.PERCENTRANK.EXC($D$3:$D$15,D3)*100</f>
        <v>7.1</v>
      </c>
      <c r="AF3" s="4">
        <f>'Economic Momentum'!Q4</f>
        <v>28.499999999999996</v>
      </c>
      <c r="AG3" s="4">
        <f ca="1">'Economic Momentum'!R4</f>
        <v>71.399999999999991</v>
      </c>
      <c r="AH3" s="4">
        <f t="shared" ref="AH3:AH15" ca="1" si="7">SUMPRODUCT($U$2:$AG$2,U3:AG3)</f>
        <v>54.26</v>
      </c>
      <c r="AJ3" s="3" cm="1">
        <f t="array" aca="1" ref="AJ3" ca="1">_xlfn.PERCENTRANK.EXC(_xlfn._xlws.FILTER($AH$3:$AH$15, ISNUMBER($AH$3:$AH$15)),AH3)*100</f>
        <v>50</v>
      </c>
      <c r="AK3">
        <f t="shared" ref="AK3:AK15" si="8">COUNTIF(V3:AB3,"&gt;70")</f>
        <v>1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1808592.3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18</v>
      </c>
      <c r="G4" cm="1">
        <f t="array" ref="G4">_xll.FDS(A4,"SIZE(FG_CONSTITUENTS)")</f>
        <v>58</v>
      </c>
      <c r="H4" s="9">
        <f t="shared" si="0"/>
        <v>0.36206896551724138</v>
      </c>
      <c r="I4" s="9">
        <f t="shared" si="1"/>
        <v>0.31034482758620691</v>
      </c>
      <c r="J4" s="9">
        <f t="shared" si="2"/>
        <v>5.1724137931034475E-2</v>
      </c>
      <c r="K4" s="5" cm="1">
        <f t="array" ref="K4">_xll.FDS(A4,"FMA_PCT_ABOVE_MAVG(200,0,,,,""PORTAGG"")")/100</f>
        <v>0.67241379310344795</v>
      </c>
      <c r="L4" s="41" cm="1">
        <f t="array" ref="L4">_xll.FDSB(A4,"PERCENT_CHANGE(FMA_EPS(+1,0,,,,""PORTAGG"",""MEAN""),FMA_EPS(+1,-1AM,,,,""PORTAGG"",""MEAN""))")</f>
        <v>-8.8222380608297304E-2</v>
      </c>
      <c r="M4" s="41" cm="1">
        <f t="array" ref="M4">_xll.FDSB(A4,"PERCENT_CHANGE(FMA_EPS(+1,0,,,,""PORTAGG"",""MEAN""),FMA_EPS(+1,-3AM,,,,""PORTAGG"",""MEAN""))")</f>
        <v>0.94532369885572598</v>
      </c>
      <c r="N4" s="3" cm="1">
        <f t="array" ref="N4">_xll.FDS(C4,"FG_TOTAL_RETURNC(0,-1AM)")</f>
        <v>1.5678763</v>
      </c>
      <c r="O4" s="3" cm="1">
        <f t="array" ref="O4">_xll.FDS(C4,"FG_TOTAL_RETURNC(0,-3AM)")</f>
        <v>5.7745813999999998</v>
      </c>
      <c r="P4" s="3" cm="1">
        <f t="array" ref="P4">_xll.FDS(C4,"FG_TOTAL_RETURNC(0,-6AM)")</f>
        <v>16.212665999999999</v>
      </c>
      <c r="Q4" s="9" cm="1">
        <f t="array" ref="Q4">_xll.FDS(C4,"P_PRICE(0)/P_PRICE_HIGH_PR(0,,,,,,""PRICE"",""INTRA"",""52W"")")</f>
        <v>0.97539480000000001</v>
      </c>
      <c r="R4" s="9" cm="1">
        <f t="array" ref="R4">_xll.FDS(C4,"P_PRICE(0)/P_PRICE_low_PR(0,,,,,,""PRICE"",""INTRA"",""52W"")-1")</f>
        <v>0.29814279999999999</v>
      </c>
      <c r="S4" s="3" cm="1">
        <f t="array" ref="S4">_xll.FDS(C4,"FG_TOTAL_RETURNC(0,-12AM)")</f>
        <v>30.171633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42.8</v>
      </c>
      <c r="W4" s="4" cm="1">
        <f t="array" ref="W4">_xlfn.PERCENTRANK.EXC(_xlfn._xlws.FILTER($O$3:$O$15, ISNUMBER($O$3:$O$15)),O4)*100</f>
        <v>64.2</v>
      </c>
      <c r="X4" s="4" cm="1">
        <f t="array" ref="X4">_xlfn.PERCENTRANK.EXC(_xlfn._xlws.FILTER($P$3:$P$15, ISNUMBER($P$3:$P$15)),P4)*100</f>
        <v>71.399999999999991</v>
      </c>
      <c r="Y4" s="201" cm="1">
        <f t="array" ref="Y4">_xlfn.PERCENTRANK.EXC(_xlfn._xlws.FILTER($S$3:$S$15, ISNUMBER($S$3:$S$15)),S4)*100</f>
        <v>42.8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85.7</v>
      </c>
      <c r="AB4" s="4" cm="1">
        <f t="array" ref="AB4">_xlfn.PERCENTRANK.EXC(_xlfn._xlws.FILTER($J$3:$J$15, ISNUMBER($J$3:$J$15)),J4)*100</f>
        <v>92.800000000000011</v>
      </c>
      <c r="AC4" s="4">
        <f t="shared" si="4"/>
        <v>92.800000000000011</v>
      </c>
      <c r="AD4" s="4">
        <f t="shared" si="5"/>
        <v>71.399999999999991</v>
      </c>
      <c r="AE4" s="4">
        <f t="shared" si="6"/>
        <v>35.699999999999996</v>
      </c>
      <c r="AF4" s="4">
        <f>'Economic Momentum'!Q5</f>
        <v>21.4</v>
      </c>
      <c r="AG4" s="4">
        <f ca="1">'Economic Momentum'!R5</f>
        <v>50</v>
      </c>
      <c r="AH4" s="4">
        <f t="shared" ca="1" si="7"/>
        <v>57.8</v>
      </c>
      <c r="AJ4" s="3" cm="1">
        <f t="array" aca="1" ref="AJ4" ca="1">_xlfn.PERCENTRANK.EXC(_xlfn._xlws.FILTER($AH$3:$AH$15, ISNUMBER($AH$3:$AH$15)),AH4)*100</f>
        <v>57.099999999999994</v>
      </c>
      <c r="AK4">
        <f t="shared" si="8"/>
        <v>4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3012761</v>
      </c>
      <c r="E5" cm="1">
        <f t="array" ref="E5">_xll.FDS(C5,"FMA_COS_UP(""EPS"",""1M"",+1,0,,,""PORTAGG"",""MEANR"")")</f>
        <v>23</v>
      </c>
      <c r="F5" cm="1">
        <f t="array" ref="F5">_xll.FDS(C5,"FMA_COS_DOWN(""EPS"",""1M"",+1,0,,,""PORTAGG"",""MEANR"")")</f>
        <v>37</v>
      </c>
      <c r="G5" cm="1">
        <f t="array" ref="G5">_xll.FDS(A5,"SIZE(FG_CONSTITUENTS)")</f>
        <v>86</v>
      </c>
      <c r="H5" s="9">
        <f t="shared" si="0"/>
        <v>0.26744186046511625</v>
      </c>
      <c r="I5" s="9">
        <f t="shared" si="1"/>
        <v>0.43023255813953487</v>
      </c>
      <c r="J5" s="9">
        <f t="shared" si="2"/>
        <v>-0.16279069767441862</v>
      </c>
      <c r="K5" s="5" cm="1">
        <f t="array" ref="K5">_xll.FDS(A5,"FMA_PCT_ABOVE_MAVG(200,0,,,,""PORTAGG"")")/100</f>
        <v>0.77906976744186096</v>
      </c>
      <c r="L5" s="41" cm="1">
        <f t="array" ref="L5">_xll.FDSB(A5,"PERCENT_CHANGE(FMA_EPS(+1,0,,,,""PORTAGG"",""MEAN""),FMA_EPS(+1,-1AM,,,,""PORTAGG"",""MEAN""))")</f>
        <v>-1.7726853884248099</v>
      </c>
      <c r="M5" s="41" cm="1">
        <f t="array" ref="M5">_xll.FDSB(A5,"PERCENT_CHANGE(FMA_EPS(+1,0,,,,""PORTAGG"",""MEAN""),FMA_EPS(+1,-3AM,,,,""PORTAGG"",""MEAN""))")</f>
        <v>-0.72917760436131496</v>
      </c>
      <c r="N5" s="3" cm="1">
        <f t="array" ref="N5">_xll.FDS(C5,"FG_TOTAL_RETURNC(0,-1AM)")</f>
        <v>3.8281082999999998</v>
      </c>
      <c r="O5" s="3" cm="1">
        <f t="array" ref="O5">_xll.FDS(C5,"FG_TOTAL_RETURNC(0,-3AM)")</f>
        <v>9.336805</v>
      </c>
      <c r="P5" s="3" cm="1">
        <f t="array" ref="P5">_xll.FDS(C5,"FG_TOTAL_RETURNC(0,-6AM)")</f>
        <v>15.164327999999999</v>
      </c>
      <c r="Q5" s="9" cm="1">
        <f t="array" ref="Q5">_xll.FDS(C5,"P_PRICE(0)/P_PRICE_HIGH_PR(0,,,,,,""PRICE"",""INTRA"",""52W"")")</f>
        <v>0.99810069999999995</v>
      </c>
      <c r="R5" s="9" cm="1">
        <f t="array" ref="R5">_xll.FDS(C5,"P_PRICE(0)/P_PRICE_low_PR(0,,,,,,""PRICE"",""INTRA"",""52W"")-1")</f>
        <v>0.33842729999999999</v>
      </c>
      <c r="S5" s="3" cm="1">
        <f t="array" ref="S5">_xll.FDS(C5,"FG_TOTAL_RETURNC(0,-12AM)")</f>
        <v>30.352353999999998</v>
      </c>
      <c r="T5" s="4" cm="1">
        <f t="array" ref="T5">_xlfn.PERCENTRANK.EXC(_xlfn._xlws.FILTER($R$3:$R$15, ISNUMBER($R$3:$R$15)),R5)*100</f>
        <v>57.099999999999994</v>
      </c>
      <c r="U5" s="4">
        <f t="shared" si="3"/>
        <v>42.900000000000006</v>
      </c>
      <c r="V5" s="4" cm="1">
        <f t="array" ref="V5">_xlfn.PERCENTRANK.EXC(_xlfn._xlws.FILTER($Q$3:$Q$15, ISNUMBER($Q$3:$Q$15)),Q5)*100</f>
        <v>92.800000000000011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64.2</v>
      </c>
      <c r="Y5" s="201" cm="1">
        <f t="array" ref="Y5">_xlfn.PERCENTRANK.EXC(_xlfn._xlws.FILTER($S$3:$S$15, ISNUMBER($S$3:$S$15)),S5)*100</f>
        <v>50</v>
      </c>
      <c r="Z5" s="4" cm="1">
        <f t="array" ref="Z5">_xlfn.PERCENTRANK.EXC(_xlfn._xlws.FILTER($K$3:$K$15, ISNUMBER($K$3:$K$15)),K5)*100</f>
        <v>85.7</v>
      </c>
      <c r="AA5" s="4" cm="1">
        <f t="array" ref="AA5">_xlfn.PERCENTRANK.EXC(_xlfn._xlws.FILTER($H$3:$H$15, ISNUMBER($H$3:$H$15)),H5)*100</f>
        <v>42.8</v>
      </c>
      <c r="AB5" s="4" cm="1">
        <f t="array" ref="AB5">_xlfn.PERCENTRANK.EXC(_xlfn._xlws.FILTER($J$3:$J$15, ISNUMBER($J$3:$J$15)),J5)*100</f>
        <v>35.699999999999996</v>
      </c>
      <c r="AC5" s="4">
        <f t="shared" si="4"/>
        <v>64.2</v>
      </c>
      <c r="AD5" s="4">
        <f t="shared" si="5"/>
        <v>50</v>
      </c>
      <c r="AE5" s="4">
        <f t="shared" si="6"/>
        <v>57.099999999999994</v>
      </c>
      <c r="AF5" s="4">
        <f>'Economic Momentum'!Q6</f>
        <v>85.7</v>
      </c>
      <c r="AG5" s="4">
        <f ca="1">'Economic Momentum'!R6</f>
        <v>64.2</v>
      </c>
      <c r="AH5" s="4">
        <f t="shared" ca="1" si="7"/>
        <v>84.220000000000013</v>
      </c>
      <c r="AJ5" s="3" cm="1">
        <f t="array" aca="1" ref="AJ5" ca="1">_xlfn.PERCENTRANK.EXC(_xlfn._xlws.FILTER($AH$3:$AH$15, ISNUMBER($AH$3:$AH$15)),AH5)*100</f>
        <v>85.7</v>
      </c>
      <c r="AK5">
        <f t="shared" si="8"/>
        <v>3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2393645.5</v>
      </c>
      <c r="E6" cm="1">
        <f t="array" ref="E6">_xll.FDS(C6,"FMA_COS_UP(""EPS"",""1M"",+1,0,,,""PORTAGG"",""MEANR"")")</f>
        <v>20</v>
      </c>
      <c r="F6" cm="1">
        <f t="array" ref="F6">_xll.FDS(C6,"FMA_COS_DOWN(""EPS"",""1M"",+1,0,,,""PORTAGG"",""MEANR"")")</f>
        <v>31</v>
      </c>
      <c r="G6" cm="1">
        <f t="array" ref="G6">_xll.FDS(A6,"SIZE(FG_CONSTITUENTS)")</f>
        <v>57</v>
      </c>
      <c r="H6" s="9">
        <f t="shared" si="0"/>
        <v>0.35087719298245612</v>
      </c>
      <c r="I6" s="9">
        <f t="shared" si="1"/>
        <v>0.54385964912280704</v>
      </c>
      <c r="J6" s="9">
        <f t="shared" si="2"/>
        <v>-0.19298245614035092</v>
      </c>
      <c r="K6" s="5" cm="1">
        <f t="array" ref="K6">_xll.FDS(A6,"FMA_PCT_ABOVE_MAVG(200,0,,,,""PORTAGG"")")/100</f>
        <v>0.59649122807017496</v>
      </c>
      <c r="L6" s="41" cm="1">
        <f t="array" ref="L6">_xll.FDSB(A6,"PERCENT_CHANGE(FMA_EPS(+1,0,,,,""PORTAGG"",""MEAN""),FMA_EPS(+1,-1AM,,,,""PORTAGG"",""MEAN""))")</f>
        <v>-4.6915958508051201</v>
      </c>
      <c r="M6" s="41" cm="1">
        <f t="array" ref="M6">_xll.FDSB(A6,"PERCENT_CHANGE(FMA_EPS(+1,0,,,,""PORTAGG"",""MEAN""),FMA_EPS(+1,-3AM,,,,""PORTAGG"",""MEAN""))")</f>
        <v>-5.4809720028323001</v>
      </c>
      <c r="N6" s="3" cm="1">
        <f t="array" ref="N6">_xll.FDS(C6,"FG_TOTAL_RETURNC(0,-1AM)")</f>
        <v>2.394104</v>
      </c>
      <c r="O6" s="3" cm="1">
        <f t="array" ref="O6">_xll.FDS(C6,"FG_TOTAL_RETURNC(0,-3AM)")</f>
        <v>6.9916606000000003</v>
      </c>
      <c r="P6" s="3" cm="1">
        <f t="array" ref="P6">_xll.FDS(C6,"FG_TOTAL_RETURNC(0,-6AM)")</f>
        <v>13.791131999999999</v>
      </c>
      <c r="Q6" s="9" cm="1">
        <f t="array" ref="Q6">_xll.FDS(C6,"P_PRICE(0)/P_PRICE_HIGH_PR(0,,,,,,""PRICE"",""INTRA"",""52W"")")</f>
        <v>0.97772574000000001</v>
      </c>
      <c r="R6" s="9" cm="1">
        <f t="array" ref="R6">_xll.FDS(C6,"P_PRICE(0)/P_PRICE_low_PR(0,,,,,,""PRICE"",""INTRA"",""52W"")-1")</f>
        <v>0.35033393000000002</v>
      </c>
      <c r="S6" s="3" cm="1">
        <f t="array" ref="S6">_xll.FDS(C6,"FG_TOTAL_RETURNC(0,-12AM)")</f>
        <v>34.215331999999997</v>
      </c>
      <c r="T6" s="4" cm="1">
        <f t="array" ref="T6">_xlfn.PERCENTRANK.EXC(_xlfn._xlws.FILTER($R$3:$R$15, ISNUMBER($R$3:$R$15)),R6)*100</f>
        <v>71.399999999999991</v>
      </c>
      <c r="U6" s="4">
        <f t="shared" si="3"/>
        <v>28.600000000000009</v>
      </c>
      <c r="V6" s="4" cm="1">
        <f t="array" ref="V6">_xlfn.PERCENTRANK.EXC(_xlfn._xlws.FILTER($Q$3:$Q$15, ISNUMBER($Q$3:$Q$15)),Q6)*100</f>
        <v>64.2</v>
      </c>
      <c r="W6" s="4" cm="1">
        <f t="array" ref="W6">_xlfn.PERCENTRANK.EXC(_xlfn._xlws.FILTER($O$3:$O$15, ISNUMBER($O$3:$O$15)),O6)*100</f>
        <v>85.7</v>
      </c>
      <c r="X6" s="4" cm="1">
        <f t="array" ref="X6">_xlfn.PERCENTRANK.EXC(_xlfn._xlws.FILTER($P$3:$P$15, ISNUMBER($P$3:$P$15)),P6)*100</f>
        <v>57.099999999999994</v>
      </c>
      <c r="Y6" s="201" cm="1">
        <f t="array" ref="Y6">_xlfn.PERCENTRANK.EXC(_xlfn._xlws.FILTER($S$3:$S$15, ISNUMBER($S$3:$S$15)),S6)*100</f>
        <v>71.399999999999991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28.499999999999996</v>
      </c>
      <c r="AC6" s="4">
        <f t="shared" si="4"/>
        <v>14.2</v>
      </c>
      <c r="AD6" s="4">
        <f t="shared" si="5"/>
        <v>14.2</v>
      </c>
      <c r="AE6" s="4">
        <f t="shared" si="6"/>
        <v>50</v>
      </c>
      <c r="AF6" s="4">
        <f>'Economic Momentum'!Q7</f>
        <v>7.1</v>
      </c>
      <c r="AG6" s="4">
        <f ca="1">'Economic Momentum'!R7</f>
        <v>28.499999999999996</v>
      </c>
      <c r="AH6" s="4">
        <f t="shared" ca="1" si="7"/>
        <v>68.52</v>
      </c>
      <c r="AJ6" s="3" cm="1">
        <f t="array" aca="1" ref="AJ6" ca="1">_xlfn.PERCENTRANK.EXC(_xlfn._xlws.FILTER($AH$3:$AH$15, ISNUMBER($AH$3:$AH$15)),AH6)*100</f>
        <v>78.5</v>
      </c>
      <c r="AK6">
        <f t="shared" si="8"/>
        <v>3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6536884</v>
      </c>
      <c r="E7" cm="1">
        <f t="array" ref="E7">_xll.FDS(C7,"FMA_COS_UP(""EPS"",""1M"",+1,0,,,""PORTAGG"",""MEANR"")")</f>
        <v>83</v>
      </c>
      <c r="F7" cm="1">
        <f t="array" ref="F7">_xll.FDS(C7,"FMA_COS_DOWN(""EPS"",""1M"",+1,0,,,""PORTAGG"",""MEANR"")")</f>
        <v>73</v>
      </c>
      <c r="G7" cm="1">
        <f t="array" ref="G7">_xll.FDS(A7,"SIZE(FG_CONSTITUENTS)")</f>
        <v>199</v>
      </c>
      <c r="H7" s="9">
        <f t="shared" si="0"/>
        <v>0.41708542713567837</v>
      </c>
      <c r="I7" s="9">
        <f t="shared" si="1"/>
        <v>0.36683417085427134</v>
      </c>
      <c r="J7" s="9">
        <f t="shared" si="2"/>
        <v>5.0251256281407031E-2</v>
      </c>
      <c r="K7" s="5" cm="1">
        <f t="array" ref="K7">_xll.FDS(A7,"FMA_PCT_ABOVE_MAVG(200,0,,,,""PORTAGG"")")/100</f>
        <v>0.46733668341708501</v>
      </c>
      <c r="L7" s="41" cm="1">
        <f t="array" ref="L7">_xll.FDSB(A7,"PERCENT_CHANGE(FMA_EPS(+1,0,,,,""PORTAGG"",""MEAN""),FMA_EPS(+1,-1AM,,,,""PORTAGG"",""MEAN""))")</f>
        <v>-4.0513400980160599</v>
      </c>
      <c r="M7" s="41" cm="1">
        <f t="array" ref="M7">_xll.FDSB(A7,"PERCENT_CHANGE(FMA_EPS(+1,0,,,,""PORTAGG"",""MEAN""),FMA_EPS(+1,-3AM,,,,""PORTAGG"",""MEAN""))")</f>
        <v>7.4685678529611002</v>
      </c>
      <c r="N7" s="3" cm="1">
        <f t="array" ref="N7">_xll.FDS(C7,"FG_TOTAL_RETURNC(0,-1AM)")</f>
        <v>1.0664343999999999</v>
      </c>
      <c r="O7" s="3" cm="1">
        <f t="array" ref="O7">_xll.FDS(C7,"FG_TOTAL_RETURNC(0,-3AM)")</f>
        <v>-0.38352609999999998</v>
      </c>
      <c r="P7" s="3" cm="1">
        <f t="array" ref="P7">_xll.FDS(C7,"FG_TOTAL_RETURNC(0,-6AM)")</f>
        <v>5.6273220000000004</v>
      </c>
      <c r="Q7" s="9" cm="1">
        <f t="array" ref="Q7">_xll.FDS(C7,"P_PRICE(0)/P_PRICE_HIGH_PR(0,,,,,,""PRICE"",""INTRA"",""52W"")")</f>
        <v>0.95753690000000002</v>
      </c>
      <c r="R7" s="9" cm="1">
        <f t="array" ref="R7">_xll.FDS(C7,"P_PRICE(0)/P_PRICE_low_PR(0,,,,,,""PRICE"",""INTRA"",""52W"")-1")</f>
        <v>0.22604883000000001</v>
      </c>
      <c r="S7" s="3" cm="1">
        <f t="array" ref="S7">_xll.FDS(C7,"FG_TOTAL_RETURNC(0,-12AM)")</f>
        <v>21.543657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28.499999999999996</v>
      </c>
      <c r="W7" s="4" cm="1">
        <f t="array" ref="W7">_xlfn.PERCENTRANK.EXC(_xlfn._xlws.FILTER($O$3:$O$15, ISNUMBER($O$3:$O$15)),O7)*100</f>
        <v>14.2</v>
      </c>
      <c r="X7" s="4" cm="1">
        <f t="array" ref="X7">_xlfn.PERCENTRANK.EXC(_xlfn._xlws.FILTER($P$3:$P$15, ISNUMBER($P$3:$P$15)),P7)*100</f>
        <v>21.4</v>
      </c>
      <c r="Y7" s="201" cm="1">
        <f t="array" ref="Y7">_xlfn.PERCENTRANK.EXC(_xlfn._xlws.FILTER($S$3:$S$15, ISNUMBER($S$3:$S$15)),S7)*100</f>
        <v>21.4</v>
      </c>
      <c r="Z7" s="4" cm="1">
        <f t="array" ref="Z7">_xlfn.PERCENTRANK.EXC(_xlfn._xlws.FILTER($K$3:$K$15, ISNUMBER($K$3:$K$15)),K7)*100</f>
        <v>7.1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4"/>
        <v>21.4</v>
      </c>
      <c r="AD7" s="4">
        <f t="shared" si="5"/>
        <v>85.7</v>
      </c>
      <c r="AE7" s="4">
        <f t="shared" si="6"/>
        <v>78.5</v>
      </c>
      <c r="AF7" s="4">
        <f>'Economic Momentum'!Q8</f>
        <v>71.399999999999991</v>
      </c>
      <c r="AG7" s="4">
        <f ca="1">'Economic Momentum'!R8</f>
        <v>57.099999999999994</v>
      </c>
      <c r="AH7" s="4">
        <f t="shared" ca="1" si="7"/>
        <v>22.08</v>
      </c>
      <c r="AJ7" s="3" cm="1">
        <f t="array" aca="1" ref="AJ7" ca="1">_xlfn.PERCENTRANK.EXC(_xlfn._xlws.FILTER($AH$3:$AH$15, ISNUMBER($AH$3:$AH$15)),AH7)*100</f>
        <v>21.4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2311566.5</v>
      </c>
      <c r="E8" cm="1">
        <f t="array" ref="E8">_xll.FDS(C8,"FMA_COS_UP(""EPS"",""1M"",+1,0,,,""PORTAGG"",""MEANR"")")</f>
        <v>11</v>
      </c>
      <c r="F8" cm="1">
        <f t="array" ref="F8">_xll.FDS(C8,"FMA_COS_DOWN(""EPS"",""1M"",+1,0,,,""PORTAGG"",""MEANR"")")</f>
        <v>31</v>
      </c>
      <c r="G8" cm="1">
        <f t="array" ref="G8">_xll.FDS(A8,"SIZE(FG_CONSTITUENTS)")</f>
        <v>47</v>
      </c>
      <c r="H8" s="9">
        <f t="shared" si="0"/>
        <v>0.23404255319148937</v>
      </c>
      <c r="I8" s="9">
        <f t="shared" si="1"/>
        <v>0.65957446808510634</v>
      </c>
      <c r="J8" s="9">
        <f t="shared" si="2"/>
        <v>-0.42553191489361697</v>
      </c>
      <c r="K8" s="5" cm="1">
        <f t="array" ref="K8">_xll.FDS(A8,"FMA_PCT_ABOVE_MAVG(200,0,,,,""PORTAGG"")")/100</f>
        <v>0.60869565217391297</v>
      </c>
      <c r="L8" s="41" cm="1">
        <f t="array" ref="L8">_xll.FDSB(A8,"PERCENT_CHANGE(FMA_EPS(+1,0,,,,""PORTAGG"",""MEAN""),FMA_EPS(+1,-1AM,,,,""PORTAGG"",""MEAN""))")</f>
        <v>-1.75301328902508</v>
      </c>
      <c r="M8" s="41" cm="1">
        <f t="array" ref="M8">_xll.FDSB(A8,"PERCENT_CHANGE(FMA_EPS(+1,0,,,,""PORTAGG"",""MEAN""),FMA_EPS(+1,-3AM,,,,""PORTAGG"",""MEAN""))")</f>
        <v>2.8877623785606099</v>
      </c>
      <c r="N8" s="3" cm="1">
        <f t="array" ref="N8">_xll.FDS(C8,"FG_TOTAL_RETURNC(0,-1AM)")</f>
        <v>0.68413020000000002</v>
      </c>
      <c r="O8" s="3" cm="1">
        <f t="array" ref="O8">_xll.FDS(C8,"FG_TOTAL_RETURNC(0,-3AM)")</f>
        <v>3.8089514000000002</v>
      </c>
      <c r="P8" s="3" cm="1">
        <f t="array" ref="P8">_xll.FDS(C8,"FG_TOTAL_RETURNC(0,-6AM)")</f>
        <v>16.402256000000001</v>
      </c>
      <c r="Q8" s="9" cm="1">
        <f t="array" ref="Q8">_xll.FDS(C8,"P_PRICE(0)/P_PRICE_HIGH_PR(0,,,,,,""PRICE"",""INTRA"",""52W"")")</f>
        <v>0.97133696000000003</v>
      </c>
      <c r="R8" s="9" cm="1">
        <f t="array" ref="R8">_xll.FDS(C8,"P_PRICE(0)/P_PRICE_low_PR(0,,,,,,""PRICE"",""INTRA"",""52W"")-1")</f>
        <v>0.23971117</v>
      </c>
      <c r="S8" s="3" cm="1">
        <f t="array" ref="S8">_xll.FDS(C8,"FG_TOTAL_RETURNC(0,-12AM)")</f>
        <v>21.878422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42.8</v>
      </c>
      <c r="X8" s="4" cm="1">
        <f t="array" ref="X8">_xlfn.PERCENTRANK.EXC(_xlfn._xlws.FILTER($P$3:$P$15, ISNUMBER($P$3:$P$15)),P8)*100</f>
        <v>78.5</v>
      </c>
      <c r="Y8" s="201" cm="1">
        <f t="array" ref="Y8">_xlfn.PERCENTRANK.EXC(_xlfn._xlws.FILTER($S$3:$S$15, ISNUMBER($S$3:$S$15)),S8)*100</f>
        <v>28.499999999999996</v>
      </c>
      <c r="Z8" s="4" cm="1">
        <f t="array" ref="Z8">_xlfn.PERCENTRANK.EXC(_xlfn._xlws.FILTER($K$3:$K$15, ISNUMBER($K$3:$K$15)),K8)*100</f>
        <v>50</v>
      </c>
      <c r="AA8" s="4" cm="1">
        <f t="array" ref="AA8">_xlfn.PERCENTRANK.EXC(_xlfn._xlws.FILTER($H$3:$H$15, ISNUMBER($H$3:$H$15)),H8)*100</f>
        <v>21.4</v>
      </c>
      <c r="AB8" s="4" cm="1">
        <f t="array" ref="AB8">_xlfn.PERCENTRANK.EXC(_xlfn._xlws.FILTER($J$3:$J$15, ISNUMBER($J$3:$J$15)),J8)*100</f>
        <v>7.1</v>
      </c>
      <c r="AC8" s="4">
        <f t="shared" si="4"/>
        <v>71.399999999999991</v>
      </c>
      <c r="AD8" s="4">
        <f t="shared" si="5"/>
        <v>78.5</v>
      </c>
      <c r="AE8" s="4">
        <f t="shared" si="6"/>
        <v>42.8</v>
      </c>
      <c r="AF8" s="4">
        <f>'Economic Momentum'!Q9</f>
        <v>78.5</v>
      </c>
      <c r="AG8" s="4">
        <f ca="1">'Economic Momentum'!R9</f>
        <v>92.800000000000011</v>
      </c>
      <c r="AH8" s="4">
        <f t="shared" ca="1" si="7"/>
        <v>50.67</v>
      </c>
      <c r="AJ8" s="3" cm="1">
        <f t="array" aca="1" ref="AJ8" ca="1">_xlfn.PERCENTRANK.EXC(_xlfn._xlws.FILTER($AH$3:$AH$15, ISNUMBER($AH$3:$AH$15)),AH8)*100</f>
        <v>35.699999999999996</v>
      </c>
      <c r="AK8">
        <f t="shared" si="8"/>
        <v>1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3319955</v>
      </c>
      <c r="E9" cm="1">
        <f t="array" ref="E9">_xll.FDS(C9,"FMA_COS_UP(""EPS"",""1M"",+1,0,,,""PORTAGG"",""MEANR"")")</f>
        <v>28</v>
      </c>
      <c r="F9" cm="1">
        <f t="array" ref="F9">_xll.FDS(C9,"FMA_COS_DOWN(""EPS"",""1M"",+1,0,,,""PORTAGG"",""MEANR"")")</f>
        <v>35</v>
      </c>
      <c r="G9" cm="1">
        <f t="array" ref="G9">_xll.FDS(A9,"SIZE(FG_CONSTITUENTS)")</f>
        <v>80</v>
      </c>
      <c r="H9" s="9">
        <f t="shared" si="0"/>
        <v>0.35</v>
      </c>
      <c r="I9" s="9">
        <f t="shared" si="1"/>
        <v>0.4375</v>
      </c>
      <c r="J9" s="9">
        <f t="shared" si="2"/>
        <v>-8.7500000000000022E-2</v>
      </c>
      <c r="K9" s="5" cm="1">
        <f t="array" ref="K9">_xll.FDS(A9,"FMA_PCT_ABOVE_MAVG(200,0,,,,""PORTAGG"")")/100</f>
        <v>0.60256410256410298</v>
      </c>
      <c r="L9" s="41" cm="1">
        <f t="array" ref="L9">_xll.FDSB(A9,"PERCENT_CHANGE(FMA_EPS(+1,0,,,,""PORTAGG"",""MEAN""),FMA_EPS(+1,-1AM,,,,""PORTAGG"",""MEAN""))")</f>
        <v>-1.8599066707179801</v>
      </c>
      <c r="M9" s="41" cm="1">
        <f t="array" ref="M9">_xll.FDSB(A9,"PERCENT_CHANGE(FMA_EPS(+1,0,,,,""PORTAGG"",""MEAN""),FMA_EPS(+1,-3AM,,,,""PORTAGG"",""MEAN""))")</f>
        <v>0.311238964375326</v>
      </c>
      <c r="N9" s="3" cm="1">
        <f t="array" ref="N9">_xll.FDS(C9,"FG_TOTAL_RETURNC(0,-1AM)")</f>
        <v>5.4061413000000003E-2</v>
      </c>
      <c r="O9" s="3" cm="1">
        <f t="array" ref="O9">_xll.FDS(C9,"FG_TOTAL_RETURNC(0,-3AM)")</f>
        <v>3.9314746999999999</v>
      </c>
      <c r="P9" s="3" cm="1">
        <f t="array" ref="P9">_xll.FDS(C9,"FG_TOTAL_RETURNC(0,-6AM)")</f>
        <v>13.215649000000001</v>
      </c>
      <c r="Q9" s="9" cm="1">
        <f t="array" ref="Q9">_xll.FDS(C9,"P_PRICE(0)/P_PRICE_HIGH_PR(0,,,,,,""PRICE"",""INTRA"",""52W"")")</f>
        <v>0.97703266</v>
      </c>
      <c r="R9" s="9" cm="1">
        <f t="array" ref="R9">_xll.FDS(C9,"P_PRICE(0)/P_PRICE_low_PR(0,,,,,,""PRICE"",""INTRA"",""52W"")-1")</f>
        <v>0.22793627</v>
      </c>
      <c r="S9" s="3" cm="1">
        <f t="array" ref="S9">_xll.FDS(C9,"FG_TOTAL_RETURNC(0,-12AM)")</f>
        <v>22.511875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50</v>
      </c>
      <c r="X9" s="4" cm="1">
        <f t="array" ref="X9">_xlfn.PERCENTRANK.EXC(_xlfn._xlws.FILTER($P$3:$P$15, ISNUMBER($P$3:$P$15)),P9)*100</f>
        <v>50</v>
      </c>
      <c r="Y9" s="201" cm="1">
        <f t="array" ref="Y9">_xlfn.PERCENTRANK.EXC(_xlfn._xlws.FILTER($S$3:$S$15, ISNUMBER($S$3:$S$15)),S9)*100</f>
        <v>35.699999999999996</v>
      </c>
      <c r="Z9" s="4" cm="1">
        <f t="array" ref="Z9">_xlfn.PERCENTRANK.EXC(_xlfn._xlws.FILTER($K$3:$K$15, ISNUMBER($K$3:$K$15)),K9)*100</f>
        <v>42.8</v>
      </c>
      <c r="AA9" s="4" cm="1">
        <f t="array" ref="AA9">_xlfn.PERCENTRANK.EXC(_xlfn._xlws.FILTER($H$3:$H$15, ISNUMBER($H$3:$H$15)),H9)*100</f>
        <v>71.399999999999991</v>
      </c>
      <c r="AB9" s="4" cm="1">
        <f t="array" ref="AB9">_xlfn.PERCENTRANK.EXC(_xlfn._xlws.FILTER($J$3:$J$15, ISNUMBER($J$3:$J$15)),J9)*100</f>
        <v>71.399999999999991</v>
      </c>
      <c r="AC9" s="4">
        <f t="shared" si="4"/>
        <v>57.099999999999994</v>
      </c>
      <c r="AD9" s="4">
        <f t="shared" si="5"/>
        <v>64.2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52.84</v>
      </c>
      <c r="AJ9" s="3" cm="1">
        <f t="array" aca="1" ref="AJ9" ca="1">_xlfn.PERCENTRANK.EXC(_xlfn._xlws.FILTER($AH$3:$AH$15, ISNUMBER($AH$3:$AH$15)),AH9)*100</f>
        <v>42.8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61018330</v>
      </c>
      <c r="E10" cm="1">
        <f t="array" ref="E10">_xll.FDS(C10,"FMA_COS_UP(""EPS"",""1M"",+1,0,,,""PORTAGG"",""MEANR"")")</f>
        <v>28</v>
      </c>
      <c r="F10" cm="1">
        <f t="array" ref="F10">_xll.FDS(C10,"FMA_COS_DOWN(""EPS"",""1M"",+1,0,,,""PORTAGG"",""MEANR"")")</f>
        <v>35</v>
      </c>
      <c r="G10" cm="1">
        <f t="array" ref="G10">_xll.FDS(A10,"SIZE(FG_CONSTITUENTS)")</f>
        <v>102</v>
      </c>
      <c r="H10" s="9">
        <f t="shared" si="0"/>
        <v>0.27450980392156865</v>
      </c>
      <c r="I10" s="9">
        <f t="shared" si="1"/>
        <v>0.34313725490196079</v>
      </c>
      <c r="J10" s="9">
        <f t="shared" si="2"/>
        <v>-6.8627450980392135E-2</v>
      </c>
      <c r="K10" s="5" cm="1">
        <f t="array" ref="K10">_xll.FDS(A10,"FMA_PCT_ABOVE_MAVG(200,0,,,,""PORTAGG"")")/100</f>
        <v>0.64705882352941202</v>
      </c>
      <c r="L10" s="41" cm="1">
        <f t="array" ref="L10">_xll.FDSB(A10,"PERCENT_CHANGE(FMA_EPS(+1,0,,,,""PORTAGG"",""MEAN""),FMA_EPS(+1,-1AM,,,,""PORTAGG"",""MEAN""))")</f>
        <v>-0.147508078683461</v>
      </c>
      <c r="M10" s="41" cm="1">
        <f t="array" ref="M10">_xll.FDSB(A10,"PERCENT_CHANGE(FMA_EPS(+1,0,,,,""PORTAGG"",""MEAN""),FMA_EPS(+1,-3AM,,,,""PORTAGG"",""MEAN""))")</f>
        <v>-2.74316407328421</v>
      </c>
      <c r="N10" s="3" cm="1">
        <f t="array" ref="N10">_xll.FDS(C10,"FG_TOTAL_RETURNC(0,-1AM)")</f>
        <v>5.0320029999999996</v>
      </c>
      <c r="O10" s="3" cm="1">
        <f t="array" ref="O10">_xll.FDS(C10,"FG_TOTAL_RETURNC(0,-3AM)")</f>
        <v>3.2686472000000002</v>
      </c>
      <c r="P10" s="3" cm="1">
        <f t="array" ref="P10">_xll.FDS(C10,"FG_TOTAL_RETURNC(0,-6AM)")</f>
        <v>17.134308000000001</v>
      </c>
      <c r="Q10" s="9" cm="1">
        <f t="array" ref="Q10">_xll.FDS(C10,"P_PRICE(0)/P_PRICE_HIGH_PR(0,,,,,,""PRICE"",""INTRA"",""52W"")")</f>
        <v>0.98202659999999997</v>
      </c>
      <c r="R10" s="9" cm="1">
        <f t="array" ref="R10">_xll.FDS(C10,"P_PRICE(0)/P_PRICE_low_PR(0,,,,,,""PRICE"",""INTRA"",""52W"")-1")</f>
        <v>0.44434059999999997</v>
      </c>
      <c r="S10" s="3" cm="1">
        <f t="array" ref="S10">_xll.FDS(C10,"FG_TOTAL_RETURNC(0,-12AM)")</f>
        <v>37.010646999999999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71.399999999999991</v>
      </c>
      <c r="W10" s="4" cm="1">
        <f t="array" ref="W10">_xlfn.PERCENTRANK.EXC(_xlfn._xlws.FILTER($O$3:$O$15, ISNUMBER($O$3:$O$15)),O10)*100</f>
        <v>35.699999999999996</v>
      </c>
      <c r="X10" s="4" cm="1">
        <f t="array" ref="X10">_xlfn.PERCENTRANK.EXC(_xlfn._xlws.FILTER($P$3:$P$15, ISNUMBER($P$3:$P$15)),P10)*100</f>
        <v>85.7</v>
      </c>
      <c r="Y10" s="201" cm="1">
        <f t="array" ref="Y10">_xlfn.PERCENTRANK.EXC(_xlfn._xlws.FILTER($S$3:$S$15, ISNUMBER($S$3:$S$15)),S10)*100</f>
        <v>85.7</v>
      </c>
      <c r="Z10" s="4" cm="1">
        <f t="array" ref="Z10">_xlfn.PERCENTRANK.EXC(_xlfn._xlws.FILTER($K$3:$K$15, ISNUMBER($K$3:$K$15)),K10)*100</f>
        <v>57.099999999999994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78.5</v>
      </c>
      <c r="AC10" s="4">
        <f t="shared" si="4"/>
        <v>85.7</v>
      </c>
      <c r="AD10" s="4">
        <f t="shared" si="5"/>
        <v>35.699999999999996</v>
      </c>
      <c r="AE10" s="4">
        <f t="shared" si="6"/>
        <v>85.7</v>
      </c>
      <c r="AF10" s="4">
        <f>'Economic Momentum'!Q11</f>
        <v>35.699999999999996</v>
      </c>
      <c r="AG10" s="4">
        <f ca="1">'Economic Momentum'!R11</f>
        <v>14.2</v>
      </c>
      <c r="AH10" s="4">
        <f t="shared" ca="1" si="7"/>
        <v>64.97999999999999</v>
      </c>
      <c r="AJ10" s="3" cm="1">
        <f t="array" aca="1" ref="AJ10" ca="1">_xlfn.PERCENTRANK.EXC(_xlfn._xlws.FILTER($AH$3:$AH$15, ISNUMBER($AH$3:$AH$15)),AH10)*100</f>
        <v>71.399999999999991</v>
      </c>
      <c r="AK10">
        <f t="shared" si="8"/>
        <v>4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61018330</v>
      </c>
      <c r="E11" cm="1">
        <f t="array" ref="E11">_xll.FDS(C11,"FMA_COS_UP(""EPS"",""1M"",+1,0,,,""PORTAGG"",""MEANR"")")</f>
        <v>159</v>
      </c>
      <c r="F11" cm="1">
        <f t="array" ref="F11">_xll.FDS(C11,"FMA_COS_DOWN(""EPS"",""1M"",+1,0,,,""PORTAGG"",""MEANR"")")</f>
        <v>212</v>
      </c>
      <c r="G11" cm="1">
        <f t="array" ref="G11">_xll.FDS(A11,"SIZE(FG_CONSTITUENTS)")</f>
        <v>503</v>
      </c>
      <c r="H11" s="9">
        <f t="shared" si="0"/>
        <v>0.31610337972166996</v>
      </c>
      <c r="I11" s="9">
        <f t="shared" si="1"/>
        <v>0.42147117296222664</v>
      </c>
      <c r="J11" s="9">
        <f t="shared" si="2"/>
        <v>-0.10536779324055667</v>
      </c>
      <c r="K11" s="5" cm="1">
        <f t="array" ref="K11">_xll.FDS(A11,"FMA_PCT_ABOVE_MAVG(200,0,,,,""PORTAGG"")")/100</f>
        <v>0.78400000000000003</v>
      </c>
      <c r="L11" s="41" cm="1">
        <f t="array" ref="L11">_xll.FDSB(A11,"PERCENT_CHANGE(FMA_EPS(+1,0,,,,""PORTAGG"",""MEAN""),FMA_EPS(+1,-1AM,,,,""PORTAGG"",""MEAN""))")</f>
        <v>-1.3987228942763299</v>
      </c>
      <c r="M11" s="41" cm="1">
        <f t="array" ref="M11">_xll.FDSB(A11,"PERCENT_CHANGE(FMA_EPS(+1,0,,,,""PORTAGG"",""MEAN""),FMA_EPS(+1,-3AM,,,,""PORTAGG"",""MEAN""))")</f>
        <v>-1.6257699670242001</v>
      </c>
      <c r="N11" s="3" cm="1">
        <f t="array" ref="N11">_xll.FDS(C11,"FG_TOTAL_RETURNC(0,-1AM)")</f>
        <v>4.4505954000000001</v>
      </c>
      <c r="O11" s="3" cm="1">
        <f t="array" ref="O11">_xll.FDS(C11,"FG_TOTAL_RETURNC(0,-3AM)")</f>
        <v>6.1024427000000001</v>
      </c>
      <c r="P11" s="3" cm="1">
        <f t="array" ref="P11">_xll.FDS(C11,"FG_TOTAL_RETURNC(0,-6AM)")</f>
        <v>17.769062000000002</v>
      </c>
      <c r="Q11" s="9" cm="1">
        <f t="array" ref="Q11">_xll.FDS(C11,"P_PRICE(0)/P_PRICE_HIGH_PR(0,,,,,,""PRICE"",""INTRA"",""52W"")")</f>
        <v>0.99738970000000005</v>
      </c>
      <c r="R11" s="9" cm="1">
        <f t="array" ref="R11">_xll.FDS(C11,"P_PRICE(0)/P_PRICE_low_PR(0,,,,,,""PRICE"",""INTRA"",""52W"")-1")</f>
        <v>0.42858194999999999</v>
      </c>
      <c r="S11" s="3" cm="1">
        <f t="array" ref="S11">_xll.FDS(C11,"FG_TOTAL_RETURNC(0,-12AM)")</f>
        <v>37.72739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92.800000000000011</v>
      </c>
      <c r="Y11" s="201" cm="1">
        <f t="array" ref="Y11">_xlfn.PERCENTRANK.EXC(_xlfn._xlws.FILTER($S$3:$S$15, ISNUMBER($S$3:$S$15)),S11)*100</f>
        <v>92.800000000000011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64.2</v>
      </c>
      <c r="AB11" s="4" cm="1">
        <f t="array" ref="AB11">_xlfn.PERCENTRANK.EXC(_xlfn._xlws.FILTER($J$3:$J$15, ISNUMBER($J$3:$J$15)),J11)*100</f>
        <v>64.2</v>
      </c>
      <c r="AC11" s="4">
        <f t="shared" si="4"/>
        <v>78.5</v>
      </c>
      <c r="AD11" s="4">
        <f t="shared" si="5"/>
        <v>42.8</v>
      </c>
      <c r="AE11" s="4">
        <f t="shared" si="6"/>
        <v>85.7</v>
      </c>
      <c r="AF11" s="4">
        <f>'Economic Momentum'!Q12</f>
        <v>35.699999999999996</v>
      </c>
      <c r="AG11" s="4">
        <f ca="1">'Economic Momentum'!R12</f>
        <v>14.2</v>
      </c>
      <c r="AH11" s="4">
        <f t="shared" ca="1" si="7"/>
        <v>85.67</v>
      </c>
      <c r="AJ11" s="3" cm="1">
        <f t="array" aca="1" ref="AJ11" ca="1">_xlfn.PERCENTRANK.EXC(_xlfn._xlws.FILTER($AH$3:$AH$15, ISNUMBER($AH$3:$AH$15)),AH11)*100</f>
        <v>92.800000000000011</v>
      </c>
      <c r="AK11">
        <f t="shared" si="8"/>
        <v>5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3164981</v>
      </c>
      <c r="E12" cm="1">
        <f t="array" ref="E12">_xll.FDS(C12,"FMA_COS_UP(""EPS"",""1M"",+1,0,,,""PORTAGG"",""MEANR"")")</f>
        <v>17</v>
      </c>
      <c r="F12" cm="1">
        <f t="array" ref="F12">_xll.FDS(C12,"FMA_COS_DOWN(""EPS"",""1M"",+1,0,,,""PORTAGG"",""MEANR"")")</f>
        <v>32</v>
      </c>
      <c r="G12" cm="1">
        <f t="array" ref="G12">_xll.FDS(A12,"SIZE(FG_CONSTITUENTS)")</f>
        <v>61</v>
      </c>
      <c r="H12" s="9">
        <f t="shared" ref="H12:H15" si="9">E12/$G12</f>
        <v>0.27868852459016391</v>
      </c>
      <c r="I12" s="9">
        <f t="shared" ref="I12:I15" si="10">F12/$G12</f>
        <v>0.52459016393442626</v>
      </c>
      <c r="J12" s="9">
        <f t="shared" ref="J12:J15" si="11">H12-I12</f>
        <v>-0.24590163934426235</v>
      </c>
      <c r="K12" s="5" cm="1">
        <f t="array" ref="K12">_xll.FDS(A12,"FMA_PCT_ABOVE_MAVG(200,0,,,,""PORTAGG"")")/100</f>
        <v>0.50819672131147497</v>
      </c>
      <c r="L12" s="41" cm="1">
        <f t="array" ref="L12">_xll.FDSB(A12,"PERCENT_CHANGE(FMA_EPS(+1,0,,,,""PORTAGG"",""MEAN""),FMA_EPS(+1,-1AM,,,,""PORTAGG"",""MEAN""))")</f>
        <v>-3.3227058476898401</v>
      </c>
      <c r="M12" s="41" cm="1">
        <f t="array" ref="M12">_xll.FDSB(A12,"PERCENT_CHANGE(FMA_EPS(+1,0,,,,""PORTAGG"",""MEAN""),FMA_EPS(+1,-3AM,,,,""PORTAGG"",""MEAN""))")</f>
        <v>-3.4228336014856202</v>
      </c>
      <c r="N12" s="3" cm="1">
        <f t="array" ref="N12">_xll.FDS(C12,"FG_TOTAL_RETURNC(0,-1AM)")</f>
        <v>0.12755394</v>
      </c>
      <c r="O12" s="3" cm="1">
        <f t="array" ref="O12">_xll.FDS(C12,"FG_TOTAL_RETURNC(0,-3AM)")</f>
        <v>0.95164775999999995</v>
      </c>
      <c r="P12" s="3" cm="1">
        <f t="array" ref="P12">_xll.FDS(C12,"FG_TOTAL_RETURNC(0,-6AM)")</f>
        <v>0.88372229999999996</v>
      </c>
      <c r="Q12" s="9" cm="1">
        <f t="array" ref="Q12">_xll.FDS(C12,"P_PRICE(0)/P_PRICE_HIGH_PR(0,,,,,,""PRICE"",""INTRA"",""52W"")")</f>
        <v>0.92136150000000006</v>
      </c>
      <c r="R12" s="9" cm="1">
        <f t="array" ref="R12">_xll.FDS(C12,"P_PRICE(0)/P_PRICE_low_PR(0,,,,,,""PRICE"",""INTRA"",""52W"")-1")</f>
        <v>0.16607248999999999</v>
      </c>
      <c r="S12" s="3" cm="1">
        <f t="array" ref="S12">_xll.FDS(C12,"FG_TOTAL_RETURNC(0,-12AM)")</f>
        <v>17.203188000000001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28.499999999999996</v>
      </c>
      <c r="X12" s="4" cm="1">
        <f t="array" ref="X12">_xlfn.PERCENTRANK.EXC(_xlfn._xlws.FILTER($P$3:$P$15, ISNUMBER($P$3:$P$15)),P12)*100</f>
        <v>7.1</v>
      </c>
      <c r="Y12" s="201" cm="1">
        <f t="array" ref="Y12">_xlfn.PERCENTRANK.EXC(_xlfn._xlws.FILTER($S$3:$S$15, ISNUMBER($S$3:$S$15)),S12)*100</f>
        <v>7.1</v>
      </c>
      <c r="Z12" s="4" cm="1">
        <f t="array" ref="Z12">_xlfn.PERCENTRANK.EXC(_xlfn._xlws.FILTER($K$3:$K$15, ISNUMBER($K$3:$K$15)),K12)*100</f>
        <v>28.499999999999996</v>
      </c>
      <c r="AA12" s="4" cm="1">
        <f t="array" ref="AA12">_xlfn.PERCENTRANK.EXC(_xlfn._xlws.FILTER($H$3:$H$15, ISNUMBER($H$3:$H$15)),H12)*100</f>
        <v>57.099999999999994</v>
      </c>
      <c r="AB12" s="4" cm="1">
        <f t="array" ref="AB12">_xlfn.PERCENTRANK.EXC(_xlfn._xlws.FILTER($J$3:$J$15, ISNUMBER($J$3:$J$15)),J12)*100</f>
        <v>21.4</v>
      </c>
      <c r="AC12" s="4">
        <f t="shared" si="4"/>
        <v>35.699999999999996</v>
      </c>
      <c r="AD12" s="4">
        <f t="shared" si="5"/>
        <v>21.4</v>
      </c>
      <c r="AE12" s="4">
        <f t="shared" si="6"/>
        <v>64.2</v>
      </c>
      <c r="AF12" s="4">
        <f>'Economic Momentum'!Q13</f>
        <v>14.2</v>
      </c>
      <c r="AG12" s="4">
        <f ca="1">'Economic Momentum'!R13</f>
        <v>42.8</v>
      </c>
      <c r="AH12" s="4">
        <f t="shared" ca="1" si="7"/>
        <v>16.36</v>
      </c>
      <c r="AJ12" s="3" cm="1">
        <f t="array" aca="1" ref="AJ12" ca="1">_xlfn.PERCENTRANK.EXC(_xlfn._xlws.FILTER($AH$3:$AH$15, ISNUMBER($AH$3:$AH$15)),AH12)*100</f>
        <v>14.2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1066475.3</v>
      </c>
      <c r="E13" cm="1">
        <f t="array" ref="E13">_xll.FDS(C13,"FMA_COS_UP(""EPS"",""1M"",+1,0,,,""PORTAGG"",""MEANR"")")</f>
        <v>14</v>
      </c>
      <c r="F13" cm="1">
        <f t="array" ref="F13">_xll.FDS(C13,"FMA_COS_DOWN(""EPS"",""1M"",+1,0,,,""PORTAGG"",""MEANR"")")</f>
        <v>22</v>
      </c>
      <c r="G13" cm="1">
        <f t="array" ref="G13">_xll.FDS(A13,"SIZE(FG_CONSTITUENTS)")</f>
        <v>55</v>
      </c>
      <c r="H13" s="9">
        <f t="shared" si="9"/>
        <v>0.25454545454545452</v>
      </c>
      <c r="I13" s="9">
        <f t="shared" si="10"/>
        <v>0.4</v>
      </c>
      <c r="J13" s="9">
        <f t="shared" si="11"/>
        <v>-0.1454545454545455</v>
      </c>
      <c r="K13" s="5" cm="1">
        <f t="array" ref="K13">_xll.FDS(A13,"FMA_PCT_ABOVE_MAVG(200,0,,,,""PORTAGG"")")/100</f>
        <v>0.5</v>
      </c>
      <c r="L13" s="41" cm="1">
        <f t="array" ref="L13">_xll.FDSB(A13,"PERCENT_CHANGE(FMA_EPS(+1,0,,,,""PORTAGG"",""MEAN""),FMA_EPS(+1,-1AM,,,,""PORTAGG"",""MEAN""))")</f>
        <v>-3.1269859072625201</v>
      </c>
      <c r="M13" s="41" cm="1">
        <f t="array" ref="M13">_xll.FDSB(A13,"PERCENT_CHANGE(FMA_EPS(+1,0,,,,""PORTAGG"",""MEAN""),FMA_EPS(+1,-3AM,,,,""PORTAGG"",""MEAN""))")</f>
        <v>-0.69805350049774295</v>
      </c>
      <c r="N13" s="3" cm="1">
        <f t="array" ref="N13">_xll.FDS(C13,"FG_TOTAL_RETURNC(0,-1AM)")</f>
        <v>-0.95879435999999996</v>
      </c>
      <c r="O13" s="3" cm="1">
        <f t="array" ref="O13">_xll.FDS(C13,"FG_TOTAL_RETURNC(0,-3AM)")</f>
        <v>-3.2097280000000001</v>
      </c>
      <c r="P13" s="3" cm="1">
        <f t="array" ref="P13">_xll.FDS(C13,"FG_TOTAL_RETURNC(0,-6AM)")</f>
        <v>3.9985179999999998</v>
      </c>
      <c r="Q13" s="9" cm="1">
        <f t="array" ref="Q13">_xll.FDS(C13,"P_PRICE(0)/P_PRICE_HIGH_PR(0,,,,,,""PRICE"",""INTRA"",""52W"")")</f>
        <v>0.91551954000000002</v>
      </c>
      <c r="R13" s="9" cm="1">
        <f t="array" ref="R13">_xll.FDS(C13,"P_PRICE(0)/P_PRICE_low_PR(0,,,,,,""PRICE"",""INTRA"",""52W"")-1")</f>
        <v>0.33783400000000002</v>
      </c>
      <c r="S13" s="3" cm="1">
        <f t="array" ref="S13">_xll.FDS(C13,"FG_TOTAL_RETURNC(0,-12AM)")</f>
        <v>33.679569999999998</v>
      </c>
      <c r="T13" s="4" cm="1">
        <f t="array" ref="T13">_xlfn.PERCENTRANK.EXC(_xlfn._xlws.FILTER($R$3:$R$15, ISNUMBER($R$3:$R$15)),R13)*100</f>
        <v>50</v>
      </c>
      <c r="U13" s="4">
        <f t="shared" si="12"/>
        <v>50</v>
      </c>
      <c r="V13" s="4" cm="1">
        <f t="array" ref="V13">_xlfn.PERCENTRANK.EXC(_xlfn._xlws.FILTER($Q$3:$Q$15, ISNUMBER($Q$3:$Q$15)),Q13)*100</f>
        <v>7.1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14.2</v>
      </c>
      <c r="Y13" s="201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50</v>
      </c>
      <c r="AC13" s="4">
        <f t="shared" si="4"/>
        <v>42.8</v>
      </c>
      <c r="AD13" s="4">
        <f t="shared" si="5"/>
        <v>57.099999999999994</v>
      </c>
      <c r="AE13" s="4">
        <f t="shared" si="6"/>
        <v>28.499999999999996</v>
      </c>
      <c r="AF13" s="4">
        <f>'Economic Momentum'!Q14</f>
        <v>57.099999999999994</v>
      </c>
      <c r="AG13" s="4">
        <f ca="1">'Economic Momentum'!R14</f>
        <v>7.1</v>
      </c>
      <c r="AH13" s="4">
        <f t="shared" ca="1" si="7"/>
        <v>9.23</v>
      </c>
      <c r="AJ13" s="3" cm="1">
        <f t="array" aca="1" ref="AJ13" ca="1">_xlfn.PERCENTRANK.EXC(_xlfn._xlws.FILTER($AH$3:$AH$15, ISNUMBER($AH$3:$AH$15)),AH13)*100</f>
        <v>7.1</v>
      </c>
      <c r="AK13">
        <f t="shared" si="8"/>
        <v>0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1042629.44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24</v>
      </c>
      <c r="G14" cm="1">
        <f t="array" ref="G14">_xll.FDS(A14,"SIZE(FG_CONSTITUENTS)")</f>
        <v>47</v>
      </c>
      <c r="H14" s="9">
        <f t="shared" si="9"/>
        <v>0.21276595744680851</v>
      </c>
      <c r="I14" s="9">
        <f t="shared" si="10"/>
        <v>0.51063829787234039</v>
      </c>
      <c r="J14" s="9">
        <f t="shared" si="11"/>
        <v>-0.2978723404255319</v>
      </c>
      <c r="K14" s="5" cm="1">
        <f t="array" ref="K14">_xll.FDS(A14,"FMA_PCT_ABOVE_MAVG(200,0,,,,""PORTAGG"")")/100</f>
        <v>0.66666666666666696</v>
      </c>
      <c r="L14" s="41" cm="1">
        <f t="array" ref="L14">_xll.FDSB(A14,"PERCENT_CHANGE(FMA_EPS(+1,0,,,,""PORTAGG"",""MEAN""),FMA_EPS(+1,-1AM,,,,""PORTAGG"",""MEAN""))")</f>
        <v>-2.5526793236069398</v>
      </c>
      <c r="M14" s="41" cm="1">
        <f t="array" ref="M14">_xll.FDSB(A14,"PERCENT_CHANGE(FMA_EPS(+1,0,,,,""PORTAGG"",""MEAN""),FMA_EPS(+1,-3AM,,,,""PORTAGG"",""MEAN""))")</f>
        <v>-2.8322109079062798</v>
      </c>
      <c r="N14" s="3" cm="1">
        <f t="array" ref="N14">_xll.FDS(C14,"FG_TOTAL_RETURNC(0,-1AM)")</f>
        <v>-0.84235669999999996</v>
      </c>
      <c r="O14" s="3" cm="1">
        <f t="array" ref="O14">_xll.FDS(C14,"FG_TOTAL_RETURNC(0,-3AM)")</f>
        <v>0.8074403</v>
      </c>
      <c r="P14" s="3" cm="1">
        <f t="array" ref="P14">_xll.FDS(C14,"FG_TOTAL_RETURNC(0,-6AM)")</f>
        <v>9.0489025000000005</v>
      </c>
      <c r="Q14" s="9" cm="1">
        <f t="array" ref="Q14">_xll.FDS(C14,"P_PRICE(0)/P_PRICE_HIGH_PR(0,,,,,,""PRICE"",""INTRA"",""52W"")")</f>
        <v>0.93721569999999998</v>
      </c>
      <c r="R14" s="9" cm="1">
        <f t="array" ref="R14">_xll.FDS(C14,"P_PRICE(0)/P_PRICE_low_PR(0,,,,,,""PRICE"",""INTRA"",""52W"")-1")</f>
        <v>0.34267556999999998</v>
      </c>
      <c r="S14" s="3" cm="1">
        <f t="array" ref="S14">_xll.FDS(C14,"FG_TOTAL_RETURNC(0,-12AM)")</f>
        <v>31.871127999999999</v>
      </c>
      <c r="T14" s="4" cm="1">
        <f t="array" ref="T14">_xlfn.PERCENTRANK.EXC(_xlfn._xlws.FILTER($R$3:$R$15, ISNUMBER($R$3:$R$15)),R14)*100</f>
        <v>64.2</v>
      </c>
      <c r="U14" s="4">
        <f t="shared" si="12"/>
        <v>35.799999999999997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21.4</v>
      </c>
      <c r="X14" s="4" cm="1">
        <f t="array" ref="X14">_xlfn.PERCENTRANK.EXC(_xlfn._xlws.FILTER($P$3:$P$15, ISNUMBER($P$3:$P$15)),P14)*100</f>
        <v>28.499999999999996</v>
      </c>
      <c r="Y14" s="201" cm="1">
        <f t="array" ref="Y14">_xlfn.PERCENTRANK.EXC(_xlfn._xlws.FILTER($S$3:$S$15, ISNUMBER($S$3:$S$15)),S14)*100</f>
        <v>57.099999999999994</v>
      </c>
      <c r="Z14" s="4" cm="1">
        <f t="array" ref="Z14">_xlfn.PERCENTRANK.EXC(_xlfn._xlws.FILTER($K$3:$K$15, ISNUMBER($K$3:$K$15)),K14)*100</f>
        <v>64.2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14.2</v>
      </c>
      <c r="AC14" s="4">
        <f t="shared" si="4"/>
        <v>50</v>
      </c>
      <c r="AD14" s="4">
        <f t="shared" si="5"/>
        <v>28.499999999999996</v>
      </c>
      <c r="AE14" s="4">
        <f t="shared" si="6"/>
        <v>21.4</v>
      </c>
      <c r="AF14" s="4">
        <f>'Economic Momentum'!Q15</f>
        <v>50</v>
      </c>
      <c r="AG14" s="4">
        <f ca="1">'Economic Momentum'!R15</f>
        <v>35.699999999999996</v>
      </c>
      <c r="AH14" s="4">
        <f t="shared" ca="1" si="7"/>
        <v>23.53</v>
      </c>
      <c r="AJ14" s="3" cm="1">
        <f t="array" aca="1" ref="AJ14" ca="1">_xlfn.PERCENTRANK.EXC(_xlfn._xlws.FILTER($AH$3:$AH$15, ISNUMBER($AH$3:$AH$15)),AH14)*100</f>
        <v>28.499999999999996</v>
      </c>
      <c r="AK14">
        <f t="shared" si="8"/>
        <v>0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904200.94</v>
      </c>
      <c r="E15" cm="1">
        <f t="array" ref="E15">_xll.FDS(C15,"FMA_COS_UP(""EPS"",""1M"",+1,0,,,""PORTAGG"",""MEANR"")")</f>
        <v>7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27</v>
      </c>
      <c r="H15" s="9">
        <f t="shared" si="9"/>
        <v>0.25925925925925924</v>
      </c>
      <c r="I15" s="9">
        <f t="shared" si="10"/>
        <v>0.40740740740740738</v>
      </c>
      <c r="J15" s="9">
        <f t="shared" si="11"/>
        <v>-0.14814814814814814</v>
      </c>
      <c r="K15" s="5" cm="1">
        <f t="array" ref="K15">_xll.FDS(A15,"FMA_PCT_ABOVE_MAVG(200,0,,,,""PORTAGG"")")/100</f>
        <v>0.68</v>
      </c>
      <c r="L15" s="41" cm="1">
        <f t="array" ref="L15">_xll.FDSB(A15,"PERCENT_CHANGE(FMA_EPS(+1,0,,,,""PORTAGG"",""MEAN""),FMA_EPS(+1,-1AM,,,,""PORTAGG"",""MEAN""))")</f>
        <v>-6.9646360068427597</v>
      </c>
      <c r="M15" s="41" cm="1">
        <f t="array" ref="M15">_xll.FDSB(A15,"PERCENT_CHANGE(FMA_EPS(+1,0,,,,""PORTAGG"",""MEAN""),FMA_EPS(+1,-3AM,,,,""PORTAGG"",""MEAN""))")</f>
        <v>-7.5174293161386201</v>
      </c>
      <c r="N15" s="3" cm="1">
        <f t="array" ref="N15">_xll.FDS(C15,"FG_TOTAL_RETURNC(0,-1AM)")</f>
        <v>2.2970438</v>
      </c>
      <c r="O15" s="3" cm="1">
        <f t="array" ref="O15">_xll.FDS(C15,"FG_TOTAL_RETURNC(0,-3AM)")</f>
        <v>4.0074230000000002</v>
      </c>
      <c r="P15" s="3" cm="1">
        <f t="array" ref="P15">_xll.FDS(C15,"FG_TOTAL_RETURNC(0,-6AM)")</f>
        <v>11.248063999999999</v>
      </c>
      <c r="Q15" s="9" cm="1">
        <f t="array" ref="Q15">_xll.FDS(C15,"P_PRICE(0)/P_PRICE_HIGH_PR(0,,,,,,""PRICE"",""INTRA"",""52W"")")</f>
        <v>0.98889726</v>
      </c>
      <c r="R15" s="9" cm="1">
        <f t="array" ref="R15">_xll.FDS(C15,"P_PRICE(0)/P_PRICE_low_PR(0,,,,,,""PRICE"",""INTRA"",""52W"")-1")</f>
        <v>0.35068070000000001</v>
      </c>
      <c r="S15" s="3" cm="1">
        <f t="array" ref="S15">_xll.FDS(C15,"FG_TOTAL_RETURNC(0,-12AM)")</f>
        <v>35.331843999999997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78.5</v>
      </c>
      <c r="W15" s="4" cm="1">
        <f t="array" ref="W15">_xlfn.PERCENTRANK.EXC(_xlfn._xlws.FILTER($O$3:$O$15, ISNUMBER($O$3:$O$15)),O15)*100</f>
        <v>57.099999999999994</v>
      </c>
      <c r="X15" s="4" cm="1">
        <f t="array" ref="X15">_xlfn.PERCENTRANK.EXC(_xlfn._xlws.FILTER($P$3:$P$15, ISNUMBER($P$3:$P$15)),P15)*100</f>
        <v>35.699999999999996</v>
      </c>
      <c r="Y15" s="201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78.5</v>
      </c>
      <c r="AA15" s="4" cm="1">
        <f t="array" ref="AA15">_xlfn.PERCENTRANK.EXC(_xlfn._xlws.FILTER($H$3:$H$15, ISNUMBER($H$3:$H$15)),H15)*100</f>
        <v>35.699999999999996</v>
      </c>
      <c r="AB15" s="4" cm="1">
        <f t="array" ref="AB15">_xlfn.PERCENTRANK.EXC(_xlfn._xlws.FILTER($J$3:$J$15, ISNUMBER($J$3:$J$15)),J15)*100</f>
        <v>42.8</v>
      </c>
      <c r="AC15" s="4">
        <f t="shared" si="4"/>
        <v>7.1</v>
      </c>
      <c r="AD15" s="4">
        <f t="shared" si="5"/>
        <v>7.1</v>
      </c>
      <c r="AE15" s="4">
        <f t="shared" si="6"/>
        <v>14.2</v>
      </c>
      <c r="AF15" s="4">
        <f>'Economic Momentum'!Q16</f>
        <v>64.2</v>
      </c>
      <c r="AG15" s="4">
        <f ca="1">'Economic Momentum'!R16</f>
        <v>85.7</v>
      </c>
      <c r="AH15" s="4">
        <f t="shared" ca="1" si="7"/>
        <v>59.24</v>
      </c>
      <c r="AJ15" s="3" cm="1">
        <f t="array" aca="1" ref="AJ15" ca="1">_xlfn.PERCENTRANK.EXC(_xlfn._xlws.FILTER($AH$3:$AH$15, ISNUMBER($AH$3:$AH$15)),AH15)*100</f>
        <v>64.2</v>
      </c>
      <c r="AK15">
        <f t="shared" si="8"/>
        <v>3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441</v>
      </c>
      <c r="F18" cm="1">
        <f t="array" ref="F18">_xll.FDS(C18,"FMA_COS_DOWN(""EPS"",""1M"",+1,0,,,""PORTAGG"",""MEANR"")")</f>
        <v>507</v>
      </c>
      <c r="G18" cm="1">
        <f t="array" ref="G18">_xll.FDS(A18,"SIZE(FG_CONSTITUENTS)")</f>
        <v>1271</v>
      </c>
      <c r="H18" s="9">
        <f>E18/$G18</f>
        <v>0.34697088906372936</v>
      </c>
      <c r="I18" s="9">
        <f>F18/$G18</f>
        <v>0.39889850511408342</v>
      </c>
      <c r="J18" s="9">
        <f t="shared" ref="J18" si="13">H18-I18</f>
        <v>-5.1927616050354064E-2</v>
      </c>
      <c r="K18" s="5" cm="1">
        <f t="array" ref="K18">_xll.FDS(A18,"FMA_PCT_ABOVE_MAVG(200,0,,,,""PORTAGG"")")/100</f>
        <v>0.600317208564631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2.00900919227055</v>
      </c>
      <c r="N18" s="3" cm="1">
        <f t="array" ref="N18">_xll.FDS(C18,"FG_TOTAL_RETURNC(0,-1AM)")</f>
        <v>-0.14294386000000001</v>
      </c>
      <c r="O18" s="3" cm="1">
        <f t="array" ref="O18">_xll.FDS(C18,"FG_TOTAL_RETURNC(0,-3AM)")</f>
        <v>2.4238944</v>
      </c>
      <c r="P18" s="3" cm="1">
        <f t="array" ref="P18">_xll.FDS(C18,"FG_TOTAL_RETURNC(0,-6AM)")</f>
        <v>9.738016</v>
      </c>
      <c r="Q18" s="9" cm="1">
        <f t="array" ref="Q18">_xll.FDS(C18,"P_PRICE(0)/P_PRICE_HIGH_PR(0,,,,,,""PRICE"",""INTRA"",""52W"")")</f>
        <v>0.96503879999999997</v>
      </c>
      <c r="R18" s="9" cm="1">
        <f t="array" ref="R18">_xll.FDS(C18,"P_PRICE(0)/P_PRICE_low_PR(0,,,,,,""PRICE"",""INTRA"",""52W"")-1")</f>
        <v>0.26334906000000002</v>
      </c>
      <c r="S18" s="3" cm="1">
        <f t="array" ref="S18">_xll.FDS(C18,"FG_TOTAL_RETURNC(0,-12AM)")</f>
        <v>25.830947999999999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1023</v>
      </c>
      <c r="F19" cm="1">
        <f t="array" ref="F19">_xll.FDS(C19,"FMA_COS_DOWN(""EPS"",""1M"",+1,0,,,""PORTAGG"",""MEANR"")")</f>
        <v>1672</v>
      </c>
      <c r="G19" cm="1">
        <f t="array" ref="G19">_xll.FDS(A19,"SIZE(FG_CONSTITUENTS)")</f>
        <v>4849</v>
      </c>
      <c r="H19" s="9">
        <f>E19/$G19</f>
        <v>0.21097133429573109</v>
      </c>
      <c r="I19" s="9">
        <f>F19/$G19</f>
        <v>0.3448133635801196</v>
      </c>
      <c r="J19" s="9">
        <f t="shared" ref="J19" si="14">H19-I19</f>
        <v>-0.13384202928438851</v>
      </c>
      <c r="K19" s="5" cm="1">
        <f t="array" ref="K19">_xll.FDS(A19,"FMA_PCT_ABOVE_MAVG(200,0,,,,""PORTAGG"")")/100</f>
        <v>0.36867724867724905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0.96128353277329404</v>
      </c>
      <c r="N19" s="3" cm="1">
        <f t="array" ref="N19">_xll.FDS(C19,"FG_TOTAL_RETURNC(0,-1AM)")</f>
        <v>7.7536820000000004</v>
      </c>
      <c r="O19" s="3" cm="1">
        <f t="array" ref="O19">_xll.FDS(C19,"FG_TOTAL_RETURNC(0,-3AM)")</f>
        <v>8.1423400000000008</v>
      </c>
      <c r="P19" s="3" cm="1">
        <f t="array" ref="P19">_xll.FDS(C19,"FG_TOTAL_RETURNC(0,-6AM)")</f>
        <v>17.429732999999999</v>
      </c>
      <c r="Q19" s="9" cm="1">
        <f t="array" ref="Q19">_xll.FDS(C19,"P_PRICE(0)/P_PRICE_HIGH_PR(0,,,,,,""PRICE"",""INTRA"",""52W"")")</f>
        <v>0.96489817</v>
      </c>
      <c r="R19" s="9" cm="1">
        <f t="array" ref="R19">_xll.FDS(C19,"P_PRICE(0)/P_PRICE_low_PR(0,,,,,,""PRICE"",""INTRA"",""52W"")-1")</f>
        <v>0.276999</v>
      </c>
      <c r="S19" s="3" cm="1">
        <f t="array" ref="S19">_xll.FDS(C19,"FG_TOTAL_RETURNC(0,-12AM)")</f>
        <v>27.894997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440</v>
      </c>
      <c r="F20" cm="1">
        <f t="array" ref="F20">_xll.FDS(C20,"FMA_COS_DOWN(""EPS"",""1M"",+1,0,,,""PORTAGG"",""MEANR"")")</f>
        <v>610</v>
      </c>
      <c r="G20" cm="1">
        <f t="array" ref="G20">_xll.FDS(A20,"SIZE(FG_CONSTITUENTS)")</f>
        <v>1412</v>
      </c>
      <c r="H20" s="9">
        <f t="shared" ref="H20" si="16">E20/$G20</f>
        <v>0.31161473087818697</v>
      </c>
      <c r="I20" s="9">
        <f t="shared" ref="I20" si="17">F20/$G20</f>
        <v>0.43201133144475923</v>
      </c>
      <c r="J20" s="9">
        <f t="shared" ref="J20" si="18">H20-I20</f>
        <v>-0.12039660056657225</v>
      </c>
      <c r="K20" s="5" cm="1">
        <f t="array" ref="K20">_xll.FDS(A20,"FMA_PCT_ABOVE_MAVG(200,0,,,,""PORTAGG"")")/100</f>
        <v>0.67874911158493201</v>
      </c>
      <c r="L20" s="41" cm="1">
        <f t="array" ref="L20">_xll.FDSB(A20,"PERCENT_CHANGE(FMA_EPS(+1,0,,,,""PORTAGG"",""MEAN""),FMA_EPS(+1,-1AM,,,,""PORTAGG"",""MEAN""))")</f>
        <v>-1.7312536652537001</v>
      </c>
      <c r="M20" s="41" cm="1">
        <f t="array" ref="M20">_xll.FDSB(A20,"PERCENT_CHANGE(FMA_EPS(+1,0,,,,""PORTAGG"",""MEAN""),FMA_EPS(+1,-3AM,,,,""PORTAGG"",""MEAN""))")</f>
        <v>-0.54131793258402405</v>
      </c>
      <c r="N20" s="3" cm="1">
        <f t="array" ref="N20">_xll.FDS(C20,"FG_TOTAL_RETURNC(0,-1AM)")</f>
        <v>3.5226464000000002</v>
      </c>
      <c r="O20" s="3" cm="1">
        <f t="array" ref="O20">_xll.FDS(C20,"FG_TOTAL_RETURNC(0,-3AM)")</f>
        <v>5.4313064000000004</v>
      </c>
      <c r="P20" s="3" cm="1">
        <f t="array" ref="P20">_xll.FDS(C20,"FG_TOTAL_RETURNC(0,-6AM)")</f>
        <v>15.625643999999999</v>
      </c>
      <c r="Q20" s="9" cm="1">
        <f t="array" ref="Q20">_xll.FDS(C20,"P_PRICE(0)/P_PRICE_HIGH_PR(0,,,,,,""PRICE"",""INTRA"",""52W"")")</f>
        <v>0.99782669999999996</v>
      </c>
      <c r="R20" s="9" cm="1">
        <f t="array" ref="R20">_xll.FDS(C20,"P_PRICE(0)/P_PRICE_low_PR(0,,,,,,""PRICE"",""INTRA"",""52W"")-1")</f>
        <v>0.38099383999999997</v>
      </c>
      <c r="S20" s="3" cm="1">
        <f t="array" ref="S20">_xll.FDS(C20,"FG_TOTAL_RETURNC(0,-12AM)")</f>
        <v>34.118200000000002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83</v>
      </c>
      <c r="F21" cm="1">
        <f t="array" ref="F21">_xll.FDS(C21,"FMA_COS_DOWN(""EPS"",""1M"",+1,0,,,""PORTAGG"",""MEANR"")")</f>
        <v>73</v>
      </c>
      <c r="G21" cm="1">
        <f t="array" ref="G21">_xll.FDS(A21,"SIZE(FG_CONSTITUENTS)")</f>
        <v>199</v>
      </c>
      <c r="H21" s="9">
        <f t="shared" ref="H21:H22" si="20">E21/$G21</f>
        <v>0.41708542713567837</v>
      </c>
      <c r="I21" s="9">
        <f t="shared" ref="I21:I22" si="21">F21/$G21</f>
        <v>0.36683417085427134</v>
      </c>
      <c r="J21" s="9">
        <f t="shared" ref="J21:J22" si="22">H21-I21</f>
        <v>5.0251256281407031E-2</v>
      </c>
      <c r="K21" s="5" cm="1">
        <f t="array" ref="K21">_xll.FDS(A21,"FMA_PCT_ABOVE_MAVG(200,0,,,,""PORTAGG"")")/100</f>
        <v>0.46733668341708501</v>
      </c>
      <c r="L21" s="41" cm="1">
        <f t="array" ref="L21">_xll.FDSB(A21,"PERCENT_CHANGE(FMA_EPS(+1,0,,,,""PORTAGG"",""MEAN""),FMA_EPS(+1,-1AM,,,,""PORTAGG"",""MEAN""))")</f>
        <v>-4.0513400980160599</v>
      </c>
      <c r="M21" s="41" cm="1">
        <f t="array" ref="M21">_xll.FDSB(A21,"PERCENT_CHANGE(FMA_EPS(+1,0,,,,""PORTAGG"",""MEAN""),FMA_EPS(+1,-3AM,,,,""PORTAGG"",""MEAN""))")</f>
        <v>7.4685678529611002</v>
      </c>
      <c r="N21" s="3" cm="1">
        <f t="array" ref="N21">_xll.FDS(C21,"FG_TOTAL_RETURNC(0,-1AM)")</f>
        <v>1.0664343999999999</v>
      </c>
      <c r="O21" s="3" cm="1">
        <f t="array" ref="O21">_xll.FDS(C21,"FG_TOTAL_RETURNC(0,-3AM)")</f>
        <v>-0.38352609999999998</v>
      </c>
      <c r="P21" s="3" cm="1">
        <f t="array" ref="P21">_xll.FDS(C21,"FG_TOTAL_RETURNC(0,-6AM)")</f>
        <v>5.6273220000000004</v>
      </c>
      <c r="Q21" s="9" cm="1">
        <f t="array" ref="Q21">_xll.FDS(C21,"P_PRICE(0)/P_PRICE_HIGH_PR(0,,,,,,""PRICE"",""INTRA"",""52W"")")</f>
        <v>0.95753690000000002</v>
      </c>
      <c r="R21" s="9" cm="1">
        <f t="array" ref="R21">_xll.FDS(C21,"P_PRICE(0)/P_PRICE_low_PR(0,,,,,,""PRICE"",""INTRA"",""52W"")-1")</f>
        <v>0.22604883000000001</v>
      </c>
      <c r="S21" s="3" cm="1">
        <f t="array" ref="S21">_xll.FDS(C21,"FG_TOTAL_RETURNC(0,-12AM)")</f>
        <v>21.543657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159</v>
      </c>
      <c r="F22" cm="1">
        <f t="array" ref="F22">_xll.FDS(C22,"FMA_COS_DOWN(""EPS"",""1M"",+1,0,,,""PORTAGG"",""MEANR"")")</f>
        <v>212</v>
      </c>
      <c r="G22" cm="1">
        <f t="array" ref="G22">_xll.FDS(A22,"SIZE(FG_CONSTITUENTS)")</f>
        <v>503</v>
      </c>
      <c r="H22" s="9">
        <f t="shared" si="20"/>
        <v>0.31610337972166996</v>
      </c>
      <c r="I22" s="9">
        <f t="shared" si="21"/>
        <v>0.42147117296222664</v>
      </c>
      <c r="J22" s="9">
        <f t="shared" si="22"/>
        <v>-0.10536779324055667</v>
      </c>
      <c r="K22" s="5" cm="1">
        <f t="array" ref="K22">_xll.FDS(A22,"FMA_PCT_ABOVE_MAVG(200,0,,,,""PORTAGG"")")/100</f>
        <v>0.78400000000000003</v>
      </c>
      <c r="L22" s="41" cm="1">
        <f t="array" ref="L22">_xll.FDSB(A22,"PERCENT_CHANGE(FMA_EPS(+1,0,,,,""PORTAGG"",""MEAN""),FMA_EPS(+1,-1AM,,,,""PORTAGG"",""MEAN""))")</f>
        <v>-1.3987228942763299</v>
      </c>
      <c r="M22" s="41" cm="1">
        <f t="array" ref="M22">_xll.FDSB(A22,"PERCENT_CHANGE(FMA_EPS(+1,0,,,,""PORTAGG"",""MEAN""),FMA_EPS(+1,-3AM,,,,""PORTAGG"",""MEAN""))")</f>
        <v>-1.6257699670242001</v>
      </c>
      <c r="N22" s="3" cm="1">
        <f t="array" ref="N22">_xll.FDS(C22,"FG_TOTAL_RETURNC(0,-1AM)")</f>
        <v>4.4505954000000001</v>
      </c>
      <c r="O22" s="3" cm="1">
        <f t="array" ref="O22">_xll.FDS(C22,"FG_TOTAL_RETURNC(0,-3AM)")</f>
        <v>6.1024427000000001</v>
      </c>
      <c r="P22" s="3" cm="1">
        <f t="array" ref="P22">_xll.FDS(C22,"FG_TOTAL_RETURNC(0,-6AM)")</f>
        <v>17.769062000000002</v>
      </c>
      <c r="Q22" s="9" cm="1">
        <f t="array" ref="Q22">_xll.FDS(C22,"P_PRICE(0)/P_PRICE_HIGH_PR(0,,,,,,""PRICE"",""INTRA"",""52W"")")</f>
        <v>0.99738970000000005</v>
      </c>
      <c r="R22" s="9" cm="1">
        <f t="array" ref="R22">_xll.FDS(C22,"P_PRICE(0)/P_PRICE_low_PR(0,,,,,,""PRICE"",""INTRA"",""52W"")-1")</f>
        <v>0.42858194999999999</v>
      </c>
      <c r="S22" s="3" cm="1">
        <f t="array" ref="S22">_xll.FDS(C22,"FG_TOTAL_RETURNC(0,-12AM)")</f>
        <v>37.72739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20</v>
      </c>
      <c r="F23" cm="1">
        <f t="array" ref="F23">_xll.FDS(C23,"FMA_COS_DOWN(""EPS"",""1M"",+1,0,,,""PORTAGG"",""MEANR"")")</f>
        <v>19</v>
      </c>
      <c r="G23" cm="1">
        <f t="array" ref="G23">_xll.FDS(A23,"SIZE(FG_CONSTITUENTS)")</f>
        <v>52</v>
      </c>
      <c r="H23" s="9">
        <f t="shared" ref="H23" si="24">E23/$G23</f>
        <v>0.38461538461538464</v>
      </c>
      <c r="I23" s="9">
        <f t="shared" ref="I23" si="25">F23/$G23</f>
        <v>0.36538461538461536</v>
      </c>
      <c r="J23" s="9">
        <f t="shared" ref="J23" si="26">H23-I23</f>
        <v>1.9230769230769273E-2</v>
      </c>
      <c r="K23" s="5" cm="1">
        <f t="array" ref="K23">_xll.FDS(A23,"FMA_PCT_ABOVE_MAVG(200,0,,,,""PORTAGG"")")/100</f>
        <v>0.82</v>
      </c>
      <c r="L23" s="41" cm="1">
        <f t="array" ref="L23">_xll.FDSB(A23,"PERCENT_CHANGE(FMA_EPS(+1,0,,,,""PORTAGG"",""MEAN""),FMA_EPS(+1,-1AM,,,,""PORTAGG"",""MEAN""))")</f>
        <v>-0.50745734075378202</v>
      </c>
      <c r="M23" s="41" cm="1">
        <f t="array" ref="M23">_xll.FDSB(A23,"PERCENT_CHANGE(FMA_EPS(+1,0,,,,""PORTAGG"",""MEAN""),FMA_EPS(+1,-3AM,,,,""PORTAGG"",""MEAN""))")</f>
        <v>4.7717887762708404</v>
      </c>
      <c r="N23" s="3" cm="1">
        <f t="array" ref="N23">_xll.FDS(C23,"FG_TOTAL_RETURNC(0,-1AM)")</f>
        <v>22.833134000000001</v>
      </c>
      <c r="O23" s="3" cm="1">
        <f t="array" ref="O23">_xll.FDS(C23,"FG_TOTAL_RETURNC(0,-3AM)")</f>
        <v>23.68319</v>
      </c>
      <c r="P23" s="3" cm="1">
        <f t="array" ref="P23">_xll.FDS(C23,"FG_TOTAL_RETURNC(0,-6AM)")</f>
        <v>34.024334000000003</v>
      </c>
      <c r="Q23" s="9" cm="1">
        <f t="array" ref="Q23">_xll.FDS(C23,"P_PRICE(0)/P_PRICE_HIGH_PR(0,,,,,,""PRICE"",""INTRA"",""52W"")")</f>
        <v>0.85786664000000001</v>
      </c>
      <c r="R23" s="9" cm="1">
        <f t="array" ref="R23">_xll.FDS(C23,"P_PRICE(0)/P_PRICE_low_PR(0,,,,,,""PRICE"",""INTRA"",""52W"")-1")</f>
        <v>0.5421859</v>
      </c>
      <c r="S23" s="3" cm="1">
        <f t="array" ref="S23">_xll.FDS(C23,"FG_TOTAL_RETURNC(0,-12AM)")</f>
        <v>27.369297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-0.28598403999999999</v>
      </c>
      <c r="E4" s="9">
        <f>HLOOKUP(B4,'Monthly Returns'!$A$1:$Q$134, 132, FALSE)</f>
        <v>0.12396694214876033</v>
      </c>
      <c r="H4" s="9">
        <f>HLOOKUP(B4,'Yearly returns'!$B$1:$N$140, 133, FALSE)</f>
        <v>0.16528925619834711</v>
      </c>
      <c r="I4" s="9">
        <f>HLOOKUP(B4,'Yearly returns'!$B$1:$N$140, 138, FALSE)</f>
        <v>0.79500000000000004</v>
      </c>
      <c r="J4" s="183">
        <f>1/E4</f>
        <v>8.0666666666666664</v>
      </c>
      <c r="K4" s="185">
        <f>PERCENTRANK($J$4:$J$16,J4)*100</f>
        <v>41.6</v>
      </c>
      <c r="L4" s="47">
        <f>(1-PERCENTRANK($E$4:$E$16,E4))*100</f>
        <v>50</v>
      </c>
      <c r="M4" s="47">
        <f>(1-PERCENTRANK($H$4:$H$16,H4))*100</f>
        <v>41.7</v>
      </c>
      <c r="N4" s="47">
        <f>(1-PERCENTRANK($I$4:$I$16,I4))*100</f>
        <v>91.7</v>
      </c>
      <c r="P4">
        <f>L4*Assumption!$E$53 + M4*Assumption!$F$53 + N4*Assumption!$G$53</f>
        <v>68.775000000000006</v>
      </c>
      <c r="R4" cm="1">
        <f t="array" ref="R4">_xlfn.PERCENTRANK.EXC(_xlfn._xlws.FILTER(P$4:P$16, ISNUMBER(P$4:P$16)),P4)*100</f>
        <v>71.399999999999991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-0.40295906000000004</v>
      </c>
      <c r="E5" s="9">
        <f>HLOOKUP(B5,'Monthly Returns'!$A$1:$Q$134, 132, FALSE)</f>
        <v>0.11570247933884298</v>
      </c>
      <c r="H5" s="9">
        <f>HLOOKUP(B5,'Yearly returns'!$B$1:$N$140, 133, FALSE)</f>
        <v>0.15702479338842976</v>
      </c>
      <c r="I5" s="9">
        <f>HLOOKUP(B5,'Yearly returns'!$B$1:$N$140, 138, FALSE)</f>
        <v>0.93400000000000005</v>
      </c>
      <c r="J5" s="183">
        <f t="shared" ref="J5:J16" si="0">1/E5</f>
        <v>8.6428571428571423</v>
      </c>
      <c r="K5" s="185">
        <f t="shared" ref="K5:K16" si="1">PERCENTRANK($J$4:$J$16,J5)*100</f>
        <v>58.3</v>
      </c>
      <c r="L5" s="47">
        <f t="shared" ref="L5:L16" si="2">(1-PERCENTRANK($E$4:$E$16,E5))*100</f>
        <v>58.400000000000006</v>
      </c>
      <c r="M5" s="47">
        <f t="shared" ref="M5:M16" si="3">(1-PERCENTRANK($H$4:$H$16,H5))*100</f>
        <v>50</v>
      </c>
      <c r="N5" s="47">
        <f t="shared" ref="N5:N16" si="4">(1-PERCENTRANK($I$4:$I$16,I5))*100</f>
        <v>16.700000000000003</v>
      </c>
      <c r="P5">
        <f>L5*Assumption!$E$53 + M5*Assumption!$F$53 + N5*Assumption!$G$53</f>
        <v>35.450000000000003</v>
      </c>
      <c r="R5" cm="1">
        <f t="array" ref="R5">_xlfn.PERCENTRANK.EXC(_xlfn._xlws.FILTER(P$4:P$16, ISNUMBER(P$4:P$16)),P5)*100</f>
        <v>21.4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-0.38990826000000001</v>
      </c>
      <c r="E6" s="9">
        <f>HLOOKUP(B6,'Monthly Returns'!$A$1:$Q$134, 132, FALSE)</f>
        <v>0.1487603305785124</v>
      </c>
      <c r="H6" s="9">
        <f>HLOOKUP(B6,'Yearly returns'!$B$1:$N$140, 133, FALSE)</f>
        <v>0.17355371900826447</v>
      </c>
      <c r="I6" s="9">
        <f>HLOOKUP(B6,'Yearly returns'!$B$1:$N$140, 138, FALSE)</f>
        <v>0.90100000000000002</v>
      </c>
      <c r="J6" s="183">
        <f t="shared" si="0"/>
        <v>6.7222222222222223</v>
      </c>
      <c r="K6" s="185">
        <f t="shared" si="1"/>
        <v>8.3000000000000007</v>
      </c>
      <c r="L6" s="47">
        <f t="shared" si="2"/>
        <v>8.3999999999999968</v>
      </c>
      <c r="M6" s="47">
        <f t="shared" si="3"/>
        <v>33.4</v>
      </c>
      <c r="N6" s="47">
        <f t="shared" si="4"/>
        <v>58.400000000000006</v>
      </c>
      <c r="P6">
        <f>L6*Assumption!$E$53 + M6*Assumption!$F$53 + N6*Assumption!$G$53</f>
        <v>39.650000000000006</v>
      </c>
      <c r="R6" cm="1">
        <f t="array" ref="R6">_xlfn.PERCENTRANK.EXC(_xlfn._xlws.FILTER(P$4:P$16, ISNUMBER(P$4:P$16)),P6)*100</f>
        <v>35.699999999999996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-0.38274554999999999</v>
      </c>
      <c r="E7" s="9">
        <f>HLOOKUP(B7,'Monthly Returns'!$A$1:$Q$134, 132, FALSE)</f>
        <v>0.14049586776859505</v>
      </c>
      <c r="H7" s="9">
        <f>HLOOKUP(B7,'Yearly returns'!$B$1:$N$140, 133, FALSE)</f>
        <v>0.24793388429752067</v>
      </c>
      <c r="I7" s="9">
        <f>HLOOKUP(B7,'Yearly returns'!$B$1:$N$140, 138, FALSE)</f>
        <v>0.95899999999999996</v>
      </c>
      <c r="J7" s="183">
        <f t="shared" si="0"/>
        <v>7.117647058823529</v>
      </c>
      <c r="K7" s="185">
        <f t="shared" si="1"/>
        <v>16.600000000000001</v>
      </c>
      <c r="L7" s="47">
        <f t="shared" si="2"/>
        <v>25</v>
      </c>
      <c r="M7" s="47">
        <f t="shared" si="3"/>
        <v>8.3999999999999968</v>
      </c>
      <c r="N7" s="47">
        <f t="shared" si="4"/>
        <v>8.3999999999999968</v>
      </c>
      <c r="P7">
        <f>L7*Assumption!$E$53 + M7*Assumption!$F$53 + N7*Assumption!$G$53</f>
        <v>12.549999999999997</v>
      </c>
      <c r="R7" cm="1">
        <f t="array" ref="R7">_xlfn.PERCENTRANK.EXC(_xlfn._xlws.FILTER(P$4:P$16, ISNUMBER(P$4:P$16)),P7)*100</f>
        <v>7.1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-0.22924624999999998</v>
      </c>
      <c r="E8" s="9">
        <f>HLOOKUP(B8,'Monthly Returns'!$A$1:$Q$134, 132, FALSE)</f>
        <v>0.10743801652892562</v>
      </c>
      <c r="H8" s="9">
        <f>HLOOKUP(B8,'Yearly returns'!$B$1:$N$140, 133, FALSE)</f>
        <v>0.12396694214876033</v>
      </c>
      <c r="I8" s="9">
        <f>HLOOKUP(B8,'Yearly returns'!$B$1:$N$140, 138, FALSE)</f>
        <v>0.90100000000000002</v>
      </c>
      <c r="J8" s="183">
        <f t="shared" si="0"/>
        <v>9.3076923076923066</v>
      </c>
      <c r="K8" s="185">
        <f t="shared" si="1"/>
        <v>66.600000000000009</v>
      </c>
      <c r="L8" s="47">
        <f t="shared" si="2"/>
        <v>75</v>
      </c>
      <c r="M8" s="47">
        <f t="shared" si="3"/>
        <v>66.7</v>
      </c>
      <c r="N8" s="47">
        <f t="shared" si="4"/>
        <v>58.400000000000006</v>
      </c>
      <c r="P8">
        <f>L8*Assumption!$E$53 + M8*Assumption!$F$53 + N8*Assumption!$G$53</f>
        <v>64.625</v>
      </c>
      <c r="R8" cm="1">
        <f t="array" ref="R8">_xlfn.PERCENTRANK.EXC(_xlfn._xlws.FILTER(P$4:P$16, ISNUMBER(P$4:P$16)),P8)*100</f>
        <v>64.2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-0.25172990000000001</v>
      </c>
      <c r="E9" s="9">
        <f>HLOOKUP(B9,'Monthly Returns'!$A$1:$Q$134, 132, FALSE)</f>
        <v>9.9173553719008267E-2</v>
      </c>
      <c r="H9" s="9">
        <f>HLOOKUP(B9,'Yearly returns'!$B$1:$N$140, 133, FALSE)</f>
        <v>9.9173553719008267E-2</v>
      </c>
      <c r="I9" s="9">
        <f>HLOOKUP(B9,'Yearly returns'!$B$1:$N$140, 138, FALSE)</f>
        <v>0.90100000000000002</v>
      </c>
      <c r="J9" s="183">
        <f t="shared" si="0"/>
        <v>10.083333333333334</v>
      </c>
      <c r="K9" s="185">
        <f t="shared" si="1"/>
        <v>83.3</v>
      </c>
      <c r="L9" s="47">
        <f t="shared" si="2"/>
        <v>83.399999999999991</v>
      </c>
      <c r="M9" s="47">
        <f t="shared" si="3"/>
        <v>83.399999999999991</v>
      </c>
      <c r="N9" s="47">
        <f t="shared" si="4"/>
        <v>58.400000000000006</v>
      </c>
      <c r="P9">
        <f>L9*Assumption!$E$53 + M9*Assumption!$F$53 + N9*Assumption!$G$53</f>
        <v>70.900000000000006</v>
      </c>
      <c r="R9" cm="1">
        <f t="array" ref="R9">_xlfn.PERCENTRANK.EXC(_xlfn._xlws.FILTER(P$4:P$16, ISNUMBER(P$4:P$16)),P9)*100</f>
        <v>78.5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-0.38217334999999997</v>
      </c>
      <c r="E10" s="9">
        <f>HLOOKUP(B10,'Monthly Returns'!$A$1:$Q$134, 132, FALSE)</f>
        <v>9.0909090909090912E-2</v>
      </c>
      <c r="H10" s="9">
        <f>HLOOKUP(B10,'Yearly returns'!$B$1:$N$140, 133, FALSE)</f>
        <v>0.17355371900826447</v>
      </c>
      <c r="I10" s="9">
        <f>HLOOKUP(B10,'Yearly returns'!$B$1:$N$140, 138, FALSE)</f>
        <v>0.91800000000000004</v>
      </c>
      <c r="J10" s="183">
        <f t="shared" si="0"/>
        <v>11</v>
      </c>
      <c r="K10" s="185">
        <f t="shared" si="1"/>
        <v>91.600000000000009</v>
      </c>
      <c r="L10" s="47">
        <f t="shared" si="2"/>
        <v>91.7</v>
      </c>
      <c r="M10" s="47">
        <f t="shared" si="3"/>
        <v>33.4</v>
      </c>
      <c r="N10" s="47">
        <f t="shared" si="4"/>
        <v>33.4</v>
      </c>
      <c r="P10">
        <f>L10*Assumption!$E$53 + M10*Assumption!$F$53 + N10*Assumption!$G$53</f>
        <v>47.974999999999994</v>
      </c>
      <c r="R10" cm="1">
        <f t="array" ref="R10">_xlfn.PERCENTRANK.EXC(_xlfn._xlws.FILTER(P$4:P$16, ISNUMBER(P$4:P$16)),P10)*100</f>
        <v>42.8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-0.24764622</v>
      </c>
      <c r="E11" s="9">
        <f>HLOOKUP(B11,'Monthly Returns'!$A$1:$Q$134, 132, FALSE)</f>
        <v>0.10743801652892562</v>
      </c>
      <c r="H11" s="9">
        <f>HLOOKUP(B11,'Yearly returns'!$B$1:$N$140, 133, FALSE)</f>
        <v>7.43801652892562E-2</v>
      </c>
      <c r="I11" s="9">
        <f>HLOOKUP(B11,'Yearly returns'!$B$1:$N$140, 138, FALSE)</f>
        <v>0.81899999999999995</v>
      </c>
      <c r="J11" s="183">
        <f t="shared" si="0"/>
        <v>9.3076923076923066</v>
      </c>
      <c r="K11" s="185">
        <f t="shared" si="1"/>
        <v>66.600000000000009</v>
      </c>
      <c r="L11" s="47">
        <f t="shared" si="2"/>
        <v>75</v>
      </c>
      <c r="M11" s="47">
        <f t="shared" si="3"/>
        <v>91.7</v>
      </c>
      <c r="N11" s="47">
        <f t="shared" si="4"/>
        <v>83.399999999999991</v>
      </c>
      <c r="P11">
        <f>L11*Assumption!$E$53 + M11*Assumption!$F$53 + N11*Assumption!$G$53</f>
        <v>83.375</v>
      </c>
      <c r="R11" cm="1">
        <f t="array" ref="R11">_xlfn.PERCENTRANK.EXC(_xlfn._xlws.FILTER(P$4:P$16, ISNUMBER(P$4:P$16)),P11)*100</f>
        <v>92.800000000000011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-0.28726279999999998</v>
      </c>
      <c r="E12" s="9">
        <f>HLOOKUP(B12,'Monthly Returns'!$A$1:$Q$134, 132, FALSE)</f>
        <v>6.6115702479338845E-2</v>
      </c>
      <c r="H12" s="9">
        <f>HLOOKUP(B12,'Yearly returns'!$B$1:$N$140, 133, FALSE)</f>
        <v>6.6115702479338845E-2</v>
      </c>
      <c r="I12" s="9">
        <f>HLOOKUP(B12,'Yearly returns'!$B$1:$N$140, 138, FALSE)</f>
        <v>0.96699999999999997</v>
      </c>
      <c r="J12" s="183">
        <f t="shared" si="0"/>
        <v>15.125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-0.37775700000000001</v>
      </c>
      <c r="E13" s="9">
        <f>HLOOKUP(B13,'Monthly Returns'!$A$1:$Q$134, 132, FALSE)</f>
        <v>0.12396694214876033</v>
      </c>
      <c r="H13" s="9">
        <f>HLOOKUP(B13,'Yearly returns'!$B$1:$N$140, 133, FALSE)</f>
        <v>0.14049586776859505</v>
      </c>
      <c r="I13" s="9">
        <f>HLOOKUP(B13,'Yearly returns'!$B$1:$N$140, 138, FALSE)</f>
        <v>0.72099999999999997</v>
      </c>
      <c r="J13" s="183">
        <f t="shared" si="0"/>
        <v>8.0666666666666664</v>
      </c>
      <c r="K13" s="185">
        <f t="shared" si="1"/>
        <v>41.6</v>
      </c>
      <c r="L13" s="47">
        <f t="shared" si="2"/>
        <v>50</v>
      </c>
      <c r="M13" s="47">
        <f t="shared" si="3"/>
        <v>58.400000000000006</v>
      </c>
      <c r="N13" s="47">
        <f t="shared" si="4"/>
        <v>100</v>
      </c>
      <c r="P13">
        <f>L13*Assumption!$E$53 + M13*Assumption!$F$53 + N13*Assumption!$G$53</f>
        <v>77.099999999999994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-0.34396014999999996</v>
      </c>
      <c r="E14" s="9">
        <f>HLOOKUP(B14,'Monthly Returns'!$A$1:$Q$134, 132, FALSE)</f>
        <v>0.13223140495867769</v>
      </c>
      <c r="H14" s="9">
        <f>HLOOKUP(B14,'Yearly returns'!$B$1:$N$140, 133, FALSE)</f>
        <v>0.10743801652892562</v>
      </c>
      <c r="I14" s="9">
        <f>HLOOKUP(B14,'Yearly returns'!$B$1:$N$140, 138, FALSE)</f>
        <v>0.88500000000000001</v>
      </c>
      <c r="J14" s="183">
        <f t="shared" si="0"/>
        <v>7.5625</v>
      </c>
      <c r="K14" s="185">
        <f t="shared" si="1"/>
        <v>33.300000000000004</v>
      </c>
      <c r="L14" s="47">
        <f t="shared" si="2"/>
        <v>33.4</v>
      </c>
      <c r="M14" s="47">
        <f t="shared" si="3"/>
        <v>75</v>
      </c>
      <c r="N14" s="47">
        <f t="shared" si="4"/>
        <v>66.7</v>
      </c>
      <c r="P14">
        <f>L14*Assumption!$E$53 + M14*Assumption!$F$53 + N14*Assumption!$G$53</f>
        <v>60.45</v>
      </c>
      <c r="R14" cm="1">
        <f t="array" ref="R14">_xlfn.PERCENTRANK.EXC(_xlfn._xlws.FILTER(P$4:P$16, ISNUMBER(P$4:P$16)),P14)*100</f>
        <v>57.099999999999994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-0.33958893000000001</v>
      </c>
      <c r="E15" s="9">
        <f>HLOOKUP(B15,'Monthly Returns'!$A$1:$Q$134, 132, FALSE)</f>
        <v>0.14049586776859505</v>
      </c>
      <c r="H15" s="9">
        <f>HLOOKUP(B15,'Yearly returns'!$B$1:$N$140, 133, FALSE)</f>
        <v>0.19008264462809918</v>
      </c>
      <c r="I15" s="9">
        <f>HLOOKUP(B15,'Yearly returns'!$B$1:$N$140, 138, FALSE)</f>
        <v>0.92600000000000005</v>
      </c>
      <c r="J15" s="183">
        <f t="shared" si="0"/>
        <v>7.117647058823529</v>
      </c>
      <c r="K15" s="185">
        <f t="shared" si="1"/>
        <v>16.600000000000001</v>
      </c>
      <c r="L15" s="47">
        <f t="shared" si="2"/>
        <v>25</v>
      </c>
      <c r="M15" s="47">
        <f t="shared" si="3"/>
        <v>16.700000000000003</v>
      </c>
      <c r="N15" s="47">
        <f t="shared" si="4"/>
        <v>25</v>
      </c>
      <c r="P15">
        <f>L15*Assumption!$E$53 + M15*Assumption!$F$53 + N15*Assumption!$G$53</f>
        <v>22.925000000000001</v>
      </c>
      <c r="R15" cm="1">
        <f t="array" ref="R15">_xlfn.PERCENTRANK.EXC(_xlfn._xlws.FILTER(P$4:P$16, ISNUMBER(P$4:P$16)),P15)*100</f>
        <v>14.2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-0.39233820000000003</v>
      </c>
      <c r="E16" s="9">
        <f>HLOOKUP(B16,'Monthly Returns'!$A$1:$Q$134, 132, FALSE)</f>
        <v>0.15702479338842976</v>
      </c>
      <c r="H16" s="9">
        <f>HLOOKUP(B16,'Yearly returns'!$B$1:$N$140, 133, FALSE)</f>
        <v>0.28925619834710742</v>
      </c>
      <c r="I16" s="9">
        <f>HLOOKUP(B16,'Yearly returns'!$B$1:$N$140, 138, FALSE)</f>
        <v>0.86799999999999999</v>
      </c>
      <c r="J16" s="183">
        <f t="shared" si="0"/>
        <v>6.3684210526315788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75</v>
      </c>
      <c r="P16">
        <f>L16*Assumption!$E$53 + M16*Assumption!$F$53 + N16*Assumption!$G$53</f>
        <v>37.5</v>
      </c>
      <c r="R16" cm="1">
        <f t="array" ref="R16">_xlfn.PERCENTRANK.EXC(_xlfn._xlws.FILTER(P$4:P$16, ISNUMBER(P$4:P$16)),P16)*100</f>
        <v>28.499999999999996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0.47499999999999998</v>
      </c>
      <c r="G5" s="141" cm="1">
        <f t="array" ref="G5">_xll.FDSZ(C5,"FG_PRICE(0)")</f>
        <v>49.21</v>
      </c>
      <c r="H5" s="141" cm="1">
        <f t="array" ref="H5">_xll.FDSZ(C5,"FG_PRICE_MAVG(0,,,,30)")</f>
        <v>49.1905</v>
      </c>
      <c r="I5" s="141" cm="1">
        <f t="array" ref="I5">_xll.FDSZ(C5,"FG_PRICE_MAVG(0,,,,60)")</f>
        <v>48.369864999999997</v>
      </c>
      <c r="J5" s="141" cm="1">
        <f t="array" ref="J5">_xll.FDSZ(C5,"FG_PRICE_MAVG(0,,,,200)")</f>
        <v>46.509262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414.97613999999999</v>
      </c>
      <c r="T5" s="7" cm="1">
        <f t="array" ref="T5">_xll.FDSZ($R5,"FG_PRICE(0)")</f>
        <v>414.97613999999999</v>
      </c>
      <c r="U5" s="7" cm="1">
        <f t="array" ref="U5">_xll.FDSZ($R5,"FG_PRICE(0)")</f>
        <v>414.97613999999999</v>
      </c>
      <c r="V5" s="7" cm="1">
        <f t="array" ref="V5">_xll.FDSZ($R5,"FG_PRICE(0)")</f>
        <v>414.97613999999999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0.55700000000000005</v>
      </c>
      <c r="G6" s="141" cm="1">
        <f t="array" ref="G6">_xll.FDSZ(C6,"FG_PRICE(0)")</f>
        <v>26.56</v>
      </c>
      <c r="H6" s="141" cm="1">
        <f t="array" ref="H6">_xll.FDSZ(C6,"FG_PRICE_MAVG(0,,,,30)")</f>
        <v>26.424666999999999</v>
      </c>
      <c r="I6" s="141" cm="1">
        <f t="array" ref="I6">_xll.FDSZ(C6,"FG_PRICE_MAVG(0,,,,60)")</f>
        <v>25.671500000000002</v>
      </c>
      <c r="J6" s="141" cm="1">
        <f t="array" ref="J6">_xll.FDSZ(C6,"FG_PRICE_MAVG(0,,,,200)")</f>
        <v>24.652899999999999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388.3211</v>
      </c>
      <c r="T6" s="7" cm="1">
        <f t="array" ref="T6">_xll.FDSZ($R6,"FG_PRICE(0)")</f>
        <v>388.3211</v>
      </c>
      <c r="U6" s="7" cm="1">
        <f t="array" ref="U6">_xll.FDSZ($R6,"FG_PRICE(0)")</f>
        <v>388.3211</v>
      </c>
      <c r="V6" s="7" cm="1">
        <f t="array" ref="V6">_xll.FDSZ($R6,"FG_PRICE(0)")</f>
        <v>388.3211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0.71299999999999997</v>
      </c>
      <c r="G7" s="141" cm="1">
        <f t="array" ref="G7">_xll.FDSZ(C7,"FG_PRICE(0)")</f>
        <v>42.04</v>
      </c>
      <c r="H7" s="141" cm="1">
        <f t="array" ref="H7">_xll.FDSZ(C7,"FG_PRICE_MAVG(0,,,,30)")</f>
        <v>41.190666</v>
      </c>
      <c r="I7" s="141" cm="1">
        <f t="array" ref="I7">_xll.FDSZ(C7,"FG_PRICE_MAVG(0,,,,60)")</f>
        <v>40.046500000000002</v>
      </c>
      <c r="J7" s="141" cm="1">
        <f t="array" ref="J7">_xll.FDSZ(C7,"FG_PRICE_MAVG(0,,,,200)")</f>
        <v>38.146500000000003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321.74374</v>
      </c>
      <c r="T7" s="7" cm="1">
        <f t="array" ref="T7">_xll.FDSZ($R7,"FG_PRICE(0)")</f>
        <v>321.74374</v>
      </c>
      <c r="U7" s="7" cm="1">
        <f t="array" ref="U7">_xll.FDSZ($R7,"FG_PRICE(0)")</f>
        <v>321.74374</v>
      </c>
      <c r="V7" s="7" cm="1">
        <f t="array" ref="V7">_xll.FDSZ($R7,"FG_PRICE(0)")</f>
        <v>321.74374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0.65500000000000003</v>
      </c>
      <c r="G8" s="141" cm="1">
        <f t="array" ref="G8">_xll.FDSZ(C8,"FG_PRICE(0)")</f>
        <v>33.36</v>
      </c>
      <c r="H8" s="141" cm="1">
        <f t="array" ref="H8">_xll.FDSZ(C8,"FG_PRICE_MAVG(0,,,,30)")</f>
        <v>32.907665000000001</v>
      </c>
      <c r="I8" s="141" cm="1">
        <f t="array" ref="I8">_xll.FDSZ(C8,"FG_PRICE_MAVG(0,,,,60)")</f>
        <v>32.087000000000003</v>
      </c>
      <c r="J8" s="141" cm="1">
        <f t="array" ref="J8">_xll.FDSZ(C8,"FG_PRICE_MAVG(0,,,,200)")</f>
        <v>31.1265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10.243778000000001</v>
      </c>
      <c r="T8" s="7" cm="1">
        <f t="array" ref="T8">_xll.FDSZ($R8,"FG_PRICE(0)")</f>
        <v>10.243778000000001</v>
      </c>
      <c r="U8" s="7" cm="1">
        <f t="array" ref="U8">_xll.FDSZ($R8,"FG_PRICE(0)")</f>
        <v>10.243778000000001</v>
      </c>
      <c r="V8" s="7" cm="1">
        <f t="array" ref="V8">_xll.FDSZ($R8,"FG_PRICE(0)")</f>
        <v>10.243778000000001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0.50800000000000001</v>
      </c>
      <c r="G9" s="141" cm="1">
        <f t="array" ref="G9">_xll.FDSZ(C9,"FG_PRICE(0)")</f>
        <v>70.13</v>
      </c>
      <c r="H9" s="141" cm="1">
        <f t="array" ref="H9">_xll.FDSZ(C9,"FG_PRICE_MAVG(0,,,,30)")</f>
        <v>70.712329999999994</v>
      </c>
      <c r="I9" s="141" cm="1">
        <f t="array" ref="I9">_xll.FDSZ(C9,"FG_PRICE_MAVG(0,,,,60)")</f>
        <v>69.715500000000006</v>
      </c>
      <c r="J9" s="141" cm="1">
        <f t="array" ref="J9">_xll.FDSZ(C9,"FG_PRICE_MAVG(0,,,,200)")</f>
        <v>68.773049999999998</v>
      </c>
      <c r="L9">
        <f t="shared" si="0"/>
        <v>0</v>
      </c>
      <c r="M9">
        <f t="shared" si="1"/>
        <v>1</v>
      </c>
      <c r="N9">
        <f t="shared" si="2"/>
        <v>1</v>
      </c>
      <c r="P9">
        <f t="shared" si="3"/>
        <v>2</v>
      </c>
      <c r="R9" t="s">
        <v>842</v>
      </c>
      <c r="S9" s="7" cm="1">
        <f t="array" ref="S9">_xll.FDSZ($R9,"FG_PRICE(0)")</f>
        <v>177.13069999999999</v>
      </c>
      <c r="T9" s="7" cm="1">
        <f t="array" ref="T9">_xll.FDSZ($R9,"FG_PRICE(0)")</f>
        <v>177.13069999999999</v>
      </c>
      <c r="U9" s="7" cm="1">
        <f t="array" ref="U9">_xll.FDSZ($R9,"FG_PRICE(0)")</f>
        <v>177.13069999999999</v>
      </c>
      <c r="V9" s="7" cm="1">
        <f t="array" ref="V9">_xll.FDSZ($R9,"FG_PRICE(0)")</f>
        <v>177.13069999999999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0.442</v>
      </c>
      <c r="G10" s="141" cm="1">
        <f t="array" ref="G10">_xll.FDSZ(C10,"FG_PRICE(0)")</f>
        <v>51.51</v>
      </c>
      <c r="H10" s="141" cm="1">
        <f t="array" ref="H10">_xll.FDSZ(C10,"FG_PRICE_MAVG(0,,,,30)")</f>
        <v>51.319668</v>
      </c>
      <c r="I10" s="141" cm="1">
        <f t="array" ref="I10">_xll.FDSZ(C10,"FG_PRICE_MAVG(0,,,,60)")</f>
        <v>51.106499999999997</v>
      </c>
      <c r="J10" s="141" cm="1">
        <f t="array" ref="J10">_xll.FDSZ(C10,"FG_PRICE_MAVG(0,,,,200)")</f>
        <v>48.732149999999997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350.48039999999997</v>
      </c>
      <c r="T10" s="7" cm="1">
        <f t="array" ref="T10">_xll.FDSZ($R10,"FG_PRICE(0)")</f>
        <v>350.48039999999997</v>
      </c>
      <c r="U10" s="7" cm="1">
        <f t="array" ref="U10">_xll.FDSZ($R10,"FG_PRICE(0)")</f>
        <v>350.48039999999997</v>
      </c>
      <c r="V10" s="7" cm="1">
        <f t="array" ref="V10">_xll.FDSZ($R10,"FG_PRICE(0)")</f>
        <v>350.48039999999997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0.45</v>
      </c>
      <c r="G11" s="141" cm="1">
        <f t="array" ref="G11">_xll.FDSZ(C11,"FG_PRICE(0)")</f>
        <v>37.01</v>
      </c>
      <c r="H11" s="141" cm="1">
        <f t="array" ref="H11">_xll.FDSZ(C11,"FG_PRICE_MAVG(0,,,,30)")</f>
        <v>36.991332999999997</v>
      </c>
      <c r="I11" s="141" cm="1">
        <f t="array" ref="I11">_xll.FDSZ(C11,"FG_PRICE_MAVG(0,,,,60)")</f>
        <v>36.644165000000001</v>
      </c>
      <c r="J11" s="141" cm="1">
        <f t="array" ref="J11">_xll.FDSZ(C11,"FG_PRICE_MAVG(0,,,,200)")</f>
        <v>34.955100000000002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133.59155000000001</v>
      </c>
      <c r="T11" s="7" cm="1">
        <f t="array" ref="T11">_xll.FDSZ($R11,"FG_PRICE(0)")</f>
        <v>133.59155000000001</v>
      </c>
      <c r="U11" s="7" cm="1">
        <f t="array" ref="U11">_xll.FDSZ($R11,"FG_PRICE(0)")</f>
        <v>133.59155000000001</v>
      </c>
      <c r="V11" s="7" cm="1">
        <f t="array" ref="V11">_xll.FDSZ($R11,"FG_PRICE(0)")</f>
        <v>133.59155000000001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0.745</v>
      </c>
      <c r="G12" s="141" cm="1">
        <f t="array" ref="G12">_xll.FDSZ(C12,"FG_PRICE(0)")</f>
        <v>494.47</v>
      </c>
      <c r="H12" s="141" cm="1">
        <f t="array" ref="H12">_xll.FDSZ(C12,"FG_PRICE_MAVG(0,,,,30)")</f>
        <v>482.68</v>
      </c>
      <c r="I12" s="141" cm="1">
        <f t="array" ref="I12">_xll.FDSZ(C12,"FG_PRICE_MAVG(0,,,,60)")</f>
        <v>472.99966000000001</v>
      </c>
      <c r="J12" s="141" cm="1">
        <f t="array" ref="J12">_xll.FDSZ(C12,"FG_PRICE_MAVG(0,,,,200)")</f>
        <v>454.10964999999999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439.21251999999998</v>
      </c>
      <c r="T12" s="7" cm="1">
        <f t="array" ref="T12">_xll.FDSZ($R12,"FG_PRICE(0)")</f>
        <v>439.21251999999998</v>
      </c>
      <c r="U12" s="7" cm="1">
        <f t="array" ref="U12">_xll.FDSZ($R12,"FG_PRICE(0)")</f>
        <v>439.21251999999998</v>
      </c>
      <c r="V12" s="7" cm="1">
        <f t="array" ref="V12">_xll.FDSZ($R12,"FG_PRICE(0)")</f>
        <v>439.21251999999998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0.82699999999999996</v>
      </c>
      <c r="G13" s="141" cm="1">
        <f t="array" ref="G13">_xll.FDSZ(C13,"FG_PRICE(0)")</f>
        <v>584.59</v>
      </c>
      <c r="H13" s="141" cm="1">
        <f t="array" ref="H13">_xll.FDSZ(C13,"FG_PRICE_MAVG(0,,,,30)")</f>
        <v>569.70799999999997</v>
      </c>
      <c r="I13" s="141" cm="1">
        <f t="array" ref="I13">_xll.FDSZ(C13,"FG_PRICE_MAVG(0,,,,60)")</f>
        <v>558.17316000000005</v>
      </c>
      <c r="J13" s="141" cm="1">
        <f t="array" ref="J13">_xll.FDSZ(C13,"FG_PRICE_MAVG(0,,,,200)")</f>
        <v>529.26980000000003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439.21251999999998</v>
      </c>
      <c r="T13" s="7" cm="1">
        <f t="array" ref="T13">_xll.FDSZ($R13,"FG_PRICE(0)")</f>
        <v>439.21251999999998</v>
      </c>
      <c r="U13" s="7" cm="1">
        <f t="array" ref="U13">_xll.FDSZ($R13,"FG_PRICE(0)")</f>
        <v>439.21251999999998</v>
      </c>
      <c r="V13" s="7" cm="1">
        <f t="array" ref="V13">_xll.FDSZ($R13,"FG_PRICE(0)")</f>
        <v>439.21251999999998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0.42599999999999999</v>
      </c>
      <c r="G14" s="141" cm="1">
        <f t="array" ref="G14">_xll.FDSZ(C14,"FG_PRICE(0)")</f>
        <v>39.25</v>
      </c>
      <c r="H14" s="141" cm="1">
        <f t="array" ref="H14">_xll.FDSZ(C14,"FG_PRICE_MAVG(0,,,,30)")</f>
        <v>39.459330000000001</v>
      </c>
      <c r="I14" s="141" cm="1">
        <f t="array" ref="I14">_xll.FDSZ(C14,"FG_PRICE_MAVG(0,,,,60)")</f>
        <v>39.044665999999999</v>
      </c>
      <c r="J14" s="141" cm="1">
        <f t="array" ref="J14">_xll.FDSZ(C14,"FG_PRICE_MAVG(0,,,,200)")</f>
        <v>39.655700000000003</v>
      </c>
      <c r="L14">
        <f t="shared" si="0"/>
        <v>0</v>
      </c>
      <c r="M14">
        <f t="shared" si="1"/>
        <v>1</v>
      </c>
      <c r="N14">
        <f t="shared" si="2"/>
        <v>0</v>
      </c>
      <c r="P14">
        <f t="shared" si="3"/>
        <v>1</v>
      </c>
      <c r="R14" t="s">
        <v>845</v>
      </c>
      <c r="S14" s="7" cm="1">
        <f t="array" ref="S14">_xll.FDSZ($R14,"FG_PRICE(0)")</f>
        <v>439.21251999999998</v>
      </c>
      <c r="T14" s="7" cm="1">
        <f t="array" ref="T14">_xll.FDSZ($R14,"FG_PRICE(0)")</f>
        <v>439.21251999999998</v>
      </c>
      <c r="U14" s="7" cm="1">
        <f t="array" ref="U14">_xll.FDSZ($R14,"FG_PRICE(0)")</f>
        <v>439.21251999999998</v>
      </c>
      <c r="V14" s="7" cm="1">
        <f t="array" ref="V14">_xll.FDSZ($R14,"FG_PRICE(0)")</f>
        <v>439.21251999999998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0.31900000000000001</v>
      </c>
      <c r="G15" s="141" cm="1">
        <f t="array" ref="G15">_xll.FDSZ(C15,"FG_PRICE(0)")</f>
        <v>48.55</v>
      </c>
      <c r="H15" s="141" cm="1">
        <f t="array" ref="H15">_xll.FDSZ(C15,"FG_PRICE_MAVG(0,,,,30)")</f>
        <v>49.559339999999999</v>
      </c>
      <c r="I15" s="141" cm="1">
        <f t="array" ref="I15">_xll.FDSZ(C15,"FG_PRICE_MAVG(0,,,,60)")</f>
        <v>49.245002999999997</v>
      </c>
      <c r="J15" s="141" cm="1">
        <f t="array" ref="J15">_xll.FDSZ(C15,"FG_PRICE_MAVG(0,,,,200)")</f>
        <v>48.911673999999998</v>
      </c>
      <c r="L15">
        <f t="shared" si="0"/>
        <v>0</v>
      </c>
      <c r="M15">
        <f t="shared" si="1"/>
        <v>0</v>
      </c>
      <c r="N15">
        <f t="shared" si="2"/>
        <v>0</v>
      </c>
      <c r="P15">
        <f t="shared" si="3"/>
        <v>0</v>
      </c>
      <c r="R15" t="s">
        <v>845</v>
      </c>
      <c r="S15" s="7" cm="1">
        <f t="array" ref="S15">_xll.FDSZ($R15,"FG_PRICE(0)")</f>
        <v>439.21251999999998</v>
      </c>
      <c r="T15" s="7" cm="1">
        <f t="array" ref="T15">_xll.FDSZ($R15,"FG_PRICE(0)")</f>
        <v>439.21251999999998</v>
      </c>
      <c r="U15" s="7" cm="1">
        <f t="array" ref="U15">_xll.FDSZ($R15,"FG_PRICE(0)")</f>
        <v>439.21251999999998</v>
      </c>
      <c r="V15" s="7" cm="1">
        <f t="array" ref="V15">_xll.FDSZ($R15,"FG_PRICE(0)")</f>
        <v>439.21251999999998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0.36799999999999999</v>
      </c>
      <c r="G16" s="141" cm="1">
        <f t="array" ref="G16">_xll.FDSZ(C16,"FG_PRICE(0)")</f>
        <v>41.2</v>
      </c>
      <c r="H16" s="141" cm="1">
        <f t="array" ref="H16">_xll.FDSZ(C16,"FG_PRICE_MAVG(0,,,,30)")</f>
        <v>41.882330000000003</v>
      </c>
      <c r="I16" s="141" cm="1">
        <f t="array" ref="I16">_xll.FDSZ(C16,"FG_PRICE_MAVG(0,,,,60)")</f>
        <v>41.044665999999999</v>
      </c>
      <c r="J16" s="141" cm="1">
        <f t="array" ref="J16">_xll.FDSZ(C16,"FG_PRICE_MAVG(0,,,,200)")</f>
        <v>40.078625000000002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845</v>
      </c>
      <c r="S16" s="7" cm="1">
        <f t="array" ref="S16">_xll.FDSZ($R16,"FG_PRICE(0)")</f>
        <v>439.21251999999998</v>
      </c>
      <c r="T16" s="7" cm="1">
        <f t="array" ref="T16">_xll.FDSZ($R16,"FG_PRICE(0)")</f>
        <v>439.21251999999998</v>
      </c>
      <c r="U16" s="7" cm="1">
        <f t="array" ref="U16">_xll.FDSZ($R16,"FG_PRICE(0)")</f>
        <v>439.21251999999998</v>
      </c>
      <c r="V16" s="7" cm="1">
        <f t="array" ref="V16">_xll.FDSZ($R16,"FG_PRICE(0)")</f>
        <v>439.21251999999998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0.56499999999999995</v>
      </c>
      <c r="G17" s="141" cm="1">
        <f t="array" ref="G17">_xll.FDSZ(C17,"FG_PRICE(0)")</f>
        <v>39.19</v>
      </c>
      <c r="H17" s="141" cm="1">
        <f t="array" ref="H17">_xll.FDSZ(C17,"FG_PRICE_MAVG(0,,,,30)")</f>
        <v>38.361668000000002</v>
      </c>
      <c r="I17" s="141" cm="1">
        <f t="array" ref="I17">_xll.FDSZ(C17,"FG_PRICE_MAVG(0,,,,60)")</f>
        <v>37.741</v>
      </c>
      <c r="J17" s="141" cm="1">
        <f t="array" ref="J17">_xll.FDSZ(C17,"FG_PRICE_MAVG(0,,,,200)")</f>
        <v>36.7926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439.21251999999998</v>
      </c>
      <c r="T17" s="7" cm="1">
        <f t="array" ref="T17">_xll.FDSZ($R17,"FG_PRICE(0)")</f>
        <v>439.21251999999998</v>
      </c>
      <c r="U17" s="7" cm="1">
        <f t="array" ref="U17">_xll.FDSZ($R17,"FG_PRICE(0)")</f>
        <v>439.21251999999998</v>
      </c>
      <c r="V17" s="7" cm="1">
        <f t="array" ref="V17">_xll.FDSZ($R17,"FG_PRICE(0)")</f>
        <v>439.21251999999998</v>
      </c>
    </row>
    <row r="19" spans="1:22" x14ac:dyDescent="0.35">
      <c r="K19" s="1" t="s">
        <v>906</v>
      </c>
      <c r="L19" s="1">
        <f>SUM(L5:L17)</f>
        <v>9</v>
      </c>
      <c r="M19" s="1">
        <f t="shared" ref="M19:N19" si="4">SUM(M5:M17)</f>
        <v>12</v>
      </c>
      <c r="N19" s="1">
        <f t="shared" si="4"/>
        <v>11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0.69230769230769229</v>
      </c>
      <c r="M22" s="182">
        <f t="shared" ref="M22:N22" si="6">M19/M20</f>
        <v>0.92307692307692313</v>
      </c>
      <c r="N22" s="182">
        <f t="shared" si="6"/>
        <v>0.84615384615384615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105.36</v>
      </c>
      <c r="D3" cm="1">
        <f t="array" ref="D3">_xll.FDS($A3,"FG_PRICE_MAVG(0,,,,30)")</f>
        <v>99.283330000000007</v>
      </c>
      <c r="E3" s="47" cm="1">
        <f t="array" ref="E3">_xll.FDS($A3,"FG_PRICE_CHANGE(0,-1AM)")</f>
        <v>15.0595173091624</v>
      </c>
      <c r="F3" s="47" cm="1">
        <f t="array" ref="F3">_xll.FDS($A3,"FG_PRICE_CHANGE(0,-3AM)")</f>
        <v>-3.0994205830957502</v>
      </c>
      <c r="G3" s="47" cm="1">
        <f t="array" ref="G3">_xll.FDS($A3,"FG_PRICE_CHANGE(0,-6AM)")</f>
        <v>-2.3992589161648898</v>
      </c>
      <c r="H3" s="47" cm="1">
        <f t="array" ref="H3">_xll.FDS($A3,"FG_PRICE_CHANGE(0,-1AY)")</f>
        <v>-11.469624401310799</v>
      </c>
      <c r="I3" s="47" cm="1">
        <f t="array" ref="I3">_xll.FDS($A3,"FG_PRICE(0)/MAX(FG_PRICE(0,-1AY))")</f>
        <v>0.73085460599334096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-1</v>
      </c>
      <c r="T3">
        <f>S3</f>
        <v>-1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4.3460000000000001</v>
      </c>
      <c r="D4" cm="1">
        <f t="array" ref="D4">_xll.FDS($A4,"FG_PRICE_MAVG(0,,,,30)")</f>
        <v>4.3472999999999997</v>
      </c>
      <c r="E4" s="47" cm="1">
        <f t="array" ref="E4">_xll.FDS($A4,"FG_PRICE_CHANGE(0,-1AM)")</f>
        <v>2.5483718735252299</v>
      </c>
      <c r="F4" s="47" cm="1">
        <f t="array" ref="F4">_xll.FDS($A4,"FG_PRICE_CHANGE(0,-3AM)")</f>
        <v>1.87529301453353</v>
      </c>
      <c r="G4" s="47" cm="1">
        <f t="array" ref="G4">_xll.FDS($A4,"FG_PRICE_CHANGE(0,-6AM)")</f>
        <v>-2.1281387231167699</v>
      </c>
      <c r="H4" s="47" cm="1">
        <f t="array" ref="H4">_xll.FDS($A4,"FG_PRICE_CHANGE(0,-1AY)")</f>
        <v>21.328866554997202</v>
      </c>
      <c r="I4" s="47" cm="1">
        <f t="array" ref="I4">_xll.FDS($A4,"FG_PRICE(0)/MAX(FG_PRICE(0,-1AY))")</f>
        <v>0.84899394412971296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-9.5544085115348203</v>
      </c>
      <c r="I5" s="47" cm="1">
        <f t="array" ref="I5">_xll.FDS($A5,"FG_PRICE(0)/MAX(FG_PRICE(0,-1AY))")</f>
        <v>0.88744186046511597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5.7275</v>
      </c>
      <c r="D6" cm="1">
        <f t="array" ref="D6">_xll.FDS($A6,"FG_PRICE_MAVG(0,,,,30)")</f>
        <v>5.8275832999999997</v>
      </c>
      <c r="E6" s="47" cm="1">
        <f t="array" ref="E6">_xll.FDS($A6,"FG_PRICE_CHANGE(0,-1AM)")</f>
        <v>-0.521059487624842</v>
      </c>
      <c r="F6" s="47" cm="1">
        <f t="array" ref="F6">_xll.FDS($A6,"FG_PRICE_CHANGE(0,-3AM)")</f>
        <v>7.0060719290051301</v>
      </c>
      <c r="G6" s="47" cm="1">
        <f t="array" ref="G6">_xll.FDS($A6,"FG_PRICE_CHANGE(0,-6AM)")</f>
        <v>6.70703306939917</v>
      </c>
      <c r="H6" s="47" cm="1">
        <f t="array" ref="H6">_xll.FDS($A6,"FG_PRICE_CHANGE(0,-1AY)")</f>
        <v>-1.292546316243</v>
      </c>
      <c r="I6" s="47" cm="1">
        <f t="array" ref="I6">_xll.FDS($A6,"FG_PRICE(0)/MAX(FG_PRICE(0,-1AY))")</f>
        <v>0.81792217065333805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4318</v>
      </c>
      <c r="D7" cm="1">
        <f t="array" ref="D7">_xll.FDS($A7,"FG_PRICE_MAVG(0,,,,30)")</f>
        <v>4164.433</v>
      </c>
      <c r="E7" s="47" cm="1">
        <f t="array" ref="E7">_xll.FDS($A7,"FG_PRICE_CHANGE(0,-1AM)")</f>
        <v>10.237426601991301</v>
      </c>
      <c r="F7" s="47" cm="1">
        <f t="array" ref="F7">_xll.FDS($A7,"FG_PRICE_CHANGE(0,-3AM)")</f>
        <v>8.3563362609786704</v>
      </c>
      <c r="G7" s="47" cm="1">
        <f t="array" ref="G7">_xll.FDS($A7,"FG_PRICE_CHANGE(0,-6AM)")</f>
        <v>4.6787878787878796</v>
      </c>
      <c r="H7" s="47" cm="1">
        <f t="array" ref="H7">_xll.FDS($A7,"FG_PRICE_CHANGE(0,-1AY)")</f>
        <v>14.566197930485499</v>
      </c>
      <c r="I7" s="47" cm="1">
        <f t="array" ref="I7">_xll.FDS($A7,"FG_PRICE(0)/MAX(FG_PRICE(0,-1AY))")</f>
        <v>0.94300065516488296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1004</v>
      </c>
      <c r="D8" cm="1">
        <f t="array" ref="D8">_xll.FDS($A8,"FG_PRICE_MAVG(0,,,,30)")</f>
        <v>984.46669999999995</v>
      </c>
      <c r="E8" s="47" cm="1">
        <f t="array" ref="E8">_xll.FDS($A8,"FG_PRICE_CHANGE(0,-1AM)")</f>
        <v>2.4489795918367401</v>
      </c>
      <c r="F8" s="47" cm="1">
        <f t="array" ref="F8">_xll.FDS($A8,"FG_PRICE_CHANGE(0,-3AM)")</f>
        <v>0.4</v>
      </c>
      <c r="G8" s="47" cm="1">
        <f t="array" ref="G8">_xll.FDS($A8,"FG_PRICE_CHANGE(0,-6AM)")</f>
        <v>6.2433862433862499</v>
      </c>
      <c r="H8" s="47" cm="1">
        <f t="array" ref="H8">_xll.FDS($A8,"FG_PRICE_CHANGE(0,-1AY)")</f>
        <v>10.939226519337</v>
      </c>
      <c r="I8" s="47" cm="1">
        <f t="array" ref="I8">_xll.FDS($A8,"FG_PRICE(0)/MAX(FG_PRICE(0,-1AY))")</f>
        <v>0.93919550982226396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16780</v>
      </c>
      <c r="D9" cm="1">
        <f t="array" ref="D9">_xll.FDS($A9,"FG_PRICE_MAVG(0,,,,30)")</f>
        <v>16700.333999999999</v>
      </c>
      <c r="E9" s="47" cm="1">
        <f t="array" ref="E9">_xll.FDS($A9,"FG_PRICE_CHANGE(0,-1AM)")</f>
        <v>5.0391236306729397</v>
      </c>
      <c r="F9" s="47" cm="1">
        <f t="array" ref="F9">_xll.FDS($A9,"FG_PRICE_CHANGE(0,-3AM)")</f>
        <v>3.5482875655661799</v>
      </c>
      <c r="G9" s="47" cm="1">
        <f t="array" ref="G9">_xll.FDS($A9,"FG_PRICE_CHANGE(0,-6AM)")</f>
        <v>-7.8528281164195501</v>
      </c>
      <c r="H9" s="47" cm="1">
        <f t="array" ref="H9">_xll.FDS($A9,"FG_PRICE_CHANGE(0,-1AY)")</f>
        <v>-9.1499729290741794</v>
      </c>
      <c r="I9" s="47" cm="1">
        <f t="array" ref="I9">_xll.FDS($A9,"FG_PRICE(0)/MAX(FG_PRICE(0,-1AY))")</f>
        <v>0.78871915393654501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-1</v>
      </c>
      <c r="T9">
        <f t="shared" ref="T9" si="1">S9</f>
        <v>-1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1047</v>
      </c>
      <c r="D10" cm="1">
        <f t="array" ref="D10">_xll.FDS($A10,"FG_PRICE_MAVG(0,,,,30)")</f>
        <v>1042.0999999999999</v>
      </c>
      <c r="E10" s="47" cm="1">
        <f t="array" ref="E10">_xll.FDS($A10,"FG_PRICE_CHANGE(0,-1AM)")</f>
        <v>-4.8181818181818201</v>
      </c>
      <c r="F10" s="47" cm="1">
        <f t="array" ref="F10">_xll.FDS($A10,"FG_PRICE_CHANGE(0,-3AM)")</f>
        <v>9.0625</v>
      </c>
      <c r="G10" s="47" cm="1">
        <f t="array" ref="G10">_xll.FDS($A10,"FG_PRICE_CHANGE(0,-6AM)")</f>
        <v>-1.2264150943396299</v>
      </c>
      <c r="H10" s="47" cm="1">
        <f t="array" ref="H10">_xll.FDS($A10,"FG_PRICE_CHANGE(0,-1AY)")</f>
        <v>-8.5589519650654999</v>
      </c>
      <c r="I10" s="47" cm="1">
        <f t="array" ref="I10">_xll.FDS($A10,"FG_PRICE(0)/MAX(FG_PRICE(0,-1AY))")</f>
        <v>0.830952380952381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566.6</v>
      </c>
      <c r="D11" cm="1">
        <f t="array" ref="D11">_xll.FDS($A11,"FG_PRICE_MAVG(0,,,,30)")</f>
        <v>565.57330000000002</v>
      </c>
      <c r="E11" s="47" cm="1">
        <f t="array" ref="E11">_xll.FDS($A11,"FG_PRICE_CHANGE(0,-1AM)")</f>
        <v>1.9981998199819899</v>
      </c>
      <c r="F11" s="47" cm="1">
        <f t="array" ref="F11">_xll.FDS($A11,"FG_PRICE_CHANGE(0,-3AM)")</f>
        <v>3.8680109990834</v>
      </c>
      <c r="G11" s="47" cm="1">
        <f t="array" ref="G11">_xll.FDS($A11,"FG_PRICE_CHANGE(0,-6AM)")</f>
        <v>-0.404288978730871</v>
      </c>
      <c r="H11" s="47" cm="1">
        <f t="array" ref="H11">_xll.FDS($A11,"FG_PRICE_CHANGE(0,-1AY)")</f>
        <v>-23.6182259369102</v>
      </c>
      <c r="I11" s="47" cm="1">
        <f t="array" ref="I11">_xll.FDS($A11,"FG_PRICE(0)/MAX(FG_PRICE(0,-1AY))")</f>
        <v>0.74220592088027204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0.86</v>
      </c>
      <c r="D12" cm="1">
        <f t="array" ref="D12">_xll.FDS($A12,"FG_PRICE_MAVG(0,,,,30)")</f>
        <v>0.87751170000000001</v>
      </c>
      <c r="E12" s="47" cm="1">
        <f t="array" ref="E12">_xll.FDS($A12,"FG_PRICE_CHANGE(0,-1AM)")</f>
        <v>-2.8394438190832001</v>
      </c>
      <c r="F12" s="47" cm="1">
        <f t="array" ref="F12">_xll.FDS($A12,"FG_PRICE_CHANGE(0,-3AM)")</f>
        <v>-6.5217391304347903</v>
      </c>
      <c r="G12" s="47" cm="1">
        <f t="array" ref="G12">_xll.FDS($A12,"FG_PRICE_CHANGE(0,-6AM)")</f>
        <v>-11.3146392017591</v>
      </c>
      <c r="H12" s="47" cm="1">
        <f t="array" ref="H12">_xll.FDS($A12,"FG_PRICE_CHANGE(0,-1AY)")</f>
        <v>-15.066434343736599</v>
      </c>
      <c r="I12" s="47" cm="1">
        <f t="array" ref="I12">_xll.FDS($A12,"FG_PRICE(0)/MAX(FG_PRICE(0,-1AY))")</f>
        <v>0.82692307692307698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41929</v>
      </c>
      <c r="B2" s="3" cm="1">
        <f t="array" ref="B2:B122">_xll.FDS(B1,"FMA_PE(LTMA,-10AY,0,AM,""PORTAGG"",""MEANR"")")</f>
        <v>17.638548590257901</v>
      </c>
      <c r="C2" s="3" cm="1">
        <f t="array" ref="C2:C122">_xll.FDS(C1,"FMA_PE(LTMA,-10AY,0,AM,""PORTAGG"",""MEANR"")")</f>
        <v>14.770733588585999</v>
      </c>
      <c r="D2" s="3" cm="1">
        <f t="array" ref="D2:D122">_xll.FDS(D1,"FMA_PE(LTMA,-10AY,0,AM,""PORTAGG"",""MEANR"")")</f>
        <v>15.3434476033209</v>
      </c>
      <c r="E2" s="3" cm="1">
        <f t="array" ref="E2:E122">_xll.FDS(E1,"FMA_PE(LTMA,-10AY,0,AM,""PORTAGG"",""MEANR"")")</f>
        <v>13.313307080107601</v>
      </c>
      <c r="F2" s="3" cm="1">
        <f t="array" ref="F2:F122">_xll.FDS(F1,"FMA_PE(LTMA,-10AY,0,AM,""PORTAGG"",""MEANR"")")</f>
        <v>14.0298153948272</v>
      </c>
      <c r="G2" s="3" cm="1">
        <f t="array" ref="G2:G122">_xll.FDS(G1,"FMA_PE(LTMA,-10AY,0,AM,""PORTAGG"",""MEANR"")")</f>
        <v>16.494017805701599</v>
      </c>
      <c r="H2" s="3" cm="1">
        <f t="array" ref="H2:H122">_xll.FDS(H1,"FMA_PE(LTMA,-10AY,0,AM,""PORTAGG"",""MEANR"")")</f>
        <v>13.4024909452766</v>
      </c>
      <c r="I2" s="3" cm="1">
        <f t="array" ref="I2:I122">_xll.FDS(I1,"FMA_PE(LTMA,-10AY,0,AM,""PORTAGG"",""MEANR"")")</f>
        <v>18.446668664406602</v>
      </c>
      <c r="J2" s="3" cm="1">
        <f t="array" ref="J2:J122">_xll.FDS(J1,"FMA_PE(LTMA,-10AY,0,AM,""PORTAGG"",""MEANR"")")</f>
        <v>15.8473913586229</v>
      </c>
      <c r="K2" s="3" cm="1">
        <f t="array" ref="K2:K122">_xll.FDS(K1,"FMA_PE(LTMA,-10AY,0,AM,""PORTAGG"",""MEANR"")")</f>
        <v>14.4454434475899</v>
      </c>
      <c r="L2" s="3" cm="1">
        <f t="array" ref="L2:L122">_xll.FDS(L1,"FMA_PE(LTMA,-10AY,0,AM,""PORTAGG"",""MEANR"")")</f>
        <v>15.759072294353899</v>
      </c>
      <c r="M2" s="3" cm="1">
        <f t="array" ref="M2:M122">_xll.FDS(M1,"FMA_PE(LTMA,-10AY,0,AM,""PORTAGG"",""MEANR"")")</f>
        <v>15.3152851529383</v>
      </c>
      <c r="N2" s="3" cm="1">
        <f t="array" ref="N2:N122">_xll.FDS(N1,"FMA_PE(LTMA,-10AY,0,AM,""PORTAGG"",""MEANR"")")</f>
        <v>16.307712352423501</v>
      </c>
    </row>
    <row r="3" spans="1:14" x14ac:dyDescent="0.35">
      <c r="A3" s="2">
        <v>41961</v>
      </c>
      <c r="B3" s="3">
        <v>18.837746192623701</v>
      </c>
      <c r="C3" s="3">
        <v>14.950062880727</v>
      </c>
      <c r="D3" s="3">
        <v>15.911392030567299</v>
      </c>
      <c r="E3" s="3">
        <v>13.868002063939899</v>
      </c>
      <c r="F3" s="3">
        <v>15.906056020841399</v>
      </c>
      <c r="G3" s="3">
        <v>17.5777052678182</v>
      </c>
      <c r="H3" s="3">
        <v>13.970664214354899</v>
      </c>
      <c r="I3" s="3">
        <v>20.116054331059299</v>
      </c>
      <c r="J3" s="3">
        <v>16.9839570321396</v>
      </c>
      <c r="K3" s="3">
        <v>15.0779655549387</v>
      </c>
      <c r="L3" s="3">
        <v>17.397045798001599</v>
      </c>
      <c r="M3" s="3">
        <v>16.893463432604001</v>
      </c>
      <c r="N3" s="3">
        <v>17.856721852624599</v>
      </c>
    </row>
    <row r="4" spans="1:14" x14ac:dyDescent="0.35">
      <c r="A4" s="2">
        <v>41991</v>
      </c>
      <c r="B4" s="3">
        <v>18.996946387918801</v>
      </c>
      <c r="C4" s="3">
        <v>14.105036186907499</v>
      </c>
      <c r="D4" s="3">
        <v>15.361224778441301</v>
      </c>
      <c r="E4" s="3">
        <v>14.327475201647299</v>
      </c>
      <c r="F4" s="3">
        <v>15.491978084427</v>
      </c>
      <c r="G4" s="3">
        <v>17.312179278335499</v>
      </c>
      <c r="H4" s="3">
        <v>13.6011842630977</v>
      </c>
      <c r="I4" s="3">
        <v>20.2529168629619</v>
      </c>
      <c r="J4" s="3">
        <v>17.2765939902662</v>
      </c>
      <c r="K4" s="3">
        <v>14.983224258790599</v>
      </c>
      <c r="L4" s="3">
        <v>17.391290673891099</v>
      </c>
      <c r="M4" s="3">
        <v>17.3231053311181</v>
      </c>
      <c r="N4" s="3">
        <v>18.314251718480602</v>
      </c>
    </row>
    <row r="5" spans="1:14" x14ac:dyDescent="0.35">
      <c r="A5" s="2">
        <v>42020</v>
      </c>
      <c r="B5" s="3">
        <v>19.417833128354101</v>
      </c>
      <c r="C5" s="3">
        <v>14.4967175436913</v>
      </c>
      <c r="D5" s="3">
        <v>15.289376963440899</v>
      </c>
      <c r="E5" s="3">
        <v>14.805503885188701</v>
      </c>
      <c r="F5" s="3">
        <v>15.345766396041601</v>
      </c>
      <c r="G5" s="3">
        <v>16.014746713951499</v>
      </c>
      <c r="H5" s="3">
        <v>13.626945151973199</v>
      </c>
      <c r="I5" s="3">
        <v>19.535213360567301</v>
      </c>
      <c r="J5" s="3">
        <v>16.9591436776908</v>
      </c>
      <c r="K5" s="3">
        <v>15.3428384201067</v>
      </c>
      <c r="L5" s="3">
        <v>18.090362975048599</v>
      </c>
      <c r="M5" s="3">
        <v>17.5544061642548</v>
      </c>
      <c r="N5" s="3">
        <v>19.9002375160191</v>
      </c>
    </row>
    <row r="6" spans="1:14" x14ac:dyDescent="0.35">
      <c r="A6" s="2">
        <v>42053</v>
      </c>
      <c r="B6" s="3">
        <v>19.8529688803707</v>
      </c>
      <c r="C6" s="3">
        <v>16.134607992060001</v>
      </c>
      <c r="D6" s="3">
        <v>16.7892022417055</v>
      </c>
      <c r="E6" s="3">
        <v>15.842313258092201</v>
      </c>
      <c r="F6" s="3">
        <v>16.469475990841399</v>
      </c>
      <c r="G6" s="3">
        <v>17.589455621181699</v>
      </c>
      <c r="H6" s="3">
        <v>14.7502939019348</v>
      </c>
      <c r="I6" s="3">
        <v>20.498493239160201</v>
      </c>
      <c r="J6" s="3">
        <v>17.557550399260101</v>
      </c>
      <c r="K6" s="3">
        <v>16.9574728539795</v>
      </c>
      <c r="L6" s="3">
        <v>19.520526919721501</v>
      </c>
      <c r="M6" s="3">
        <v>19.909014812800901</v>
      </c>
      <c r="N6" s="3">
        <v>44.007999220129498</v>
      </c>
    </row>
    <row r="7" spans="1:14" x14ac:dyDescent="0.35">
      <c r="A7" s="2">
        <v>42081</v>
      </c>
      <c r="B7" s="3">
        <v>20.3688063141357</v>
      </c>
      <c r="C7" s="3">
        <v>16.192954574067301</v>
      </c>
      <c r="D7" s="3">
        <v>17.047636260856599</v>
      </c>
      <c r="E7" s="3">
        <v>16.547361456474199</v>
      </c>
      <c r="F7" s="3">
        <v>16.964214188861099</v>
      </c>
      <c r="G7" s="3">
        <v>18.0260149057825</v>
      </c>
      <c r="H7" s="3">
        <v>15.2307560361496</v>
      </c>
      <c r="I7" s="3">
        <v>20.6485317907084</v>
      </c>
      <c r="J7" s="3">
        <v>17.568366201792099</v>
      </c>
      <c r="K7" s="3">
        <v>17.565182156469898</v>
      </c>
      <c r="L7" s="3">
        <v>20.089715350221599</v>
      </c>
      <c r="M7" s="3">
        <v>20.1515908440463</v>
      </c>
      <c r="N7" s="3">
        <v>43.557183629049199</v>
      </c>
    </row>
    <row r="8" spans="1:14" x14ac:dyDescent="0.35">
      <c r="A8" s="2">
        <v>42111</v>
      </c>
      <c r="B8" s="3">
        <v>20.186389028746198</v>
      </c>
      <c r="C8" s="3">
        <v>16.3460728609376</v>
      </c>
      <c r="D8" s="3">
        <v>17.268117002510401</v>
      </c>
      <c r="E8" s="3">
        <v>16.374745912487199</v>
      </c>
      <c r="F8" s="3">
        <v>16.898555102802099</v>
      </c>
      <c r="G8" s="3">
        <v>18.147094078857901</v>
      </c>
      <c r="H8" s="3">
        <v>15.491855118161601</v>
      </c>
      <c r="I8" s="3">
        <v>20.386235744306301</v>
      </c>
      <c r="J8" s="3">
        <v>17.520282507324701</v>
      </c>
      <c r="K8" s="3">
        <v>17.593702881412899</v>
      </c>
      <c r="L8" s="3">
        <v>19.8038417552964</v>
      </c>
      <c r="M8" s="3">
        <v>19.690273978708401</v>
      </c>
      <c r="N8" s="3">
        <v>40.822059344470297</v>
      </c>
    </row>
    <row r="9" spans="1:14" x14ac:dyDescent="0.35">
      <c r="A9" s="2">
        <v>42142</v>
      </c>
      <c r="B9" s="3">
        <v>20.012269296006799</v>
      </c>
      <c r="C9" s="3">
        <v>16.2110579217244</v>
      </c>
      <c r="D9" s="3">
        <v>17.240699036218199</v>
      </c>
      <c r="E9" s="3">
        <v>16.108783282077798</v>
      </c>
      <c r="F9" s="3">
        <v>17.040412721162401</v>
      </c>
      <c r="G9" s="3">
        <v>18.112975642931801</v>
      </c>
      <c r="H9" s="3">
        <v>15.7136686932075</v>
      </c>
      <c r="I9" s="3">
        <v>20.344964119639201</v>
      </c>
      <c r="J9" s="3">
        <v>17.592482324372899</v>
      </c>
      <c r="K9" s="3">
        <v>17.4380817927164</v>
      </c>
      <c r="L9" s="3">
        <v>19.491687353560799</v>
      </c>
      <c r="M9" s="3">
        <v>19.099838313724099</v>
      </c>
      <c r="N9" s="3">
        <v>37.956098672892203</v>
      </c>
    </row>
    <row r="10" spans="1:14" x14ac:dyDescent="0.35">
      <c r="A10" s="2">
        <v>42173</v>
      </c>
      <c r="B10" s="3">
        <v>19.728429238310099</v>
      </c>
      <c r="C10" s="3">
        <v>15.9890016028357</v>
      </c>
      <c r="D10" s="3">
        <v>17.139075601591099</v>
      </c>
      <c r="E10" s="3">
        <v>15.5763272857302</v>
      </c>
      <c r="F10" s="3">
        <v>16.7615353277859</v>
      </c>
      <c r="G10" s="3">
        <v>17.843249194605399</v>
      </c>
      <c r="H10" s="3">
        <v>15.633690632254901</v>
      </c>
      <c r="I10" s="3">
        <v>20.210591656921601</v>
      </c>
      <c r="J10" s="3">
        <v>17.559150815921001</v>
      </c>
      <c r="K10" s="3">
        <v>17.044788225499602</v>
      </c>
      <c r="L10" s="3">
        <v>18.955905788228701</v>
      </c>
      <c r="M10" s="3">
        <v>18.693074680167999</v>
      </c>
      <c r="N10" s="3">
        <v>34.761266546130798</v>
      </c>
    </row>
    <row r="11" spans="1:14" x14ac:dyDescent="0.35">
      <c r="A11" s="2">
        <v>42202</v>
      </c>
      <c r="B11" s="3">
        <v>19.790725469610202</v>
      </c>
      <c r="C11" s="3">
        <v>16.113830734670199</v>
      </c>
      <c r="D11" s="3">
        <v>17.08570769628</v>
      </c>
      <c r="E11" s="3">
        <v>15.7472214466477</v>
      </c>
      <c r="F11" s="3">
        <v>16.8815462465843</v>
      </c>
      <c r="G11" s="3">
        <v>18.2476272129439</v>
      </c>
      <c r="H11" s="3">
        <v>15.799995020816</v>
      </c>
      <c r="I11" s="3">
        <v>20.477333509004701</v>
      </c>
      <c r="J11" s="3">
        <v>17.630249790001201</v>
      </c>
      <c r="K11" s="3">
        <v>17.410208131494102</v>
      </c>
      <c r="L11" s="3">
        <v>19.274666241034002</v>
      </c>
      <c r="M11" s="3">
        <v>18.778407317984001</v>
      </c>
      <c r="N11" s="3">
        <v>32.508319714062303</v>
      </c>
    </row>
    <row r="12" spans="1:14" x14ac:dyDescent="0.35">
      <c r="A12" s="2">
        <v>42234</v>
      </c>
      <c r="B12" s="3">
        <v>19.3515454677995</v>
      </c>
      <c r="C12" s="3">
        <v>15.634380190598399</v>
      </c>
      <c r="D12" s="3">
        <v>16.892396668862101</v>
      </c>
      <c r="E12" s="3">
        <v>14.956244257343</v>
      </c>
      <c r="F12" s="3">
        <v>16.829604867073801</v>
      </c>
      <c r="G12" s="3">
        <v>18.023221439337402</v>
      </c>
      <c r="H12" s="3">
        <v>15.607024492712799</v>
      </c>
      <c r="I12" s="3">
        <v>20.2612961048779</v>
      </c>
      <c r="J12" s="3">
        <v>17.498624970020298</v>
      </c>
      <c r="K12" s="3">
        <v>16.8673728972873</v>
      </c>
      <c r="L12" s="3">
        <v>18.394863609336898</v>
      </c>
      <c r="M12" s="3">
        <v>18.2580088680693</v>
      </c>
      <c r="N12" s="3">
        <v>29.702978983690901</v>
      </c>
    </row>
    <row r="13" spans="1:14" x14ac:dyDescent="0.35">
      <c r="A13" s="2">
        <v>42265</v>
      </c>
      <c r="B13" s="3">
        <v>19.1891217402598</v>
      </c>
      <c r="C13" s="3">
        <v>15.4908590452119</v>
      </c>
      <c r="D13" s="3">
        <v>16.617362257483201</v>
      </c>
      <c r="E13" s="3">
        <v>13.9542066140966</v>
      </c>
      <c r="F13" s="3">
        <v>15.286644679694099</v>
      </c>
      <c r="G13" s="3">
        <v>17.294733335847098</v>
      </c>
      <c r="H13" s="3">
        <v>15.090180497737199</v>
      </c>
      <c r="I13" s="3">
        <v>19.4882471788593</v>
      </c>
      <c r="J13" s="3">
        <v>16.700723487308402</v>
      </c>
      <c r="K13" s="3">
        <v>15.793579836624</v>
      </c>
      <c r="L13" s="3">
        <v>16.946324846750802</v>
      </c>
      <c r="M13" s="3">
        <v>16.9105560106219</v>
      </c>
      <c r="N13" s="3">
        <v>26.039457448628799</v>
      </c>
    </row>
    <row r="14" spans="1:14" x14ac:dyDescent="0.35">
      <c r="A14" s="2">
        <v>42293</v>
      </c>
      <c r="B14" s="3">
        <v>19.1368195551428</v>
      </c>
      <c r="C14" s="3">
        <v>15.673842823258999</v>
      </c>
      <c r="D14" s="3">
        <v>16.953101294358799</v>
      </c>
      <c r="E14" s="3">
        <v>13.9467038416892</v>
      </c>
      <c r="F14" s="3">
        <v>15.491529146970301</v>
      </c>
      <c r="G14" s="3">
        <v>17.527806045658</v>
      </c>
      <c r="H14" s="3">
        <v>15.7571704215956</v>
      </c>
      <c r="I14" s="3">
        <v>19.752297790997201</v>
      </c>
      <c r="J14" s="3">
        <v>17.1847933276884</v>
      </c>
      <c r="K14" s="3">
        <v>15.9960417350144</v>
      </c>
      <c r="L14" s="3">
        <v>17.095165143146701</v>
      </c>
      <c r="M14" s="3">
        <v>16.742666425336299</v>
      </c>
      <c r="N14" s="3">
        <v>24.2645142485921</v>
      </c>
    </row>
    <row r="15" spans="1:14" x14ac:dyDescent="0.35">
      <c r="A15" s="2">
        <v>42326</v>
      </c>
      <c r="B15" s="3">
        <v>19.339354375433601</v>
      </c>
      <c r="C15" s="3">
        <v>15.275823824400501</v>
      </c>
      <c r="D15" s="3">
        <v>16.687959341768501</v>
      </c>
      <c r="E15" s="3">
        <v>14.6122966100539</v>
      </c>
      <c r="F15" s="3">
        <v>16.157097154580999</v>
      </c>
      <c r="G15" s="3">
        <v>17.604302317232001</v>
      </c>
      <c r="H15" s="3">
        <v>15.782619806273299</v>
      </c>
      <c r="I15" s="3">
        <v>20.360717523663801</v>
      </c>
      <c r="J15" s="3">
        <v>17.4520700352513</v>
      </c>
      <c r="K15" s="3">
        <v>16.332922269124602</v>
      </c>
      <c r="L15" s="3">
        <v>18.057008520924999</v>
      </c>
      <c r="M15" s="3">
        <v>16.884682647731701</v>
      </c>
      <c r="N15" s="3">
        <v>22.176148051220402</v>
      </c>
    </row>
    <row r="16" spans="1:14" x14ac:dyDescent="0.35">
      <c r="A16" s="2">
        <v>42356</v>
      </c>
      <c r="B16" s="3">
        <v>19.444962335330001</v>
      </c>
      <c r="C16" s="3">
        <v>15.3771286118973</v>
      </c>
      <c r="D16" s="3">
        <v>16.2044338192525</v>
      </c>
      <c r="E16" s="3">
        <v>13.9837175566688</v>
      </c>
      <c r="F16" s="3">
        <v>15.553223778968199</v>
      </c>
      <c r="G16" s="3">
        <v>17.1161449303724</v>
      </c>
      <c r="H16" s="3">
        <v>15.231572910842401</v>
      </c>
      <c r="I16" s="3">
        <v>19.773395525088699</v>
      </c>
      <c r="J16" s="3">
        <v>16.8174984182461</v>
      </c>
      <c r="K16" s="3">
        <v>15.4503660874686</v>
      </c>
      <c r="L16" s="3">
        <v>16.990112531645298</v>
      </c>
      <c r="M16" s="3">
        <v>15.9933489557244</v>
      </c>
      <c r="N16" s="3">
        <v>18.8937401437577</v>
      </c>
    </row>
    <row r="17" spans="1:14" x14ac:dyDescent="0.35">
      <c r="A17" s="2">
        <v>42384</v>
      </c>
      <c r="B17" s="3">
        <v>19.2866706508681</v>
      </c>
      <c r="C17" s="3">
        <v>14.688911328528601</v>
      </c>
      <c r="D17" s="3">
        <v>14.614080256696999</v>
      </c>
      <c r="E17" s="3">
        <v>12.434742956048</v>
      </c>
      <c r="F17" s="3">
        <v>14.318579786696899</v>
      </c>
      <c r="G17" s="3">
        <v>16.079632055310501</v>
      </c>
      <c r="H17" s="3">
        <v>14.521775842277</v>
      </c>
      <c r="I17" s="3">
        <v>18.263432883592799</v>
      </c>
      <c r="J17" s="3">
        <v>15.776711047748501</v>
      </c>
      <c r="K17" s="3">
        <v>14.0278255720747</v>
      </c>
      <c r="L17" s="3">
        <v>15.432246166966699</v>
      </c>
      <c r="M17" s="3">
        <v>14.3421430706431</v>
      </c>
      <c r="N17" s="3">
        <v>16.144303011085501</v>
      </c>
    </row>
    <row r="18" spans="1:14" x14ac:dyDescent="0.35">
      <c r="A18" s="2">
        <v>42418</v>
      </c>
      <c r="B18" s="3">
        <v>19.175066767368701</v>
      </c>
      <c r="C18" s="3">
        <v>15.301037166580199</v>
      </c>
      <c r="D18" s="3">
        <v>15.6388653543668</v>
      </c>
      <c r="E18" s="3">
        <v>12.567689872712</v>
      </c>
      <c r="F18" s="3">
        <v>13.794974379889</v>
      </c>
      <c r="G18" s="3">
        <v>16.661055926694399</v>
      </c>
      <c r="H18" s="3">
        <v>14.9297123568599</v>
      </c>
      <c r="I18" s="3">
        <v>18.187486621407501</v>
      </c>
      <c r="J18" s="3">
        <v>16.2966838906097</v>
      </c>
      <c r="K18" s="3">
        <v>14.772914905531101</v>
      </c>
      <c r="L18" s="3">
        <v>15.551644907113401</v>
      </c>
      <c r="M18" s="3">
        <v>15.1685568611443</v>
      </c>
      <c r="N18" s="3">
        <v>14.949514057816801</v>
      </c>
    </row>
    <row r="19" spans="1:14" x14ac:dyDescent="0.35">
      <c r="A19" s="2">
        <v>42447</v>
      </c>
      <c r="B19" s="3">
        <v>19.310869345229399</v>
      </c>
      <c r="C19" s="3">
        <v>15.1977188308522</v>
      </c>
      <c r="D19" s="3">
        <v>16.001249173860401</v>
      </c>
      <c r="E19" s="3">
        <v>12.7545748693998</v>
      </c>
      <c r="F19" s="3">
        <v>13.849461894101699</v>
      </c>
      <c r="G19" s="3">
        <v>16.6321153341155</v>
      </c>
      <c r="H19" s="3">
        <v>15.7212597894704</v>
      </c>
      <c r="I19" s="3">
        <v>18.303354574224802</v>
      </c>
      <c r="J19" s="3">
        <v>16.188193427520002</v>
      </c>
      <c r="K19" s="3">
        <v>15.1986459838719</v>
      </c>
      <c r="L19" s="3">
        <v>16.429573366515399</v>
      </c>
      <c r="M19" s="3">
        <v>15.619254809815301</v>
      </c>
      <c r="N19" s="3">
        <v>15.430894425505899</v>
      </c>
    </row>
    <row r="20" spans="1:14" x14ac:dyDescent="0.35">
      <c r="A20" s="2">
        <v>42478</v>
      </c>
      <c r="B20" s="3">
        <v>19.4676664456764</v>
      </c>
      <c r="C20" s="3">
        <v>15.271936388471399</v>
      </c>
      <c r="D20" s="3">
        <v>16.200679876333201</v>
      </c>
      <c r="E20" s="3">
        <v>12.868524495517701</v>
      </c>
      <c r="F20" s="3">
        <v>13.7351374768231</v>
      </c>
      <c r="G20" s="3">
        <v>16.837393466210901</v>
      </c>
      <c r="H20" s="3">
        <v>15.9676354518834</v>
      </c>
      <c r="I20" s="3">
        <v>18.505056870730499</v>
      </c>
      <c r="J20" s="3">
        <v>16.445215307047398</v>
      </c>
      <c r="K20" s="3">
        <v>15.2496602954464</v>
      </c>
      <c r="L20" s="3">
        <v>16.3884248280945</v>
      </c>
      <c r="M20" s="3">
        <v>15.652852143242701</v>
      </c>
      <c r="N20" s="3">
        <v>15.2999815529942</v>
      </c>
    </row>
    <row r="21" spans="1:14" x14ac:dyDescent="0.35">
      <c r="A21" s="2">
        <v>42508</v>
      </c>
      <c r="B21" s="3">
        <v>19.7220990516029</v>
      </c>
      <c r="C21" s="3">
        <v>15.694049759360301</v>
      </c>
      <c r="D21" s="3">
        <v>16.533779383833799</v>
      </c>
      <c r="E21" s="3">
        <v>12.7863591338572</v>
      </c>
      <c r="F21" s="3">
        <v>13.9164624109396</v>
      </c>
      <c r="G21" s="3">
        <v>16.881069388725201</v>
      </c>
      <c r="H21" s="3">
        <v>15.9181881508113</v>
      </c>
      <c r="I21" s="3">
        <v>18.325645525917299</v>
      </c>
      <c r="J21" s="3">
        <v>16.565182572190999</v>
      </c>
      <c r="K21" s="3">
        <v>15.0475038277241</v>
      </c>
      <c r="L21" s="3">
        <v>16.137490712104398</v>
      </c>
      <c r="M21" s="3">
        <v>15.454751295001801</v>
      </c>
      <c r="N21" s="3">
        <v>15.4364522331808</v>
      </c>
    </row>
    <row r="22" spans="1:14" x14ac:dyDescent="0.35">
      <c r="A22" s="2">
        <v>42538</v>
      </c>
      <c r="B22" s="3">
        <v>19.603613967774201</v>
      </c>
      <c r="C22" s="3">
        <v>15.569245424699499</v>
      </c>
      <c r="D22" s="3">
        <v>16.6565012785106</v>
      </c>
      <c r="E22" s="3">
        <v>12.5866842655909</v>
      </c>
      <c r="F22" s="3">
        <v>13.6701820351596</v>
      </c>
      <c r="G22" s="3">
        <v>16.778864712096599</v>
      </c>
      <c r="H22" s="3">
        <v>15.798643409237201</v>
      </c>
      <c r="I22" s="3">
        <v>18.384591933517601</v>
      </c>
      <c r="J22" s="3">
        <v>16.7256261745427</v>
      </c>
      <c r="K22" s="3">
        <v>14.765409122468499</v>
      </c>
      <c r="L22" s="3">
        <v>15.722661048027399</v>
      </c>
      <c r="M22" s="3">
        <v>15.245019041131499</v>
      </c>
      <c r="N22" s="3">
        <v>14.7092398888453</v>
      </c>
    </row>
    <row r="23" spans="1:14" x14ac:dyDescent="0.35">
      <c r="A23" s="2">
        <v>42569</v>
      </c>
      <c r="B23" s="3">
        <v>20.043926502286801</v>
      </c>
      <c r="C23" s="3">
        <v>16.1987888402927</v>
      </c>
      <c r="D23" s="3">
        <v>17.184045732163</v>
      </c>
      <c r="E23" s="3">
        <v>12.9253578752688</v>
      </c>
      <c r="F23" s="3">
        <v>14.168876085216599</v>
      </c>
      <c r="G23" s="3">
        <v>17.351237252963699</v>
      </c>
      <c r="H23" s="3">
        <v>16.514084133334599</v>
      </c>
      <c r="I23" s="3">
        <v>19.1387921696444</v>
      </c>
      <c r="J23" s="3">
        <v>17.289475410302799</v>
      </c>
      <c r="K23" s="3">
        <v>14.9811186818851</v>
      </c>
      <c r="L23" s="3">
        <v>15.9768878205163</v>
      </c>
      <c r="M23" s="3">
        <v>15.583161088650099</v>
      </c>
      <c r="N23" s="3">
        <v>14.638599284054701</v>
      </c>
    </row>
    <row r="24" spans="1:14" x14ac:dyDescent="0.35">
      <c r="A24" s="2">
        <v>42600</v>
      </c>
      <c r="B24" s="3">
        <v>20.7226893119105</v>
      </c>
      <c r="C24" s="3">
        <v>16.6270963462566</v>
      </c>
      <c r="D24" s="3">
        <v>17.485581624987802</v>
      </c>
      <c r="E24" s="3">
        <v>13.3878520722999</v>
      </c>
      <c r="F24" s="3">
        <v>13.9593034903647</v>
      </c>
      <c r="G24" s="3">
        <v>17.8764328842955</v>
      </c>
      <c r="H24" s="3">
        <v>16.968332632504602</v>
      </c>
      <c r="I24" s="3">
        <v>19.5809939177438</v>
      </c>
      <c r="J24" s="3">
        <v>17.572367426457301</v>
      </c>
      <c r="K24" s="3">
        <v>14.946592944025999</v>
      </c>
      <c r="L24" s="3">
        <v>16.104868436503999</v>
      </c>
      <c r="M24" s="3">
        <v>15.985990663929</v>
      </c>
      <c r="N24" s="3">
        <v>14.995216427548501</v>
      </c>
    </row>
    <row r="25" spans="1:14" x14ac:dyDescent="0.35">
      <c r="A25" s="2">
        <v>42629</v>
      </c>
      <c r="B25" s="3">
        <v>20.7799639113457</v>
      </c>
      <c r="C25" s="3">
        <v>16.278763481534199</v>
      </c>
      <c r="D25" s="3">
        <v>17.503883660972299</v>
      </c>
      <c r="E25" s="3">
        <v>13.321155487903701</v>
      </c>
      <c r="F25" s="3">
        <v>14.1347798618028</v>
      </c>
      <c r="G25" s="3">
        <v>17.834477350752</v>
      </c>
      <c r="H25" s="3">
        <v>16.654391669021599</v>
      </c>
      <c r="I25" s="3">
        <v>19.694326583160102</v>
      </c>
      <c r="J25" s="3">
        <v>17.484039997096701</v>
      </c>
      <c r="K25" s="3">
        <v>14.6746970155932</v>
      </c>
      <c r="L25" s="3">
        <v>15.7667852999638</v>
      </c>
      <c r="M25" s="3">
        <v>15.998553291842599</v>
      </c>
      <c r="N25" s="3">
        <v>14.4842834856679</v>
      </c>
    </row>
    <row r="26" spans="1:14" x14ac:dyDescent="0.35">
      <c r="A26" s="2">
        <v>42661</v>
      </c>
      <c r="B26" s="3">
        <v>20.1044883052814</v>
      </c>
      <c r="C26" s="3">
        <v>16.779589850632799</v>
      </c>
      <c r="D26" s="3">
        <v>18.077470983969999</v>
      </c>
      <c r="E26" s="3">
        <v>13.756215514106399</v>
      </c>
      <c r="F26" s="3">
        <v>14.450586812978701</v>
      </c>
      <c r="G26" s="3">
        <v>17.881638458969402</v>
      </c>
      <c r="H26" s="3">
        <v>16.940704391483401</v>
      </c>
      <c r="I26" s="3">
        <v>19.949061693705499</v>
      </c>
      <c r="J26" s="3">
        <v>17.635520134622301</v>
      </c>
      <c r="K26" s="3">
        <v>15.018510130978299</v>
      </c>
      <c r="L26" s="3">
        <v>15.934601721056699</v>
      </c>
      <c r="M26" s="3">
        <v>17.143988348342099</v>
      </c>
      <c r="N26" s="3">
        <v>15.0755917503449</v>
      </c>
    </row>
    <row r="27" spans="1:14" x14ac:dyDescent="0.35">
      <c r="A27" s="2">
        <v>42692</v>
      </c>
      <c r="B27" s="3">
        <v>20.004163742251801</v>
      </c>
      <c r="C27" s="3">
        <v>16.9238085569079</v>
      </c>
      <c r="D27" s="3">
        <v>18.515992974130398</v>
      </c>
      <c r="E27" s="3">
        <v>13.6579019858082</v>
      </c>
      <c r="F27" s="3">
        <v>15.1451267043615</v>
      </c>
      <c r="G27" s="3">
        <v>17.5888175585835</v>
      </c>
      <c r="H27" s="3">
        <v>16.270207231723401</v>
      </c>
      <c r="I27" s="3">
        <v>19.838745730403001</v>
      </c>
      <c r="J27" s="3">
        <v>18.061710398925602</v>
      </c>
      <c r="K27" s="3">
        <v>14.779653830264399</v>
      </c>
      <c r="L27" s="3">
        <v>15.5651254287989</v>
      </c>
      <c r="M27" s="3">
        <v>17.259462022476001</v>
      </c>
      <c r="N27" s="3">
        <v>14.0496174463118</v>
      </c>
    </row>
    <row r="28" spans="1:14" x14ac:dyDescent="0.35">
      <c r="A28" s="2">
        <v>42720</v>
      </c>
      <c r="B28" s="3">
        <v>19.550714252456</v>
      </c>
      <c r="C28" s="3">
        <v>17.2656872029063</v>
      </c>
      <c r="D28" s="3">
        <v>19.196348222136201</v>
      </c>
      <c r="E28" s="3">
        <v>14.605632542558199</v>
      </c>
      <c r="F28" s="3">
        <v>16.637551121612301</v>
      </c>
      <c r="G28" s="3">
        <v>18.066753429357298</v>
      </c>
      <c r="H28" s="3">
        <v>16.936042208670798</v>
      </c>
      <c r="I28" s="3">
        <v>20.3620809062086</v>
      </c>
      <c r="J28" s="3">
        <v>18.8285687523753</v>
      </c>
      <c r="K28" s="3">
        <v>15.639021150818399</v>
      </c>
      <c r="L28" s="3">
        <v>16.0828483935714</v>
      </c>
      <c r="M28" s="3">
        <v>18.3076274568384</v>
      </c>
      <c r="N28" s="3">
        <v>16.3027663274373</v>
      </c>
    </row>
    <row r="29" spans="1:14" x14ac:dyDescent="0.35">
      <c r="A29" s="2">
        <v>42753</v>
      </c>
      <c r="B29" s="3">
        <v>20.426159563873799</v>
      </c>
      <c r="C29" s="3">
        <v>17.739749547370199</v>
      </c>
      <c r="D29" s="3">
        <v>19.790948942181501</v>
      </c>
      <c r="E29" s="3">
        <v>14.884557675973999</v>
      </c>
      <c r="F29" s="3">
        <v>16.293042244613599</v>
      </c>
      <c r="G29" s="3">
        <v>18.4825961914988</v>
      </c>
      <c r="H29" s="3">
        <v>17.196241411216501</v>
      </c>
      <c r="I29" s="3">
        <v>20.990154635560899</v>
      </c>
      <c r="J29" s="3">
        <v>18.970946381322399</v>
      </c>
      <c r="K29" s="3">
        <v>15.7960468788078</v>
      </c>
      <c r="L29" s="3">
        <v>16.2490334811847</v>
      </c>
      <c r="M29" s="3">
        <v>18.114908571447401</v>
      </c>
      <c r="N29" s="3">
        <v>27.411406872617199</v>
      </c>
    </row>
    <row r="30" spans="1:14" x14ac:dyDescent="0.35">
      <c r="A30" s="2">
        <v>42783</v>
      </c>
      <c r="B30" s="3">
        <v>20.350506557785501</v>
      </c>
      <c r="C30" s="3">
        <v>17.984845900517101</v>
      </c>
      <c r="D30" s="3">
        <v>19.860837995600299</v>
      </c>
      <c r="E30" s="3">
        <v>14.6594529214376</v>
      </c>
      <c r="F30" s="3">
        <v>16.193709579529902</v>
      </c>
      <c r="G30" s="3">
        <v>19.644969151858099</v>
      </c>
      <c r="H30" s="3">
        <v>17.291174192182702</v>
      </c>
      <c r="I30" s="3">
        <v>21.762919350429399</v>
      </c>
      <c r="J30" s="3">
        <v>19.4499488578833</v>
      </c>
      <c r="K30" s="3">
        <v>15.5069192023849</v>
      </c>
      <c r="L30" s="3">
        <v>16.659478015415299</v>
      </c>
      <c r="M30" s="3">
        <v>17.423999391124301</v>
      </c>
      <c r="N30" s="3">
        <v>20.631946507462501</v>
      </c>
    </row>
    <row r="31" spans="1:14" x14ac:dyDescent="0.35">
      <c r="A31" s="2">
        <v>42811</v>
      </c>
      <c r="B31" s="3">
        <v>19.751688964733599</v>
      </c>
      <c r="C31" s="3">
        <v>17.433156744289199</v>
      </c>
      <c r="D31" s="3">
        <v>19.2297529044701</v>
      </c>
      <c r="E31" s="3">
        <v>14.973715831194999</v>
      </c>
      <c r="F31" s="3">
        <v>15.901228386527601</v>
      </c>
      <c r="G31" s="3">
        <v>19.639292210691099</v>
      </c>
      <c r="H31" s="3">
        <v>17.262694513754301</v>
      </c>
      <c r="I31" s="3">
        <v>21.691597704249599</v>
      </c>
      <c r="J31" s="3">
        <v>19.4355308648251</v>
      </c>
      <c r="K31" s="3">
        <v>15.620271304274301</v>
      </c>
      <c r="L31" s="3">
        <v>16.5136383339274</v>
      </c>
      <c r="M31" s="3">
        <v>17.506873593446201</v>
      </c>
      <c r="N31" s="3">
        <v>82.094099266410794</v>
      </c>
    </row>
    <row r="32" spans="1:14" x14ac:dyDescent="0.35">
      <c r="A32" s="2">
        <v>42843</v>
      </c>
      <c r="B32" s="3">
        <v>19.815636403311501</v>
      </c>
      <c r="C32" s="3">
        <v>17.275317386586799</v>
      </c>
      <c r="D32" s="3">
        <v>18.930395835535801</v>
      </c>
      <c r="E32" s="3">
        <v>14.821316955788999</v>
      </c>
      <c r="F32" s="3">
        <v>15.492556307361999</v>
      </c>
      <c r="G32" s="3">
        <v>19.337742678818699</v>
      </c>
      <c r="H32" s="3">
        <v>16.904874254791999</v>
      </c>
      <c r="I32" s="3">
        <v>21.552707783186801</v>
      </c>
      <c r="J32" s="3">
        <v>19.203288291172601</v>
      </c>
      <c r="K32" s="3">
        <v>15.538453477362401</v>
      </c>
      <c r="L32" s="3">
        <v>16.505891773513302</v>
      </c>
      <c r="M32" s="3">
        <v>17.518339753260499</v>
      </c>
      <c r="N32" s="3">
        <v>74.3644155876041</v>
      </c>
    </row>
    <row r="33" spans="1:14" x14ac:dyDescent="0.35">
      <c r="A33" s="2">
        <v>42873</v>
      </c>
      <c r="B33" s="3">
        <v>19.9020529938396</v>
      </c>
      <c r="C33" s="3">
        <v>16.996930797992299</v>
      </c>
      <c r="D33" s="3">
        <v>18.486562264223899</v>
      </c>
      <c r="E33" s="3">
        <v>14.7963761191792</v>
      </c>
      <c r="F33" s="3">
        <v>15.615823523292301</v>
      </c>
      <c r="G33" s="3">
        <v>19.460313854005701</v>
      </c>
      <c r="H33" s="3">
        <v>16.8508654471438</v>
      </c>
      <c r="I33" s="3">
        <v>21.7432083297054</v>
      </c>
      <c r="J33" s="3">
        <v>19.084382944995301</v>
      </c>
      <c r="K33" s="3">
        <v>15.748698748862401</v>
      </c>
      <c r="L33" s="3">
        <v>16.654491264665801</v>
      </c>
      <c r="M33" s="3">
        <v>17.9802820129532</v>
      </c>
      <c r="N33" s="3">
        <v>67.693806604732103</v>
      </c>
    </row>
    <row r="34" spans="1:14" x14ac:dyDescent="0.35">
      <c r="A34" s="2">
        <v>42902</v>
      </c>
      <c r="B34" s="3">
        <v>20.077791739061499</v>
      </c>
      <c r="C34" s="3">
        <v>16.881450139885999</v>
      </c>
      <c r="D34" s="3">
        <v>18.1752045616531</v>
      </c>
      <c r="E34" s="3">
        <v>14.766349642378101</v>
      </c>
      <c r="F34" s="3">
        <v>15.622539240135501</v>
      </c>
      <c r="G34" s="3">
        <v>19.501511668971201</v>
      </c>
      <c r="H34" s="3">
        <v>16.598412962028998</v>
      </c>
      <c r="I34" s="3">
        <v>21.7612940494373</v>
      </c>
      <c r="J34" s="3">
        <v>19.1742879317122</v>
      </c>
      <c r="K34" s="3">
        <v>15.715821945795399</v>
      </c>
      <c r="L34" s="3">
        <v>16.650961573333099</v>
      </c>
      <c r="M34" s="3">
        <v>17.629168526669599</v>
      </c>
      <c r="N34" s="3">
        <v>60.789487283378797</v>
      </c>
    </row>
    <row r="35" spans="1:14" x14ac:dyDescent="0.35">
      <c r="A35" s="2">
        <v>42934</v>
      </c>
      <c r="B35" s="3">
        <v>20.270350311886201</v>
      </c>
      <c r="C35" s="3">
        <v>16.763790113294199</v>
      </c>
      <c r="D35" s="3">
        <v>18.0320609114729</v>
      </c>
      <c r="E35" s="3">
        <v>14.5080249377468</v>
      </c>
      <c r="F35" s="3">
        <v>15.4552293586817</v>
      </c>
      <c r="G35" s="3">
        <v>19.4141778212737</v>
      </c>
      <c r="H35" s="3">
        <v>16.449166962454399</v>
      </c>
      <c r="I35" s="3">
        <v>22.1768664416484</v>
      </c>
      <c r="J35" s="3">
        <v>19.197678522862301</v>
      </c>
      <c r="K35" s="3">
        <v>15.65433289075</v>
      </c>
      <c r="L35" s="3">
        <v>16.636029220152</v>
      </c>
      <c r="M35" s="3">
        <v>17.616479885959802</v>
      </c>
      <c r="N35" s="3">
        <v>53.496670654620601</v>
      </c>
    </row>
    <row r="36" spans="1:14" x14ac:dyDescent="0.35">
      <c r="A36" s="2">
        <v>42965</v>
      </c>
      <c r="B36" s="3">
        <v>20.800401981458698</v>
      </c>
      <c r="C36" s="3">
        <v>16.736988731033399</v>
      </c>
      <c r="D36" s="3">
        <v>17.6269060632948</v>
      </c>
      <c r="E36" s="3">
        <v>14.2001079247127</v>
      </c>
      <c r="F36" s="3">
        <v>14.9971727437384</v>
      </c>
      <c r="G36" s="3">
        <v>19.106235121445501</v>
      </c>
      <c r="H36" s="3">
        <v>16.0498766576655</v>
      </c>
      <c r="I36" s="3">
        <v>21.832602871153298</v>
      </c>
      <c r="J36" s="3">
        <v>18.895207880433599</v>
      </c>
      <c r="K36" s="3">
        <v>15.4877834609101</v>
      </c>
      <c r="L36" s="3">
        <v>16.608105097570601</v>
      </c>
      <c r="M36" s="3">
        <v>16.7680284956134</v>
      </c>
      <c r="N36" s="3">
        <v>46.1890279829435</v>
      </c>
    </row>
    <row r="37" spans="1:14" x14ac:dyDescent="0.35">
      <c r="A37" s="2">
        <v>42996</v>
      </c>
      <c r="B37" s="3">
        <v>20.432818908072601</v>
      </c>
      <c r="C37" s="3">
        <v>16.5250188545042</v>
      </c>
      <c r="D37" s="3">
        <v>17.417461824874</v>
      </c>
      <c r="E37" s="3">
        <v>14.394140294188899</v>
      </c>
      <c r="F37" s="3">
        <v>14.8217229504204</v>
      </c>
      <c r="G37" s="3">
        <v>19.333300824281299</v>
      </c>
      <c r="H37" s="3">
        <v>15.846086360393</v>
      </c>
      <c r="I37" s="3">
        <v>22.327922763285098</v>
      </c>
      <c r="J37" s="3">
        <v>19.243103066265</v>
      </c>
      <c r="K37" s="3">
        <v>15.745022266899699</v>
      </c>
      <c r="L37" s="3">
        <v>16.899209748255601</v>
      </c>
      <c r="M37" s="3">
        <v>17.294100439852802</v>
      </c>
      <c r="N37" s="3">
        <v>39.070491895521002</v>
      </c>
    </row>
    <row r="38" spans="1:14" x14ac:dyDescent="0.35">
      <c r="A38" s="2">
        <v>43026</v>
      </c>
      <c r="B38" s="3">
        <v>20.971094719315001</v>
      </c>
      <c r="C38" s="3">
        <v>16.696515573343699</v>
      </c>
      <c r="D38" s="3">
        <v>17.4859201343507</v>
      </c>
      <c r="E38" s="3">
        <v>14.855786893467</v>
      </c>
      <c r="F38" s="3">
        <v>15.241631212580099</v>
      </c>
      <c r="G38" s="3">
        <v>19.803239384735001</v>
      </c>
      <c r="H38" s="3">
        <v>15.8239672580549</v>
      </c>
      <c r="I38" s="3">
        <v>22.7125248833635</v>
      </c>
      <c r="J38" s="3">
        <v>19.5748568147634</v>
      </c>
      <c r="K38" s="3">
        <v>16.113132992351701</v>
      </c>
      <c r="L38" s="3">
        <v>17.314852344850198</v>
      </c>
      <c r="M38" s="3">
        <v>17.796612343514202</v>
      </c>
      <c r="N38" s="3">
        <v>32.2256497084716</v>
      </c>
    </row>
    <row r="39" spans="1:14" x14ac:dyDescent="0.35">
      <c r="A39" s="2">
        <v>43056</v>
      </c>
      <c r="B39" s="3">
        <v>21.302075029626899</v>
      </c>
      <c r="C39" s="3">
        <v>16.623909572935101</v>
      </c>
      <c r="D39" s="3">
        <v>17.318643737524599</v>
      </c>
      <c r="E39" s="3">
        <v>15.145309000538701</v>
      </c>
      <c r="F39" s="3">
        <v>15.6017854248111</v>
      </c>
      <c r="G39" s="3">
        <v>20.203402369397299</v>
      </c>
      <c r="H39" s="3">
        <v>15.1965921933713</v>
      </c>
      <c r="I39" s="3">
        <v>22.987996329021598</v>
      </c>
      <c r="J39" s="3">
        <v>19.571053721284599</v>
      </c>
      <c r="K39" s="3">
        <v>15.8531549814856</v>
      </c>
      <c r="L39" s="3">
        <v>17.190587955815602</v>
      </c>
      <c r="M39" s="3">
        <v>18.030009540037899</v>
      </c>
      <c r="N39" s="3">
        <v>25.123340396163499</v>
      </c>
    </row>
    <row r="40" spans="1:14" x14ac:dyDescent="0.35">
      <c r="A40" s="2">
        <v>43087</v>
      </c>
      <c r="B40" s="3">
        <v>22.1536763149793</v>
      </c>
      <c r="C40" s="3">
        <v>16.705963547109</v>
      </c>
      <c r="D40" s="3">
        <v>17.2354339845038</v>
      </c>
      <c r="E40" s="3">
        <v>15.693212274551099</v>
      </c>
      <c r="F40" s="3">
        <v>16.259006851159398</v>
      </c>
      <c r="G40" s="3">
        <v>20.757961930396</v>
      </c>
      <c r="H40" s="3">
        <v>15.3178253481361</v>
      </c>
      <c r="I40" s="3">
        <v>23.952775251529701</v>
      </c>
      <c r="J40" s="3">
        <v>20.366822562489201</v>
      </c>
      <c r="K40" s="3">
        <v>16.2623610851916</v>
      </c>
      <c r="L40" s="3">
        <v>17.492919887585099</v>
      </c>
      <c r="M40" s="3">
        <v>18.280158391157499</v>
      </c>
      <c r="N40" s="3">
        <v>18.450232530155599</v>
      </c>
    </row>
    <row r="41" spans="1:14" x14ac:dyDescent="0.35">
      <c r="A41" s="2">
        <v>43118</v>
      </c>
      <c r="B41" s="3">
        <v>21.955691569471</v>
      </c>
      <c r="C41" s="3">
        <v>16.5858066313716</v>
      </c>
      <c r="D41" s="3">
        <v>17.224491051902</v>
      </c>
      <c r="E41" s="3">
        <v>15.6167403998867</v>
      </c>
      <c r="F41" s="3">
        <v>16.850586625869202</v>
      </c>
      <c r="G41" s="3">
        <v>20.995998176573</v>
      </c>
      <c r="H41" s="3">
        <v>15.6074496533216</v>
      </c>
      <c r="I41" s="3">
        <v>24.9227298177188</v>
      </c>
      <c r="J41" s="3">
        <v>21.0171057257661</v>
      </c>
      <c r="K41" s="3">
        <v>16.5325360105291</v>
      </c>
      <c r="L41" s="3">
        <v>17.4500591008164</v>
      </c>
      <c r="M41" s="3">
        <v>18.2569843859972</v>
      </c>
      <c r="N41" s="3">
        <v>16.020457479808002</v>
      </c>
    </row>
    <row r="42" spans="1:14" x14ac:dyDescent="0.35">
      <c r="A42" s="2">
        <v>43147</v>
      </c>
      <c r="B42" s="3">
        <v>21.874513361131299</v>
      </c>
      <c r="C42" s="3">
        <v>16.348062710048001</v>
      </c>
      <c r="D42" s="3">
        <v>15.909619082998301</v>
      </c>
      <c r="E42" s="3">
        <v>14.5329369343567</v>
      </c>
      <c r="F42" s="3">
        <v>15.0221899402473</v>
      </c>
      <c r="G42" s="3">
        <v>21.802982471816001</v>
      </c>
      <c r="H42" s="3">
        <v>14.701670998310799</v>
      </c>
      <c r="I42" s="3">
        <v>23.965741981684399</v>
      </c>
      <c r="J42" s="3">
        <v>20.0308807036986</v>
      </c>
      <c r="K42" s="3">
        <v>15.7154374416483</v>
      </c>
      <c r="L42" s="3">
        <v>16.521642830762399</v>
      </c>
      <c r="M42" s="3">
        <v>16.743230538000901</v>
      </c>
      <c r="N42" s="3">
        <v>14.4947001707681</v>
      </c>
    </row>
    <row r="43" spans="1:14" x14ac:dyDescent="0.35">
      <c r="A43" s="2">
        <v>43175</v>
      </c>
      <c r="B43" s="3">
        <v>22.570091467049501</v>
      </c>
      <c r="C43" s="3">
        <v>16.456460218115399</v>
      </c>
      <c r="D43" s="3">
        <v>15.8167066919703</v>
      </c>
      <c r="E43" s="3">
        <v>14.2028946496887</v>
      </c>
      <c r="F43" s="3">
        <v>14.3822592309669</v>
      </c>
      <c r="G43" s="3">
        <v>20.969054769654601</v>
      </c>
      <c r="H43" s="3">
        <v>13.9431176558217</v>
      </c>
      <c r="I43" s="3">
        <v>24.071331752556699</v>
      </c>
      <c r="J43" s="3">
        <v>19.708534960942199</v>
      </c>
      <c r="K43" s="3">
        <v>15.5723302975611</v>
      </c>
      <c r="L43" s="3">
        <v>16.653808172903702</v>
      </c>
      <c r="M43" s="3">
        <v>16.9421789863474</v>
      </c>
      <c r="N43" s="3">
        <v>14.1852545697043</v>
      </c>
    </row>
    <row r="44" spans="1:14" x14ac:dyDescent="0.35">
      <c r="A44" s="2">
        <v>43208</v>
      </c>
      <c r="B44" s="3">
        <v>22.334248886549201</v>
      </c>
      <c r="C44" s="3">
        <v>16.277075480586898</v>
      </c>
      <c r="D44" s="3">
        <v>15.6317740158481</v>
      </c>
      <c r="E44" s="3">
        <v>14.1798430341659</v>
      </c>
      <c r="F44" s="3">
        <v>14.2612596740935</v>
      </c>
      <c r="G44" s="3">
        <v>20.45979073565</v>
      </c>
      <c r="H44" s="3">
        <v>13.996869884978</v>
      </c>
      <c r="I44" s="3">
        <v>23.6319454716044</v>
      </c>
      <c r="J44" s="3">
        <v>19.362874505945801</v>
      </c>
      <c r="K44" s="3">
        <v>15.5571925638947</v>
      </c>
      <c r="L44" s="3">
        <v>16.628450845302201</v>
      </c>
      <c r="M44" s="3">
        <v>16.847109193314001</v>
      </c>
      <c r="N44" s="3">
        <v>14.183415025834</v>
      </c>
    </row>
    <row r="45" spans="1:14" x14ac:dyDescent="0.35">
      <c r="A45" s="2">
        <v>43238</v>
      </c>
      <c r="B45" s="3">
        <v>22.437733477015598</v>
      </c>
      <c r="C45" s="3">
        <v>16.336276199531699</v>
      </c>
      <c r="D45" s="3">
        <v>15.637321614577299</v>
      </c>
      <c r="E45" s="3">
        <v>14.2225371908143</v>
      </c>
      <c r="F45" s="3">
        <v>14.3317959024751</v>
      </c>
      <c r="G45" s="3">
        <v>20.119902190637902</v>
      </c>
      <c r="H45" s="3">
        <v>14.132290977092699</v>
      </c>
      <c r="I45" s="3">
        <v>23.1904498258411</v>
      </c>
      <c r="J45" s="3">
        <v>19.008989353781601</v>
      </c>
      <c r="K45" s="3">
        <v>15.6387994409497</v>
      </c>
      <c r="L45" s="3">
        <v>16.642825272786698</v>
      </c>
      <c r="M45" s="3">
        <v>16.8814719956118</v>
      </c>
      <c r="N45" s="3">
        <v>13.9551726303824</v>
      </c>
    </row>
    <row r="46" spans="1:14" x14ac:dyDescent="0.35">
      <c r="A46" s="2">
        <v>43269</v>
      </c>
      <c r="B46" s="3">
        <v>22.8362471614615</v>
      </c>
      <c r="C46" s="3">
        <v>16.1499585347885</v>
      </c>
      <c r="D46" s="3">
        <v>15.6201138107115</v>
      </c>
      <c r="E46" s="3">
        <v>14.1483895297955</v>
      </c>
      <c r="F46" s="3">
        <v>14.094598105100999</v>
      </c>
      <c r="G46" s="3">
        <v>19.363357007524399</v>
      </c>
      <c r="H46" s="3">
        <v>13.894795443393001</v>
      </c>
      <c r="I46" s="3">
        <v>23.399330440529699</v>
      </c>
      <c r="J46" s="3">
        <v>18.886987705872901</v>
      </c>
      <c r="K46" s="3">
        <v>15.3489511328682</v>
      </c>
      <c r="L46" s="3">
        <v>16.6740292984639</v>
      </c>
      <c r="M46" s="3">
        <v>16.495303984402</v>
      </c>
      <c r="N46" s="3">
        <v>13.469620924371499</v>
      </c>
    </row>
    <row r="47" spans="1:14" x14ac:dyDescent="0.35">
      <c r="A47" s="2">
        <v>43299</v>
      </c>
      <c r="B47" s="3">
        <v>22.8413884893077</v>
      </c>
      <c r="C47" s="3">
        <v>16.2857000437326</v>
      </c>
      <c r="D47" s="3">
        <v>15.527946609592499</v>
      </c>
      <c r="E47" s="3">
        <v>14.1544143569915</v>
      </c>
      <c r="F47" s="3">
        <v>13.9337998357974</v>
      </c>
      <c r="G47" s="3">
        <v>19.320152456592101</v>
      </c>
      <c r="H47" s="3">
        <v>13.7930647858222</v>
      </c>
      <c r="I47" s="3">
        <v>23.3769301927965</v>
      </c>
      <c r="J47" s="3">
        <v>18.747438054992799</v>
      </c>
      <c r="K47" s="3">
        <v>15.3033897442096</v>
      </c>
      <c r="L47" s="3">
        <v>16.7778101024543</v>
      </c>
      <c r="M47" s="3">
        <v>16.481103844193299</v>
      </c>
      <c r="N47" s="3">
        <v>13.232320776556</v>
      </c>
    </row>
    <row r="48" spans="1:14" x14ac:dyDescent="0.35">
      <c r="A48" s="2">
        <v>43329</v>
      </c>
      <c r="B48" s="3">
        <v>23.139267884873799</v>
      </c>
      <c r="C48" s="3">
        <v>16.439142062914701</v>
      </c>
      <c r="D48" s="3">
        <v>15.3785952002805</v>
      </c>
      <c r="E48" s="3">
        <v>13.8665895518683</v>
      </c>
      <c r="F48" s="3">
        <v>13.5574427994852</v>
      </c>
      <c r="G48" s="3">
        <v>18.862021500484801</v>
      </c>
      <c r="H48" s="3">
        <v>13.619676469327</v>
      </c>
      <c r="I48" s="3">
        <v>23.016995403998902</v>
      </c>
      <c r="J48" s="3">
        <v>18.593627506390799</v>
      </c>
      <c r="K48" s="3">
        <v>14.9546197531653</v>
      </c>
      <c r="L48" s="3">
        <v>16.472942204945699</v>
      </c>
      <c r="M48" s="3">
        <v>16.586003292887</v>
      </c>
      <c r="N48" s="3">
        <v>12.612723504903499</v>
      </c>
    </row>
    <row r="49" spans="1:14" x14ac:dyDescent="0.35">
      <c r="A49" s="2">
        <v>43361</v>
      </c>
      <c r="B49" s="3">
        <v>23.676445710906901</v>
      </c>
      <c r="C49" s="3">
        <v>15.9966462411476</v>
      </c>
      <c r="D49" s="3">
        <v>15.136068395275901</v>
      </c>
      <c r="E49" s="3">
        <v>13.860858950932601</v>
      </c>
      <c r="F49" s="3">
        <v>13.698898457861899</v>
      </c>
      <c r="G49" s="3">
        <v>18.536914877102902</v>
      </c>
      <c r="H49" s="3">
        <v>13.4047962730083</v>
      </c>
      <c r="I49" s="3">
        <v>23.0061895802286</v>
      </c>
      <c r="J49" s="3">
        <v>18.5906262493504</v>
      </c>
      <c r="K49" s="3">
        <v>14.9062015193707</v>
      </c>
      <c r="L49" s="3">
        <v>16.282092106267999</v>
      </c>
      <c r="M49" s="3">
        <v>16.614187963648401</v>
      </c>
      <c r="N49" s="3">
        <v>12.615287573659</v>
      </c>
    </row>
    <row r="50" spans="1:14" x14ac:dyDescent="0.35">
      <c r="A50" s="2">
        <v>43391</v>
      </c>
      <c r="B50" s="3">
        <v>22.8689256741023</v>
      </c>
      <c r="C50" s="3">
        <v>15.521066831286699</v>
      </c>
      <c r="D50" s="3">
        <v>14.473822406190299</v>
      </c>
      <c r="E50" s="3">
        <v>13.329754610124599</v>
      </c>
      <c r="F50" s="3">
        <v>13.2382035140746</v>
      </c>
      <c r="G50" s="3">
        <v>17.7342230373897</v>
      </c>
      <c r="H50" s="3">
        <v>12.8934060740524</v>
      </c>
      <c r="I50" s="3">
        <v>21.9609768799479</v>
      </c>
      <c r="J50" s="3">
        <v>17.7663211759576</v>
      </c>
      <c r="K50" s="3">
        <v>14.272477725224601</v>
      </c>
      <c r="L50" s="3">
        <v>15.6233844155876</v>
      </c>
      <c r="M50" s="3">
        <v>15.7094708032642</v>
      </c>
      <c r="N50" s="3">
        <v>11.545271188110499</v>
      </c>
    </row>
    <row r="51" spans="1:14" x14ac:dyDescent="0.35">
      <c r="A51" s="2">
        <v>43420</v>
      </c>
      <c r="B51" s="3">
        <v>22.720777881036199</v>
      </c>
      <c r="C51" s="3">
        <v>15.0557026032624</v>
      </c>
      <c r="D51" s="3">
        <v>14.107601794778001</v>
      </c>
      <c r="E51" s="3">
        <v>12.9794593873438</v>
      </c>
      <c r="F51" s="3">
        <v>12.6288741947664</v>
      </c>
      <c r="G51" s="3">
        <v>17.638567306400201</v>
      </c>
      <c r="H51" s="3">
        <v>12.7023905463366</v>
      </c>
      <c r="I51" s="3">
        <v>20.701360101106498</v>
      </c>
      <c r="J51" s="3">
        <v>17.255367794408301</v>
      </c>
      <c r="K51" s="3">
        <v>13.9356086321765</v>
      </c>
      <c r="L51" s="3">
        <v>15.514110034106199</v>
      </c>
      <c r="M51" s="3">
        <v>14.903590335419199</v>
      </c>
      <c r="N51" s="3">
        <v>11.2121493992115</v>
      </c>
    </row>
    <row r="52" spans="1:14" x14ac:dyDescent="0.35">
      <c r="A52" s="2">
        <v>43452</v>
      </c>
      <c r="B52" s="3">
        <v>22.606483523633699</v>
      </c>
      <c r="C52" s="3">
        <v>14.535209406655399</v>
      </c>
      <c r="D52" s="3">
        <v>13.3010409253466</v>
      </c>
      <c r="E52" s="3">
        <v>12.3118236845051</v>
      </c>
      <c r="F52" s="3">
        <v>12.073597803636201</v>
      </c>
      <c r="G52" s="3">
        <v>16.570788539298899</v>
      </c>
      <c r="H52" s="3">
        <v>11.9578506161675</v>
      </c>
      <c r="I52" s="3">
        <v>19.262485290796899</v>
      </c>
      <c r="J52" s="3">
        <v>15.8526766815773</v>
      </c>
      <c r="K52" s="3">
        <v>13.0904000075552</v>
      </c>
      <c r="L52" s="3">
        <v>14.6214847971165</v>
      </c>
      <c r="M52" s="3">
        <v>14.153798181105801</v>
      </c>
      <c r="N52" s="3">
        <v>10.731129921194</v>
      </c>
    </row>
    <row r="53" spans="1:14" x14ac:dyDescent="0.35">
      <c r="A53" s="2">
        <v>43483</v>
      </c>
      <c r="B53" s="3">
        <v>23.604324988005299</v>
      </c>
      <c r="C53" s="3">
        <v>15.2609966992131</v>
      </c>
      <c r="D53" s="3">
        <v>14.120998374258299</v>
      </c>
      <c r="E53" s="3">
        <v>12.812310348995601</v>
      </c>
      <c r="F53" s="3">
        <v>11.992956420628801</v>
      </c>
      <c r="G53" s="3">
        <v>17.4263598849173</v>
      </c>
      <c r="H53" s="3">
        <v>12.4611106427725</v>
      </c>
      <c r="I53" s="3">
        <v>20.059976386450401</v>
      </c>
      <c r="J53" s="3">
        <v>16.522488858996599</v>
      </c>
      <c r="K53" s="3">
        <v>13.422658207517999</v>
      </c>
      <c r="L53" s="3">
        <v>14.9261238535329</v>
      </c>
      <c r="M53" s="3">
        <v>15.2243604995117</v>
      </c>
      <c r="N53" s="3">
        <v>11.1708503375256</v>
      </c>
    </row>
    <row r="54" spans="1:14" x14ac:dyDescent="0.35">
      <c r="A54" s="2">
        <v>43511</v>
      </c>
      <c r="B54" s="3">
        <v>23.821019752360499</v>
      </c>
      <c r="C54" s="3">
        <v>15.6489885190806</v>
      </c>
      <c r="D54" s="3">
        <v>14.694286605312101</v>
      </c>
      <c r="E54" s="3">
        <v>13.0500552139688</v>
      </c>
      <c r="F54" s="3">
        <v>12.408873108884199</v>
      </c>
      <c r="G54" s="3">
        <v>17.905965542058301</v>
      </c>
      <c r="H54" s="3">
        <v>12.8363496045825</v>
      </c>
      <c r="I54" s="3">
        <v>20.760157103496699</v>
      </c>
      <c r="J54" s="3">
        <v>17.077215917171799</v>
      </c>
      <c r="K54" s="3">
        <v>14.193526173623599</v>
      </c>
      <c r="L54" s="3">
        <v>16.128568890803901</v>
      </c>
      <c r="M54" s="3">
        <v>18.4479125766109</v>
      </c>
      <c r="N54" s="3">
        <v>11.1305089337494</v>
      </c>
    </row>
    <row r="55" spans="1:14" x14ac:dyDescent="0.35">
      <c r="A55" s="2">
        <v>43542</v>
      </c>
      <c r="B55" s="3">
        <v>24.081502927711799</v>
      </c>
      <c r="C55" s="3">
        <v>15.8758635735665</v>
      </c>
      <c r="D55" s="3">
        <v>14.756350245786001</v>
      </c>
      <c r="E55" s="3">
        <v>13.2248956997988</v>
      </c>
      <c r="F55" s="3">
        <v>12.720654600476699</v>
      </c>
      <c r="G55" s="3">
        <v>18.311688418173599</v>
      </c>
      <c r="H55" s="3">
        <v>12.985311900812</v>
      </c>
      <c r="I55" s="3">
        <v>21.004425645657399</v>
      </c>
      <c r="J55" s="3">
        <v>17.145272697459401</v>
      </c>
      <c r="K55" s="3">
        <v>14.6088745046735</v>
      </c>
      <c r="L55" s="3">
        <v>16.192083339874301</v>
      </c>
      <c r="M55" s="3">
        <v>18.0402052859021</v>
      </c>
      <c r="N55" s="3">
        <v>11.3228248185985</v>
      </c>
    </row>
    <row r="56" spans="1:14" x14ac:dyDescent="0.35">
      <c r="A56" s="2">
        <v>43573</v>
      </c>
      <c r="B56" s="3">
        <v>24.179518011720798</v>
      </c>
      <c r="C56" s="3">
        <v>15.8513450872888</v>
      </c>
      <c r="D56" s="3">
        <v>14.6669825600435</v>
      </c>
      <c r="E56" s="3">
        <v>13.3621427418646</v>
      </c>
      <c r="F56" s="3">
        <v>12.7587795397055</v>
      </c>
      <c r="G56" s="3">
        <v>18.298374179045599</v>
      </c>
      <c r="H56" s="3">
        <v>13.02155751431</v>
      </c>
      <c r="I56" s="3">
        <v>21.300300703344899</v>
      </c>
      <c r="J56" s="3">
        <v>17.240994338975302</v>
      </c>
      <c r="K56" s="3">
        <v>14.676197958709899</v>
      </c>
      <c r="L56" s="3">
        <v>16.327997025581901</v>
      </c>
      <c r="M56" s="3">
        <v>17.869790683560801</v>
      </c>
      <c r="N56" s="3">
        <v>11.366081673856799</v>
      </c>
    </row>
    <row r="57" spans="1:14" x14ac:dyDescent="0.35">
      <c r="A57" s="2">
        <v>43602</v>
      </c>
      <c r="B57" s="3">
        <v>24.3509707040085</v>
      </c>
      <c r="C57" s="3">
        <v>15.875287477795601</v>
      </c>
      <c r="D57" s="3">
        <v>14.5237470741693</v>
      </c>
      <c r="E57" s="3">
        <v>13.3042134624328</v>
      </c>
      <c r="F57" s="3">
        <v>12.666319731967601</v>
      </c>
      <c r="G57" s="3">
        <v>18.183469584775601</v>
      </c>
      <c r="H57" s="3">
        <v>12.9163043081167</v>
      </c>
      <c r="I57" s="3">
        <v>21.213964295841699</v>
      </c>
      <c r="J57" s="3">
        <v>17.1403868413901</v>
      </c>
      <c r="K57" s="3">
        <v>14.5685429181405</v>
      </c>
      <c r="L57" s="3">
        <v>16.2298200150131</v>
      </c>
      <c r="M57" s="3">
        <v>17.518844468655999</v>
      </c>
      <c r="N57" s="3">
        <v>11.168975027500901</v>
      </c>
    </row>
    <row r="58" spans="1:14" x14ac:dyDescent="0.35">
      <c r="A58" s="2">
        <v>43634</v>
      </c>
      <c r="B58" s="3">
        <v>24.2795118930777</v>
      </c>
      <c r="C58" s="3">
        <v>16.134752177038202</v>
      </c>
      <c r="D58" s="3">
        <v>14.5346775643385</v>
      </c>
      <c r="E58" s="3">
        <v>13.3120369989129</v>
      </c>
      <c r="F58" s="3">
        <v>12.7325647940316</v>
      </c>
      <c r="G58" s="3">
        <v>18.362448352736099</v>
      </c>
      <c r="H58" s="3">
        <v>13.004911386467301</v>
      </c>
      <c r="I58" s="3">
        <v>21.559047311113599</v>
      </c>
      <c r="J58" s="3">
        <v>17.327286124207799</v>
      </c>
      <c r="K58" s="3">
        <v>13.679078337989401</v>
      </c>
      <c r="L58" s="3">
        <v>16.316323699965402</v>
      </c>
      <c r="M58" s="3">
        <v>17.195875906311901</v>
      </c>
      <c r="N58" s="3">
        <v>11.1171136884565</v>
      </c>
    </row>
    <row r="59" spans="1:14" x14ac:dyDescent="0.35">
      <c r="A59" s="2">
        <v>43664</v>
      </c>
      <c r="B59" s="3">
        <v>25.117509543790899</v>
      </c>
      <c r="C59" s="3">
        <v>16.312538239331399</v>
      </c>
      <c r="D59" s="3">
        <v>14.4856636902345</v>
      </c>
      <c r="E59" s="3">
        <v>13.455446792847299</v>
      </c>
      <c r="F59" s="3">
        <v>12.8179090343392</v>
      </c>
      <c r="G59" s="3">
        <v>18.437236638244201</v>
      </c>
      <c r="H59" s="3">
        <v>13.1035055340732</v>
      </c>
      <c r="I59" s="3">
        <v>22.035788694594402</v>
      </c>
      <c r="J59" s="3">
        <v>17.6734438118933</v>
      </c>
      <c r="K59" s="3">
        <v>14.795467782310901</v>
      </c>
      <c r="L59" s="3">
        <v>16.556997655784599</v>
      </c>
      <c r="M59" s="3">
        <v>16.873950709975599</v>
      </c>
      <c r="N59" s="3">
        <v>11.360764735872101</v>
      </c>
    </row>
    <row r="60" spans="1:14" x14ac:dyDescent="0.35">
      <c r="A60" s="2">
        <v>43693</v>
      </c>
      <c r="B60" s="3">
        <v>25.032273500832702</v>
      </c>
      <c r="C60" s="3">
        <v>16.0557866071596</v>
      </c>
      <c r="D60" s="3">
        <v>14.3046126127651</v>
      </c>
      <c r="E60" s="3">
        <v>13.2410566979382</v>
      </c>
      <c r="F60" s="3">
        <v>12.646979305022899</v>
      </c>
      <c r="G60" s="3">
        <v>18.115840431576299</v>
      </c>
      <c r="H60" s="3">
        <v>12.6656607264676</v>
      </c>
      <c r="I60" s="3">
        <v>21.633405722890899</v>
      </c>
      <c r="J60" s="3">
        <v>17.3653734233629</v>
      </c>
      <c r="K60" s="3">
        <v>14.468229807934399</v>
      </c>
      <c r="L60" s="3">
        <v>16.228982432431</v>
      </c>
      <c r="M60" s="3">
        <v>15.782756130716701</v>
      </c>
      <c r="N60" s="3">
        <v>10.8001183198277</v>
      </c>
    </row>
    <row r="61" spans="1:14" x14ac:dyDescent="0.35">
      <c r="A61" s="2">
        <v>43726</v>
      </c>
      <c r="B61" s="3">
        <v>28.412152105849099</v>
      </c>
      <c r="C61" s="3">
        <v>16.753542872632998</v>
      </c>
      <c r="D61" s="3">
        <v>14.717305799053699</v>
      </c>
      <c r="E61" s="3">
        <v>14.018352951129</v>
      </c>
      <c r="F61" s="3">
        <v>13.495840317839599</v>
      </c>
      <c r="G61" s="3">
        <v>18.370986192192198</v>
      </c>
      <c r="H61" s="3">
        <v>13.0707706915255</v>
      </c>
      <c r="I61" s="3">
        <v>21.964044561637099</v>
      </c>
      <c r="J61" s="3">
        <v>17.919107242637399</v>
      </c>
      <c r="K61" s="3">
        <v>15.0708452224683</v>
      </c>
      <c r="L61" s="3">
        <v>17.1111387153585</v>
      </c>
      <c r="M61" s="3">
        <v>16.279972249755101</v>
      </c>
      <c r="N61" s="3">
        <v>11.285438786411699</v>
      </c>
    </row>
    <row r="62" spans="1:14" x14ac:dyDescent="0.35">
      <c r="A62" s="2">
        <v>43756</v>
      </c>
      <c r="B62" s="3">
        <v>29.111327857898299</v>
      </c>
      <c r="C62" s="3">
        <v>17.035183802253499</v>
      </c>
      <c r="D62" s="3">
        <v>14.5952212510109</v>
      </c>
      <c r="E62" s="3">
        <v>14.4062145851497</v>
      </c>
      <c r="F62" s="3">
        <v>13.741467420863399</v>
      </c>
      <c r="G62" s="3">
        <v>18.350786261080799</v>
      </c>
      <c r="H62" s="3">
        <v>13.121732627089701</v>
      </c>
      <c r="I62" s="3">
        <v>22.4496334654592</v>
      </c>
      <c r="J62" s="3">
        <v>18.038296231264301</v>
      </c>
      <c r="K62" s="3">
        <v>15.3222679324511</v>
      </c>
      <c r="L62" s="3">
        <v>17.1922442729316</v>
      </c>
      <c r="M62" s="3">
        <v>16.686822286363199</v>
      </c>
      <c r="N62" s="3">
        <v>11.4900737987033</v>
      </c>
    </row>
    <row r="63" spans="1:14" x14ac:dyDescent="0.35">
      <c r="A63" s="2">
        <v>43784</v>
      </c>
      <c r="B63" s="3">
        <v>29.194579672516198</v>
      </c>
      <c r="C63" s="3">
        <v>17.5579423236004</v>
      </c>
      <c r="D63" s="3">
        <v>15.1727611267525</v>
      </c>
      <c r="E63" s="3">
        <v>15.0988201552567</v>
      </c>
      <c r="F63" s="3">
        <v>14.4855834956448</v>
      </c>
      <c r="G63" s="3">
        <v>18.943605900805998</v>
      </c>
      <c r="H63" s="3">
        <v>13.407276405146201</v>
      </c>
      <c r="I63" s="3">
        <v>23.672503507246201</v>
      </c>
      <c r="J63" s="3">
        <v>18.863541299555099</v>
      </c>
      <c r="K63" s="3">
        <v>16.098473011938001</v>
      </c>
      <c r="L63" s="3">
        <v>17.9535449861683</v>
      </c>
      <c r="M63" s="3">
        <v>16.078270284690198</v>
      </c>
      <c r="N63" s="3">
        <v>11.9382779958916</v>
      </c>
    </row>
    <row r="64" spans="1:14" x14ac:dyDescent="0.35">
      <c r="A64" s="2">
        <v>43817</v>
      </c>
      <c r="B64" s="3">
        <v>31.839963221640801</v>
      </c>
      <c r="C64" s="3">
        <v>18.041580223405798</v>
      </c>
      <c r="D64" s="3">
        <v>15.289692849868</v>
      </c>
      <c r="E64" s="3">
        <v>15.421195413611599</v>
      </c>
      <c r="F64" s="3">
        <v>15.316628917528</v>
      </c>
      <c r="G64" s="3">
        <v>19.412070278680599</v>
      </c>
      <c r="H64" s="3">
        <v>14.0079295983716</v>
      </c>
      <c r="I64" s="3">
        <v>24.821573776257601</v>
      </c>
      <c r="J64" s="3">
        <v>19.507116445525199</v>
      </c>
      <c r="K64" s="3">
        <v>16.3586831993033</v>
      </c>
      <c r="L64" s="3">
        <v>18.5425138299106</v>
      </c>
      <c r="M64" s="3">
        <v>16.301380099442699</v>
      </c>
      <c r="N64" s="3">
        <v>12.1521502569638</v>
      </c>
    </row>
    <row r="65" spans="1:14" x14ac:dyDescent="0.35">
      <c r="A65" s="2">
        <v>43847</v>
      </c>
      <c r="B65" s="3">
        <v>33.030377212241099</v>
      </c>
      <c r="C65" s="3">
        <v>18.667439245449501</v>
      </c>
      <c r="D65" s="3">
        <v>15.714501799575601</v>
      </c>
      <c r="E65" s="3">
        <v>15.8273695274935</v>
      </c>
      <c r="F65" s="3">
        <v>15.4731259655148</v>
      </c>
      <c r="G65" s="3">
        <v>19.993372715883002</v>
      </c>
      <c r="H65" s="3">
        <v>14.329999922727101</v>
      </c>
      <c r="I65" s="3">
        <v>26.603763026629998</v>
      </c>
      <c r="J65" s="3">
        <v>20.4344992799994</v>
      </c>
      <c r="K65" s="3">
        <v>16.837636647073499</v>
      </c>
      <c r="L65" s="3">
        <v>18.832468953163001</v>
      </c>
      <c r="M65" s="3">
        <v>16.907094359771701</v>
      </c>
      <c r="N65" s="3">
        <v>12.3791748547343</v>
      </c>
    </row>
    <row r="66" spans="1:14" x14ac:dyDescent="0.35">
      <c r="A66" s="2">
        <v>43879</v>
      </c>
      <c r="B66" s="3">
        <v>33.539593566927799</v>
      </c>
      <c r="C66" s="3">
        <v>18.9124797565104</v>
      </c>
      <c r="D66" s="3">
        <v>15.748428709125299</v>
      </c>
      <c r="E66" s="3">
        <v>16.1486247424439</v>
      </c>
      <c r="F66" s="3">
        <v>15.1050367365557</v>
      </c>
      <c r="G66" s="3">
        <v>20.139277634108701</v>
      </c>
      <c r="H66" s="3">
        <v>13.9610631783661</v>
      </c>
      <c r="I66" s="3">
        <v>27.2010385964779</v>
      </c>
      <c r="J66" s="3">
        <v>20.451634248063201</v>
      </c>
      <c r="K66" s="3">
        <v>16.6926346144317</v>
      </c>
      <c r="L66" s="3">
        <v>19.791496508068899</v>
      </c>
      <c r="M66" s="3">
        <v>14.3692166185504</v>
      </c>
      <c r="N66" s="3">
        <v>12.9266617285416</v>
      </c>
    </row>
    <row r="67" spans="1:14" x14ac:dyDescent="0.35">
      <c r="A67" s="2">
        <v>43908</v>
      </c>
      <c r="B67" s="3">
        <v>29.971204624308101</v>
      </c>
      <c r="C67" s="3">
        <v>16.149247174814999</v>
      </c>
      <c r="D67" s="3">
        <v>13.738540475250799</v>
      </c>
      <c r="E67" s="3">
        <v>13.2211588586225</v>
      </c>
      <c r="F67" s="3">
        <v>13.5047070751611</v>
      </c>
      <c r="G67" s="3">
        <v>17.4031057345383</v>
      </c>
      <c r="H67" s="3">
        <v>11.8663196065701</v>
      </c>
      <c r="I67" s="3">
        <v>23.049079614841599</v>
      </c>
      <c r="J67" s="3">
        <v>17.2614710354629</v>
      </c>
      <c r="K67" s="3">
        <v>13.864457509196701</v>
      </c>
      <c r="L67" s="3">
        <v>16.449218874716099</v>
      </c>
      <c r="M67" s="3">
        <v>12.372130611124801</v>
      </c>
      <c r="N67" s="3">
        <v>10.763388385074199</v>
      </c>
    </row>
    <row r="68" spans="1:14" x14ac:dyDescent="0.35">
      <c r="A68" s="2">
        <v>43938</v>
      </c>
      <c r="B68" s="3">
        <v>31.600385862915399</v>
      </c>
      <c r="C68" s="3">
        <v>17.003063363759601</v>
      </c>
      <c r="D68" s="3">
        <v>15.054102879841301</v>
      </c>
      <c r="E68" s="3">
        <v>14.448599342104099</v>
      </c>
      <c r="F68" s="3">
        <v>14.075923615116301</v>
      </c>
      <c r="G68" s="3">
        <v>18.334320965516699</v>
      </c>
      <c r="H68" s="3">
        <v>13.0264576441048</v>
      </c>
      <c r="I68" s="3">
        <v>24.646964527637799</v>
      </c>
      <c r="J68" s="3">
        <v>18.799060674035999</v>
      </c>
      <c r="K68" s="3">
        <v>15.263818838436601</v>
      </c>
      <c r="L68" s="3">
        <v>17.497158178457099</v>
      </c>
      <c r="M68" s="3">
        <v>14.0330712811993</v>
      </c>
      <c r="N68" s="3">
        <v>11.613162463504199</v>
      </c>
    </row>
    <row r="69" spans="1:14" x14ac:dyDescent="0.35">
      <c r="A69" s="2">
        <v>43969</v>
      </c>
      <c r="B69" s="3">
        <v>32.213352416695798</v>
      </c>
      <c r="C69" s="3">
        <v>17.4797906832076</v>
      </c>
      <c r="D69" s="3">
        <v>16.471774181960001</v>
      </c>
      <c r="E69" s="3">
        <v>15.5824533552123</v>
      </c>
      <c r="F69" s="3">
        <v>14.5909584880701</v>
      </c>
      <c r="G69" s="3">
        <v>18.934839480894901</v>
      </c>
      <c r="H69" s="3">
        <v>14.1921807669715</v>
      </c>
      <c r="I69" s="3">
        <v>25.933221076958301</v>
      </c>
      <c r="J69" s="3">
        <v>19.935988711511801</v>
      </c>
      <c r="K69" s="3">
        <v>16.269889567989399</v>
      </c>
      <c r="L69" s="3">
        <v>18.088884108258199</v>
      </c>
      <c r="M69" s="3">
        <v>15.152100648562101</v>
      </c>
      <c r="N69" s="3">
        <v>13.639370791650901</v>
      </c>
    </row>
    <row r="70" spans="1:14" x14ac:dyDescent="0.35">
      <c r="A70" s="2">
        <v>44000</v>
      </c>
      <c r="B70" s="3">
        <v>32.307598923166097</v>
      </c>
      <c r="C70" s="3">
        <v>18.456077696450102</v>
      </c>
      <c r="D70" s="3">
        <v>17.314400323277699</v>
      </c>
      <c r="E70" s="3">
        <v>17.342862940606501</v>
      </c>
      <c r="F70" s="3">
        <v>16.768761042711201</v>
      </c>
      <c r="G70" s="3">
        <v>19.493131297899499</v>
      </c>
      <c r="H70" s="3">
        <v>15.059574208909799</v>
      </c>
      <c r="I70" s="3">
        <v>27.4591020070017</v>
      </c>
      <c r="J70" s="3">
        <v>21.015879285078899</v>
      </c>
      <c r="K70" s="3">
        <v>18.114664259739701</v>
      </c>
      <c r="L70" s="3">
        <v>19.410239243467899</v>
      </c>
      <c r="M70" s="3">
        <v>16.611645207868701</v>
      </c>
      <c r="N70" s="3">
        <v>15.817952877142501</v>
      </c>
    </row>
    <row r="71" spans="1:14" x14ac:dyDescent="0.35">
      <c r="A71" s="2">
        <v>44029</v>
      </c>
      <c r="B71" s="3">
        <v>33.481323376445502</v>
      </c>
      <c r="C71" s="3">
        <v>18.8459478931299</v>
      </c>
      <c r="D71" s="3">
        <v>17.884873614277701</v>
      </c>
      <c r="E71" s="3">
        <v>18.826364123928801</v>
      </c>
      <c r="F71" s="3">
        <v>17.529063494793299</v>
      </c>
      <c r="G71" s="3">
        <v>20.168183107257299</v>
      </c>
      <c r="H71" s="3">
        <v>15.653009785260499</v>
      </c>
      <c r="I71" s="3">
        <v>28.741064231460101</v>
      </c>
      <c r="J71" s="3">
        <v>22.025004157021801</v>
      </c>
      <c r="K71" s="3">
        <v>20.087754808046299</v>
      </c>
      <c r="L71" s="3">
        <v>20.274199736334999</v>
      </c>
      <c r="M71" s="3">
        <v>18.155977079866201</v>
      </c>
      <c r="N71" s="3">
        <v>17.533762430446501</v>
      </c>
    </row>
    <row r="72" spans="1:14" x14ac:dyDescent="0.35">
      <c r="A72" s="2">
        <v>44061</v>
      </c>
      <c r="B72" s="3">
        <v>34.297941347637099</v>
      </c>
      <c r="C72" s="3">
        <v>19.714618936209298</v>
      </c>
      <c r="D72" s="3">
        <v>18.392687629072299</v>
      </c>
      <c r="E72" s="3">
        <v>19.601510673322299</v>
      </c>
      <c r="F72" s="3">
        <v>18.201949721069798</v>
      </c>
      <c r="G72" s="3">
        <v>20.4387780509377</v>
      </c>
      <c r="H72" s="3">
        <v>16.368397119050901</v>
      </c>
      <c r="I72" s="3">
        <v>29.787901714782802</v>
      </c>
      <c r="J72" s="3">
        <v>22.9178723269846</v>
      </c>
      <c r="K72" s="3">
        <v>22.062207193864602</v>
      </c>
      <c r="L72" s="3">
        <v>21.0209401666859</v>
      </c>
      <c r="M72" s="3">
        <v>16.895596077242399</v>
      </c>
      <c r="N72" s="3">
        <v>17.5308550618307</v>
      </c>
    </row>
    <row r="73" spans="1:14" x14ac:dyDescent="0.35">
      <c r="A73" s="2">
        <v>44092</v>
      </c>
      <c r="B73" s="3">
        <v>33.089824232751603</v>
      </c>
      <c r="C73" s="3">
        <v>19.271814505340501</v>
      </c>
      <c r="D73" s="3">
        <v>18.275049173359701</v>
      </c>
      <c r="E73" s="3">
        <v>20.510255142529701</v>
      </c>
      <c r="F73" s="3">
        <v>19.903087405705001</v>
      </c>
      <c r="G73" s="3">
        <v>21.0549448244962</v>
      </c>
      <c r="H73" s="3">
        <v>16.872016828485101</v>
      </c>
      <c r="I73" s="3">
        <v>29.564629098310899</v>
      </c>
      <c r="J73" s="3">
        <v>23.051028700291798</v>
      </c>
      <c r="K73" s="3">
        <v>23.233606690669198</v>
      </c>
      <c r="L73" s="3">
        <v>21.584032703812301</v>
      </c>
      <c r="M73" s="3">
        <v>18.011842890011799</v>
      </c>
      <c r="N73" s="3">
        <v>18.229682796035899</v>
      </c>
    </row>
    <row r="74" spans="1:14" x14ac:dyDescent="0.35">
      <c r="A74" s="2">
        <v>44120</v>
      </c>
      <c r="B74" s="3">
        <v>35.187628346416801</v>
      </c>
      <c r="C74" s="3">
        <v>19.879649262887899</v>
      </c>
      <c r="D74" s="3">
        <v>18.885737792136201</v>
      </c>
      <c r="E74" s="3">
        <v>20.6238676330243</v>
      </c>
      <c r="F74" s="3">
        <v>20.361684864656599</v>
      </c>
      <c r="G74" s="3">
        <v>20.909403157973799</v>
      </c>
      <c r="H74" s="3">
        <v>16.989415469309598</v>
      </c>
      <c r="I74" s="3">
        <v>32.148184756747</v>
      </c>
      <c r="J74" s="3">
        <v>24.364595449939099</v>
      </c>
      <c r="K74" s="3">
        <v>24.261129020132799</v>
      </c>
      <c r="L74" s="3">
        <v>22.6582798999587</v>
      </c>
      <c r="M74" s="3">
        <v>16.346689440845701</v>
      </c>
      <c r="N74" s="3">
        <v>18.957251857329702</v>
      </c>
    </row>
    <row r="75" spans="1:14" x14ac:dyDescent="0.35">
      <c r="A75" s="2">
        <v>44153</v>
      </c>
      <c r="B75" s="3">
        <v>35.800789561004102</v>
      </c>
      <c r="C75" s="3">
        <v>21.726615364602001</v>
      </c>
      <c r="D75" s="3">
        <v>19.519482357587901</v>
      </c>
      <c r="E75" s="3">
        <v>20.8807451857842</v>
      </c>
      <c r="F75" s="3">
        <v>22.064642187206399</v>
      </c>
      <c r="G75" s="3">
        <v>21.396761976803401</v>
      </c>
      <c r="H75" s="3">
        <v>18.566240205251699</v>
      </c>
      <c r="I75" s="3">
        <v>31.9808241782289</v>
      </c>
      <c r="J75" s="3">
        <v>24.776521367301001</v>
      </c>
      <c r="K75" s="3">
        <v>27.483061530966701</v>
      </c>
      <c r="L75" s="3">
        <v>24.7372353045448</v>
      </c>
      <c r="M75" s="3">
        <v>16.635874893546202</v>
      </c>
      <c r="N75" s="3">
        <v>21.776187571691501</v>
      </c>
    </row>
    <row r="76" spans="1:14" x14ac:dyDescent="0.35">
      <c r="A76" s="2">
        <v>44183</v>
      </c>
      <c r="B76" s="3">
        <v>36.523837583168003</v>
      </c>
      <c r="C76" s="3">
        <v>22.994202048216799</v>
      </c>
      <c r="D76" s="3">
        <v>20.364585423900699</v>
      </c>
      <c r="E76" s="3">
        <v>21.672553274904601</v>
      </c>
      <c r="F76" s="3">
        <v>23.041359702768101</v>
      </c>
      <c r="G76" s="3">
        <v>21.505345652542601</v>
      </c>
      <c r="H76" s="3">
        <v>19.5464452889724</v>
      </c>
      <c r="I76" s="3">
        <v>34.8551375018492</v>
      </c>
      <c r="J76" s="3">
        <v>26.250540782732301</v>
      </c>
      <c r="K76" s="3">
        <v>28.2625341665183</v>
      </c>
      <c r="L76" s="3">
        <v>26.682635524371801</v>
      </c>
      <c r="M76" s="3">
        <v>17.157015047307102</v>
      </c>
      <c r="N76" s="3">
        <v>22.758193241465499</v>
      </c>
    </row>
    <row r="77" spans="1:14" x14ac:dyDescent="0.35">
      <c r="A77" s="2">
        <v>44211</v>
      </c>
      <c r="B77" s="3">
        <v>37.458279947288702</v>
      </c>
      <c r="C77" s="3">
        <v>23.257172696826402</v>
      </c>
      <c r="D77" s="3">
        <v>21.1547936716373</v>
      </c>
      <c r="E77" s="3">
        <v>21.864544955894701</v>
      </c>
      <c r="F77" s="3">
        <v>23.9745360844129</v>
      </c>
      <c r="G77" s="3">
        <v>21.973984026871399</v>
      </c>
      <c r="H77" s="3">
        <v>20.201081984687001</v>
      </c>
      <c r="I77" s="3">
        <v>34.709958128718</v>
      </c>
      <c r="J77" s="3">
        <v>27.128753618328201</v>
      </c>
      <c r="K77" s="3">
        <v>28.7166772219765</v>
      </c>
      <c r="L77" s="3">
        <v>28.2860812933856</v>
      </c>
      <c r="M77" s="3">
        <v>18.5501347110363</v>
      </c>
      <c r="N77" s="3">
        <v>23.317799800399399</v>
      </c>
    </row>
    <row r="78" spans="1:14" x14ac:dyDescent="0.35">
      <c r="A78" s="2">
        <v>44245</v>
      </c>
      <c r="B78" s="3">
        <v>35.281826830434397</v>
      </c>
      <c r="C78" s="3">
        <v>22.718653181058698</v>
      </c>
      <c r="D78" s="3">
        <v>20.6579353111022</v>
      </c>
      <c r="E78" s="3">
        <v>21.103599339727001</v>
      </c>
      <c r="F78" s="3">
        <v>23.114512209260401</v>
      </c>
      <c r="G78" s="3">
        <v>20.930437478369701</v>
      </c>
      <c r="H78" s="3">
        <v>19.515826928545899</v>
      </c>
      <c r="I78" s="3">
        <v>35.0426900330094</v>
      </c>
      <c r="J78" s="3">
        <v>27.184926111339699</v>
      </c>
      <c r="K78" s="3">
        <v>27.653450758225201</v>
      </c>
      <c r="L78" s="3">
        <v>29.761209547297501</v>
      </c>
      <c r="M78" s="3">
        <v>17.5396169046635</v>
      </c>
      <c r="N78" s="3">
        <v>20.1962921094369</v>
      </c>
    </row>
    <row r="79" spans="1:14" x14ac:dyDescent="0.35">
      <c r="A79" s="2">
        <v>44273</v>
      </c>
      <c r="B79" s="3">
        <v>34.492847033116497</v>
      </c>
      <c r="C79" s="3">
        <v>21.5732771288029</v>
      </c>
      <c r="D79" s="3">
        <v>19.853209027408699</v>
      </c>
      <c r="E79" s="3">
        <v>20.203367276020899</v>
      </c>
      <c r="F79" s="3">
        <v>21.579626060917001</v>
      </c>
      <c r="G79" s="3">
        <v>20.475199918934599</v>
      </c>
      <c r="H79" s="3">
        <v>18.568754982328699</v>
      </c>
      <c r="I79" s="3">
        <v>32.587190362614301</v>
      </c>
      <c r="J79" s="3">
        <v>26.099405086470199</v>
      </c>
      <c r="K79" s="3">
        <v>26.6883829670175</v>
      </c>
      <c r="L79" s="3">
        <v>28.678222432531602</v>
      </c>
      <c r="M79" s="3">
        <v>17.984206667475501</v>
      </c>
      <c r="N79" s="3">
        <v>20.051015599482898</v>
      </c>
    </row>
    <row r="80" spans="1:14" x14ac:dyDescent="0.35">
      <c r="A80" s="2">
        <v>44302</v>
      </c>
      <c r="B80" s="3">
        <v>34.525060217475698</v>
      </c>
      <c r="C80" s="3">
        <v>21.2724060534572</v>
      </c>
      <c r="D80" s="3">
        <v>19.5375321164349</v>
      </c>
      <c r="E80" s="3">
        <v>19.907488828686901</v>
      </c>
      <c r="F80" s="3">
        <v>21.115109328584399</v>
      </c>
      <c r="G80" s="3">
        <v>20.649610022204101</v>
      </c>
      <c r="H80" s="3">
        <v>18.0237165896677</v>
      </c>
      <c r="I80" s="3">
        <v>32.933142995758899</v>
      </c>
      <c r="J80" s="3">
        <v>25.995465124437501</v>
      </c>
      <c r="K80" s="3">
        <v>25.9388652302613</v>
      </c>
      <c r="L80" s="3">
        <v>28.454542410034499</v>
      </c>
      <c r="M80" s="3">
        <v>18.492755510607498</v>
      </c>
      <c r="N80" s="3">
        <v>19.513641063496198</v>
      </c>
    </row>
    <row r="81" spans="1:14" x14ac:dyDescent="0.35">
      <c r="A81" s="2">
        <v>44334</v>
      </c>
      <c r="B81" s="3">
        <v>34.738912208986498</v>
      </c>
      <c r="C81" s="3">
        <v>20.776922549431301</v>
      </c>
      <c r="D81" s="3">
        <v>19.015286130405201</v>
      </c>
      <c r="E81" s="3">
        <v>18.9898022192253</v>
      </c>
      <c r="F81" s="3">
        <v>20.357249330067098</v>
      </c>
      <c r="G81" s="3">
        <v>20.479850882958001</v>
      </c>
      <c r="H81" s="3">
        <v>17.3806487260862</v>
      </c>
      <c r="I81" s="3">
        <v>31.3615503442701</v>
      </c>
      <c r="J81" s="3">
        <v>25.148344538101</v>
      </c>
      <c r="K81" s="3">
        <v>24.876131708377098</v>
      </c>
      <c r="L81" s="3">
        <v>27.297324744975899</v>
      </c>
      <c r="M81" s="3">
        <v>17.524963796268</v>
      </c>
      <c r="N81" s="3">
        <v>18.713909335067498</v>
      </c>
    </row>
    <row r="82" spans="1:14" x14ac:dyDescent="0.35">
      <c r="A82" s="2">
        <v>44365</v>
      </c>
      <c r="B82" s="3">
        <v>35.6980200271692</v>
      </c>
      <c r="C82" s="3">
        <v>20.448611014251298</v>
      </c>
      <c r="D82" s="3">
        <v>18.638245821316001</v>
      </c>
      <c r="E82" s="3">
        <v>18.529853328360499</v>
      </c>
      <c r="F82" s="3">
        <v>19.974730417200501</v>
      </c>
      <c r="G82" s="3">
        <v>20.866327467392399</v>
      </c>
      <c r="H82" s="3">
        <v>16.686661732350501</v>
      </c>
      <c r="I82" s="3">
        <v>31.5046646673308</v>
      </c>
      <c r="J82" s="3">
        <v>24.683679327557702</v>
      </c>
      <c r="K82" s="3">
        <v>24.165758499840301</v>
      </c>
      <c r="L82" s="3">
        <v>26.733310320384401</v>
      </c>
      <c r="M82" s="3">
        <v>17.8441376411646</v>
      </c>
      <c r="N82" s="3">
        <v>18.262315486316599</v>
      </c>
    </row>
    <row r="83" spans="1:14" x14ac:dyDescent="0.35">
      <c r="A83" s="2">
        <v>44393</v>
      </c>
      <c r="B83" s="3">
        <v>36.484100834681698</v>
      </c>
      <c r="C83" s="3">
        <v>19.422786486658801</v>
      </c>
      <c r="D83" s="3">
        <v>18.069030904164801</v>
      </c>
      <c r="E83" s="3">
        <v>17.962411156369601</v>
      </c>
      <c r="F83" s="3">
        <v>19.427883844774399</v>
      </c>
      <c r="G83" s="3">
        <v>20.952768317510898</v>
      </c>
      <c r="H83" s="3">
        <v>15.870681550836601</v>
      </c>
      <c r="I83" s="3">
        <v>31.808256447852401</v>
      </c>
      <c r="J83" s="3">
        <v>24.550995655419499</v>
      </c>
      <c r="K83" s="3">
        <v>22.8820188778292</v>
      </c>
      <c r="L83" s="3">
        <v>26.239193236650799</v>
      </c>
      <c r="M83" s="3">
        <v>17.745254436097699</v>
      </c>
      <c r="N83" s="3">
        <v>17.489081593940799</v>
      </c>
    </row>
    <row r="84" spans="1:14" x14ac:dyDescent="0.35">
      <c r="A84" s="2">
        <v>44426</v>
      </c>
      <c r="B84" s="3">
        <v>36.947670328262198</v>
      </c>
      <c r="C84" s="3">
        <v>19.145406563687398</v>
      </c>
      <c r="D84" s="3">
        <v>17.421083898496899</v>
      </c>
      <c r="E84" s="3">
        <v>17.228161664160101</v>
      </c>
      <c r="F84" s="3">
        <v>18.570026407679599</v>
      </c>
      <c r="G84" s="3">
        <v>21.290966476007998</v>
      </c>
      <c r="H84" s="3">
        <v>15.072341477095399</v>
      </c>
      <c r="I84" s="3">
        <v>30.928797937552801</v>
      </c>
      <c r="J84" s="3">
        <v>23.816222020694699</v>
      </c>
      <c r="K84" s="3">
        <v>21.595382494809702</v>
      </c>
      <c r="L84" s="3">
        <v>26.029127029992502</v>
      </c>
      <c r="M84" s="3">
        <v>17.463595447388201</v>
      </c>
      <c r="N84" s="3">
        <v>16.1666460415627</v>
      </c>
    </row>
    <row r="85" spans="1:14" x14ac:dyDescent="0.35">
      <c r="A85" s="2">
        <v>44456</v>
      </c>
      <c r="B85" s="3">
        <v>38.793350252484302</v>
      </c>
      <c r="C85" s="3">
        <v>18.716813669420301</v>
      </c>
      <c r="D85" s="3">
        <v>16.850837839579501</v>
      </c>
      <c r="E85" s="3">
        <v>16.3896357364526</v>
      </c>
      <c r="F85" s="3">
        <v>18.7546230273962</v>
      </c>
      <c r="G85" s="3">
        <v>20.5528427778215</v>
      </c>
      <c r="H85" s="3">
        <v>14.1471200167231</v>
      </c>
      <c r="I85" s="3">
        <v>31.228698215259499</v>
      </c>
      <c r="J85" s="3">
        <v>23.491480692136999</v>
      </c>
      <c r="K85" s="3">
        <v>20.262328022330799</v>
      </c>
      <c r="L85" s="3">
        <v>25.4324962675819</v>
      </c>
      <c r="M85" s="3">
        <v>17.3755194489103</v>
      </c>
      <c r="N85" s="3">
        <v>14.998485144433699</v>
      </c>
    </row>
    <row r="86" spans="1:14" x14ac:dyDescent="0.35">
      <c r="A86" s="2">
        <v>44487</v>
      </c>
      <c r="B86" s="3">
        <v>38.525122228464902</v>
      </c>
      <c r="C86" s="3">
        <v>18.710268507892501</v>
      </c>
      <c r="D86" s="3">
        <v>16.795942571315202</v>
      </c>
      <c r="E86" s="3">
        <v>15.888688049547399</v>
      </c>
      <c r="F86" s="3">
        <v>17.808527017196901</v>
      </c>
      <c r="G86" s="3">
        <v>20.4960940311522</v>
      </c>
      <c r="H86" s="3">
        <v>13.828461857271799</v>
      </c>
      <c r="I86" s="3">
        <v>30.911112719103901</v>
      </c>
      <c r="J86" s="3">
        <v>23.197857956133198</v>
      </c>
      <c r="K86" s="3">
        <v>19.106849382500201</v>
      </c>
      <c r="L86" s="3">
        <v>24.423306232211502</v>
      </c>
      <c r="M86" s="3">
        <v>17.440471122554001</v>
      </c>
      <c r="N86" s="3">
        <v>14.353589670668701</v>
      </c>
    </row>
    <row r="87" spans="1:14" x14ac:dyDescent="0.35">
      <c r="A87" s="2">
        <v>44518</v>
      </c>
      <c r="B87" s="3">
        <v>38.586170172745803</v>
      </c>
      <c r="C87" s="3">
        <v>18.037348815147698</v>
      </c>
      <c r="D87" s="3">
        <v>16.466994464937802</v>
      </c>
      <c r="E87" s="3">
        <v>15.2910472400501</v>
      </c>
      <c r="F87" s="3">
        <v>17.453891557822001</v>
      </c>
      <c r="G87" s="3">
        <v>21.015443628339899</v>
      </c>
      <c r="H87" s="3">
        <v>13.0671901693952</v>
      </c>
      <c r="I87" s="3">
        <v>32.329103936444298</v>
      </c>
      <c r="J87" s="3">
        <v>23.408933255928702</v>
      </c>
      <c r="K87" s="3">
        <v>18.506198186143902</v>
      </c>
      <c r="L87" s="3">
        <v>24.483055098087501</v>
      </c>
      <c r="M87" s="3">
        <v>16.741816989272799</v>
      </c>
      <c r="N87" s="3">
        <v>13.717664490378599</v>
      </c>
    </row>
    <row r="88" spans="1:14" x14ac:dyDescent="0.35">
      <c r="A88" s="2">
        <v>44547</v>
      </c>
      <c r="B88" s="3">
        <v>38.368535201637101</v>
      </c>
      <c r="C88" s="3">
        <v>17.5953739913341</v>
      </c>
      <c r="D88" s="3">
        <v>15.417609426484001</v>
      </c>
      <c r="E88" s="3">
        <v>14.163211730060899</v>
      </c>
      <c r="F88" s="3">
        <v>16.309939881252198</v>
      </c>
      <c r="G88" s="3">
        <v>21.234487260488901</v>
      </c>
      <c r="H88" s="3">
        <v>12.3609396023281</v>
      </c>
      <c r="I88" s="3">
        <v>30.859013718594301</v>
      </c>
      <c r="J88" s="3">
        <v>22.649919350263801</v>
      </c>
      <c r="K88" s="3">
        <v>17.103461361422799</v>
      </c>
      <c r="L88" s="3">
        <v>22.146728674778601</v>
      </c>
      <c r="M88" s="3">
        <v>16.157309806788302</v>
      </c>
      <c r="N88" s="3">
        <v>12.119747027398599</v>
      </c>
    </row>
    <row r="89" spans="1:14" x14ac:dyDescent="0.35">
      <c r="A89" s="2">
        <v>44579</v>
      </c>
      <c r="B89" s="3">
        <v>38.125878532160499</v>
      </c>
      <c r="C89" s="3">
        <v>17.681806689699101</v>
      </c>
      <c r="D89" s="3">
        <v>15.5401243889045</v>
      </c>
      <c r="E89" s="3">
        <v>13.9706290642723</v>
      </c>
      <c r="F89" s="3">
        <v>15.876192733679099</v>
      </c>
      <c r="G89" s="3">
        <v>20.7849712084728</v>
      </c>
      <c r="H89" s="3">
        <v>12.7080443904722</v>
      </c>
      <c r="I89" s="3">
        <v>29.5794561188698</v>
      </c>
      <c r="J89" s="3">
        <v>22.171889880609498</v>
      </c>
      <c r="K89" s="3">
        <v>16.915336708480499</v>
      </c>
      <c r="L89" s="3">
        <v>21.527722350231599</v>
      </c>
      <c r="M89" s="3">
        <v>15.6032501350485</v>
      </c>
      <c r="N89" s="3">
        <v>12.1085354205466</v>
      </c>
    </row>
    <row r="90" spans="1:14" x14ac:dyDescent="0.35">
      <c r="A90" s="2">
        <v>44610</v>
      </c>
      <c r="B90" s="3">
        <v>36.1299184554615</v>
      </c>
      <c r="C90" s="3">
        <v>15.980679541614199</v>
      </c>
      <c r="D90" s="3">
        <v>15.2260121483448</v>
      </c>
      <c r="E90" s="3">
        <v>13.224130049896701</v>
      </c>
      <c r="F90" s="3">
        <v>15.0187526386411</v>
      </c>
      <c r="G90" s="3">
        <v>18.397327566536099</v>
      </c>
      <c r="H90" s="3">
        <v>12.6704777267159</v>
      </c>
      <c r="I90" s="3">
        <v>26.3630432901878</v>
      </c>
      <c r="J90" s="3">
        <v>20.673985010387099</v>
      </c>
      <c r="K90" s="3">
        <v>16.104473587343701</v>
      </c>
      <c r="L90" s="3">
        <v>18.928076270181698</v>
      </c>
      <c r="M90" s="3">
        <v>11.8530937302952</v>
      </c>
      <c r="N90" s="3">
        <v>11.5506029459094</v>
      </c>
    </row>
    <row r="91" spans="1:14" x14ac:dyDescent="0.35">
      <c r="A91" s="2">
        <v>44638</v>
      </c>
      <c r="B91" s="3">
        <v>35.106849730274497</v>
      </c>
      <c r="C91" s="3">
        <v>15.7582393014989</v>
      </c>
      <c r="D91" s="3">
        <v>15.172431137942301</v>
      </c>
      <c r="E91" s="3">
        <v>12.484145362794299</v>
      </c>
      <c r="F91" s="3">
        <v>14.6198204040906</v>
      </c>
      <c r="G91" s="3">
        <v>18.557000925213998</v>
      </c>
      <c r="H91" s="3">
        <v>12.4488427301555</v>
      </c>
      <c r="I91" s="3">
        <v>26.6823319087617</v>
      </c>
      <c r="J91" s="3">
        <v>20.6906518605917</v>
      </c>
      <c r="K91" s="3">
        <v>15.367780132817099</v>
      </c>
      <c r="L91" s="3">
        <v>18.474084776699499</v>
      </c>
      <c r="M91" s="3">
        <v>12.001322408724199</v>
      </c>
      <c r="N91" s="3">
        <v>10.5425337923896</v>
      </c>
    </row>
    <row r="92" spans="1:14" x14ac:dyDescent="0.35">
      <c r="A92" s="2">
        <v>44669</v>
      </c>
      <c r="B92" s="3">
        <v>34.518490550079001</v>
      </c>
      <c r="C92" s="3">
        <v>15.633161413445199</v>
      </c>
      <c r="D92" s="3">
        <v>14.9440897192609</v>
      </c>
      <c r="E92" s="3">
        <v>12.3338210714297</v>
      </c>
      <c r="F92" s="3">
        <v>14.4111519083262</v>
      </c>
      <c r="G92" s="3">
        <v>18.6846854739522</v>
      </c>
      <c r="H92" s="3">
        <v>12.2162264381712</v>
      </c>
      <c r="I92" s="3">
        <v>26.3264956574574</v>
      </c>
      <c r="J92" s="3">
        <v>20.435024440341898</v>
      </c>
      <c r="K92" s="3">
        <v>15.042402423204701</v>
      </c>
      <c r="L92" s="3">
        <v>18.435220067407599</v>
      </c>
      <c r="M92" s="3">
        <v>12.249059451586501</v>
      </c>
      <c r="N92" s="3">
        <v>10.5136812901574</v>
      </c>
    </row>
    <row r="93" spans="1:14" x14ac:dyDescent="0.35">
      <c r="A93" s="2">
        <v>44699</v>
      </c>
      <c r="B93" s="3">
        <v>34.004016751734397</v>
      </c>
      <c r="C93" s="3">
        <v>15.156494864992901</v>
      </c>
      <c r="D93" s="3">
        <v>14.304471654338901</v>
      </c>
      <c r="E93" s="3">
        <v>12.052366332100201</v>
      </c>
      <c r="F93" s="3">
        <v>14.2320010631458</v>
      </c>
      <c r="G93" s="3">
        <v>18.110674796863499</v>
      </c>
      <c r="H93" s="3">
        <v>11.7475586049801</v>
      </c>
      <c r="I93" s="3">
        <v>24.979218809346101</v>
      </c>
      <c r="J93" s="3">
        <v>19.512476703843099</v>
      </c>
      <c r="K93" s="3">
        <v>14.4202193053321</v>
      </c>
      <c r="L93" s="3">
        <v>18.219935648923101</v>
      </c>
      <c r="M93" s="3">
        <v>13.3524127686704</v>
      </c>
      <c r="N93" s="3">
        <v>10.1051584263222</v>
      </c>
    </row>
    <row r="94" spans="1:14" x14ac:dyDescent="0.35">
      <c r="A94" s="2">
        <v>44729</v>
      </c>
      <c r="B94" s="3">
        <v>32.712179888568897</v>
      </c>
      <c r="C94" s="3">
        <v>14.116385456412001</v>
      </c>
      <c r="D94" s="3">
        <v>13.6315937514493</v>
      </c>
      <c r="E94" s="3">
        <v>11.6165419685536</v>
      </c>
      <c r="F94" s="3">
        <v>13.837944674454899</v>
      </c>
      <c r="G94" s="3">
        <v>17.355695866335498</v>
      </c>
      <c r="H94" s="3">
        <v>11.2036390134675</v>
      </c>
      <c r="I94" s="3">
        <v>24.0144631011839</v>
      </c>
      <c r="J94" s="3">
        <v>18.661765773964699</v>
      </c>
      <c r="K94" s="3">
        <v>13.6911430011001</v>
      </c>
      <c r="L94" s="3">
        <v>17.708994769074302</v>
      </c>
      <c r="M94" s="3">
        <v>13.1057439324386</v>
      </c>
      <c r="N94" s="3">
        <v>9.5022669575248404</v>
      </c>
    </row>
    <row r="95" spans="1:14" x14ac:dyDescent="0.35">
      <c r="A95" s="2">
        <v>44760</v>
      </c>
      <c r="B95" s="3">
        <v>32.988719863578702</v>
      </c>
      <c r="C95" s="3">
        <v>14.0899543353664</v>
      </c>
      <c r="D95" s="3">
        <v>13.110274949124999</v>
      </c>
      <c r="E95" s="3">
        <v>11.3197144262411</v>
      </c>
      <c r="F95" s="3">
        <v>13.8145499089238</v>
      </c>
      <c r="G95" s="3">
        <v>17.7684094661169</v>
      </c>
      <c r="H95" s="3">
        <v>10.979383977077999</v>
      </c>
      <c r="I95" s="3">
        <v>24.279008733017399</v>
      </c>
      <c r="J95" s="3">
        <v>18.643956670864501</v>
      </c>
      <c r="K95" s="3">
        <v>13.357876294039899</v>
      </c>
      <c r="L95" s="3">
        <v>18.413547366237999</v>
      </c>
      <c r="M95" s="3">
        <v>13.922088361646599</v>
      </c>
      <c r="N95" s="3">
        <v>9.0072319626170501</v>
      </c>
    </row>
    <row r="96" spans="1:14" x14ac:dyDescent="0.35">
      <c r="A96" s="2">
        <v>44791</v>
      </c>
      <c r="B96" s="3">
        <v>34.018636993285</v>
      </c>
      <c r="C96" s="3">
        <v>14.6077251509028</v>
      </c>
      <c r="D96" s="3">
        <v>13.362035834703599</v>
      </c>
      <c r="E96" s="3">
        <v>11.2142836119835</v>
      </c>
      <c r="F96" s="3">
        <v>14.0566919276657</v>
      </c>
      <c r="G96" s="3">
        <v>18.305965883680098</v>
      </c>
      <c r="H96" s="3">
        <v>10.7649516045574</v>
      </c>
      <c r="I96" s="3">
        <v>26.3495194024071</v>
      </c>
      <c r="J96" s="3">
        <v>19.674419343804999</v>
      </c>
      <c r="K96" s="3">
        <v>13.1483237782901</v>
      </c>
      <c r="L96" s="3">
        <v>19.6282478013812</v>
      </c>
      <c r="M96" s="3">
        <v>15.0134684601861</v>
      </c>
      <c r="N96" s="3">
        <v>8.7151435463373002</v>
      </c>
    </row>
    <row r="97" spans="1:14" x14ac:dyDescent="0.35">
      <c r="A97" s="2">
        <v>44820</v>
      </c>
      <c r="B97" s="3">
        <v>33.735782933980303</v>
      </c>
      <c r="C97" s="3">
        <v>13.7976637553685</v>
      </c>
      <c r="D97" s="3">
        <v>12.737564242210601</v>
      </c>
      <c r="E97" s="3">
        <v>10.6291626838286</v>
      </c>
      <c r="F97" s="3">
        <v>13.580590380231</v>
      </c>
      <c r="G97" s="3">
        <v>17.562442883847499</v>
      </c>
      <c r="H97" s="3">
        <v>10.035803011338899</v>
      </c>
      <c r="I97" s="3">
        <v>24.025242616296801</v>
      </c>
      <c r="J97" s="3">
        <v>18.261689519234501</v>
      </c>
      <c r="K97" s="3">
        <v>12.238306012681999</v>
      </c>
      <c r="L97" s="3">
        <v>18.071107535612899</v>
      </c>
      <c r="M97" s="3">
        <v>14.548699718306199</v>
      </c>
      <c r="N97" s="3">
        <v>8.42534118953348</v>
      </c>
    </row>
    <row r="98" spans="1:14" x14ac:dyDescent="0.35">
      <c r="A98" s="2">
        <v>44852</v>
      </c>
      <c r="B98" s="3">
        <v>31.1088427212464</v>
      </c>
      <c r="C98" s="3">
        <v>13.4069575626763</v>
      </c>
      <c r="D98" s="3">
        <v>12.2458907211983</v>
      </c>
      <c r="E98" s="3">
        <v>10.3154368324739</v>
      </c>
      <c r="F98" s="3">
        <v>13.182969146997999</v>
      </c>
      <c r="G98" s="3">
        <v>17.4885458383242</v>
      </c>
      <c r="H98" s="3">
        <v>9.4518490405670992</v>
      </c>
      <c r="I98" s="3">
        <v>22.813607962708598</v>
      </c>
      <c r="J98" s="3">
        <v>17.587547267718399</v>
      </c>
      <c r="K98" s="3">
        <v>11.678200166313299</v>
      </c>
      <c r="L98" s="3">
        <v>17.120005386167101</v>
      </c>
      <c r="M98" s="3">
        <v>15.227755388306401</v>
      </c>
      <c r="N98" s="3">
        <v>8.0220315411652692</v>
      </c>
    </row>
    <row r="99" spans="1:14" x14ac:dyDescent="0.35">
      <c r="A99" s="2">
        <v>44883</v>
      </c>
      <c r="B99" s="3">
        <v>30.419378978208002</v>
      </c>
      <c r="C99" s="3">
        <v>14.202310671150601</v>
      </c>
      <c r="D99" s="3">
        <v>12.636203289392</v>
      </c>
      <c r="E99" s="3">
        <v>11.155438829465499</v>
      </c>
      <c r="F99" s="3">
        <v>13.516809436240701</v>
      </c>
      <c r="G99" s="3">
        <v>19.5508362438452</v>
      </c>
      <c r="H99" s="3">
        <v>9.7648155924027709</v>
      </c>
      <c r="I99" s="3">
        <v>23.588363631274401</v>
      </c>
      <c r="J99" s="3">
        <v>18.2999252024137</v>
      </c>
      <c r="K99" s="3">
        <v>12.1830538030294</v>
      </c>
      <c r="L99" s="3">
        <v>18.4819028309449</v>
      </c>
      <c r="M99" s="3">
        <v>14.0613257260583</v>
      </c>
      <c r="N99" s="3">
        <v>8.3343712128153697</v>
      </c>
    </row>
    <row r="100" spans="1:14" x14ac:dyDescent="0.35">
      <c r="A100" s="2">
        <v>44911</v>
      </c>
      <c r="B100" s="3">
        <v>29.579550519023002</v>
      </c>
      <c r="C100" s="3">
        <v>13.982139252085201</v>
      </c>
      <c r="D100" s="3">
        <v>12.218628332552999</v>
      </c>
      <c r="E100" s="3">
        <v>10.449496023449999</v>
      </c>
      <c r="F100" s="3">
        <v>13.269902547579401</v>
      </c>
      <c r="G100" s="3">
        <v>20.0034162188729</v>
      </c>
      <c r="H100" s="3">
        <v>9.5750562542954398</v>
      </c>
      <c r="I100" s="3">
        <v>22.486196121220601</v>
      </c>
      <c r="J100" s="3">
        <v>17.585173493201602</v>
      </c>
      <c r="K100" s="3">
        <v>11.6279759844307</v>
      </c>
      <c r="L100" s="3">
        <v>18.016629278597101</v>
      </c>
      <c r="M100" s="3">
        <v>15.2740205501084</v>
      </c>
      <c r="N100" s="3">
        <v>7.4757163263452</v>
      </c>
    </row>
    <row r="101" spans="1:14" x14ac:dyDescent="0.35">
      <c r="A101" s="2">
        <v>44944</v>
      </c>
      <c r="B101" s="3">
        <v>30.035566135658701</v>
      </c>
      <c r="C101" s="3">
        <v>14.698029608215201</v>
      </c>
      <c r="D101" s="3">
        <v>12.678341647984899</v>
      </c>
      <c r="E101" s="3">
        <v>11.473134796563199</v>
      </c>
      <c r="F101" s="3">
        <v>13.1336525130249</v>
      </c>
      <c r="G101" s="3">
        <v>21.428802780727601</v>
      </c>
      <c r="H101" s="3">
        <v>10.300928068062101</v>
      </c>
      <c r="I101" s="3">
        <v>23.6470894279236</v>
      </c>
      <c r="J101" s="3">
        <v>17.828320388339801</v>
      </c>
      <c r="K101" s="3">
        <v>12.7859662516206</v>
      </c>
      <c r="L101" s="3">
        <v>19.4399773654204</v>
      </c>
      <c r="M101" s="3">
        <v>16.774199929348999</v>
      </c>
      <c r="N101" s="3">
        <v>8.0902121218128098</v>
      </c>
    </row>
    <row r="102" spans="1:14" x14ac:dyDescent="0.35">
      <c r="A102" s="2">
        <v>44974</v>
      </c>
      <c r="B102" s="3">
        <v>30.178710387365001</v>
      </c>
      <c r="C102" s="3">
        <v>14.4395982576794</v>
      </c>
      <c r="D102" s="3">
        <v>12.769894366042401</v>
      </c>
      <c r="E102" s="3">
        <v>11.6298046011716</v>
      </c>
      <c r="F102" s="3">
        <v>13.561322588107499</v>
      </c>
      <c r="G102" s="3">
        <v>21.3325768443549</v>
      </c>
      <c r="H102" s="3">
        <v>10.335504421962201</v>
      </c>
      <c r="I102" s="3">
        <v>25.7287244010023</v>
      </c>
      <c r="J102" s="3">
        <v>18.524231127008701</v>
      </c>
      <c r="K102" s="3">
        <v>13.0524991407831</v>
      </c>
      <c r="L102" s="3">
        <v>21.425593333224199</v>
      </c>
      <c r="M102" s="3">
        <v>26.204526979067399</v>
      </c>
      <c r="N102" s="3">
        <v>8.3801154228642805</v>
      </c>
    </row>
    <row r="103" spans="1:14" x14ac:dyDescent="0.35">
      <c r="A103" s="2">
        <v>45002</v>
      </c>
      <c r="B103" s="3">
        <v>29.074110958336</v>
      </c>
      <c r="C103" s="3">
        <v>14.159925189683699</v>
      </c>
      <c r="D103" s="3">
        <v>12.5188481513881</v>
      </c>
      <c r="E103" s="3">
        <v>11.2444887599476</v>
      </c>
      <c r="F103" s="3">
        <v>13.5882856533207</v>
      </c>
      <c r="G103" s="3">
        <v>20.3872833746677</v>
      </c>
      <c r="H103" s="3">
        <v>10.1232139490163</v>
      </c>
      <c r="I103" s="3">
        <v>25.355760478102599</v>
      </c>
      <c r="J103" s="3">
        <v>17.9933580282209</v>
      </c>
      <c r="K103" s="3">
        <v>12.8072454573866</v>
      </c>
      <c r="L103" s="3">
        <v>20.320171908383099</v>
      </c>
      <c r="M103" s="3">
        <v>24.8356715801729</v>
      </c>
      <c r="N103" s="3">
        <v>8.1808952022811301</v>
      </c>
    </row>
    <row r="104" spans="1:14" x14ac:dyDescent="0.35">
      <c r="A104" s="2">
        <v>45034</v>
      </c>
      <c r="B104" s="3">
        <v>28.590725430249101</v>
      </c>
      <c r="C104" s="3">
        <v>14.358572843957701</v>
      </c>
      <c r="D104" s="3">
        <v>12.829646809201099</v>
      </c>
      <c r="E104" s="3">
        <v>11.4404021546338</v>
      </c>
      <c r="F104" s="3">
        <v>13.739369918796701</v>
      </c>
      <c r="G104" s="3">
        <v>20.383793222750601</v>
      </c>
      <c r="H104" s="3">
        <v>10.4196642452888</v>
      </c>
      <c r="I104" s="3">
        <v>25.676775185042299</v>
      </c>
      <c r="J104" s="3">
        <v>18.318803229342301</v>
      </c>
      <c r="K104" s="3">
        <v>13.1869074288017</v>
      </c>
      <c r="L104" s="3">
        <v>20.125531784976602</v>
      </c>
      <c r="M104" s="3">
        <v>23.863508499634101</v>
      </c>
      <c r="N104" s="3">
        <v>8.4061656698294094</v>
      </c>
    </row>
    <row r="105" spans="1:14" x14ac:dyDescent="0.35">
      <c r="A105" s="2">
        <v>45064</v>
      </c>
      <c r="B105" s="3">
        <v>28.1913008769824</v>
      </c>
      <c r="C105" s="3">
        <v>14.3322485316534</v>
      </c>
      <c r="D105" s="3">
        <v>12.863856838358799</v>
      </c>
      <c r="E105" s="3">
        <v>11.3561656283206</v>
      </c>
      <c r="F105" s="3">
        <v>14.0713567420388</v>
      </c>
      <c r="G105" s="3">
        <v>20.0343155275886</v>
      </c>
      <c r="H105" s="3">
        <v>10.3325522875448</v>
      </c>
      <c r="I105" s="3">
        <v>26.1094640164448</v>
      </c>
      <c r="J105" s="3">
        <v>18.434658502690802</v>
      </c>
      <c r="K105" s="3">
        <v>13.166850291308799</v>
      </c>
      <c r="L105" s="3">
        <v>19.652944989266</v>
      </c>
      <c r="M105" s="3">
        <v>22.521829206622101</v>
      </c>
      <c r="N105" s="3">
        <v>8.2594177934684101</v>
      </c>
    </row>
    <row r="106" spans="1:14" x14ac:dyDescent="0.35">
      <c r="A106" s="2">
        <v>45093</v>
      </c>
      <c r="B106" s="3">
        <v>26.361675864590001</v>
      </c>
      <c r="C106" s="3">
        <v>14.609150174102099</v>
      </c>
      <c r="D106" s="3">
        <v>12.9642202121665</v>
      </c>
      <c r="E106" s="3">
        <v>11.355936032989799</v>
      </c>
      <c r="F106" s="3">
        <v>14.5605494333285</v>
      </c>
      <c r="G106" s="3">
        <v>19.503682529699901</v>
      </c>
      <c r="H106" s="3">
        <v>10.397561360947099</v>
      </c>
      <c r="I106" s="3">
        <v>27.1823747055785</v>
      </c>
      <c r="J106" s="3">
        <v>18.921324051808899</v>
      </c>
      <c r="K106" s="3">
        <v>13.2783376436556</v>
      </c>
      <c r="L106" s="3">
        <v>19.367533886801201</v>
      </c>
      <c r="M106" s="3">
        <v>21.556226810215101</v>
      </c>
      <c r="N106" s="3">
        <v>8.5518814801609899</v>
      </c>
    </row>
    <row r="107" spans="1:14" x14ac:dyDescent="0.35">
      <c r="A107" s="2">
        <v>45125</v>
      </c>
      <c r="B107" s="3">
        <v>25.628923558024798</v>
      </c>
      <c r="C107" s="3">
        <v>14.8519232569286</v>
      </c>
      <c r="D107" s="3">
        <v>13.393921065334</v>
      </c>
      <c r="E107" s="3">
        <v>11.294311337379799</v>
      </c>
      <c r="F107" s="3">
        <v>14.5089671276194</v>
      </c>
      <c r="G107" s="3">
        <v>19.215593822731901</v>
      </c>
      <c r="H107" s="3">
        <v>10.467644659592899</v>
      </c>
      <c r="I107" s="3">
        <v>28.1692083769527</v>
      </c>
      <c r="J107" s="3">
        <v>19.597535947782699</v>
      </c>
      <c r="K107" s="3">
        <v>13.32394701998</v>
      </c>
      <c r="L107" s="3">
        <v>19.226188836743798</v>
      </c>
      <c r="M107" s="3">
        <v>20.126048515682701</v>
      </c>
      <c r="N107" s="3">
        <v>8.6622615188931906</v>
      </c>
    </row>
    <row r="108" spans="1:14" x14ac:dyDescent="0.35">
      <c r="A108" s="2">
        <v>45156</v>
      </c>
      <c r="B108" s="3">
        <v>24.4330671459104</v>
      </c>
      <c r="C108" s="3">
        <v>14.716640317305901</v>
      </c>
      <c r="D108" s="3">
        <v>13.289771492371299</v>
      </c>
      <c r="E108" s="3">
        <v>11.096432613409601</v>
      </c>
      <c r="F108" s="3">
        <v>14.3650315763521</v>
      </c>
      <c r="G108" s="3">
        <v>18.638422976919301</v>
      </c>
      <c r="H108" s="3">
        <v>10.3239364976275</v>
      </c>
      <c r="I108" s="3">
        <v>25.9443292656583</v>
      </c>
      <c r="J108" s="3">
        <v>19.113914220323299</v>
      </c>
      <c r="K108" s="3">
        <v>13.093274926988199</v>
      </c>
      <c r="L108" s="3">
        <v>17.894592772003399</v>
      </c>
      <c r="M108" s="3">
        <v>18.224586955259699</v>
      </c>
      <c r="N108" s="3">
        <v>8.1173293453772306</v>
      </c>
    </row>
    <row r="109" spans="1:14" x14ac:dyDescent="0.35">
      <c r="A109" s="2">
        <v>45187</v>
      </c>
      <c r="B109" s="3">
        <v>24.016762608467399</v>
      </c>
      <c r="C109" s="3">
        <v>15.1413073156496</v>
      </c>
      <c r="D109" s="3">
        <v>13.7659453944545</v>
      </c>
      <c r="E109" s="3">
        <v>11.2082511899218</v>
      </c>
      <c r="F109" s="3">
        <v>15.2871228122447</v>
      </c>
      <c r="G109" s="3">
        <v>18.719350825159001</v>
      </c>
      <c r="H109" s="3">
        <v>10.673362775573599</v>
      </c>
      <c r="I109" s="3">
        <v>26.5519877080756</v>
      </c>
      <c r="J109" s="3">
        <v>19.546128002918199</v>
      </c>
      <c r="K109" s="3">
        <v>13.209927448498</v>
      </c>
      <c r="L109" s="3">
        <v>17.105128876033401</v>
      </c>
      <c r="M109" s="3">
        <v>17.274592178016501</v>
      </c>
      <c r="N109" s="3">
        <v>8.3632481812218096</v>
      </c>
    </row>
    <row r="110" spans="1:14" x14ac:dyDescent="0.35">
      <c r="A110" s="2">
        <v>45217</v>
      </c>
      <c r="B110" s="3">
        <v>23.183383253237999</v>
      </c>
      <c r="C110" s="3">
        <v>14.833282027390201</v>
      </c>
      <c r="D110" s="3">
        <v>13.3028547282051</v>
      </c>
      <c r="E110" s="3">
        <v>10.852590585350899</v>
      </c>
      <c r="F110" s="3">
        <v>14.7389186098473</v>
      </c>
      <c r="G110" s="3">
        <v>18.0618414730415</v>
      </c>
      <c r="H110" s="3">
        <v>10.5549803381162</v>
      </c>
      <c r="I110" s="3">
        <v>26.276566181812701</v>
      </c>
      <c r="J110" s="3">
        <v>19.292309873931799</v>
      </c>
      <c r="K110" s="3">
        <v>12.729502446821</v>
      </c>
      <c r="L110" s="3">
        <v>16.124958661949599</v>
      </c>
      <c r="M110" s="3">
        <v>16.7253146757728</v>
      </c>
      <c r="N110" s="3">
        <v>8.1829468164372798</v>
      </c>
    </row>
    <row r="111" spans="1:14" x14ac:dyDescent="0.35">
      <c r="A111" s="2">
        <v>45247</v>
      </c>
      <c r="B111" s="3">
        <v>22.268153754941299</v>
      </c>
      <c r="C111" s="3">
        <v>15.0206015653112</v>
      </c>
      <c r="D111" s="3">
        <v>13.7540549223529</v>
      </c>
      <c r="E111" s="3">
        <v>11.3990878145322</v>
      </c>
      <c r="F111" s="3">
        <v>15.3482658482506</v>
      </c>
      <c r="G111" s="3">
        <v>17.8815076588949</v>
      </c>
      <c r="H111" s="3">
        <v>10.6898781006149</v>
      </c>
      <c r="I111" s="3">
        <v>27.506501778575</v>
      </c>
      <c r="J111" s="3">
        <v>20.166893571626801</v>
      </c>
      <c r="K111" s="3">
        <v>13.2454466366363</v>
      </c>
      <c r="L111" s="3">
        <v>16.5988340847884</v>
      </c>
      <c r="M111" s="3">
        <v>15.875612389474099</v>
      </c>
      <c r="N111" s="3">
        <v>8.29273202667747</v>
      </c>
    </row>
    <row r="112" spans="1:14" x14ac:dyDescent="0.35">
      <c r="A112" s="2">
        <v>45278</v>
      </c>
      <c r="B112" s="3">
        <v>23.868280368544699</v>
      </c>
      <c r="C112" s="3">
        <v>16.021263109348599</v>
      </c>
      <c r="D112" s="3">
        <v>14.3091981276807</v>
      </c>
      <c r="E112" s="3">
        <v>11.8735039512071</v>
      </c>
      <c r="F112" s="3">
        <v>14.9536929748974</v>
      </c>
      <c r="G112" s="3">
        <v>18.354856201459299</v>
      </c>
      <c r="H112" s="3">
        <v>11.074204926681199</v>
      </c>
      <c r="I112" s="3">
        <v>28.928817969371298</v>
      </c>
      <c r="J112" s="3">
        <v>21.452409568481901</v>
      </c>
      <c r="K112" s="3">
        <v>14.025601163027799</v>
      </c>
      <c r="L112" s="3">
        <v>16.796165176803601</v>
      </c>
      <c r="M112" s="3">
        <v>18.081619938564899</v>
      </c>
      <c r="N112" s="3">
        <v>8.7961529207042908</v>
      </c>
    </row>
    <row r="113" spans="1:25" x14ac:dyDescent="0.35">
      <c r="A113" s="2">
        <v>45309</v>
      </c>
      <c r="B113" s="3">
        <v>23.096815783032302</v>
      </c>
      <c r="C113" s="3">
        <v>15.804453939601601</v>
      </c>
      <c r="D113" s="3">
        <v>14.482594032872401</v>
      </c>
      <c r="E113" s="3">
        <v>11.745357886987099</v>
      </c>
      <c r="F113" s="3">
        <v>16.1956934444793</v>
      </c>
      <c r="G113" s="3">
        <v>18.212416921019798</v>
      </c>
      <c r="H113" s="3">
        <v>10.959791072886601</v>
      </c>
      <c r="I113" s="3">
        <v>29.2564166935522</v>
      </c>
      <c r="J113" s="3">
        <v>21.8400218804837</v>
      </c>
      <c r="K113" s="3">
        <v>13.956372837809999</v>
      </c>
      <c r="L113" s="3">
        <v>16.453118558602501</v>
      </c>
      <c r="M113" s="3">
        <v>17.056058732077901</v>
      </c>
      <c r="N113" s="3">
        <v>8.9773027906961893</v>
      </c>
    </row>
    <row r="114" spans="1:25" x14ac:dyDescent="0.35">
      <c r="A114" s="2">
        <v>45338</v>
      </c>
      <c r="B114" s="3">
        <v>23.063550245368798</v>
      </c>
      <c r="C114" s="3">
        <v>16.533459484950399</v>
      </c>
      <c r="D114" s="3">
        <v>14.784472863401</v>
      </c>
      <c r="E114" s="3">
        <v>12.186417491053399</v>
      </c>
      <c r="F114" s="3">
        <v>16.800960966723999</v>
      </c>
      <c r="G114" s="3">
        <v>19.007939116445201</v>
      </c>
      <c r="H114" s="3">
        <v>11.351601133046399</v>
      </c>
      <c r="I114" s="3">
        <v>29.920392252630101</v>
      </c>
      <c r="J114" s="3">
        <v>22.454997163971001</v>
      </c>
      <c r="K114" s="3">
        <v>15.159986555959</v>
      </c>
      <c r="L114" s="3">
        <v>17.906138092914599</v>
      </c>
      <c r="M114" s="3">
        <v>15.467010061272401</v>
      </c>
      <c r="N114" s="3">
        <v>9.0717589342036096</v>
      </c>
    </row>
    <row r="115" spans="1:25" x14ac:dyDescent="0.35">
      <c r="A115" s="2">
        <v>45369</v>
      </c>
      <c r="B115" s="3">
        <v>23.837851810740801</v>
      </c>
      <c r="C115" s="3">
        <v>16.580987008508799</v>
      </c>
      <c r="D115" s="3">
        <v>14.9521975475389</v>
      </c>
      <c r="E115" s="3">
        <v>12.524656151071801</v>
      </c>
      <c r="F115" s="3">
        <v>17.001069458187299</v>
      </c>
      <c r="G115" s="3">
        <v>19.180651128774102</v>
      </c>
      <c r="H115" s="3">
        <v>11.461821917921</v>
      </c>
      <c r="I115" s="3">
        <v>30.114665503388199</v>
      </c>
      <c r="J115" s="3">
        <v>22.719238694289299</v>
      </c>
      <c r="K115" s="3">
        <v>15.5176814609544</v>
      </c>
      <c r="L115" s="3">
        <v>18.4025273261142</v>
      </c>
      <c r="M115" s="3">
        <v>15.902394264364</v>
      </c>
      <c r="N115" s="3">
        <v>9.42732322343603</v>
      </c>
    </row>
    <row r="116" spans="1:25" x14ac:dyDescent="0.35">
      <c r="A116" s="2">
        <v>45400</v>
      </c>
      <c r="B116" s="3">
        <v>24.088357781664101</v>
      </c>
      <c r="C116" s="3">
        <v>16.551276820205899</v>
      </c>
      <c r="D116" s="3">
        <v>14.887377472016601</v>
      </c>
      <c r="E116" s="3">
        <v>12.4836498464248</v>
      </c>
      <c r="F116" s="3">
        <v>16.772230298043301</v>
      </c>
      <c r="G116" s="3">
        <v>18.8431965216406</v>
      </c>
      <c r="H116" s="3">
        <v>11.4870700087221</v>
      </c>
      <c r="I116" s="3">
        <v>29.487119208599498</v>
      </c>
      <c r="J116" s="3">
        <v>22.3947427507409</v>
      </c>
      <c r="K116" s="3">
        <v>15.401017459147001</v>
      </c>
      <c r="L116" s="3">
        <v>18.1657700410166</v>
      </c>
      <c r="M116" s="3">
        <v>15.8779898295439</v>
      </c>
      <c r="N116" s="3">
        <v>9.4379421354610997</v>
      </c>
    </row>
    <row r="117" spans="1:25" x14ac:dyDescent="0.35">
      <c r="A117" s="2">
        <v>45429</v>
      </c>
      <c r="B117" s="3">
        <v>24.6399162512134</v>
      </c>
      <c r="C117" s="3">
        <v>16.775267451041199</v>
      </c>
      <c r="D117" s="3">
        <v>15.0425167281961</v>
      </c>
      <c r="E117" s="3">
        <v>12.5758465431534</v>
      </c>
      <c r="F117" s="3">
        <v>16.779699603768201</v>
      </c>
      <c r="G117" s="3">
        <v>18.959623439197902</v>
      </c>
      <c r="H117" s="3">
        <v>11.783866163526</v>
      </c>
      <c r="I117" s="3">
        <v>29.7712000551922</v>
      </c>
      <c r="J117" s="3">
        <v>22.610225450151098</v>
      </c>
      <c r="K117" s="3">
        <v>15.4941032562177</v>
      </c>
      <c r="L117" s="3">
        <v>18.3521784967614</v>
      </c>
      <c r="M117" s="3">
        <v>16.096340537314401</v>
      </c>
      <c r="N117" s="3">
        <v>9.6442441212370404</v>
      </c>
    </row>
    <row r="118" spans="1:25" x14ac:dyDescent="0.35">
      <c r="A118" s="2">
        <v>45461</v>
      </c>
      <c r="B118" s="3">
        <v>24.391905433545499</v>
      </c>
      <c r="C118" s="3">
        <v>16.841872377845299</v>
      </c>
      <c r="D118" s="3">
        <v>14.750747536877</v>
      </c>
      <c r="E118" s="3">
        <v>12.401415050094201</v>
      </c>
      <c r="F118" s="3">
        <v>16.552599557509101</v>
      </c>
      <c r="G118" s="3">
        <v>18.8976224803009</v>
      </c>
      <c r="H118" s="3">
        <v>11.653024625204001</v>
      </c>
      <c r="I118" s="3">
        <v>30.2972031115332</v>
      </c>
      <c r="J118" s="3">
        <v>22.809049046763999</v>
      </c>
      <c r="K118" s="3">
        <v>15.0143511027429</v>
      </c>
      <c r="L118" s="3">
        <v>18.475731249271199</v>
      </c>
      <c r="M118" s="3">
        <v>15.9878719213824</v>
      </c>
      <c r="N118" s="3">
        <v>9.44388451788436</v>
      </c>
    </row>
    <row r="119" spans="1:25" x14ac:dyDescent="0.35">
      <c r="A119" s="2">
        <v>45491</v>
      </c>
      <c r="B119" s="3">
        <v>25.134569980583201</v>
      </c>
      <c r="C119" s="3">
        <v>17.287000804600499</v>
      </c>
      <c r="D119" s="3">
        <v>15.143774243807</v>
      </c>
      <c r="E119" s="3">
        <v>12.5584108423358</v>
      </c>
      <c r="F119" s="3">
        <v>16.868973501657099</v>
      </c>
      <c r="G119" s="3">
        <v>18.953544729700301</v>
      </c>
      <c r="H119" s="3">
        <v>11.8287472073382</v>
      </c>
      <c r="I119" s="3">
        <v>30.0244867801335</v>
      </c>
      <c r="J119" s="3">
        <v>22.948289797945598</v>
      </c>
      <c r="K119" s="3">
        <v>14.9457864369229</v>
      </c>
      <c r="L119" s="3">
        <v>18.179252679669801</v>
      </c>
      <c r="M119" s="3">
        <v>16.512150827150101</v>
      </c>
      <c r="N119" s="3">
        <v>9.7115857009078503</v>
      </c>
    </row>
    <row r="120" spans="1:25" x14ac:dyDescent="0.35">
      <c r="A120" s="2">
        <v>45520</v>
      </c>
      <c r="B120" s="3">
        <v>25.8696449699361</v>
      </c>
      <c r="C120" s="3">
        <v>17.270225283200901</v>
      </c>
      <c r="D120" s="3">
        <v>15.2168654712956</v>
      </c>
      <c r="E120" s="3">
        <v>12.563661488375701</v>
      </c>
      <c r="F120" s="3">
        <v>16.0503746462389</v>
      </c>
      <c r="G120" s="3">
        <v>18.779215292799901</v>
      </c>
      <c r="H120" s="3">
        <v>11.9714526843419</v>
      </c>
      <c r="I120" s="3">
        <v>30.263267393425199</v>
      </c>
      <c r="J120" s="3">
        <v>23.000275807871599</v>
      </c>
      <c r="K120" s="3">
        <v>14.8766419860396</v>
      </c>
      <c r="L120" s="3">
        <v>17.604741308597401</v>
      </c>
      <c r="M120" s="3">
        <v>16.474079036147302</v>
      </c>
      <c r="N120" s="3">
        <v>9.6890115967995492</v>
      </c>
    </row>
    <row r="121" spans="1:25" x14ac:dyDescent="0.35">
      <c r="A121" s="2">
        <v>45553</v>
      </c>
      <c r="B121" s="3">
        <v>24.171219462944599</v>
      </c>
      <c r="C121" s="3">
        <v>17.889640997300098</v>
      </c>
      <c r="D121" s="3">
        <v>15.652137028362</v>
      </c>
      <c r="E121" s="3">
        <v>13.0369319150981</v>
      </c>
      <c r="F121" s="3">
        <v>15.3163175342956</v>
      </c>
      <c r="G121" s="3">
        <v>18.585826514019399</v>
      </c>
      <c r="H121" s="3">
        <v>12.0835878881668</v>
      </c>
      <c r="I121" s="3">
        <v>29.919296042958301</v>
      </c>
      <c r="J121" s="3">
        <v>23.182904801291301</v>
      </c>
      <c r="K121" s="3">
        <v>14.8126838467204</v>
      </c>
      <c r="L121" s="3">
        <v>17.364186690543299</v>
      </c>
      <c r="M121" s="3">
        <v>17.022517022083299</v>
      </c>
      <c r="N121" s="3">
        <v>9.9869267749230595</v>
      </c>
    </row>
    <row r="122" spans="1:25" x14ac:dyDescent="0.35">
      <c r="A122" s="2">
        <v>45581</v>
      </c>
      <c r="B122" s="3">
        <v>24.602298904602701</v>
      </c>
      <c r="C122" s="3">
        <v>18.212166424278902</v>
      </c>
      <c r="D122" s="3">
        <v>16.3886430285831</v>
      </c>
      <c r="E122" s="3">
        <v>13.771391810484699</v>
      </c>
      <c r="F122" s="3">
        <v>15.718005826668699</v>
      </c>
      <c r="G122" s="3">
        <v>18.727813176506999</v>
      </c>
      <c r="H122" s="3">
        <v>12.2033704610696</v>
      </c>
      <c r="I122" s="3">
        <v>30.820847202314301</v>
      </c>
      <c r="J122" s="3">
        <v>24.1414723340094</v>
      </c>
      <c r="K122" s="3">
        <v>14.986701218699199</v>
      </c>
      <c r="L122" s="3">
        <v>17.268908860587501</v>
      </c>
      <c r="M122" s="3">
        <v>17.408043134231701</v>
      </c>
      <c r="N122" s="3">
        <v>10.7101199061602</v>
      </c>
    </row>
    <row r="124" spans="1:25" x14ac:dyDescent="0.35">
      <c r="A124" s="2" t="s">
        <v>91</v>
      </c>
      <c r="B124" s="3" cm="1">
        <f t="array" ref="B124">MIN(_xlfn._xlws.FILTER(B1:B122, ISNUMBER(B1:B122)))</f>
        <v>17.638548590257901</v>
      </c>
      <c r="C124" s="3" cm="1">
        <f t="array" ref="C124">MIN(_xlfn._xlws.FILTER(C1:C122, ISNUMBER(C1:C122)))</f>
        <v>13.4069575626763</v>
      </c>
      <c r="D124" s="3" cm="1">
        <f t="array" ref="D124">MIN(_xlfn._xlws.FILTER(D1:D122, ISNUMBER(D1:D122)))</f>
        <v>12.218628332552999</v>
      </c>
      <c r="E124" s="3" cm="1">
        <f t="array" ref="E124">MIN(_xlfn._xlws.FILTER(E1:E122, ISNUMBER(E1:E122)))</f>
        <v>10.3154368324739</v>
      </c>
      <c r="F124" s="3" cm="1">
        <f t="array" ref="F124">MIN(_xlfn._xlws.FILTER(F1:F122, ISNUMBER(F1:F122)))</f>
        <v>11.992956420628801</v>
      </c>
      <c r="G124" s="3" cm="1">
        <f t="array" ref="G124">MIN(_xlfn._xlws.FILTER(G1:G122, ISNUMBER(G1:G122)))</f>
        <v>16.014746713951499</v>
      </c>
      <c r="H124" s="3" cm="1">
        <f t="array" ref="H124">MIN(_xlfn._xlws.FILTER(H1:H122, ISNUMBER(H1:H122)))</f>
        <v>9.4518490405670992</v>
      </c>
      <c r="I124" s="3" cm="1">
        <f t="array" ref="I124">MIN(_xlfn._xlws.FILTER(I1:I122, ISNUMBER(I1:I122)))</f>
        <v>18.187486621407501</v>
      </c>
      <c r="J124" s="3" cm="1">
        <f t="array" ref="J124">MIN(_xlfn._xlws.FILTER(J1:J122, ISNUMBER(J1:J122)))</f>
        <v>15.776711047748501</v>
      </c>
      <c r="K124" s="3" cm="1">
        <f t="array" ref="K124">MIN(_xlfn._xlws.FILTER(K1:K122, ISNUMBER(K1:K122)))</f>
        <v>11.6279759844307</v>
      </c>
      <c r="L124" s="3" cm="1">
        <f t="array" ref="L124">MIN(_xlfn._xlws.FILTER(L1:L122, ISNUMBER(L1:L122)))</f>
        <v>14.6214847971165</v>
      </c>
      <c r="M124" s="3" cm="1">
        <f t="array" ref="M124">MIN(_xlfn._xlws.FILTER(M1:M122, ISNUMBER(M1:M122)))</f>
        <v>11.8530937302952</v>
      </c>
      <c r="N124" s="3" cm="1">
        <f t="array" ref="N124">MIN(_xlfn._xlws.FILTER(N1:N122, ISNUMBER(N1:N122)))</f>
        <v>7.4757163263452</v>
      </c>
    </row>
    <row r="125" spans="1:25" x14ac:dyDescent="0.35">
      <c r="A125" s="2" t="s">
        <v>92</v>
      </c>
      <c r="B125" s="3" cm="1">
        <f t="array" ref="B125">MAX(_xlfn._xlws.FILTER(B1:B122, ISNUMBER(B1:B122)))</f>
        <v>38.793350252484302</v>
      </c>
      <c r="C125" s="3" cm="1">
        <f t="array" ref="C125">MAX(_xlfn._xlws.FILTER(C1:C122, ISNUMBER(C1:C122)))</f>
        <v>23.257172696826402</v>
      </c>
      <c r="D125" s="3" cm="1">
        <f t="array" ref="D125">MAX(_xlfn._xlws.FILTER(D1:D122, ISNUMBER(D1:D122)))</f>
        <v>21.1547936716373</v>
      </c>
      <c r="E125" s="3" cm="1">
        <f t="array" ref="E125">MAX(_xlfn._xlws.FILTER(E1:E122, ISNUMBER(E1:E122)))</f>
        <v>21.864544955894701</v>
      </c>
      <c r="F125" s="3" cm="1">
        <f t="array" ref="F125">MAX(_xlfn._xlws.FILTER(F1:F122, ISNUMBER(F1:F122)))</f>
        <v>23.9745360844129</v>
      </c>
      <c r="G125" s="3" cm="1">
        <f t="array" ref="G125">MAX(_xlfn._xlws.FILTER(G1:G122, ISNUMBER(G1:G122)))</f>
        <v>21.973984026871399</v>
      </c>
      <c r="H125" s="3" cm="1">
        <f t="array" ref="H125">MAX(_xlfn._xlws.FILTER(H1:H122, ISNUMBER(H1:H122)))</f>
        <v>20.201081984687001</v>
      </c>
      <c r="I125" s="3" cm="1">
        <f t="array" ref="I125">MAX(_xlfn._xlws.FILTER(I1:I122, ISNUMBER(I1:I122)))</f>
        <v>35.0426900330094</v>
      </c>
      <c r="J125" s="3" cm="1">
        <f t="array" ref="J125">MAX(_xlfn._xlws.FILTER(J1:J122, ISNUMBER(J1:J122)))</f>
        <v>27.184926111339699</v>
      </c>
      <c r="K125" s="3" cm="1">
        <f t="array" ref="K125">MAX(_xlfn._xlws.FILTER(K1:K122, ISNUMBER(K1:K122)))</f>
        <v>28.7166772219765</v>
      </c>
      <c r="L125" s="3" cm="1">
        <f t="array" ref="L125">MAX(_xlfn._xlws.FILTER(L1:L122, ISNUMBER(L1:L122)))</f>
        <v>29.761209547297501</v>
      </c>
      <c r="M125" s="3" cm="1">
        <f t="array" ref="M125">MAX(_xlfn._xlws.FILTER(M1:M122, ISNUMBER(M1:M122)))</f>
        <v>26.204526979067399</v>
      </c>
      <c r="N125" s="3" cm="1">
        <f t="array" ref="N125">MAX(_xlfn._xlws.FILTER(N1:N122, ISNUMBER(N1:N122)))</f>
        <v>82.094099266410794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0.51600000000000001</v>
      </c>
      <c r="C127" s="9" cm="1">
        <f t="array" ref="C127">_xlfn.PERCENTRANK.EXC(_xlfn._xlws.FILTER(C1:C122, ISNUMBER(C1:C122)),C121)</f>
        <v>0.80300000000000005</v>
      </c>
      <c r="D127" s="9" cm="1">
        <f t="array" ref="D127">_xlfn.PERCENTRANK.EXC(_xlfn._xlws.FILTER(D1:D122, ISNUMBER(D1:D122)),D121)</f>
        <v>0.50800000000000001</v>
      </c>
      <c r="E127" s="9" cm="1">
        <f t="array" ref="E127">_xlfn.PERCENTRANK.EXC(_xlfn._xlws.FILTER(E1:E122, ISNUMBER(E1:E122)),E121)</f>
        <v>0.33600000000000002</v>
      </c>
      <c r="F127" s="9" cm="1">
        <f t="array" ref="F127">_xlfn.PERCENTRANK.EXC(_xlfn._xlws.FILTER(F1:F122, ISNUMBER(F1:F122)),F121)</f>
        <v>0.53200000000000003</v>
      </c>
      <c r="G127" s="9" cm="1">
        <f t="array" ref="G127">_xlfn.PERCENTRANK.EXC(_xlfn._xlws.FILTER(G1:G122, ISNUMBER(G1:G122)),G121)</f>
        <v>0.46700000000000003</v>
      </c>
      <c r="H127" s="9" cm="1">
        <f t="array" ref="H127">_xlfn.PERCENTRANK.EXC(_xlfn._xlws.FILTER(H1:H122, ISNUMBER(H1:H122)),H121)</f>
        <v>0.254</v>
      </c>
      <c r="I127" s="9" cm="1">
        <f t="array" ref="I127">_xlfn.PERCENTRANK.EXC(_xlfn._xlws.FILTER(I1:I122, ISNUMBER(I1:I122)),I121)</f>
        <v>0.81899999999999995</v>
      </c>
      <c r="J127" s="9" cm="1">
        <f t="array" ref="J127">_xlfn.PERCENTRANK.EXC(_xlfn._xlws.FILTER(J1:J122, ISNUMBER(J1:J122)),J121)</f>
        <v>0.86799999999999999</v>
      </c>
      <c r="K127" s="9" cm="1">
        <f t="array" ref="K127">_xlfn.PERCENTRANK.EXC(_xlfn._xlws.FILTER(K1:K122, ISNUMBER(K1:K122)),K121)</f>
        <v>0.32700000000000001</v>
      </c>
      <c r="L127" s="9" cm="1">
        <f t="array" ref="L127">_xlfn.PERCENTRANK.EXC(_xlfn._xlws.FILTER(L1:L122, ISNUMBER(L1:L122)),L121)</f>
        <v>0.46700000000000003</v>
      </c>
      <c r="M127" s="9" cm="1">
        <f t="array" ref="M127">_xlfn.PERCENTRANK.EXC(_xlfn._xlws.FILTER(M1:M122, ISNUMBER(M1:M122)),M121)</f>
        <v>0.55700000000000005</v>
      </c>
      <c r="N127" s="9" cm="1">
        <f t="array" ref="N127">_xlfn.PERCENTRANK.EXC(_xlfn._xlws.FILTER(N1:N122, ISNUMBER(N1:N122)),N121)</f>
        <v>0.22900000000000001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41929</v>
      </c>
      <c r="B2" s="3" cm="1">
        <f t="array" ref="B2:B122">_xll.FDS(B1,"FMA_PE(NTMA,-10AY,0,AM,""PORTAGG"",""MEANR"")")</f>
        <v>16.7401097983836</v>
      </c>
      <c r="C2" s="3" cm="1">
        <f t="array" ref="C2:C122">_xll.FDS(C1,"FMA_PE(NTMA,-10AY,0,AM,""PORTAGG"",""MEANR"")")</f>
        <v>13.923514718566199</v>
      </c>
      <c r="D2" s="3" cm="1">
        <f t="array" ref="D2:D122">_xll.FDS(D1,"FMA_PE(NTMA,-10AY,0,AM,""PORTAGG"",""MEANR"")")</f>
        <v>13.7889254230146</v>
      </c>
      <c r="E2" s="3" cm="1">
        <f t="array" ref="E2:E122">_xll.FDS(E1,"FMA_PE(NTMA,-10AY,0,AM,""PORTAGG"",""MEANR"")")</f>
        <v>11.6960462198589</v>
      </c>
      <c r="F2" s="3" cm="1">
        <f t="array" ref="F2:F122">_xll.FDS(F1,"FMA_PE(NTMA,-10AY,0,AM,""PORTAGG"",""MEANR"")")</f>
        <v>12.415970232637999</v>
      </c>
      <c r="G2" s="3" cm="1">
        <f t="array" ref="G2:G122">_xll.FDS(G1,"FMA_PE(NTMA,-10AY,0,AM,""PORTAGG"",""MEANR"")")</f>
        <v>14.9560518475671</v>
      </c>
      <c r="H2" s="3" cm="1">
        <f t="array" ref="H2:H122">_xll.FDS(H1,"FMA_PE(NTMA,-10AY,0,AM,""PORTAGG"",""MEANR"")")</f>
        <v>12.518195894633299</v>
      </c>
      <c r="I2" s="3" cm="1">
        <f t="array" ref="I2:I122">_xll.FDS(I1,"FMA_PE(NTMA,-10AY,0,AM,""PORTAGG"",""MEANR"")")</f>
        <v>16.357041465684201</v>
      </c>
      <c r="J2" s="3" cm="1">
        <f t="array" ref="J2:J122">_xll.FDS(J1,"FMA_PE(NTMA,-10AY,0,AM,""PORTAGG"",""MEANR"")")</f>
        <v>14.4216673069704</v>
      </c>
      <c r="K2" s="3" cm="1">
        <f t="array" ref="K2:K122">_xll.FDS(K1,"FMA_PE(NTMA,-10AY,0,AM,""PORTAGG"",""MEANR"")")</f>
        <v>12.548915399283199</v>
      </c>
      <c r="L2" s="3" cm="1">
        <f t="array" ref="L2:L122">_xll.FDS(L1,"FMA_PE(NTMA,-10AY,0,AM,""PORTAGG"",""MEANR"")")</f>
        <v>13.500685860673499</v>
      </c>
      <c r="M2" s="3" cm="1">
        <f t="array" ref="M2:M122">_xll.FDS(M1,"FMA_PE(NTMA,-10AY,0,AM,""PORTAGG"",""MEANR"")")</f>
        <v>13.6107748756822</v>
      </c>
      <c r="N2" s="3" cm="1">
        <f t="array" ref="N2:N122">_xll.FDS(N1,"FMA_PE(NTMA,-10AY,0,AM,""PORTAGG"",""MEANR"")")</f>
        <v>12.158894061738099</v>
      </c>
    </row>
    <row r="3" spans="1:14" x14ac:dyDescent="0.35">
      <c r="A3" s="2">
        <v>41961</v>
      </c>
      <c r="B3" s="3">
        <v>18.1143159255858</v>
      </c>
      <c r="C3" s="3">
        <v>14.214352256901799</v>
      </c>
      <c r="D3" s="3">
        <v>14.750923952732199</v>
      </c>
      <c r="E3" s="3">
        <v>12.455057604988699</v>
      </c>
      <c r="F3" s="3">
        <v>14.534203679458001</v>
      </c>
      <c r="G3" s="3">
        <v>16.113173974199999</v>
      </c>
      <c r="H3" s="3">
        <v>13.4950082559736</v>
      </c>
      <c r="I3" s="3">
        <v>17.9998480651238</v>
      </c>
      <c r="J3" s="3">
        <v>15.724348441896799</v>
      </c>
      <c r="K3" s="3">
        <v>13.373945214296899</v>
      </c>
      <c r="L3" s="3">
        <v>14.903049105514601</v>
      </c>
      <c r="M3" s="3">
        <v>15.4378312378277</v>
      </c>
      <c r="N3" s="3">
        <v>12.8153009020994</v>
      </c>
    </row>
    <row r="4" spans="1:14" x14ac:dyDescent="0.35">
      <c r="A4" s="2">
        <v>41991</v>
      </c>
      <c r="B4" s="3">
        <v>18.084735745352699</v>
      </c>
      <c r="C4" s="3">
        <v>13.8865226993557</v>
      </c>
      <c r="D4" s="3">
        <v>15.1360417351592</v>
      </c>
      <c r="E4" s="3">
        <v>12.8745425977393</v>
      </c>
      <c r="F4" s="3">
        <v>14.004811671697899</v>
      </c>
      <c r="G4" s="3">
        <v>15.8170251034404</v>
      </c>
      <c r="H4" s="3">
        <v>13.576775925581501</v>
      </c>
      <c r="I4" s="3">
        <v>17.851674242045199</v>
      </c>
      <c r="J4" s="3">
        <v>15.9876166375339</v>
      </c>
      <c r="K4" s="3">
        <v>13.664220566573899</v>
      </c>
      <c r="L4" s="3">
        <v>14.683577048971999</v>
      </c>
      <c r="M4" s="3">
        <v>15.431840797880801</v>
      </c>
      <c r="N4" s="3">
        <v>12.5001036411923</v>
      </c>
    </row>
    <row r="5" spans="1:14" x14ac:dyDescent="0.35">
      <c r="A5" s="2">
        <v>42020</v>
      </c>
      <c r="B5" s="3">
        <v>18.5478301470677</v>
      </c>
      <c r="C5" s="3">
        <v>14.448427476446801</v>
      </c>
      <c r="D5" s="3">
        <v>15.5026934232119</v>
      </c>
      <c r="E5" s="3">
        <v>13.3310697659629</v>
      </c>
      <c r="F5" s="3">
        <v>13.7228271357823</v>
      </c>
      <c r="G5" s="3">
        <v>15.0684969938974</v>
      </c>
      <c r="H5" s="3">
        <v>14.200991445325499</v>
      </c>
      <c r="I5" s="3">
        <v>16.933023279921301</v>
      </c>
      <c r="J5" s="3">
        <v>15.9384278995937</v>
      </c>
      <c r="K5" s="3">
        <v>14.310118685396301</v>
      </c>
      <c r="L5" s="3">
        <v>15.092685874733901</v>
      </c>
      <c r="M5" s="3">
        <v>15.629468021384801</v>
      </c>
      <c r="N5" s="3">
        <v>12.971391281477599</v>
      </c>
    </row>
    <row r="6" spans="1:14" x14ac:dyDescent="0.35">
      <c r="A6" s="2">
        <v>42053</v>
      </c>
      <c r="B6" s="3">
        <v>18.927033493342499</v>
      </c>
      <c r="C6" s="3">
        <v>16.259485714875801</v>
      </c>
      <c r="D6" s="3">
        <v>17.336693508855301</v>
      </c>
      <c r="E6" s="3">
        <v>14.2566776141772</v>
      </c>
      <c r="F6" s="3">
        <v>14.729814645106799</v>
      </c>
      <c r="G6" s="3">
        <v>17.232473494435201</v>
      </c>
      <c r="H6" s="3">
        <v>15.5251456423834</v>
      </c>
      <c r="I6" s="3">
        <v>17.925556349892702</v>
      </c>
      <c r="J6" s="3">
        <v>16.8617181592275</v>
      </c>
      <c r="K6" s="3">
        <v>15.959553972410101</v>
      </c>
      <c r="L6" s="3">
        <v>16.234255572282599</v>
      </c>
      <c r="M6" s="3">
        <v>16.8625098297444</v>
      </c>
      <c r="N6" s="3">
        <v>15.020603346959501</v>
      </c>
    </row>
    <row r="7" spans="1:14" x14ac:dyDescent="0.35">
      <c r="A7" s="2">
        <v>42081</v>
      </c>
      <c r="B7" s="3">
        <v>18.7412794877628</v>
      </c>
      <c r="C7" s="3">
        <v>16.051714949430501</v>
      </c>
      <c r="D7" s="3">
        <v>17.176283950015002</v>
      </c>
      <c r="E7" s="3">
        <v>15.434756570543399</v>
      </c>
      <c r="F7" s="3">
        <v>15.6356368792858</v>
      </c>
      <c r="G7" s="3">
        <v>17.751172884706801</v>
      </c>
      <c r="H7" s="3">
        <v>15.611497812660501</v>
      </c>
      <c r="I7" s="3">
        <v>17.9886510030795</v>
      </c>
      <c r="J7" s="3">
        <v>16.799053088507101</v>
      </c>
      <c r="K7" s="3">
        <v>16.5420706782688</v>
      </c>
      <c r="L7" s="3">
        <v>17.521930011924901</v>
      </c>
      <c r="M7" s="3">
        <v>17.361517668948999</v>
      </c>
      <c r="N7" s="3">
        <v>15.4252538324667</v>
      </c>
    </row>
    <row r="8" spans="1:14" x14ac:dyDescent="0.35">
      <c r="A8" s="2">
        <v>42111</v>
      </c>
      <c r="B8" s="3">
        <v>18.433273265375099</v>
      </c>
      <c r="C8" s="3">
        <v>16.431156295136901</v>
      </c>
      <c r="D8" s="3">
        <v>17.443698689847299</v>
      </c>
      <c r="E8" s="3">
        <v>15.000404630431399</v>
      </c>
      <c r="F8" s="3">
        <v>15.6274564646433</v>
      </c>
      <c r="G8" s="3">
        <v>18.0300186729242</v>
      </c>
      <c r="H8" s="3">
        <v>16.035069337353601</v>
      </c>
      <c r="I8" s="3">
        <v>17.694638088964201</v>
      </c>
      <c r="J8" s="3">
        <v>16.606376521083199</v>
      </c>
      <c r="K8" s="3">
        <v>16.681820367625001</v>
      </c>
      <c r="L8" s="3">
        <v>17.177710483143201</v>
      </c>
      <c r="M8" s="3">
        <v>16.5876658927194</v>
      </c>
      <c r="N8" s="3">
        <v>15.6874618983984</v>
      </c>
    </row>
    <row r="9" spans="1:14" x14ac:dyDescent="0.35">
      <c r="A9" s="2">
        <v>42142</v>
      </c>
      <c r="B9" s="3">
        <v>18.2181894539528</v>
      </c>
      <c r="C9" s="3">
        <v>15.884022883195801</v>
      </c>
      <c r="D9" s="3">
        <v>16.772626317610801</v>
      </c>
      <c r="E9" s="3">
        <v>14.449482267157</v>
      </c>
      <c r="F9" s="3">
        <v>16.053425928746499</v>
      </c>
      <c r="G9" s="3">
        <v>17.789652895411098</v>
      </c>
      <c r="H9" s="3">
        <v>16.120855033741002</v>
      </c>
      <c r="I9" s="3">
        <v>18.089710941412999</v>
      </c>
      <c r="J9" s="3">
        <v>16.7690015945212</v>
      </c>
      <c r="K9" s="3">
        <v>16.230411830061499</v>
      </c>
      <c r="L9" s="3">
        <v>16.882120267783201</v>
      </c>
      <c r="M9" s="3">
        <v>15.888952797674101</v>
      </c>
      <c r="N9" s="3">
        <v>15.593859879559799</v>
      </c>
    </row>
    <row r="10" spans="1:14" x14ac:dyDescent="0.35">
      <c r="A10" s="2">
        <v>42173</v>
      </c>
      <c r="B10" s="3">
        <v>17.858163535580101</v>
      </c>
      <c r="C10" s="3">
        <v>15.3156530870609</v>
      </c>
      <c r="D10" s="3">
        <v>16.194833440538499</v>
      </c>
      <c r="E10" s="3">
        <v>13.5606436749507</v>
      </c>
      <c r="F10" s="3">
        <v>15.4071663000587</v>
      </c>
      <c r="G10" s="3">
        <v>17.079843833112999</v>
      </c>
      <c r="H10" s="3">
        <v>15.485614844093</v>
      </c>
      <c r="I10" s="3">
        <v>18.042000299079099</v>
      </c>
      <c r="J10" s="3">
        <v>16.585510181132801</v>
      </c>
      <c r="K10" s="3">
        <v>15.377329797451701</v>
      </c>
      <c r="L10" s="3">
        <v>16.168848519638502</v>
      </c>
      <c r="M10" s="3">
        <v>15.5451760461233</v>
      </c>
      <c r="N10" s="3">
        <v>14.8710142332207</v>
      </c>
    </row>
    <row r="11" spans="1:14" x14ac:dyDescent="0.35">
      <c r="A11" s="2">
        <v>42202</v>
      </c>
      <c r="B11" s="3">
        <v>18.1715087899683</v>
      </c>
      <c r="C11" s="3">
        <v>15.578087098154301</v>
      </c>
      <c r="D11" s="3">
        <v>15.8584294860784</v>
      </c>
      <c r="E11" s="3">
        <v>14.150343345254999</v>
      </c>
      <c r="F11" s="3">
        <v>15.6311543919345</v>
      </c>
      <c r="G11" s="3">
        <v>17.7916840278546</v>
      </c>
      <c r="H11" s="3">
        <v>15.6018789049891</v>
      </c>
      <c r="I11" s="3">
        <v>18.6502740976733</v>
      </c>
      <c r="J11" s="3">
        <v>16.6080094788332</v>
      </c>
      <c r="K11" s="3">
        <v>16.079066522744998</v>
      </c>
      <c r="L11" s="3">
        <v>17.095056775538701</v>
      </c>
      <c r="M11" s="3">
        <v>16.240203497934999</v>
      </c>
      <c r="N11" s="3">
        <v>15.530985017359599</v>
      </c>
    </row>
    <row r="12" spans="1:14" x14ac:dyDescent="0.35">
      <c r="A12" s="2">
        <v>42234</v>
      </c>
      <c r="B12" s="3">
        <v>17.651161423185599</v>
      </c>
      <c r="C12" s="3">
        <v>14.7778917780462</v>
      </c>
      <c r="D12" s="3">
        <v>15.334045794616401</v>
      </c>
      <c r="E12" s="3">
        <v>13.1872358951879</v>
      </c>
      <c r="F12" s="3">
        <v>15.494267862272601</v>
      </c>
      <c r="G12" s="3">
        <v>17.442275401620201</v>
      </c>
      <c r="H12" s="3">
        <v>15.0615006661324</v>
      </c>
      <c r="I12" s="3">
        <v>18.3906016216898</v>
      </c>
      <c r="J12" s="3">
        <v>16.342064336501998</v>
      </c>
      <c r="K12" s="3">
        <v>15.3308677496785</v>
      </c>
      <c r="L12" s="3">
        <v>16.078569079832899</v>
      </c>
      <c r="M12" s="3">
        <v>15.8068688520489</v>
      </c>
      <c r="N12" s="3">
        <v>15.344219376504</v>
      </c>
    </row>
    <row r="13" spans="1:14" x14ac:dyDescent="0.35">
      <c r="A13" s="2">
        <v>42265</v>
      </c>
      <c r="B13" s="3">
        <v>17.618080917889699</v>
      </c>
      <c r="C13" s="3">
        <v>14.6497971243511</v>
      </c>
      <c r="D13" s="3">
        <v>14.8540775433958</v>
      </c>
      <c r="E13" s="3">
        <v>12.0281615264763</v>
      </c>
      <c r="F13" s="3">
        <v>13.4773772927952</v>
      </c>
      <c r="G13" s="3">
        <v>16.4272544897483</v>
      </c>
      <c r="H13" s="3">
        <v>14.4146526173206</v>
      </c>
      <c r="I13" s="3">
        <v>17.381824758152899</v>
      </c>
      <c r="J13" s="3">
        <v>15.2485124762281</v>
      </c>
      <c r="K13" s="3">
        <v>14.115515318294401</v>
      </c>
      <c r="L13" s="3">
        <v>14.5339075503058</v>
      </c>
      <c r="M13" s="3">
        <v>14.429112433792501</v>
      </c>
      <c r="N13" s="3">
        <v>14.1646910539726</v>
      </c>
    </row>
    <row r="14" spans="1:14" x14ac:dyDescent="0.35">
      <c r="A14" s="2">
        <v>42293</v>
      </c>
      <c r="B14" s="3">
        <v>17.623606559610899</v>
      </c>
      <c r="C14" s="3">
        <v>15.073812673239701</v>
      </c>
      <c r="D14" s="3">
        <v>15.1105735831615</v>
      </c>
      <c r="E14" s="3">
        <v>12.4512656761967</v>
      </c>
      <c r="F14" s="3">
        <v>13.901785880767701</v>
      </c>
      <c r="G14" s="3">
        <v>16.634721580352899</v>
      </c>
      <c r="H14" s="3">
        <v>15.286524205425099</v>
      </c>
      <c r="I14" s="3">
        <v>17.7982614318244</v>
      </c>
      <c r="J14" s="3">
        <v>15.918646410385</v>
      </c>
      <c r="K14" s="3">
        <v>14.612536731074099</v>
      </c>
      <c r="L14" s="3">
        <v>15.1715846055331</v>
      </c>
      <c r="M14" s="3">
        <v>14.7821973688787</v>
      </c>
      <c r="N14" s="3">
        <v>14.6660591370084</v>
      </c>
    </row>
    <row r="15" spans="1:14" x14ac:dyDescent="0.35">
      <c r="A15" s="2">
        <v>42326</v>
      </c>
      <c r="B15" s="3">
        <v>17.873251895028702</v>
      </c>
      <c r="C15" s="3">
        <v>14.7432291458896</v>
      </c>
      <c r="D15" s="3">
        <v>14.6058209798219</v>
      </c>
      <c r="E15" s="3">
        <v>13.654211839827299</v>
      </c>
      <c r="F15" s="3">
        <v>14.6534958032028</v>
      </c>
      <c r="G15" s="3">
        <v>16.994216571568501</v>
      </c>
      <c r="H15" s="3">
        <v>15.2681498794073</v>
      </c>
      <c r="I15" s="3">
        <v>18.6424247427647</v>
      </c>
      <c r="J15" s="3">
        <v>16.3167699047432</v>
      </c>
      <c r="K15" s="3">
        <v>15.2278709758064</v>
      </c>
      <c r="L15" s="3">
        <v>16.239928324284602</v>
      </c>
      <c r="M15" s="3">
        <v>15.4538116078985</v>
      </c>
      <c r="N15" s="3">
        <v>14.7406462035595</v>
      </c>
    </row>
    <row r="16" spans="1:14" x14ac:dyDescent="0.35">
      <c r="A16" s="2">
        <v>42356</v>
      </c>
      <c r="B16" s="3">
        <v>17.909362724532901</v>
      </c>
      <c r="C16" s="3">
        <v>15.0527535956953</v>
      </c>
      <c r="D16" s="3">
        <v>14.287195597465599</v>
      </c>
      <c r="E16" s="3">
        <v>13.1989785674518</v>
      </c>
      <c r="F16" s="3">
        <v>13.993207167790301</v>
      </c>
      <c r="G16" s="3">
        <v>16.5793536674705</v>
      </c>
      <c r="H16" s="3">
        <v>14.7860308826089</v>
      </c>
      <c r="I16" s="3">
        <v>18.014363407706</v>
      </c>
      <c r="J16" s="3">
        <v>15.683974144028699</v>
      </c>
      <c r="K16" s="3">
        <v>14.5218531465315</v>
      </c>
      <c r="L16" s="3">
        <v>15.392730635689</v>
      </c>
      <c r="M16" s="3">
        <v>14.737310945667</v>
      </c>
      <c r="N16" s="3">
        <v>13.989875784543701</v>
      </c>
    </row>
    <row r="17" spans="1:14" x14ac:dyDescent="0.35">
      <c r="A17" s="2">
        <v>42384</v>
      </c>
      <c r="B17" s="3">
        <v>17.734603684898499</v>
      </c>
      <c r="C17" s="3">
        <v>14.5769176103174</v>
      </c>
      <c r="D17" s="3">
        <v>13.318075418393899</v>
      </c>
      <c r="E17" s="3">
        <v>11.922405109908601</v>
      </c>
      <c r="F17" s="3">
        <v>12.7150164356575</v>
      </c>
      <c r="G17" s="3">
        <v>15.6865596623357</v>
      </c>
      <c r="H17" s="3">
        <v>14.588535689746999</v>
      </c>
      <c r="I17" s="3">
        <v>16.673726400448601</v>
      </c>
      <c r="J17" s="3">
        <v>14.8633281655956</v>
      </c>
      <c r="K17" s="3">
        <v>13.465144185762099</v>
      </c>
      <c r="L17" s="3">
        <v>14.127197771931399</v>
      </c>
      <c r="M17" s="3">
        <v>13.5975182581164</v>
      </c>
      <c r="N17" s="3">
        <v>12.937563081157201</v>
      </c>
    </row>
    <row r="18" spans="1:14" x14ac:dyDescent="0.35">
      <c r="A18" s="2">
        <v>42418</v>
      </c>
      <c r="B18" s="3">
        <v>17.327676049627399</v>
      </c>
      <c r="C18" s="3">
        <v>15.415856193593999</v>
      </c>
      <c r="D18" s="3">
        <v>14.868237570801799</v>
      </c>
      <c r="E18" s="3">
        <v>12.035881812425</v>
      </c>
      <c r="F18" s="3">
        <v>12.198210280114001</v>
      </c>
      <c r="G18" s="3">
        <v>16.287577382540199</v>
      </c>
      <c r="H18" s="3">
        <v>15.296167772572</v>
      </c>
      <c r="I18" s="3">
        <v>16.734876598143799</v>
      </c>
      <c r="J18" s="3">
        <v>15.5099438140132</v>
      </c>
      <c r="K18" s="3">
        <v>13.8843484260046</v>
      </c>
      <c r="L18" s="3">
        <v>14.366481103035399</v>
      </c>
      <c r="M18" s="3">
        <v>15.0258406397252</v>
      </c>
      <c r="N18" s="3">
        <v>12.293569443206501</v>
      </c>
    </row>
    <row r="19" spans="1:14" x14ac:dyDescent="0.35">
      <c r="A19" s="2">
        <v>42447</v>
      </c>
      <c r="B19" s="3">
        <v>18.181524816871001</v>
      </c>
      <c r="C19" s="3">
        <v>16.1506061467616</v>
      </c>
      <c r="D19" s="3">
        <v>16.105628744258901</v>
      </c>
      <c r="E19" s="3">
        <v>12.6772453328285</v>
      </c>
      <c r="F19" s="3">
        <v>12.7838977739362</v>
      </c>
      <c r="G19" s="3">
        <v>16.4649299305242</v>
      </c>
      <c r="H19" s="3">
        <v>16.310752495787401</v>
      </c>
      <c r="I19" s="3">
        <v>17.593730638502699</v>
      </c>
      <c r="J19" s="3">
        <v>15.516736353630501</v>
      </c>
      <c r="K19" s="3">
        <v>14.5840893406383</v>
      </c>
      <c r="L19" s="3">
        <v>15.385481396206799</v>
      </c>
      <c r="M19" s="3">
        <v>15.321151552138399</v>
      </c>
      <c r="N19" s="3">
        <v>13.547049734579099</v>
      </c>
    </row>
    <row r="20" spans="1:14" x14ac:dyDescent="0.35">
      <c r="A20" s="2">
        <v>42478</v>
      </c>
      <c r="B20" s="3">
        <v>18.890365354892701</v>
      </c>
      <c r="C20" s="3">
        <v>15.8418266757079</v>
      </c>
      <c r="D20" s="3">
        <v>16.2859807051735</v>
      </c>
      <c r="E20" s="3">
        <v>12.881839461497099</v>
      </c>
      <c r="F20" s="3">
        <v>12.6247797216697</v>
      </c>
      <c r="G20" s="3">
        <v>16.904685724112699</v>
      </c>
      <c r="H20" s="3">
        <v>16.4880839124014</v>
      </c>
      <c r="I20" s="3">
        <v>18.121632615774502</v>
      </c>
      <c r="J20" s="3">
        <v>16.500463546018398</v>
      </c>
      <c r="K20" s="3">
        <v>14.735973644746</v>
      </c>
      <c r="L20" s="3">
        <v>15.372262128152199</v>
      </c>
      <c r="M20" s="3">
        <v>15.3064332394062</v>
      </c>
      <c r="N20" s="3">
        <v>13.371541268251599</v>
      </c>
    </row>
    <row r="21" spans="1:14" x14ac:dyDescent="0.35">
      <c r="A21" s="2">
        <v>42508</v>
      </c>
      <c r="B21" s="3">
        <v>19.435032795184998</v>
      </c>
      <c r="C21" s="3">
        <v>16.496888585673101</v>
      </c>
      <c r="D21" s="3">
        <v>16.5676373062362</v>
      </c>
      <c r="E21" s="3">
        <v>12.413569487222301</v>
      </c>
      <c r="F21" s="3">
        <v>13.151107577201801</v>
      </c>
      <c r="G21" s="3">
        <v>16.683902398745101</v>
      </c>
      <c r="H21" s="3">
        <v>15.830242227768499</v>
      </c>
      <c r="I21" s="3">
        <v>17.3863203094486</v>
      </c>
      <c r="J21" s="3">
        <v>16.522677016730398</v>
      </c>
      <c r="K21" s="3">
        <v>14.109316823233399</v>
      </c>
      <c r="L21" s="3">
        <v>14.7553358232917</v>
      </c>
      <c r="M21" s="3">
        <v>14.7323729860324</v>
      </c>
      <c r="N21" s="3">
        <v>13.522889927981099</v>
      </c>
    </row>
    <row r="22" spans="1:14" x14ac:dyDescent="0.35">
      <c r="A22" s="2">
        <v>42538</v>
      </c>
      <c r="B22" s="3">
        <v>18.921750472500801</v>
      </c>
      <c r="C22" s="3">
        <v>15.763073804868499</v>
      </c>
      <c r="D22" s="3">
        <v>16.299875888434698</v>
      </c>
      <c r="E22" s="3">
        <v>11.860282003659799</v>
      </c>
      <c r="F22" s="3">
        <v>12.5994391161941</v>
      </c>
      <c r="G22" s="3">
        <v>16.208104340357501</v>
      </c>
      <c r="H22" s="3">
        <v>15.180132865256599</v>
      </c>
      <c r="I22" s="3">
        <v>17.339218876508198</v>
      </c>
      <c r="J22" s="3">
        <v>16.3100236406347</v>
      </c>
      <c r="K22" s="3">
        <v>13.4661705103172</v>
      </c>
      <c r="L22" s="3">
        <v>13.951320330413401</v>
      </c>
      <c r="M22" s="3">
        <v>14.257975637837999</v>
      </c>
      <c r="N22" s="3">
        <v>12.3419643320221</v>
      </c>
    </row>
    <row r="23" spans="1:14" x14ac:dyDescent="0.35">
      <c r="A23" s="2">
        <v>42569</v>
      </c>
      <c r="B23" s="3">
        <v>19.575248129321199</v>
      </c>
      <c r="C23" s="3">
        <v>16.5215551682704</v>
      </c>
      <c r="D23" s="3">
        <v>16.595264896291599</v>
      </c>
      <c r="E23" s="3">
        <v>12.4171198016082</v>
      </c>
      <c r="F23" s="3">
        <v>13.506963705681301</v>
      </c>
      <c r="G23" s="3">
        <v>16.992276073684401</v>
      </c>
      <c r="H23" s="3">
        <v>16.1010128421809</v>
      </c>
      <c r="I23" s="3">
        <v>18.432464829609401</v>
      </c>
      <c r="J23" s="3">
        <v>16.9837643291891</v>
      </c>
      <c r="K23" s="3">
        <v>13.9280081902963</v>
      </c>
      <c r="L23" s="3">
        <v>14.542419943311399</v>
      </c>
      <c r="M23" s="3">
        <v>14.9372513661773</v>
      </c>
      <c r="N23" s="3">
        <v>12.356688395980999</v>
      </c>
    </row>
    <row r="24" spans="1:14" x14ac:dyDescent="0.35">
      <c r="A24" s="2">
        <v>42600</v>
      </c>
      <c r="B24" s="3">
        <v>20.334264891991499</v>
      </c>
      <c r="C24" s="3">
        <v>16.720156518589</v>
      </c>
      <c r="D24" s="3">
        <v>16.4555562045682</v>
      </c>
      <c r="E24" s="3">
        <v>13.0157574238191</v>
      </c>
      <c r="F24" s="3">
        <v>13.131155772565901</v>
      </c>
      <c r="G24" s="3">
        <v>17.443744394394201</v>
      </c>
      <c r="H24" s="3">
        <v>16.255703501348702</v>
      </c>
      <c r="I24" s="3">
        <v>18.768037759231699</v>
      </c>
      <c r="J24" s="3">
        <v>16.9787575123854</v>
      </c>
      <c r="K24" s="3">
        <v>13.993614454550301</v>
      </c>
      <c r="L24" s="3">
        <v>14.848145896940199</v>
      </c>
      <c r="M24" s="3">
        <v>15.414960557198</v>
      </c>
      <c r="N24" s="3">
        <v>12.5225482050175</v>
      </c>
    </row>
    <row r="25" spans="1:14" x14ac:dyDescent="0.35">
      <c r="A25" s="2">
        <v>42629</v>
      </c>
      <c r="B25" s="3">
        <v>20.199549799894701</v>
      </c>
      <c r="C25" s="3">
        <v>15.8920567278143</v>
      </c>
      <c r="D25" s="3">
        <v>15.946425188273199</v>
      </c>
      <c r="E25" s="3">
        <v>12.6510087153016</v>
      </c>
      <c r="F25" s="3">
        <v>13.254529973235901</v>
      </c>
      <c r="G25" s="3">
        <v>17.0451400333788</v>
      </c>
      <c r="H25" s="3">
        <v>15.4392493465808</v>
      </c>
      <c r="I25" s="3">
        <v>18.511185749232698</v>
      </c>
      <c r="J25" s="3">
        <v>16.484823090990499</v>
      </c>
      <c r="K25" s="3">
        <v>13.6024941273295</v>
      </c>
      <c r="L25" s="3">
        <v>14.4750377367676</v>
      </c>
      <c r="M25" s="3">
        <v>15.3242835708722</v>
      </c>
      <c r="N25" s="3">
        <v>11.6759630743512</v>
      </c>
    </row>
    <row r="26" spans="1:14" x14ac:dyDescent="0.35">
      <c r="A26" s="2">
        <v>42661</v>
      </c>
      <c r="B26" s="3">
        <v>19.092087495393201</v>
      </c>
      <c r="C26" s="3">
        <v>16.0813323264946</v>
      </c>
      <c r="D26" s="3">
        <v>16.044293565295799</v>
      </c>
      <c r="E26" s="3">
        <v>12.9804191076117</v>
      </c>
      <c r="F26" s="3">
        <v>13.5178351099685</v>
      </c>
      <c r="G26" s="3">
        <v>16.819945119890001</v>
      </c>
      <c r="H26" s="3">
        <v>15.269804961746599</v>
      </c>
      <c r="I26" s="3">
        <v>18.412759841402298</v>
      </c>
      <c r="J26" s="3">
        <v>16.355692795640898</v>
      </c>
      <c r="K26" s="3">
        <v>13.9861027491849</v>
      </c>
      <c r="L26" s="3">
        <v>14.8255191725871</v>
      </c>
      <c r="M26" s="3">
        <v>16.200515915772499</v>
      </c>
      <c r="N26" s="3">
        <v>12.0596888681987</v>
      </c>
    </row>
    <row r="27" spans="1:14" x14ac:dyDescent="0.35">
      <c r="A27" s="2">
        <v>42692</v>
      </c>
      <c r="B27" s="3">
        <v>18.746152472498501</v>
      </c>
      <c r="C27" s="3">
        <v>15.725058158022</v>
      </c>
      <c r="D27" s="3">
        <v>15.895660014382299</v>
      </c>
      <c r="E27" s="3">
        <v>12.7710283801612</v>
      </c>
      <c r="F27" s="3">
        <v>14.1084546273783</v>
      </c>
      <c r="G27" s="3">
        <v>16.415251249823299</v>
      </c>
      <c r="H27" s="3">
        <v>14.259125225058201</v>
      </c>
      <c r="I27" s="3">
        <v>18.111832625650699</v>
      </c>
      <c r="J27" s="3">
        <v>16.619656895871302</v>
      </c>
      <c r="K27" s="3">
        <v>13.690963944835399</v>
      </c>
      <c r="L27" s="3">
        <v>14.5486188107582</v>
      </c>
      <c r="M27" s="3">
        <v>16.144571135694701</v>
      </c>
      <c r="N27" s="3">
        <v>11.3868950540017</v>
      </c>
    </row>
    <row r="28" spans="1:14" x14ac:dyDescent="0.35">
      <c r="A28" s="2">
        <v>42720</v>
      </c>
      <c r="B28" s="3">
        <v>18.1634957042499</v>
      </c>
      <c r="C28" s="3">
        <v>15.567546220194201</v>
      </c>
      <c r="D28" s="3">
        <v>15.921878729519699</v>
      </c>
      <c r="E28" s="3">
        <v>13.582688290161</v>
      </c>
      <c r="F28" s="3">
        <v>15.0974042728696</v>
      </c>
      <c r="G28" s="3">
        <v>16.7363261949343</v>
      </c>
      <c r="H28" s="3">
        <v>14.347430424857601</v>
      </c>
      <c r="I28" s="3">
        <v>18.3237547324015</v>
      </c>
      <c r="J28" s="3">
        <v>17.019118731153998</v>
      </c>
      <c r="K28" s="3">
        <v>14.515871716706201</v>
      </c>
      <c r="L28" s="3">
        <v>14.946536712276</v>
      </c>
      <c r="M28" s="3">
        <v>16.751199717486301</v>
      </c>
      <c r="N28" s="3">
        <v>13.4700170878655</v>
      </c>
    </row>
    <row r="29" spans="1:14" x14ac:dyDescent="0.35">
      <c r="A29" s="2">
        <v>42753</v>
      </c>
      <c r="B29" s="3">
        <v>18.944920952669399</v>
      </c>
      <c r="C29" s="3">
        <v>15.810206219715299</v>
      </c>
      <c r="D29" s="3">
        <v>16.068183700571399</v>
      </c>
      <c r="E29" s="3">
        <v>13.7187646423552</v>
      </c>
      <c r="F29" s="3">
        <v>14.4778085306256</v>
      </c>
      <c r="G29" s="3">
        <v>17.0428851924238</v>
      </c>
      <c r="H29" s="3">
        <v>14.383207235493501</v>
      </c>
      <c r="I29" s="3">
        <v>18.673702009554301</v>
      </c>
      <c r="J29" s="3">
        <v>16.9449857393695</v>
      </c>
      <c r="K29" s="3">
        <v>14.517707767390499</v>
      </c>
      <c r="L29" s="3">
        <v>14.9759024964651</v>
      </c>
      <c r="M29" s="3">
        <v>16.037914218617701</v>
      </c>
      <c r="N29" s="3">
        <v>13.3095896859618</v>
      </c>
    </row>
    <row r="30" spans="1:14" x14ac:dyDescent="0.35">
      <c r="A30" s="2">
        <v>42783</v>
      </c>
      <c r="B30" s="3">
        <v>18.922786933211899</v>
      </c>
      <c r="C30" s="3">
        <v>16.060171072014299</v>
      </c>
      <c r="D30" s="3">
        <v>16.385075998960101</v>
      </c>
      <c r="E30" s="3">
        <v>13.3332944813125</v>
      </c>
      <c r="F30" s="3">
        <v>14.346113802570899</v>
      </c>
      <c r="G30" s="3">
        <v>17.5057578485245</v>
      </c>
      <c r="H30" s="3">
        <v>14.5152731486049</v>
      </c>
      <c r="I30" s="3">
        <v>20.083947065918998</v>
      </c>
      <c r="J30" s="3">
        <v>17.589442812159302</v>
      </c>
      <c r="K30" s="3">
        <v>14.273920010363</v>
      </c>
      <c r="L30" s="3">
        <v>15.678284271040701</v>
      </c>
      <c r="M30" s="3">
        <v>16.3751415979077</v>
      </c>
      <c r="N30" s="3">
        <v>13.0803427844456</v>
      </c>
    </row>
    <row r="31" spans="1:14" x14ac:dyDescent="0.35">
      <c r="A31" s="2">
        <v>42811</v>
      </c>
      <c r="B31" s="3">
        <v>18.796203249859801</v>
      </c>
      <c r="C31" s="3">
        <v>15.758833090724901</v>
      </c>
      <c r="D31" s="3">
        <v>15.8361930356761</v>
      </c>
      <c r="E31" s="3">
        <v>13.955854384831101</v>
      </c>
      <c r="F31" s="3">
        <v>14.2762787931405</v>
      </c>
      <c r="G31" s="3">
        <v>17.786644838320001</v>
      </c>
      <c r="H31" s="3">
        <v>14.551066394754701</v>
      </c>
      <c r="I31" s="3">
        <v>20.1588511394013</v>
      </c>
      <c r="J31" s="3">
        <v>17.686612792745901</v>
      </c>
      <c r="K31" s="3">
        <v>14.6149066064755</v>
      </c>
      <c r="L31" s="3">
        <v>16.097558091908098</v>
      </c>
      <c r="M31" s="3">
        <v>16.818742922799601</v>
      </c>
      <c r="N31" s="3">
        <v>13.5188472491037</v>
      </c>
    </row>
    <row r="32" spans="1:14" x14ac:dyDescent="0.35">
      <c r="A32" s="2">
        <v>42843</v>
      </c>
      <c r="B32" s="3">
        <v>19.1325259851472</v>
      </c>
      <c r="C32" s="3">
        <v>15.752964568729499</v>
      </c>
      <c r="D32" s="3">
        <v>15.8006709925046</v>
      </c>
      <c r="E32" s="3">
        <v>13.6417405631765</v>
      </c>
      <c r="F32" s="3">
        <v>13.337454298054</v>
      </c>
      <c r="G32" s="3">
        <v>17.195909864023299</v>
      </c>
      <c r="H32" s="3">
        <v>14.173314797206601</v>
      </c>
      <c r="I32" s="3">
        <v>19.863473037705401</v>
      </c>
      <c r="J32" s="3">
        <v>17.2488575878936</v>
      </c>
      <c r="K32" s="3">
        <v>14.474474032044901</v>
      </c>
      <c r="L32" s="3">
        <v>15.9751344097462</v>
      </c>
      <c r="M32" s="3">
        <v>16.7656466765294</v>
      </c>
      <c r="N32" s="3">
        <v>12.766427534876801</v>
      </c>
    </row>
    <row r="33" spans="1:14" x14ac:dyDescent="0.35">
      <c r="A33" s="2">
        <v>42873</v>
      </c>
      <c r="B33" s="3">
        <v>19.338251908927798</v>
      </c>
      <c r="C33" s="3">
        <v>15.378681682631701</v>
      </c>
      <c r="D33" s="3">
        <v>15.329737550121701</v>
      </c>
      <c r="E33" s="3">
        <v>13.7577457192801</v>
      </c>
      <c r="F33" s="3">
        <v>14.128656681763401</v>
      </c>
      <c r="G33" s="3">
        <v>17.848337220361302</v>
      </c>
      <c r="H33" s="3">
        <v>14.7263241411216</v>
      </c>
      <c r="I33" s="3">
        <v>20.4327921918516</v>
      </c>
      <c r="J33" s="3">
        <v>17.214667476213702</v>
      </c>
      <c r="K33" s="3">
        <v>15.1226104411049</v>
      </c>
      <c r="L33" s="3">
        <v>16.224519576604301</v>
      </c>
      <c r="M33" s="3">
        <v>17.832663204728298</v>
      </c>
      <c r="N33" s="3">
        <v>13.6950362976949</v>
      </c>
    </row>
    <row r="34" spans="1:14" x14ac:dyDescent="0.35">
      <c r="A34" s="2">
        <v>42902</v>
      </c>
      <c r="B34" s="3">
        <v>19.5568107789944</v>
      </c>
      <c r="C34" s="3">
        <v>15.4931070075755</v>
      </c>
      <c r="D34" s="3">
        <v>15.232667786430699</v>
      </c>
      <c r="E34" s="3">
        <v>13.786406918179599</v>
      </c>
      <c r="F34" s="3">
        <v>14.340645834621499</v>
      </c>
      <c r="G34" s="3">
        <v>18.008330383263399</v>
      </c>
      <c r="H34" s="3">
        <v>14.600598566393201</v>
      </c>
      <c r="I34" s="3">
        <v>20.3634873398926</v>
      </c>
      <c r="J34" s="3">
        <v>17.562141391508799</v>
      </c>
      <c r="K34" s="3">
        <v>14.9809724417214</v>
      </c>
      <c r="L34" s="3">
        <v>16.059606933031802</v>
      </c>
      <c r="M34" s="3">
        <v>16.837880659682799</v>
      </c>
      <c r="N34" s="3">
        <v>13.356857243235</v>
      </c>
    </row>
    <row r="35" spans="1:14" x14ac:dyDescent="0.35">
      <c r="A35" s="2">
        <v>42934</v>
      </c>
      <c r="B35" s="3">
        <v>19.733451352768199</v>
      </c>
      <c r="C35" s="3">
        <v>15.527511543296001</v>
      </c>
      <c r="D35" s="3">
        <v>15.4605385989897</v>
      </c>
      <c r="E35" s="3">
        <v>13.377755370884399</v>
      </c>
      <c r="F35" s="3">
        <v>14.2350139342393</v>
      </c>
      <c r="G35" s="3">
        <v>17.901140782051002</v>
      </c>
      <c r="H35" s="3">
        <v>14.6584263863953</v>
      </c>
      <c r="I35" s="3">
        <v>20.822379707566601</v>
      </c>
      <c r="J35" s="3">
        <v>17.651088430772798</v>
      </c>
      <c r="K35" s="3">
        <v>14.7796352235972</v>
      </c>
      <c r="L35" s="3">
        <v>15.8850028793428</v>
      </c>
      <c r="M35" s="3">
        <v>16.5856408612301</v>
      </c>
      <c r="N35" s="3">
        <v>13.497823637304601</v>
      </c>
    </row>
    <row r="36" spans="1:14" x14ac:dyDescent="0.35">
      <c r="A36" s="2">
        <v>42965</v>
      </c>
      <c r="B36" s="3">
        <v>20.288293392972001</v>
      </c>
      <c r="C36" s="3">
        <v>15.7267693305031</v>
      </c>
      <c r="D36" s="3">
        <v>15.3500408549878</v>
      </c>
      <c r="E36" s="3">
        <v>13.0382852891774</v>
      </c>
      <c r="F36" s="3">
        <v>13.696473894403599</v>
      </c>
      <c r="G36" s="3">
        <v>17.4238704641024</v>
      </c>
      <c r="H36" s="3">
        <v>14.359851163314501</v>
      </c>
      <c r="I36" s="3">
        <v>20.1422685649617</v>
      </c>
      <c r="J36" s="3">
        <v>17.2345952972235</v>
      </c>
      <c r="K36" s="3">
        <v>14.508315225811099</v>
      </c>
      <c r="L36" s="3">
        <v>15.7735999655174</v>
      </c>
      <c r="M36" s="3">
        <v>15.6324946227962</v>
      </c>
      <c r="N36" s="3">
        <v>13.371063167530901</v>
      </c>
    </row>
    <row r="37" spans="1:14" x14ac:dyDescent="0.35">
      <c r="A37" s="2">
        <v>42996</v>
      </c>
      <c r="B37" s="3">
        <v>19.573125670743899</v>
      </c>
      <c r="C37" s="3">
        <v>15.5867213235601</v>
      </c>
      <c r="D37" s="3">
        <v>15.376370509618599</v>
      </c>
      <c r="E37" s="3">
        <v>13.415274456916</v>
      </c>
      <c r="F37" s="3">
        <v>13.732786685999599</v>
      </c>
      <c r="G37" s="3">
        <v>17.682909559414998</v>
      </c>
      <c r="H37" s="3">
        <v>14.467843416486</v>
      </c>
      <c r="I37" s="3">
        <v>20.559856684097301</v>
      </c>
      <c r="J37" s="3">
        <v>17.685972201013499</v>
      </c>
      <c r="K37" s="3">
        <v>14.8685672333167</v>
      </c>
      <c r="L37" s="3">
        <v>15.93940672107</v>
      </c>
      <c r="M37" s="3">
        <v>16.2757063697814</v>
      </c>
      <c r="N37" s="3">
        <v>13.4853804971745</v>
      </c>
    </row>
    <row r="38" spans="1:14" x14ac:dyDescent="0.35">
      <c r="A38" s="2">
        <v>43026</v>
      </c>
      <c r="B38" s="3">
        <v>20.1075555513208</v>
      </c>
      <c r="C38" s="3">
        <v>15.8802002637073</v>
      </c>
      <c r="D38" s="3">
        <v>15.7074135106905</v>
      </c>
      <c r="E38" s="3">
        <v>13.8827283504737</v>
      </c>
      <c r="F38" s="3">
        <v>14.327602159474401</v>
      </c>
      <c r="G38" s="3">
        <v>17.939373206024499</v>
      </c>
      <c r="H38" s="3">
        <v>14.608216598293399</v>
      </c>
      <c r="I38" s="3">
        <v>20.6582006968146</v>
      </c>
      <c r="J38" s="3">
        <v>17.908902997272001</v>
      </c>
      <c r="K38" s="3">
        <v>15.207595505896901</v>
      </c>
      <c r="L38" s="3">
        <v>16.283567188769901</v>
      </c>
      <c r="M38" s="3">
        <v>16.938996411466501</v>
      </c>
      <c r="N38" s="3">
        <v>13.492523355770601</v>
      </c>
    </row>
    <row r="39" spans="1:14" x14ac:dyDescent="0.35">
      <c r="A39" s="2">
        <v>43056</v>
      </c>
      <c r="B39" s="3">
        <v>20.197324452538201</v>
      </c>
      <c r="C39" s="3">
        <v>15.8505622006117</v>
      </c>
      <c r="D39" s="3">
        <v>15.8463516639139</v>
      </c>
      <c r="E39" s="3">
        <v>13.8003083422623</v>
      </c>
      <c r="F39" s="3">
        <v>14.5129847382699</v>
      </c>
      <c r="G39" s="3">
        <v>17.607557883893101</v>
      </c>
      <c r="H39" s="3">
        <v>14.215054560518499</v>
      </c>
      <c r="I39" s="3">
        <v>20.832730611538299</v>
      </c>
      <c r="J39" s="3">
        <v>17.8547288172865</v>
      </c>
      <c r="K39" s="3">
        <v>14.8219308118101</v>
      </c>
      <c r="L39" s="3">
        <v>15.9378221525605</v>
      </c>
      <c r="M39" s="3">
        <v>16.6859208443406</v>
      </c>
      <c r="N39" s="3">
        <v>13.1060458015238</v>
      </c>
    </row>
    <row r="40" spans="1:14" x14ac:dyDescent="0.35">
      <c r="A40" s="2">
        <v>43087</v>
      </c>
      <c r="B40" s="3">
        <v>20.811608450457399</v>
      </c>
      <c r="C40" s="3">
        <v>15.9188657215044</v>
      </c>
      <c r="D40" s="3">
        <v>15.9536173082333</v>
      </c>
      <c r="E40" s="3">
        <v>14.181886956472299</v>
      </c>
      <c r="F40" s="3">
        <v>14.707438422074601</v>
      </c>
      <c r="G40" s="3">
        <v>17.826613971280398</v>
      </c>
      <c r="H40" s="3">
        <v>14.527737246319001</v>
      </c>
      <c r="I40" s="3">
        <v>21.3885348638468</v>
      </c>
      <c r="J40" s="3">
        <v>18.4234487710571</v>
      </c>
      <c r="K40" s="3">
        <v>15.103224871444301</v>
      </c>
      <c r="L40" s="3">
        <v>16.2159428409939</v>
      </c>
      <c r="M40" s="3">
        <v>16.541628309994099</v>
      </c>
      <c r="N40" s="3">
        <v>13.3743156154261</v>
      </c>
    </row>
    <row r="41" spans="1:14" x14ac:dyDescent="0.35">
      <c r="A41" s="2">
        <v>43118</v>
      </c>
      <c r="B41" s="3">
        <v>20.5036014843541</v>
      </c>
      <c r="C41" s="3">
        <v>15.726385610284501</v>
      </c>
      <c r="D41" s="3">
        <v>15.7499103770313</v>
      </c>
      <c r="E41" s="3">
        <v>14.0806015880163</v>
      </c>
      <c r="F41" s="3">
        <v>15.1755292760283</v>
      </c>
      <c r="G41" s="3">
        <v>17.8307879096938</v>
      </c>
      <c r="H41" s="3">
        <v>14.671677037241601</v>
      </c>
      <c r="I41" s="3">
        <v>21.8296535212286</v>
      </c>
      <c r="J41" s="3">
        <v>18.2979795404326</v>
      </c>
      <c r="K41" s="3">
        <v>15.224399738698599</v>
      </c>
      <c r="L41" s="3">
        <v>16.395427801976599</v>
      </c>
      <c r="M41" s="3">
        <v>16.649185674922201</v>
      </c>
      <c r="N41" s="3">
        <v>13.6615687520611</v>
      </c>
    </row>
    <row r="42" spans="1:14" x14ac:dyDescent="0.35">
      <c r="A42" s="2">
        <v>43147</v>
      </c>
      <c r="B42" s="3">
        <v>20.2818365986933</v>
      </c>
      <c r="C42" s="3">
        <v>15.3536324233092</v>
      </c>
      <c r="D42" s="3">
        <v>14.5794402462917</v>
      </c>
      <c r="E42" s="3">
        <v>13.197983061500899</v>
      </c>
      <c r="F42" s="3">
        <v>13.676500491688801</v>
      </c>
      <c r="G42" s="3">
        <v>16.906642917334999</v>
      </c>
      <c r="H42" s="3">
        <v>13.7878042820511</v>
      </c>
      <c r="I42" s="3">
        <v>20.639802904559101</v>
      </c>
      <c r="J42" s="3">
        <v>17.067900096512599</v>
      </c>
      <c r="K42" s="3">
        <v>14.600920569188499</v>
      </c>
      <c r="L42" s="3">
        <v>15.5175437484168</v>
      </c>
      <c r="M42" s="3">
        <v>16.156119724084299</v>
      </c>
      <c r="N42" s="3">
        <v>12.705610191554401</v>
      </c>
    </row>
    <row r="43" spans="1:14" x14ac:dyDescent="0.35">
      <c r="A43" s="2">
        <v>43175</v>
      </c>
      <c r="B43" s="3">
        <v>20.4977190042163</v>
      </c>
      <c r="C43" s="3">
        <v>15.2802382453732</v>
      </c>
      <c r="D43" s="3">
        <v>14.5510696313716</v>
      </c>
      <c r="E43" s="3">
        <v>13.051422367995899</v>
      </c>
      <c r="F43" s="3">
        <v>12.9926588377316</v>
      </c>
      <c r="G43" s="3">
        <v>16.344389973639402</v>
      </c>
      <c r="H43" s="3">
        <v>13.394161170834501</v>
      </c>
      <c r="I43" s="3">
        <v>21.1703525274099</v>
      </c>
      <c r="J43" s="3">
        <v>17.049454350359799</v>
      </c>
      <c r="K43" s="3">
        <v>14.5360915971499</v>
      </c>
      <c r="L43" s="3">
        <v>15.691995133409</v>
      </c>
      <c r="M43" s="3">
        <v>16.2175354668837</v>
      </c>
      <c r="N43" s="3">
        <v>12.70020595427</v>
      </c>
    </row>
    <row r="44" spans="1:14" x14ac:dyDescent="0.35">
      <c r="A44" s="2">
        <v>43208</v>
      </c>
      <c r="B44" s="3">
        <v>20.0407895226211</v>
      </c>
      <c r="C44" s="3">
        <v>15.013330123243801</v>
      </c>
      <c r="D44" s="3">
        <v>14.185319763815899</v>
      </c>
      <c r="E44" s="3">
        <v>13.2169129223246</v>
      </c>
      <c r="F44" s="3">
        <v>13.0219445908398</v>
      </c>
      <c r="G44" s="3">
        <v>16.1500442553059</v>
      </c>
      <c r="H44" s="3">
        <v>13.6632943242707</v>
      </c>
      <c r="I44" s="3">
        <v>20.397701712725599</v>
      </c>
      <c r="J44" s="3">
        <v>16.637330519478201</v>
      </c>
      <c r="K44" s="3">
        <v>14.643921374363201</v>
      </c>
      <c r="L44" s="3">
        <v>15.727059022694799</v>
      </c>
      <c r="M44" s="3">
        <v>15.939672802548101</v>
      </c>
      <c r="N44" s="3">
        <v>13.0114497089385</v>
      </c>
    </row>
    <row r="45" spans="1:14" x14ac:dyDescent="0.35">
      <c r="A45" s="2">
        <v>43238</v>
      </c>
      <c r="B45" s="3">
        <v>20.5097721667799</v>
      </c>
      <c r="C45" s="3">
        <v>15.4546380810113</v>
      </c>
      <c r="D45" s="3">
        <v>14.3911530738027</v>
      </c>
      <c r="E45" s="3">
        <v>13.451970542583</v>
      </c>
      <c r="F45" s="3">
        <v>13.471891098680301</v>
      </c>
      <c r="G45" s="3">
        <v>16.2786801961972</v>
      </c>
      <c r="H45" s="3">
        <v>13.986576479178099</v>
      </c>
      <c r="I45" s="3">
        <v>19.886168700202099</v>
      </c>
      <c r="J45" s="3">
        <v>16.2977817835718</v>
      </c>
      <c r="K45" s="3">
        <v>14.917427265212501</v>
      </c>
      <c r="L45" s="3">
        <v>15.8355442174791</v>
      </c>
      <c r="M45" s="3">
        <v>16.160214005172101</v>
      </c>
      <c r="N45" s="3">
        <v>12.493680329175399</v>
      </c>
    </row>
    <row r="46" spans="1:14" x14ac:dyDescent="0.35">
      <c r="A46" s="2">
        <v>43269</v>
      </c>
      <c r="B46" s="3">
        <v>21.359574602541901</v>
      </c>
      <c r="C46" s="3">
        <v>15.1487236634042</v>
      </c>
      <c r="D46" s="3">
        <v>14.439330373244299</v>
      </c>
      <c r="E46" s="3">
        <v>13.2645802346851</v>
      </c>
      <c r="F46" s="3">
        <v>13.082536193896299</v>
      </c>
      <c r="G46" s="3">
        <v>15.4693394129048</v>
      </c>
      <c r="H46" s="3">
        <v>13.370194849998899</v>
      </c>
      <c r="I46" s="3">
        <v>20.8117317496319</v>
      </c>
      <c r="J46" s="3">
        <v>16.515044599858001</v>
      </c>
      <c r="K46" s="3">
        <v>14.361762089539599</v>
      </c>
      <c r="L46" s="3">
        <v>15.8622472241377</v>
      </c>
      <c r="M46" s="3">
        <v>15.375296416568</v>
      </c>
      <c r="N46" s="3">
        <v>11.6199747750822</v>
      </c>
    </row>
    <row r="47" spans="1:14" x14ac:dyDescent="0.35">
      <c r="A47" s="2">
        <v>43299</v>
      </c>
      <c r="B47" s="3">
        <v>21.069912779924799</v>
      </c>
      <c r="C47" s="3">
        <v>15.548548017681901</v>
      </c>
      <c r="D47" s="3">
        <v>14.302109729795699</v>
      </c>
      <c r="E47" s="3">
        <v>13.1892300630685</v>
      </c>
      <c r="F47" s="3">
        <v>12.932624907194899</v>
      </c>
      <c r="G47" s="3">
        <v>16.060394139477001</v>
      </c>
      <c r="H47" s="3">
        <v>13.1272608755121</v>
      </c>
      <c r="I47" s="3">
        <v>20.969429043876701</v>
      </c>
      <c r="J47" s="3">
        <v>16.590330175078002</v>
      </c>
      <c r="K47" s="3">
        <v>14.161114175997399</v>
      </c>
      <c r="L47" s="3">
        <v>15.9415113954696</v>
      </c>
      <c r="M47" s="3">
        <v>15.349867893439299</v>
      </c>
      <c r="N47" s="3">
        <v>11.418487677630701</v>
      </c>
    </row>
    <row r="48" spans="1:14" x14ac:dyDescent="0.35">
      <c r="A48" s="2">
        <v>43329</v>
      </c>
      <c r="B48" s="3">
        <v>21.3168575086892</v>
      </c>
      <c r="C48" s="3">
        <v>15.788216800034499</v>
      </c>
      <c r="D48" s="3">
        <v>13.997146502642799</v>
      </c>
      <c r="E48" s="3">
        <v>12.664244864540001</v>
      </c>
      <c r="F48" s="3">
        <v>12.485941052281801</v>
      </c>
      <c r="G48" s="3">
        <v>15.942973507355401</v>
      </c>
      <c r="H48" s="3">
        <v>12.7957001057414</v>
      </c>
      <c r="I48" s="3">
        <v>20.4708595873138</v>
      </c>
      <c r="J48" s="3">
        <v>16.573742831805301</v>
      </c>
      <c r="K48" s="3">
        <v>13.6578535341948</v>
      </c>
      <c r="L48" s="3">
        <v>15.354632279996499</v>
      </c>
      <c r="M48" s="3">
        <v>15.555938769901701</v>
      </c>
      <c r="N48" s="3">
        <v>10.708590832916601</v>
      </c>
    </row>
    <row r="49" spans="1:14" x14ac:dyDescent="0.35">
      <c r="A49" s="2">
        <v>43361</v>
      </c>
      <c r="B49" s="3">
        <v>21.7118863674173</v>
      </c>
      <c r="C49" s="3">
        <v>15.1858530349023</v>
      </c>
      <c r="D49" s="3">
        <v>13.681038021492901</v>
      </c>
      <c r="E49" s="3">
        <v>12.609558181960001</v>
      </c>
      <c r="F49" s="3">
        <v>12.864794065285601</v>
      </c>
      <c r="G49" s="3">
        <v>15.904648998474499</v>
      </c>
      <c r="H49" s="3">
        <v>12.476985486397499</v>
      </c>
      <c r="I49" s="3">
        <v>20.545347306812101</v>
      </c>
      <c r="J49" s="3">
        <v>16.737556466855999</v>
      </c>
      <c r="K49" s="3">
        <v>13.619201706488001</v>
      </c>
      <c r="L49" s="3">
        <v>14.945615928039601</v>
      </c>
      <c r="M49" s="3">
        <v>15.538668622960801</v>
      </c>
      <c r="N49" s="3">
        <v>10.9139569561109</v>
      </c>
    </row>
    <row r="50" spans="1:14" x14ac:dyDescent="0.35">
      <c r="A50" s="2">
        <v>43391</v>
      </c>
      <c r="B50" s="3">
        <v>20.475220022933101</v>
      </c>
      <c r="C50" s="3">
        <v>14.547679499179701</v>
      </c>
      <c r="D50" s="3">
        <v>12.829264547573599</v>
      </c>
      <c r="E50" s="3">
        <v>11.995739449476</v>
      </c>
      <c r="F50" s="3">
        <v>12.4187274315551</v>
      </c>
      <c r="G50" s="3">
        <v>15.271439293844001</v>
      </c>
      <c r="H50" s="3">
        <v>11.839214528333301</v>
      </c>
      <c r="I50" s="3">
        <v>19.384432874828999</v>
      </c>
      <c r="J50" s="3">
        <v>15.857059764303299</v>
      </c>
      <c r="K50" s="3">
        <v>12.8480191887347</v>
      </c>
      <c r="L50" s="3">
        <v>14.166412309166001</v>
      </c>
      <c r="M50" s="3">
        <v>14.6137622625719</v>
      </c>
      <c r="N50" s="3">
        <v>9.8039653832362106</v>
      </c>
    </row>
    <row r="51" spans="1:14" x14ac:dyDescent="0.35">
      <c r="A51" s="2">
        <v>43420</v>
      </c>
      <c r="B51" s="3">
        <v>20.073527640433099</v>
      </c>
      <c r="C51" s="3">
        <v>14.175619304102399</v>
      </c>
      <c r="D51" s="3">
        <v>12.6451568470615</v>
      </c>
      <c r="E51" s="3">
        <v>11.6359773118956</v>
      </c>
      <c r="F51" s="3">
        <v>11.954737754808599</v>
      </c>
      <c r="G51" s="3">
        <v>15.4614244484418</v>
      </c>
      <c r="H51" s="3">
        <v>11.7389457056459</v>
      </c>
      <c r="I51" s="3">
        <v>18.624333458586001</v>
      </c>
      <c r="J51" s="3">
        <v>15.633484501414801</v>
      </c>
      <c r="K51" s="3">
        <v>12.6135588062794</v>
      </c>
      <c r="L51" s="3">
        <v>14.1917440632078</v>
      </c>
      <c r="M51" s="3">
        <v>14.100775528687899</v>
      </c>
      <c r="N51" s="3">
        <v>9.5888466101009708</v>
      </c>
    </row>
    <row r="52" spans="1:14" x14ac:dyDescent="0.35">
      <c r="A52" s="2">
        <v>43452</v>
      </c>
      <c r="B52" s="3">
        <v>19.811577963731601</v>
      </c>
      <c r="C52" s="3">
        <v>13.826889320628499</v>
      </c>
      <c r="D52" s="3">
        <v>12.215509792230799</v>
      </c>
      <c r="E52" s="3">
        <v>11.134280981007</v>
      </c>
      <c r="F52" s="3">
        <v>11.5811881456893</v>
      </c>
      <c r="G52" s="3">
        <v>14.684207727257601</v>
      </c>
      <c r="H52" s="3">
        <v>11.330430790769601</v>
      </c>
      <c r="I52" s="3">
        <v>17.5541969815317</v>
      </c>
      <c r="J52" s="3">
        <v>14.5793708465742</v>
      </c>
      <c r="K52" s="3">
        <v>11.971587065108499</v>
      </c>
      <c r="L52" s="3">
        <v>13.3865622334263</v>
      </c>
      <c r="M52" s="3">
        <v>13.6208500372184</v>
      </c>
      <c r="N52" s="3">
        <v>9.3586425131430104</v>
      </c>
    </row>
    <row r="53" spans="1:14" x14ac:dyDescent="0.35">
      <c r="A53" s="2">
        <v>43483</v>
      </c>
      <c r="B53" s="3">
        <v>20.643724861129801</v>
      </c>
      <c r="C53" s="3">
        <v>14.7056799229484</v>
      </c>
      <c r="D53" s="3">
        <v>13.328398825742299</v>
      </c>
      <c r="E53" s="3">
        <v>11.7177722778855</v>
      </c>
      <c r="F53" s="3">
        <v>11.752555212316301</v>
      </c>
      <c r="G53" s="3">
        <v>15.5836518380407</v>
      </c>
      <c r="H53" s="3">
        <v>12.0274366857112</v>
      </c>
      <c r="I53" s="3">
        <v>18.612319200318499</v>
      </c>
      <c r="J53" s="3">
        <v>15.517622270228401</v>
      </c>
      <c r="K53" s="3">
        <v>12.537702977058601</v>
      </c>
      <c r="L53" s="3">
        <v>13.6370287671703</v>
      </c>
      <c r="M53" s="3">
        <v>14.432259267403699</v>
      </c>
      <c r="N53" s="3">
        <v>9.8985619386426293</v>
      </c>
    </row>
    <row r="54" spans="1:14" x14ac:dyDescent="0.35">
      <c r="A54" s="2">
        <v>43511</v>
      </c>
      <c r="B54" s="3">
        <v>21.018988736511002</v>
      </c>
      <c r="C54" s="3">
        <v>15.0265526899971</v>
      </c>
      <c r="D54" s="3">
        <v>13.9455945451503</v>
      </c>
      <c r="E54" s="3">
        <v>11.918576844760301</v>
      </c>
      <c r="F54" s="3">
        <v>12.1300495250649</v>
      </c>
      <c r="G54" s="3">
        <v>15.8878373452864</v>
      </c>
      <c r="H54" s="3">
        <v>12.4858689884881</v>
      </c>
      <c r="I54" s="3">
        <v>19.5287904397589</v>
      </c>
      <c r="J54" s="3">
        <v>16.1790743240804</v>
      </c>
      <c r="K54" s="3">
        <v>13.193327705720099</v>
      </c>
      <c r="L54" s="3">
        <v>14.854793667672601</v>
      </c>
      <c r="M54" s="3">
        <v>14.9294651026098</v>
      </c>
      <c r="N54" s="3">
        <v>10.3589539345726</v>
      </c>
    </row>
    <row r="55" spans="1:14" x14ac:dyDescent="0.35">
      <c r="A55" s="2">
        <v>43542</v>
      </c>
      <c r="B55" s="3">
        <v>21.6878148063428</v>
      </c>
      <c r="C55" s="3">
        <v>15.287458241740399</v>
      </c>
      <c r="D55" s="3">
        <v>14.304505366043299</v>
      </c>
      <c r="E55" s="3">
        <v>12.3339784944811</v>
      </c>
      <c r="F55" s="3">
        <v>12.631748009883699</v>
      </c>
      <c r="G55" s="3">
        <v>16.556694035491098</v>
      </c>
      <c r="H55" s="3">
        <v>12.6996651726729</v>
      </c>
      <c r="I55" s="3">
        <v>20.2578514145155</v>
      </c>
      <c r="J55" s="3">
        <v>16.4643698437505</v>
      </c>
      <c r="K55" s="3">
        <v>13.824551805501599</v>
      </c>
      <c r="L55" s="3">
        <v>15.283863787551599</v>
      </c>
      <c r="M55" s="3">
        <v>15.0947907516833</v>
      </c>
      <c r="N55" s="3">
        <v>10.7479145788376</v>
      </c>
    </row>
    <row r="56" spans="1:14" x14ac:dyDescent="0.35">
      <c r="A56" s="2">
        <v>43573</v>
      </c>
      <c r="B56" s="3">
        <v>22.548448591100499</v>
      </c>
      <c r="C56" s="3">
        <v>15.305057363825799</v>
      </c>
      <c r="D56" s="3">
        <v>13.999462341573899</v>
      </c>
      <c r="E56" s="3">
        <v>12.891157790258401</v>
      </c>
      <c r="F56" s="3">
        <v>12.7032387453532</v>
      </c>
      <c r="G56" s="3">
        <v>16.872925771015598</v>
      </c>
      <c r="H56" s="3">
        <v>12.756563962563099</v>
      </c>
      <c r="I56" s="3">
        <v>21.071114329050801</v>
      </c>
      <c r="J56" s="3">
        <v>16.752089441639502</v>
      </c>
      <c r="K56" s="3">
        <v>14.117434404387</v>
      </c>
      <c r="L56" s="3">
        <v>15.762674385456201</v>
      </c>
      <c r="M56" s="3">
        <v>15.4924773199812</v>
      </c>
      <c r="N56" s="3">
        <v>10.9743371254587</v>
      </c>
    </row>
    <row r="57" spans="1:14" x14ac:dyDescent="0.35">
      <c r="A57" s="2">
        <v>43602</v>
      </c>
      <c r="B57" s="3">
        <v>23.1098901534411</v>
      </c>
      <c r="C57" s="3">
        <v>15.4211261748783</v>
      </c>
      <c r="D57" s="3">
        <v>13.6603926710374</v>
      </c>
      <c r="E57" s="3">
        <v>12.627160190613299</v>
      </c>
      <c r="F57" s="3">
        <v>12.3512842800335</v>
      </c>
      <c r="G57" s="3">
        <v>16.723283861496199</v>
      </c>
      <c r="H57" s="3">
        <v>12.377927137540899</v>
      </c>
      <c r="I57" s="3">
        <v>20.449279332865</v>
      </c>
      <c r="J57" s="3">
        <v>16.350766314040399</v>
      </c>
      <c r="K57" s="3">
        <v>13.754216614496</v>
      </c>
      <c r="L57" s="3">
        <v>15.3786629098857</v>
      </c>
      <c r="M57" s="3">
        <v>15.039152981408201</v>
      </c>
      <c r="N57" s="3">
        <v>10.4634374155735</v>
      </c>
    </row>
    <row r="58" spans="1:14" x14ac:dyDescent="0.35">
      <c r="A58" s="2">
        <v>43634</v>
      </c>
      <c r="B58" s="3">
        <v>22.8956250753916</v>
      </c>
      <c r="C58" s="3">
        <v>15.9813320732357</v>
      </c>
      <c r="D58" s="3">
        <v>13.7437106928285</v>
      </c>
      <c r="E58" s="3">
        <v>12.579660141130701</v>
      </c>
      <c r="F58" s="3">
        <v>12.4890227806792</v>
      </c>
      <c r="G58" s="3">
        <v>17.176034612642798</v>
      </c>
      <c r="H58" s="3">
        <v>12.537680637740699</v>
      </c>
      <c r="I58" s="3">
        <v>20.866080557049401</v>
      </c>
      <c r="J58" s="3">
        <v>16.643984046030202</v>
      </c>
      <c r="K58" s="3">
        <v>11.8650446694304</v>
      </c>
      <c r="L58" s="3">
        <v>15.398837985184599</v>
      </c>
      <c r="M58" s="3">
        <v>14.943334365458201</v>
      </c>
      <c r="N58" s="3">
        <v>10.4526448633091</v>
      </c>
    </row>
    <row r="59" spans="1:14" x14ac:dyDescent="0.35">
      <c r="A59" s="2">
        <v>43664</v>
      </c>
      <c r="B59" s="3">
        <v>24.413434486190599</v>
      </c>
      <c r="C59" s="3">
        <v>16.158992742915999</v>
      </c>
      <c r="D59" s="3">
        <v>13.6812563715776</v>
      </c>
      <c r="E59" s="3">
        <v>12.7145316061491</v>
      </c>
      <c r="F59" s="3">
        <v>12.6005718974146</v>
      </c>
      <c r="G59" s="3">
        <v>17.242592410189499</v>
      </c>
      <c r="H59" s="3">
        <v>12.609020269928999</v>
      </c>
      <c r="I59" s="3">
        <v>21.302288522609501</v>
      </c>
      <c r="J59" s="3">
        <v>17.0625638918312</v>
      </c>
      <c r="K59" s="3">
        <v>13.989238106193101</v>
      </c>
      <c r="L59" s="3">
        <v>15.706822555381301</v>
      </c>
      <c r="M59" s="3">
        <v>14.797988943135699</v>
      </c>
      <c r="N59" s="3">
        <v>10.8956673297726</v>
      </c>
    </row>
    <row r="60" spans="1:14" x14ac:dyDescent="0.35">
      <c r="A60" s="2">
        <v>43693</v>
      </c>
      <c r="B60" s="3">
        <v>24.030331231260899</v>
      </c>
      <c r="C60" s="3">
        <v>15.6315583818044</v>
      </c>
      <c r="D60" s="3">
        <v>13.4515578282522</v>
      </c>
      <c r="E60" s="3">
        <v>12.222251066375501</v>
      </c>
      <c r="F60" s="3">
        <v>12.272016575176901</v>
      </c>
      <c r="G60" s="3">
        <v>16.719347687759701</v>
      </c>
      <c r="H60" s="3">
        <v>11.8193339124949</v>
      </c>
      <c r="I60" s="3">
        <v>20.328167547063298</v>
      </c>
      <c r="J60" s="3">
        <v>16.403562698439401</v>
      </c>
      <c r="K60" s="3">
        <v>13.4067157089686</v>
      </c>
      <c r="L60" s="3">
        <v>15.0658976462051</v>
      </c>
      <c r="M60" s="3">
        <v>13.5166288379433</v>
      </c>
      <c r="N60" s="3">
        <v>10.0166494519419</v>
      </c>
    </row>
    <row r="61" spans="1:14" x14ac:dyDescent="0.35">
      <c r="A61" s="2">
        <v>43726</v>
      </c>
      <c r="B61" s="3">
        <v>25.616626953783399</v>
      </c>
      <c r="C61" s="3">
        <v>16.6038791556273</v>
      </c>
      <c r="D61" s="3">
        <v>14.0472751188545</v>
      </c>
      <c r="E61" s="3">
        <v>13.0441752305882</v>
      </c>
      <c r="F61" s="3">
        <v>13.4081520667792</v>
      </c>
      <c r="G61" s="3">
        <v>17.046245812547699</v>
      </c>
      <c r="H61" s="3">
        <v>12.359723810542301</v>
      </c>
      <c r="I61" s="3">
        <v>20.378939106973501</v>
      </c>
      <c r="J61" s="3">
        <v>16.9514754074021</v>
      </c>
      <c r="K61" s="3">
        <v>14.103511416821201</v>
      </c>
      <c r="L61" s="3">
        <v>16.2763294823196</v>
      </c>
      <c r="M61" s="3">
        <v>14.652524018211301</v>
      </c>
      <c r="N61" s="3">
        <v>10.750347074027401</v>
      </c>
    </row>
    <row r="62" spans="1:14" x14ac:dyDescent="0.35">
      <c r="A62" s="2">
        <v>43756</v>
      </c>
      <c r="B62" s="3">
        <v>25.487089015557199</v>
      </c>
      <c r="C62" s="3">
        <v>16.744253679455898</v>
      </c>
      <c r="D62" s="3">
        <v>13.7798048680918</v>
      </c>
      <c r="E62" s="3">
        <v>13.286895354173399</v>
      </c>
      <c r="F62" s="3">
        <v>13.503407754392899</v>
      </c>
      <c r="G62" s="3">
        <v>16.976173797932599</v>
      </c>
      <c r="H62" s="3">
        <v>12.396563318079201</v>
      </c>
      <c r="I62" s="3">
        <v>20.618400639236999</v>
      </c>
      <c r="J62" s="3">
        <v>16.890854113160199</v>
      </c>
      <c r="K62" s="3">
        <v>14.2395568298972</v>
      </c>
      <c r="L62" s="3">
        <v>16.126034432645302</v>
      </c>
      <c r="M62" s="3">
        <v>15.471956155948099</v>
      </c>
      <c r="N62" s="3">
        <v>10.877499851931301</v>
      </c>
    </row>
    <row r="63" spans="1:14" x14ac:dyDescent="0.35">
      <c r="A63" s="2">
        <v>43784</v>
      </c>
      <c r="B63" s="3">
        <v>24.6853755368425</v>
      </c>
      <c r="C63" s="3">
        <v>17.2038690780042</v>
      </c>
      <c r="D63" s="3">
        <v>14.418655185388401</v>
      </c>
      <c r="E63" s="3">
        <v>13.9988849745769</v>
      </c>
      <c r="F63" s="3">
        <v>14.139634854809501</v>
      </c>
      <c r="G63" s="3">
        <v>17.431014973769798</v>
      </c>
      <c r="H63" s="3">
        <v>12.8237060382928</v>
      </c>
      <c r="I63" s="3">
        <v>21.656477738350201</v>
      </c>
      <c r="J63" s="3">
        <v>17.598150634757701</v>
      </c>
      <c r="K63" s="3">
        <v>14.8367861292203</v>
      </c>
      <c r="L63" s="3">
        <v>16.743238552101499</v>
      </c>
      <c r="M63" s="3">
        <v>15.713123305448301</v>
      </c>
      <c r="N63" s="3">
        <v>11.3174221241967</v>
      </c>
    </row>
    <row r="64" spans="1:14" x14ac:dyDescent="0.35">
      <c r="A64" s="2">
        <v>43817</v>
      </c>
      <c r="B64" s="3">
        <v>25.726892416134</v>
      </c>
      <c r="C64" s="3">
        <v>17.550484502516301</v>
      </c>
      <c r="D64" s="3">
        <v>14.480687376775199</v>
      </c>
      <c r="E64" s="3">
        <v>14.1454819323748</v>
      </c>
      <c r="F64" s="3">
        <v>14.6746637385104</v>
      </c>
      <c r="G64" s="3">
        <v>17.697643730144499</v>
      </c>
      <c r="H64" s="3">
        <v>13.417499135062</v>
      </c>
      <c r="I64" s="3">
        <v>22.332387684678</v>
      </c>
      <c r="J64" s="3">
        <v>17.9525115338079</v>
      </c>
      <c r="K64" s="3">
        <v>14.8549966580941</v>
      </c>
      <c r="L64" s="3">
        <v>17.043843665098599</v>
      </c>
      <c r="M64" s="3">
        <v>16.3012587610677</v>
      </c>
      <c r="N64" s="3">
        <v>11.5032510299579</v>
      </c>
    </row>
    <row r="65" spans="1:14" x14ac:dyDescent="0.35">
      <c r="A65" s="2">
        <v>43847</v>
      </c>
      <c r="B65" s="3">
        <v>26.343827620608401</v>
      </c>
      <c r="C65" s="3">
        <v>18.036642417821401</v>
      </c>
      <c r="D65" s="3">
        <v>14.753042135787201</v>
      </c>
      <c r="E65" s="3">
        <v>14.380747508894601</v>
      </c>
      <c r="F65" s="3">
        <v>14.660437828122699</v>
      </c>
      <c r="G65" s="3">
        <v>18.222927339907798</v>
      </c>
      <c r="H65" s="3">
        <v>13.6196184137121</v>
      </c>
      <c r="I65" s="3">
        <v>23.740387046435401</v>
      </c>
      <c r="J65" s="3">
        <v>18.649678717437698</v>
      </c>
      <c r="K65" s="3">
        <v>15.1735496264535</v>
      </c>
      <c r="L65" s="3">
        <v>17.361706253398999</v>
      </c>
      <c r="M65" s="3">
        <v>16.4941959200806</v>
      </c>
      <c r="N65" s="3">
        <v>11.664904854808301</v>
      </c>
    </row>
    <row r="66" spans="1:14" x14ac:dyDescent="0.35">
      <c r="A66" s="2">
        <v>43879</v>
      </c>
      <c r="B66" s="3">
        <v>27.1780935134441</v>
      </c>
      <c r="C66" s="3">
        <v>18.3084043353822</v>
      </c>
      <c r="D66" s="3">
        <v>15.0301828197611</v>
      </c>
      <c r="E66" s="3">
        <v>14.442694317096301</v>
      </c>
      <c r="F66" s="3">
        <v>14.1115206534061</v>
      </c>
      <c r="G66" s="3">
        <v>18.478592725443399</v>
      </c>
      <c r="H66" s="3">
        <v>13.297732072422299</v>
      </c>
      <c r="I66" s="3">
        <v>24.3505756193948</v>
      </c>
      <c r="J66" s="3">
        <v>18.8893040674945</v>
      </c>
      <c r="K66" s="3">
        <v>15.1940060593707</v>
      </c>
      <c r="L66" s="3">
        <v>18.033528173537199</v>
      </c>
      <c r="M66" s="3">
        <v>16.945896883721801</v>
      </c>
      <c r="N66" s="3">
        <v>12.0400292459556</v>
      </c>
    </row>
    <row r="67" spans="1:14" x14ac:dyDescent="0.35">
      <c r="A67" s="2">
        <v>43908</v>
      </c>
      <c r="B67" s="3">
        <v>21.828053767045699</v>
      </c>
      <c r="C67" s="3">
        <v>12.8567765744637</v>
      </c>
      <c r="D67" s="3">
        <v>10.758813388843</v>
      </c>
      <c r="E67" s="3">
        <v>9.1672835825559709</v>
      </c>
      <c r="F67" s="3">
        <v>10.979634484118501</v>
      </c>
      <c r="G67" s="3">
        <v>13.9790874264111</v>
      </c>
      <c r="H67" s="3">
        <v>9.7267164007584608</v>
      </c>
      <c r="I67" s="3">
        <v>18.310021061102599</v>
      </c>
      <c r="J67" s="3">
        <v>13.8132767038307</v>
      </c>
      <c r="K67" s="3">
        <v>10.041066850449401</v>
      </c>
      <c r="L67" s="3">
        <v>11.8970902132664</v>
      </c>
      <c r="M67" s="3">
        <v>12.0003392796055</v>
      </c>
      <c r="N67" s="3">
        <v>7.9332081487993102</v>
      </c>
    </row>
    <row r="68" spans="1:14" x14ac:dyDescent="0.35">
      <c r="A68" s="2">
        <v>43938</v>
      </c>
      <c r="B68" s="3">
        <v>29.237130209013301</v>
      </c>
      <c r="C68" s="3">
        <v>16.588577187072399</v>
      </c>
      <c r="D68" s="3">
        <v>15.450151189866</v>
      </c>
      <c r="E68" s="3">
        <v>13.930438435828499</v>
      </c>
      <c r="F68" s="3">
        <v>13.464316537863899</v>
      </c>
      <c r="G68" s="3">
        <v>17.8451703911572</v>
      </c>
      <c r="H68" s="3">
        <v>13.7065832675887</v>
      </c>
      <c r="I68" s="3">
        <v>24.378199283793698</v>
      </c>
      <c r="J68" s="3">
        <v>19.353797193524102</v>
      </c>
      <c r="K68" s="3">
        <v>15.215172755978999</v>
      </c>
      <c r="L68" s="3">
        <v>16.3937242705573</v>
      </c>
      <c r="M68" s="3">
        <v>16.473134619728398</v>
      </c>
      <c r="N68" s="3">
        <v>11.1768083775679</v>
      </c>
    </row>
    <row r="69" spans="1:14" x14ac:dyDescent="0.35">
      <c r="A69" s="2">
        <v>43969</v>
      </c>
      <c r="B69" s="3">
        <v>30.585497529577498</v>
      </c>
      <c r="C69" s="3">
        <v>17.4356243155013</v>
      </c>
      <c r="D69" s="3">
        <v>17.585223521089201</v>
      </c>
      <c r="E69" s="3">
        <v>15.758069359090999</v>
      </c>
      <c r="F69" s="3">
        <v>14.4570817802232</v>
      </c>
      <c r="G69" s="3">
        <v>18.815049007575102</v>
      </c>
      <c r="H69" s="3">
        <v>15.5099385910089</v>
      </c>
      <c r="I69" s="3">
        <v>26.684065119546801</v>
      </c>
      <c r="J69" s="3">
        <v>21.043509497460501</v>
      </c>
      <c r="K69" s="3">
        <v>16.725114013091101</v>
      </c>
      <c r="L69" s="3">
        <v>17.606599693720501</v>
      </c>
      <c r="M69" s="3">
        <v>17.785153956238901</v>
      </c>
      <c r="N69" s="3">
        <v>14.866607068621301</v>
      </c>
    </row>
    <row r="70" spans="1:14" x14ac:dyDescent="0.35">
      <c r="A70" s="2">
        <v>44000</v>
      </c>
      <c r="B70" s="3">
        <v>30.475172642111399</v>
      </c>
      <c r="C70" s="3">
        <v>19.054841000575699</v>
      </c>
      <c r="D70" s="3">
        <v>17.971133860956101</v>
      </c>
      <c r="E70" s="3">
        <v>17.8276210030733</v>
      </c>
      <c r="F70" s="3">
        <v>17.833773742462899</v>
      </c>
      <c r="G70" s="3">
        <v>19.4679109990599</v>
      </c>
      <c r="H70" s="3">
        <v>16.087666869847698</v>
      </c>
      <c r="I70" s="3">
        <v>28.3191487412459</v>
      </c>
      <c r="J70" s="3">
        <v>21.877481217289301</v>
      </c>
      <c r="K70" s="3">
        <v>18.816958538972099</v>
      </c>
      <c r="L70" s="3">
        <v>19.578137874095699</v>
      </c>
      <c r="M70" s="3">
        <v>19.034600195082501</v>
      </c>
      <c r="N70" s="3">
        <v>17.304706536146501</v>
      </c>
    </row>
    <row r="71" spans="1:14" x14ac:dyDescent="0.35">
      <c r="A71" s="2">
        <v>44029</v>
      </c>
      <c r="B71" s="3">
        <v>31.874926131496299</v>
      </c>
      <c r="C71" s="3">
        <v>19.1954402167833</v>
      </c>
      <c r="D71" s="3">
        <v>17.823165435072902</v>
      </c>
      <c r="E71" s="3">
        <v>18.5494296933798</v>
      </c>
      <c r="F71" s="3">
        <v>17.912424529547899</v>
      </c>
      <c r="G71" s="3">
        <v>19.963550025436401</v>
      </c>
      <c r="H71" s="3">
        <v>16.010149922799499</v>
      </c>
      <c r="I71" s="3">
        <v>29.321178436372598</v>
      </c>
      <c r="J71" s="3">
        <v>22.280147725346701</v>
      </c>
      <c r="K71" s="3">
        <v>19.7967165820499</v>
      </c>
      <c r="L71" s="3">
        <v>20.191288563427499</v>
      </c>
      <c r="M71" s="3">
        <v>19.927326543159801</v>
      </c>
      <c r="N71" s="3">
        <v>17.8707721558781</v>
      </c>
    </row>
    <row r="72" spans="1:14" x14ac:dyDescent="0.35">
      <c r="A72" s="2">
        <v>44061</v>
      </c>
      <c r="B72" s="3">
        <v>32.616234373765202</v>
      </c>
      <c r="C72" s="3">
        <v>19.725431293820499</v>
      </c>
      <c r="D72" s="3">
        <v>17.626900779496999</v>
      </c>
      <c r="E72" s="3">
        <v>17.9310397548773</v>
      </c>
      <c r="F72" s="3">
        <v>17.874277319504198</v>
      </c>
      <c r="G72" s="3">
        <v>19.532447839317602</v>
      </c>
      <c r="H72" s="3">
        <v>15.59045508444</v>
      </c>
      <c r="I72" s="3">
        <v>29.829550110536299</v>
      </c>
      <c r="J72" s="3">
        <v>22.384433610483999</v>
      </c>
      <c r="K72" s="3">
        <v>19.575156023827098</v>
      </c>
      <c r="L72" s="3">
        <v>19.899994057330002</v>
      </c>
      <c r="M72" s="3">
        <v>18.097090103051698</v>
      </c>
      <c r="N72" s="3">
        <v>16.1391160297499</v>
      </c>
    </row>
    <row r="73" spans="1:14" x14ac:dyDescent="0.35">
      <c r="A73" s="2">
        <v>44092</v>
      </c>
      <c r="B73" s="3">
        <v>31.204905340822499</v>
      </c>
      <c r="C73" s="3">
        <v>18.4361011985897</v>
      </c>
      <c r="D73" s="3">
        <v>16.559369713152101</v>
      </c>
      <c r="E73" s="3">
        <v>17.527691035181</v>
      </c>
      <c r="F73" s="3">
        <v>18.4542859655764</v>
      </c>
      <c r="G73" s="3">
        <v>19.637573913068302</v>
      </c>
      <c r="H73" s="3">
        <v>14.936405747491801</v>
      </c>
      <c r="I73" s="3">
        <v>28.127240863156</v>
      </c>
      <c r="J73" s="3">
        <v>21.380098228628398</v>
      </c>
      <c r="K73" s="3">
        <v>18.877056914749101</v>
      </c>
      <c r="L73" s="3">
        <v>19.409115968651101</v>
      </c>
      <c r="M73" s="3">
        <v>18.516427751392101</v>
      </c>
      <c r="N73" s="3">
        <v>15.319540190811701</v>
      </c>
    </row>
    <row r="74" spans="1:14" x14ac:dyDescent="0.35">
      <c r="A74" s="2">
        <v>44120</v>
      </c>
      <c r="B74" s="3">
        <v>33.070645428096398</v>
      </c>
      <c r="C74" s="3">
        <v>18.5841508828969</v>
      </c>
      <c r="D74" s="3">
        <v>16.289574201724101</v>
      </c>
      <c r="E74" s="3">
        <v>16.682355070409201</v>
      </c>
      <c r="F74" s="3">
        <v>17.778873010695001</v>
      </c>
      <c r="G74" s="3">
        <v>18.883554976819799</v>
      </c>
      <c r="H74" s="3">
        <v>14.1604141963485</v>
      </c>
      <c r="I74" s="3">
        <v>30.015373993369298</v>
      </c>
      <c r="J74" s="3">
        <v>21.971239985921098</v>
      </c>
      <c r="K74" s="3">
        <v>18.230453018548499</v>
      </c>
      <c r="L74" s="3">
        <v>19.9240630826034</v>
      </c>
      <c r="M74" s="3">
        <v>17.378572395225699</v>
      </c>
      <c r="N74" s="3">
        <v>14.617566650201701</v>
      </c>
    </row>
    <row r="75" spans="1:14" x14ac:dyDescent="0.35">
      <c r="A75" s="2">
        <v>44153</v>
      </c>
      <c r="B75" s="3">
        <v>32.8466425138826</v>
      </c>
      <c r="C75" s="3">
        <v>19.4659217346811</v>
      </c>
      <c r="D75" s="3">
        <v>16.135834425284202</v>
      </c>
      <c r="E75" s="3">
        <v>16.163230146621999</v>
      </c>
      <c r="F75" s="3">
        <v>18.3886438468394</v>
      </c>
      <c r="G75" s="3">
        <v>19.086396839805801</v>
      </c>
      <c r="H75" s="3">
        <v>14.836908275020299</v>
      </c>
      <c r="I75" s="3">
        <v>28.9788366546357</v>
      </c>
      <c r="J75" s="3">
        <v>21.641654551447601</v>
      </c>
      <c r="K75" s="3">
        <v>19.230887821921101</v>
      </c>
      <c r="L75" s="3">
        <v>20.605510596801999</v>
      </c>
      <c r="M75" s="3">
        <v>17.323565502115901</v>
      </c>
      <c r="N75" s="3">
        <v>15.0887840831674</v>
      </c>
    </row>
    <row r="76" spans="1:14" x14ac:dyDescent="0.35">
      <c r="A76" s="2">
        <v>44183</v>
      </c>
      <c r="B76" s="3">
        <v>33.070929243146601</v>
      </c>
      <c r="C76" s="3">
        <v>19.374393935578901</v>
      </c>
      <c r="D76" s="3">
        <v>16.070862142633999</v>
      </c>
      <c r="E76" s="3">
        <v>16.1863520661928</v>
      </c>
      <c r="F76" s="3">
        <v>18.4267800003989</v>
      </c>
      <c r="G76" s="3">
        <v>18.640661498736499</v>
      </c>
      <c r="H76" s="3">
        <v>14.673108641179001</v>
      </c>
      <c r="I76" s="3">
        <v>30.227769483797601</v>
      </c>
      <c r="J76" s="3">
        <v>21.9627231929015</v>
      </c>
      <c r="K76" s="3">
        <v>18.277927259600698</v>
      </c>
      <c r="L76" s="3">
        <v>20.6496805185682</v>
      </c>
      <c r="M76" s="3">
        <v>17.222906784554301</v>
      </c>
      <c r="N76" s="3">
        <v>14.872253646943401</v>
      </c>
    </row>
    <row r="77" spans="1:14" x14ac:dyDescent="0.35">
      <c r="A77" s="2">
        <v>44211</v>
      </c>
      <c r="B77" s="3">
        <v>33.640825190892201</v>
      </c>
      <c r="C77" s="3">
        <v>19.178730790129599</v>
      </c>
      <c r="D77" s="3">
        <v>16.092144030818002</v>
      </c>
      <c r="E77" s="3">
        <v>15.9906949715668</v>
      </c>
      <c r="F77" s="3">
        <v>18.726932142909501</v>
      </c>
      <c r="G77" s="3">
        <v>18.9722161656113</v>
      </c>
      <c r="H77" s="3">
        <v>14.4638702564027</v>
      </c>
      <c r="I77" s="3">
        <v>29.6062104603546</v>
      </c>
      <c r="J77" s="3">
        <v>22.171631277545899</v>
      </c>
      <c r="K77" s="3">
        <v>17.858457444375802</v>
      </c>
      <c r="L77" s="3">
        <v>21.262050325155201</v>
      </c>
      <c r="M77" s="3">
        <v>18.718661507219402</v>
      </c>
      <c r="N77" s="3">
        <v>14.548348032411599</v>
      </c>
    </row>
    <row r="78" spans="1:14" x14ac:dyDescent="0.35">
      <c r="A78" s="2">
        <v>44245</v>
      </c>
      <c r="B78" s="3">
        <v>32.106900130726501</v>
      </c>
      <c r="C78" s="3">
        <v>18.6336393140522</v>
      </c>
      <c r="D78" s="3">
        <v>16.0611891721102</v>
      </c>
      <c r="E78" s="3">
        <v>15.5795536923694</v>
      </c>
      <c r="F78" s="3">
        <v>18.729628413647401</v>
      </c>
      <c r="G78" s="3">
        <v>18.730246307014902</v>
      </c>
      <c r="H78" s="3">
        <v>14.1877023250203</v>
      </c>
      <c r="I78" s="3">
        <v>29.8621495302555</v>
      </c>
      <c r="J78" s="3">
        <v>22.100419191812101</v>
      </c>
      <c r="K78" s="3">
        <v>17.8954071704208</v>
      </c>
      <c r="L78" s="3">
        <v>22.2857601894375</v>
      </c>
      <c r="M78" s="3">
        <v>18.715846621585602</v>
      </c>
      <c r="N78" s="3">
        <v>13.858257179422299</v>
      </c>
    </row>
    <row r="79" spans="1:14" x14ac:dyDescent="0.35">
      <c r="A79" s="2">
        <v>44273</v>
      </c>
      <c r="B79" s="3">
        <v>32.440518155676997</v>
      </c>
      <c r="C79" s="3">
        <v>18.009940026571101</v>
      </c>
      <c r="D79" s="3">
        <v>15.546178620953199</v>
      </c>
      <c r="E79" s="3">
        <v>16.148025442278001</v>
      </c>
      <c r="F79" s="3">
        <v>18.163429270470601</v>
      </c>
      <c r="G79" s="3">
        <v>18.713393770289301</v>
      </c>
      <c r="H79" s="3">
        <v>14.037581713057801</v>
      </c>
      <c r="I79" s="3">
        <v>27.379914800734099</v>
      </c>
      <c r="J79" s="3">
        <v>21.674981962935199</v>
      </c>
      <c r="K79" s="3">
        <v>18.469675035014198</v>
      </c>
      <c r="L79" s="3">
        <v>21.872280282873401</v>
      </c>
      <c r="M79" s="3">
        <v>20.140223601248199</v>
      </c>
      <c r="N79" s="3">
        <v>14.108336006119799</v>
      </c>
    </row>
    <row r="80" spans="1:14" x14ac:dyDescent="0.35">
      <c r="A80" s="2">
        <v>44302</v>
      </c>
      <c r="B80" s="3">
        <v>32.380806008741203</v>
      </c>
      <c r="C80" s="3">
        <v>18.2188081801904</v>
      </c>
      <c r="D80" s="3">
        <v>15.725764847913799</v>
      </c>
      <c r="E80" s="3">
        <v>16.194648506095401</v>
      </c>
      <c r="F80" s="3">
        <v>17.3945115882732</v>
      </c>
      <c r="G80" s="3">
        <v>19.503202465277301</v>
      </c>
      <c r="H80" s="3">
        <v>13.6223520514312</v>
      </c>
      <c r="I80" s="3">
        <v>29.751079057039998</v>
      </c>
      <c r="J80" s="3">
        <v>22.4559945760851</v>
      </c>
      <c r="K80" s="3">
        <v>18.347433275328498</v>
      </c>
      <c r="L80" s="3">
        <v>22.831842788425099</v>
      </c>
      <c r="M80" s="3">
        <v>20.7635328598566</v>
      </c>
      <c r="N80" s="3">
        <v>13.9800235170131</v>
      </c>
    </row>
    <row r="81" spans="1:14" x14ac:dyDescent="0.35">
      <c r="A81" s="2">
        <v>44334</v>
      </c>
      <c r="B81" s="3">
        <v>32.3352643844093</v>
      </c>
      <c r="C81" s="3">
        <v>17.895860823410501</v>
      </c>
      <c r="D81" s="3">
        <v>15.4437969977087</v>
      </c>
      <c r="E81" s="3">
        <v>14.822191546065699</v>
      </c>
      <c r="F81" s="3">
        <v>16.388785764967601</v>
      </c>
      <c r="G81" s="3">
        <v>19.037002990254901</v>
      </c>
      <c r="H81" s="3">
        <v>13.3133656702942</v>
      </c>
      <c r="I81" s="3">
        <v>26.247953497209298</v>
      </c>
      <c r="J81" s="3">
        <v>21.043528831920501</v>
      </c>
      <c r="K81" s="3">
        <v>17.707072831195902</v>
      </c>
      <c r="L81" s="3">
        <v>21.190755203752801</v>
      </c>
      <c r="M81" s="3">
        <v>18.0058438476368</v>
      </c>
      <c r="N81" s="3">
        <v>13.3553271800491</v>
      </c>
    </row>
    <row r="82" spans="1:14" x14ac:dyDescent="0.35">
      <c r="A82" s="2">
        <v>44365</v>
      </c>
      <c r="B82" s="3">
        <v>33.544386129979699</v>
      </c>
      <c r="C82" s="3">
        <v>18.0435982414031</v>
      </c>
      <c r="D82" s="3">
        <v>15.5522876764388</v>
      </c>
      <c r="E82" s="3">
        <v>14.759825698722601</v>
      </c>
      <c r="F82" s="3">
        <v>16.3647654492474</v>
      </c>
      <c r="G82" s="3">
        <v>19.819142453897101</v>
      </c>
      <c r="H82" s="3">
        <v>12.884665087465899</v>
      </c>
      <c r="I82" s="3">
        <v>27.433139498704101</v>
      </c>
      <c r="J82" s="3">
        <v>20.8289452620484</v>
      </c>
      <c r="K82" s="3">
        <v>17.811368053193402</v>
      </c>
      <c r="L82" s="3">
        <v>21.161201080782401</v>
      </c>
      <c r="M82" s="3">
        <v>18.4997778297591</v>
      </c>
      <c r="N82" s="3">
        <v>13.5227577334767</v>
      </c>
    </row>
    <row r="83" spans="1:14" x14ac:dyDescent="0.35">
      <c r="A83" s="2">
        <v>44393</v>
      </c>
      <c r="B83" s="3">
        <v>34.207805589386901</v>
      </c>
      <c r="C83" s="3">
        <v>16.796683947132301</v>
      </c>
      <c r="D83" s="3">
        <v>15.1048948339321</v>
      </c>
      <c r="E83" s="3">
        <v>14.473476739682599</v>
      </c>
      <c r="F83" s="3">
        <v>15.9731749397972</v>
      </c>
      <c r="G83" s="3">
        <v>19.785202147757101</v>
      </c>
      <c r="H83" s="3">
        <v>12.3703316061119</v>
      </c>
      <c r="I83" s="3">
        <v>28.3574741470566</v>
      </c>
      <c r="J83" s="3">
        <v>21.2107752912367</v>
      </c>
      <c r="K83" s="3">
        <v>16.865247570163302</v>
      </c>
      <c r="L83" s="3">
        <v>21.080128376923899</v>
      </c>
      <c r="M83" s="3">
        <v>18.600931455324901</v>
      </c>
      <c r="N83" s="3">
        <v>12.968662598616</v>
      </c>
    </row>
    <row r="84" spans="1:14" x14ac:dyDescent="0.35">
      <c r="A84" s="2">
        <v>44426</v>
      </c>
      <c r="B84" s="3">
        <v>33.667523350775703</v>
      </c>
      <c r="C84" s="3">
        <v>17.097805373499899</v>
      </c>
      <c r="D84" s="3">
        <v>14.9121481393581</v>
      </c>
      <c r="E84" s="3">
        <v>14.377014784059501</v>
      </c>
      <c r="F84" s="3">
        <v>15.3132393368801</v>
      </c>
      <c r="G84" s="3">
        <v>20.128564659977101</v>
      </c>
      <c r="H84" s="3">
        <v>12.304629330459001</v>
      </c>
      <c r="I84" s="3">
        <v>27.4332256295665</v>
      </c>
      <c r="J84" s="3">
        <v>20.7540592804488</v>
      </c>
      <c r="K84" s="3">
        <v>16.5582832536201</v>
      </c>
      <c r="L84" s="3">
        <v>21.6417748098538</v>
      </c>
      <c r="M84" s="3">
        <v>18.4123459110568</v>
      </c>
      <c r="N84" s="3">
        <v>12.2811328706567</v>
      </c>
    </row>
    <row r="85" spans="1:14" x14ac:dyDescent="0.35">
      <c r="A85" s="2">
        <v>44456</v>
      </c>
      <c r="B85" s="3">
        <v>34.9638426930048</v>
      </c>
      <c r="C85" s="3">
        <v>16.9877472315411</v>
      </c>
      <c r="D85" s="3">
        <v>14.7352005257576</v>
      </c>
      <c r="E85" s="3">
        <v>13.857473215634</v>
      </c>
      <c r="F85" s="3">
        <v>16.115115336677</v>
      </c>
      <c r="G85" s="3">
        <v>18.932152524949899</v>
      </c>
      <c r="H85" s="3">
        <v>11.786654758891499</v>
      </c>
      <c r="I85" s="3">
        <v>27.987632205894698</v>
      </c>
      <c r="J85" s="3">
        <v>20.6995393393467</v>
      </c>
      <c r="K85" s="3">
        <v>15.890251834728</v>
      </c>
      <c r="L85" s="3">
        <v>21.588995044313101</v>
      </c>
      <c r="M85" s="3">
        <v>18.378166781243898</v>
      </c>
      <c r="N85" s="3">
        <v>11.6240744240396</v>
      </c>
    </row>
    <row r="86" spans="1:14" x14ac:dyDescent="0.35">
      <c r="A86" s="2">
        <v>44487</v>
      </c>
      <c r="B86" s="3">
        <v>33.449155373843503</v>
      </c>
      <c r="C86" s="3">
        <v>17.432207492126299</v>
      </c>
      <c r="D86" s="3">
        <v>14.9462970426314</v>
      </c>
      <c r="E86" s="3">
        <v>13.6966044297527</v>
      </c>
      <c r="F86" s="3">
        <v>15.3664159421592</v>
      </c>
      <c r="G86" s="3">
        <v>18.778482694756001</v>
      </c>
      <c r="H86" s="3">
        <v>12.2535777365638</v>
      </c>
      <c r="I86" s="3">
        <v>27.848815143544201</v>
      </c>
      <c r="J86" s="3">
        <v>20.735545533419501</v>
      </c>
      <c r="K86" s="3">
        <v>15.547069591430899</v>
      </c>
      <c r="L86" s="3">
        <v>20.790116625713999</v>
      </c>
      <c r="M86" s="3">
        <v>18.4171112358238</v>
      </c>
      <c r="N86" s="3">
        <v>11.6255399174005</v>
      </c>
    </row>
    <row r="87" spans="1:14" x14ac:dyDescent="0.35">
      <c r="A87" s="2">
        <v>44518</v>
      </c>
      <c r="B87" s="3">
        <v>32.666829968157799</v>
      </c>
      <c r="C87" s="3">
        <v>17.171035239876801</v>
      </c>
      <c r="D87" s="3">
        <v>14.9693879237352</v>
      </c>
      <c r="E87" s="3">
        <v>13.867491693172401</v>
      </c>
      <c r="F87" s="3">
        <v>15.255121628286799</v>
      </c>
      <c r="G87" s="3">
        <v>19.372313962299199</v>
      </c>
      <c r="H87" s="3">
        <v>12.0329542751626</v>
      </c>
      <c r="I87" s="3">
        <v>29.794104630286199</v>
      </c>
      <c r="J87" s="3">
        <v>21.390240998579301</v>
      </c>
      <c r="K87" s="3">
        <v>16.0221252657749</v>
      </c>
      <c r="L87" s="3">
        <v>21.661581787347199</v>
      </c>
      <c r="M87" s="3">
        <v>18.863214198673798</v>
      </c>
      <c r="N87" s="3">
        <v>11.749022029687501</v>
      </c>
    </row>
    <row r="88" spans="1:14" x14ac:dyDescent="0.35">
      <c r="A88" s="2">
        <v>44547</v>
      </c>
      <c r="B88" s="3">
        <v>31.910548156770201</v>
      </c>
      <c r="C88" s="3">
        <v>17.1221553450961</v>
      </c>
      <c r="D88" s="3">
        <v>14.179843972775499</v>
      </c>
      <c r="E88" s="3">
        <v>13.167491864220599</v>
      </c>
      <c r="F88" s="3">
        <v>14.519007137055601</v>
      </c>
      <c r="G88" s="3">
        <v>19.486551703661899</v>
      </c>
      <c r="H88" s="3">
        <v>11.9258040252202</v>
      </c>
      <c r="I88" s="3">
        <v>28.210686340462502</v>
      </c>
      <c r="J88" s="3">
        <v>20.7463374410497</v>
      </c>
      <c r="K88" s="3">
        <v>15.372889978845</v>
      </c>
      <c r="L88" s="3">
        <v>19.759420159151102</v>
      </c>
      <c r="M88" s="3">
        <v>17.726244849665999</v>
      </c>
      <c r="N88" s="3">
        <v>10.826669817685101</v>
      </c>
    </row>
    <row r="89" spans="1:14" x14ac:dyDescent="0.35">
      <c r="A89" s="2">
        <v>44579</v>
      </c>
      <c r="B89" s="3">
        <v>31.144763283122099</v>
      </c>
      <c r="C89" s="3">
        <v>17.401012774046801</v>
      </c>
      <c r="D89" s="3">
        <v>14.3441724650674</v>
      </c>
      <c r="E89" s="3">
        <v>13.2385190625275</v>
      </c>
      <c r="F89" s="3">
        <v>14.341490937800801</v>
      </c>
      <c r="G89" s="3">
        <v>18.840251636519799</v>
      </c>
      <c r="H89" s="3">
        <v>12.4430164361001</v>
      </c>
      <c r="I89" s="3">
        <v>26.9993646970293</v>
      </c>
      <c r="J89" s="3">
        <v>20.356352550197499</v>
      </c>
      <c r="K89" s="3">
        <v>15.506323464214001</v>
      </c>
      <c r="L89" s="3">
        <v>19.4865764068741</v>
      </c>
      <c r="M89" s="3">
        <v>17.210125518548001</v>
      </c>
      <c r="N89" s="3">
        <v>11.0330437246941</v>
      </c>
    </row>
    <row r="90" spans="1:14" x14ac:dyDescent="0.35">
      <c r="A90" s="2">
        <v>44610</v>
      </c>
      <c r="B90" s="3">
        <v>29.457225535925001</v>
      </c>
      <c r="C90" s="3">
        <v>15.761970280598399</v>
      </c>
      <c r="D90" s="3">
        <v>13.897198464512501</v>
      </c>
      <c r="E90" s="3">
        <v>12.353880936217299</v>
      </c>
      <c r="F90" s="3">
        <v>13.551260067651</v>
      </c>
      <c r="G90" s="3">
        <v>18.083867978627001</v>
      </c>
      <c r="H90" s="3">
        <v>12.144572460469201</v>
      </c>
      <c r="I90" s="3">
        <v>24.459080299209202</v>
      </c>
      <c r="J90" s="3">
        <v>19.048506469509899</v>
      </c>
      <c r="K90" s="3">
        <v>14.509208711244799</v>
      </c>
      <c r="L90" s="3">
        <v>18.042736246987999</v>
      </c>
      <c r="M90" s="3">
        <v>15.6185534078492</v>
      </c>
      <c r="N90" s="3">
        <v>10.444037929157</v>
      </c>
    </row>
    <row r="91" spans="1:14" x14ac:dyDescent="0.35">
      <c r="A91" s="2">
        <v>44638</v>
      </c>
      <c r="B91" s="3">
        <v>29.2951194891629</v>
      </c>
      <c r="C91" s="3">
        <v>16.0050291911414</v>
      </c>
      <c r="D91" s="3">
        <v>13.7836321444228</v>
      </c>
      <c r="E91" s="3">
        <v>11.7115488766027</v>
      </c>
      <c r="F91" s="3">
        <v>13.038157895452301</v>
      </c>
      <c r="G91" s="3">
        <v>18.309733650644301</v>
      </c>
      <c r="H91" s="3">
        <v>11.614221095733001</v>
      </c>
      <c r="I91" s="3">
        <v>24.932128957121702</v>
      </c>
      <c r="J91" s="3">
        <v>19.256700616501099</v>
      </c>
      <c r="K91" s="3">
        <v>13.7359546298818</v>
      </c>
      <c r="L91" s="3">
        <v>18.1348975286223</v>
      </c>
      <c r="M91" s="3">
        <v>15.6615554626758</v>
      </c>
      <c r="N91" s="3">
        <v>9.51395946272015</v>
      </c>
    </row>
    <row r="92" spans="1:14" x14ac:dyDescent="0.35">
      <c r="A92" s="2">
        <v>44669</v>
      </c>
      <c r="B92" s="3">
        <v>28.373018282295799</v>
      </c>
      <c r="C92" s="3">
        <v>15.5931052104297</v>
      </c>
      <c r="D92" s="3">
        <v>13.4160649396495</v>
      </c>
      <c r="E92" s="3">
        <v>11.309431517940499</v>
      </c>
      <c r="F92" s="3">
        <v>12.811294742411301</v>
      </c>
      <c r="G92" s="3">
        <v>18.5222604368916</v>
      </c>
      <c r="H92" s="3">
        <v>11.1574560878973</v>
      </c>
      <c r="I92" s="3">
        <v>23.903320627249599</v>
      </c>
      <c r="J92" s="3">
        <v>18.655746105783699</v>
      </c>
      <c r="K92" s="3">
        <v>13.147961698380101</v>
      </c>
      <c r="L92" s="3">
        <v>17.6668427365227</v>
      </c>
      <c r="M92" s="3">
        <v>14.995132114341001</v>
      </c>
      <c r="N92" s="3">
        <v>9.6995960304953606</v>
      </c>
    </row>
    <row r="93" spans="1:14" x14ac:dyDescent="0.35">
      <c r="A93" s="2">
        <v>44699</v>
      </c>
      <c r="B93" s="3">
        <v>27.419324797162101</v>
      </c>
      <c r="C93" s="3">
        <v>14.398719519213699</v>
      </c>
      <c r="D93" s="3">
        <v>12.174619848211499</v>
      </c>
      <c r="E93" s="3">
        <v>10.731891061189801</v>
      </c>
      <c r="F93" s="3">
        <v>12.7143199632515</v>
      </c>
      <c r="G93" s="3">
        <v>16.772701621806998</v>
      </c>
      <c r="H93" s="3">
        <v>10.2825963044645</v>
      </c>
      <c r="I93" s="3">
        <v>20.653890284332</v>
      </c>
      <c r="J93" s="3">
        <v>16.543639460635799</v>
      </c>
      <c r="K93" s="3">
        <v>12.130681456986499</v>
      </c>
      <c r="L93" s="3">
        <v>16.669293139114899</v>
      </c>
      <c r="M93" s="3">
        <v>15.8152350759537</v>
      </c>
      <c r="N93" s="3">
        <v>8.9294774143548494</v>
      </c>
    </row>
    <row r="94" spans="1:14" x14ac:dyDescent="0.35">
      <c r="A94" s="2">
        <v>44729</v>
      </c>
      <c r="B94" s="3">
        <v>25.0638710038032</v>
      </c>
      <c r="C94" s="3">
        <v>12.449674540391699</v>
      </c>
      <c r="D94" s="3">
        <v>11.2587151191629</v>
      </c>
      <c r="E94" s="3">
        <v>10.0151253326242</v>
      </c>
      <c r="F94" s="3">
        <v>12.152898924852</v>
      </c>
      <c r="G94" s="3">
        <v>15.1852769528944</v>
      </c>
      <c r="H94" s="3">
        <v>9.5128979414189807</v>
      </c>
      <c r="I94" s="3">
        <v>19.3627279794622</v>
      </c>
      <c r="J94" s="3">
        <v>15.3323963350194</v>
      </c>
      <c r="K94" s="3">
        <v>11.1532990634997</v>
      </c>
      <c r="L94" s="3">
        <v>15.4267058467541</v>
      </c>
      <c r="M94" s="3">
        <v>14.2161409157868</v>
      </c>
      <c r="N94" s="3">
        <v>7.8747926557335299</v>
      </c>
    </row>
    <row r="95" spans="1:14" x14ac:dyDescent="0.35">
      <c r="A95" s="2">
        <v>44760</v>
      </c>
      <c r="B95" s="3">
        <v>25.865642701336199</v>
      </c>
      <c r="C95" s="3">
        <v>12.9927089330318</v>
      </c>
      <c r="D95" s="3">
        <v>10.946257254717001</v>
      </c>
      <c r="E95" s="3">
        <v>9.8752066915291898</v>
      </c>
      <c r="F95" s="3">
        <v>12.454921849609301</v>
      </c>
      <c r="G95" s="3">
        <v>16.1589367933536</v>
      </c>
      <c r="H95" s="3">
        <v>9.6415081529813804</v>
      </c>
      <c r="I95" s="3">
        <v>20.632950088418799</v>
      </c>
      <c r="J95" s="3">
        <v>16.0117922950303</v>
      </c>
      <c r="K95" s="3">
        <v>11.3083871732149</v>
      </c>
      <c r="L95" s="3">
        <v>16.410159688902102</v>
      </c>
      <c r="M95" s="3">
        <v>14.5702484756827</v>
      </c>
      <c r="N95" s="3">
        <v>7.5090415734875604</v>
      </c>
    </row>
    <row r="96" spans="1:14" x14ac:dyDescent="0.35">
      <c r="A96" s="2">
        <v>44791</v>
      </c>
      <c r="B96" s="3">
        <v>27.335484558101498</v>
      </c>
      <c r="C96" s="3">
        <v>14.1590277535445</v>
      </c>
      <c r="D96" s="3">
        <v>11.954778348712599</v>
      </c>
      <c r="E96" s="3">
        <v>10.2077653012886</v>
      </c>
      <c r="F96" s="3">
        <v>13.0377550604448</v>
      </c>
      <c r="G96" s="3">
        <v>16.7739438563327</v>
      </c>
      <c r="H96" s="3">
        <v>9.8152738882075603</v>
      </c>
      <c r="I96" s="3">
        <v>24.047439078172602</v>
      </c>
      <c r="J96" s="3">
        <v>18.056283314391901</v>
      </c>
      <c r="K96" s="3">
        <v>11.804954534026701</v>
      </c>
      <c r="L96" s="3">
        <v>17.681103217183399</v>
      </c>
      <c r="M96" s="3">
        <v>15.0966327505894</v>
      </c>
      <c r="N96" s="3">
        <v>7.7700348440048304</v>
      </c>
    </row>
    <row r="97" spans="1:14" x14ac:dyDescent="0.35">
      <c r="A97" s="2">
        <v>44820</v>
      </c>
      <c r="B97" s="3">
        <v>26.243327535447801</v>
      </c>
      <c r="C97" s="3">
        <v>13.179504102495899</v>
      </c>
      <c r="D97" s="3">
        <v>11.3497496815832</v>
      </c>
      <c r="E97" s="3">
        <v>9.5114534013292396</v>
      </c>
      <c r="F97" s="3">
        <v>12.630676616562999</v>
      </c>
      <c r="G97" s="3">
        <v>15.6646012653244</v>
      </c>
      <c r="H97" s="3">
        <v>9.0908943477785407</v>
      </c>
      <c r="I97" s="3">
        <v>20.987791452745402</v>
      </c>
      <c r="J97" s="3">
        <v>16.271618220811799</v>
      </c>
      <c r="K97" s="3">
        <v>10.969105230379499</v>
      </c>
      <c r="L97" s="3">
        <v>15.4635639000286</v>
      </c>
      <c r="M97" s="3">
        <v>13.6285537776343</v>
      </c>
      <c r="N97" s="3">
        <v>7.6802228879005199</v>
      </c>
    </row>
    <row r="98" spans="1:14" x14ac:dyDescent="0.35">
      <c r="A98" s="2">
        <v>44852</v>
      </c>
      <c r="B98" s="3">
        <v>23.457917971918299</v>
      </c>
      <c r="C98" s="3">
        <v>13.0507092361876</v>
      </c>
      <c r="D98" s="3">
        <v>11.0770211423985</v>
      </c>
      <c r="E98" s="3">
        <v>9.5055768887776306</v>
      </c>
      <c r="F98" s="3">
        <v>12.3094751345297</v>
      </c>
      <c r="G98" s="3">
        <v>15.454435830420801</v>
      </c>
      <c r="H98" s="3">
        <v>8.6963576059277496</v>
      </c>
      <c r="I98" s="3">
        <v>19.965411063660699</v>
      </c>
      <c r="J98" s="3">
        <v>15.8013156806855</v>
      </c>
      <c r="K98" s="3">
        <v>10.8126828946691</v>
      </c>
      <c r="L98" s="3">
        <v>14.444569252967399</v>
      </c>
      <c r="M98" s="3">
        <v>13.6464752923302</v>
      </c>
      <c r="N98" s="3">
        <v>7.4888461811300502</v>
      </c>
    </row>
    <row r="99" spans="1:14" x14ac:dyDescent="0.35">
      <c r="A99" s="2">
        <v>44883</v>
      </c>
      <c r="B99" s="3">
        <v>23.688272454211901</v>
      </c>
      <c r="C99" s="3">
        <v>14.285640139555101</v>
      </c>
      <c r="D99" s="3">
        <v>11.9489910280939</v>
      </c>
      <c r="E99" s="3">
        <v>10.7669243695386</v>
      </c>
      <c r="F99" s="3">
        <v>12.8079437883057</v>
      </c>
      <c r="G99" s="3">
        <v>16.759631639286301</v>
      </c>
      <c r="H99" s="3">
        <v>9.5590328406849707</v>
      </c>
      <c r="I99" s="3">
        <v>21.704881929585898</v>
      </c>
      <c r="J99" s="3">
        <v>17.167535858319098</v>
      </c>
      <c r="K99" s="3">
        <v>11.9351910491536</v>
      </c>
      <c r="L99" s="3">
        <v>16.433100005517701</v>
      </c>
      <c r="M99" s="3">
        <v>12.9406906470401</v>
      </c>
      <c r="N99" s="3">
        <v>8.2938264280828502</v>
      </c>
    </row>
    <row r="100" spans="1:14" x14ac:dyDescent="0.35">
      <c r="A100" s="2">
        <v>44911</v>
      </c>
      <c r="B100" s="3">
        <v>23.4464201525563</v>
      </c>
      <c r="C100" s="3">
        <v>14.058936773000701</v>
      </c>
      <c r="D100" s="3">
        <v>11.8780626407887</v>
      </c>
      <c r="E100" s="3">
        <v>10.364960541788699</v>
      </c>
      <c r="F100" s="3">
        <v>12.6369625367062</v>
      </c>
      <c r="G100" s="3">
        <v>16.316383658825799</v>
      </c>
      <c r="H100" s="3">
        <v>9.6545828768733806</v>
      </c>
      <c r="I100" s="3">
        <v>20.880156917713101</v>
      </c>
      <c r="J100" s="3">
        <v>16.677937163921101</v>
      </c>
      <c r="K100" s="3">
        <v>11.7529192793116</v>
      </c>
      <c r="L100" s="3">
        <v>15.7371947614159</v>
      </c>
      <c r="M100" s="3">
        <v>12.742621743939701</v>
      </c>
      <c r="N100" s="3">
        <v>7.5960515960609198</v>
      </c>
    </row>
    <row r="101" spans="1:14" x14ac:dyDescent="0.35">
      <c r="A101" s="2">
        <v>44944</v>
      </c>
      <c r="B101" s="3">
        <v>23.9513431523945</v>
      </c>
      <c r="C101" s="3">
        <v>14.807591741114299</v>
      </c>
      <c r="D101" s="3">
        <v>12.8020614835487</v>
      </c>
      <c r="E101" s="3">
        <v>11.4933237346299</v>
      </c>
      <c r="F101" s="3">
        <v>12.612386083497601</v>
      </c>
      <c r="G101" s="3">
        <v>17.428742796683299</v>
      </c>
      <c r="H101" s="3">
        <v>10.599850730482199</v>
      </c>
      <c r="I101" s="3">
        <v>21.805402808392799</v>
      </c>
      <c r="J101" s="3">
        <v>17.171235897590201</v>
      </c>
      <c r="K101" s="3">
        <v>13.072948557100201</v>
      </c>
      <c r="L101" s="3">
        <v>17.027958879812601</v>
      </c>
      <c r="M101" s="3">
        <v>13.7344993948559</v>
      </c>
      <c r="N101" s="3">
        <v>8.2941061960482205</v>
      </c>
    </row>
    <row r="102" spans="1:14" x14ac:dyDescent="0.35">
      <c r="A102" s="2">
        <v>44974</v>
      </c>
      <c r="B102" s="3">
        <v>24.843766142274099</v>
      </c>
      <c r="C102" s="3">
        <v>14.6878779855471</v>
      </c>
      <c r="D102" s="3">
        <v>12.913895422417401</v>
      </c>
      <c r="E102" s="3">
        <v>11.678551848900399</v>
      </c>
      <c r="F102" s="3">
        <v>13.0594441260428</v>
      </c>
      <c r="G102" s="3">
        <v>17.320523661099699</v>
      </c>
      <c r="H102" s="3">
        <v>10.6971591774508</v>
      </c>
      <c r="I102" s="3">
        <v>23.786154577797401</v>
      </c>
      <c r="J102" s="3">
        <v>17.981705554743002</v>
      </c>
      <c r="K102" s="3">
        <v>13.442753670917099</v>
      </c>
      <c r="L102" s="3">
        <v>17.0390918366177</v>
      </c>
      <c r="M102" s="3">
        <v>14.183252468369901</v>
      </c>
      <c r="N102" s="3">
        <v>8.4859409152170997</v>
      </c>
    </row>
    <row r="103" spans="1:14" x14ac:dyDescent="0.35">
      <c r="A103" s="2">
        <v>45002</v>
      </c>
      <c r="B103" s="3">
        <v>22.762178154754899</v>
      </c>
      <c r="C103" s="3">
        <v>13.9201466758633</v>
      </c>
      <c r="D103" s="3">
        <v>12.216295876613099</v>
      </c>
      <c r="E103" s="3">
        <v>10.8973742046174</v>
      </c>
      <c r="F103" s="3">
        <v>12.8366555533089</v>
      </c>
      <c r="G103" s="3">
        <v>16.3645322185771</v>
      </c>
      <c r="H103" s="3">
        <v>9.7822247001904401</v>
      </c>
      <c r="I103" s="3">
        <v>23.838771649666398</v>
      </c>
      <c r="J103" s="3">
        <v>17.179807592218399</v>
      </c>
      <c r="K103" s="3">
        <v>12.5904090767888</v>
      </c>
      <c r="L103" s="3">
        <v>15.7458410391421</v>
      </c>
      <c r="M103" s="3">
        <v>13.093661596145999</v>
      </c>
      <c r="N103" s="3">
        <v>7.9871599128336603</v>
      </c>
    </row>
    <row r="104" spans="1:14" x14ac:dyDescent="0.35">
      <c r="A104" s="2">
        <v>45034</v>
      </c>
      <c r="B104" s="3">
        <v>23.269055300669802</v>
      </c>
      <c r="C104" s="3">
        <v>14.706914757080201</v>
      </c>
      <c r="D104" s="3">
        <v>13.1637060174845</v>
      </c>
      <c r="E104" s="3">
        <v>11.475758069555299</v>
      </c>
      <c r="F104" s="3">
        <v>13.438457460173099</v>
      </c>
      <c r="G104" s="3">
        <v>17.495853576938</v>
      </c>
      <c r="H104" s="3">
        <v>10.8473286365286</v>
      </c>
      <c r="I104" s="3">
        <v>24.747736615955102</v>
      </c>
      <c r="J104" s="3">
        <v>18.237435018221099</v>
      </c>
      <c r="K104" s="3">
        <v>13.7233498987658</v>
      </c>
      <c r="L104" s="3">
        <v>16.3422238846554</v>
      </c>
      <c r="M104" s="3">
        <v>14.093958004533899</v>
      </c>
      <c r="N104" s="3">
        <v>8.7686614106528094</v>
      </c>
    </row>
    <row r="105" spans="1:14" x14ac:dyDescent="0.35">
      <c r="A105" s="2">
        <v>45064</v>
      </c>
      <c r="B105" s="3">
        <v>23.584549285540302</v>
      </c>
      <c r="C105" s="3">
        <v>14.5169657813233</v>
      </c>
      <c r="D105" s="3">
        <v>12.994975090909</v>
      </c>
      <c r="E105" s="3">
        <v>11.1010914690437</v>
      </c>
      <c r="F105" s="3">
        <v>14.2092402509124</v>
      </c>
      <c r="G105" s="3">
        <v>17.221430884230301</v>
      </c>
      <c r="H105" s="3">
        <v>10.4328706634615</v>
      </c>
      <c r="I105" s="3">
        <v>25.427717904951301</v>
      </c>
      <c r="J105" s="3">
        <v>18.238418912823199</v>
      </c>
      <c r="K105" s="3">
        <v>13.3676316321282</v>
      </c>
      <c r="L105" s="3">
        <v>15.8726399774513</v>
      </c>
      <c r="M105" s="3">
        <v>13.4847194537234</v>
      </c>
      <c r="N105" s="3">
        <v>8.2679560348651506</v>
      </c>
    </row>
    <row r="106" spans="1:14" x14ac:dyDescent="0.35">
      <c r="A106" s="2">
        <v>45093</v>
      </c>
      <c r="B106" s="3">
        <v>20.817202746979799</v>
      </c>
      <c r="C106" s="3">
        <v>15.051679781637899</v>
      </c>
      <c r="D106" s="3">
        <v>12.9433581148255</v>
      </c>
      <c r="E106" s="3">
        <v>11.008236575189899</v>
      </c>
      <c r="F106" s="3">
        <v>15.023888164424299</v>
      </c>
      <c r="G106" s="3">
        <v>16.668232110123601</v>
      </c>
      <c r="H106" s="3">
        <v>10.500284104958901</v>
      </c>
      <c r="I106" s="3">
        <v>26.9865524657089</v>
      </c>
      <c r="J106" s="3">
        <v>18.943385106519099</v>
      </c>
      <c r="K106" s="3">
        <v>13.3467837574158</v>
      </c>
      <c r="L106" s="3">
        <v>15.842019165353801</v>
      </c>
      <c r="M106" s="3">
        <v>13.8328967500453</v>
      </c>
      <c r="N106" s="3">
        <v>8.7982824764171692</v>
      </c>
    </row>
    <row r="107" spans="1:14" x14ac:dyDescent="0.35">
      <c r="A107" s="2">
        <v>45125</v>
      </c>
      <c r="B107" s="3">
        <v>20.9309481935184</v>
      </c>
      <c r="C107" s="3">
        <v>15.3367142145221</v>
      </c>
      <c r="D107" s="3">
        <v>13.3910886718502</v>
      </c>
      <c r="E107" s="3">
        <v>10.7946258682249</v>
      </c>
      <c r="F107" s="3">
        <v>14.529447084424101</v>
      </c>
      <c r="G107" s="3">
        <v>16.627464519307399</v>
      </c>
      <c r="H107" s="3">
        <v>10.4697321249489</v>
      </c>
      <c r="I107" s="3">
        <v>27.710137615624401</v>
      </c>
      <c r="J107" s="3">
        <v>19.5927366750959</v>
      </c>
      <c r="K107" s="3">
        <v>13.199247745158001</v>
      </c>
      <c r="L107" s="3">
        <v>16.096764536146399</v>
      </c>
      <c r="M107" s="3">
        <v>13.453353142700999</v>
      </c>
      <c r="N107" s="3">
        <v>8.8289918965847107</v>
      </c>
    </row>
    <row r="108" spans="1:14" x14ac:dyDescent="0.35">
      <c r="A108" s="2">
        <v>45156</v>
      </c>
      <c r="B108" s="3">
        <v>20.0747090220639</v>
      </c>
      <c r="C108" s="3">
        <v>14.9345129982042</v>
      </c>
      <c r="D108" s="3">
        <v>12.910007432346699</v>
      </c>
      <c r="E108" s="3">
        <v>10.4528948677586</v>
      </c>
      <c r="F108" s="3">
        <v>14.039838697996201</v>
      </c>
      <c r="G108" s="3">
        <v>16.202791883783402</v>
      </c>
      <c r="H108" s="3">
        <v>10.1453292029169</v>
      </c>
      <c r="I108" s="3">
        <v>23.7756573908297</v>
      </c>
      <c r="J108" s="3">
        <v>18.442475366302599</v>
      </c>
      <c r="K108" s="3">
        <v>12.7075956095512</v>
      </c>
      <c r="L108" s="3">
        <v>14.677224030389199</v>
      </c>
      <c r="M108" s="3">
        <v>12.5413694834346</v>
      </c>
      <c r="N108" s="3">
        <v>8.0934216661729899</v>
      </c>
    </row>
    <row r="109" spans="1:14" x14ac:dyDescent="0.35">
      <c r="A109" s="2">
        <v>45187</v>
      </c>
      <c r="B109" s="3">
        <v>20.4111152173599</v>
      </c>
      <c r="C109" s="3">
        <v>15.3992115539184</v>
      </c>
      <c r="D109" s="3">
        <v>13.2541275430701</v>
      </c>
      <c r="E109" s="3">
        <v>10.5538907446254</v>
      </c>
      <c r="F109" s="3">
        <v>15.090563246511699</v>
      </c>
      <c r="G109" s="3">
        <v>16.516955775544801</v>
      </c>
      <c r="H109" s="3">
        <v>10.554592297362801</v>
      </c>
      <c r="I109" s="3">
        <v>24.0544477991455</v>
      </c>
      <c r="J109" s="3">
        <v>18.580645215756501</v>
      </c>
      <c r="K109" s="3">
        <v>12.8163759373912</v>
      </c>
      <c r="L109" s="3">
        <v>13.8706107530294</v>
      </c>
      <c r="M109" s="3">
        <v>13.0227620164552</v>
      </c>
      <c r="N109" s="3">
        <v>8.4148878695300695</v>
      </c>
    </row>
    <row r="110" spans="1:14" x14ac:dyDescent="0.35">
      <c r="A110" s="2">
        <v>45217</v>
      </c>
      <c r="B110" s="3">
        <v>19.731082351625702</v>
      </c>
      <c r="C110" s="3">
        <v>14.866249779956201</v>
      </c>
      <c r="D110" s="3">
        <v>12.5042464280746</v>
      </c>
      <c r="E110" s="3">
        <v>10.062409512831</v>
      </c>
      <c r="F110" s="3">
        <v>14.156315514571499</v>
      </c>
      <c r="G110" s="3">
        <v>15.8665496222117</v>
      </c>
      <c r="H110" s="3">
        <v>10.328631676926999</v>
      </c>
      <c r="I110" s="3">
        <v>23.2917560044353</v>
      </c>
      <c r="J110" s="3">
        <v>17.893764236588702</v>
      </c>
      <c r="K110" s="3">
        <v>12.1711716896328</v>
      </c>
      <c r="L110" s="3">
        <v>13.3187963763136</v>
      </c>
      <c r="M110" s="3">
        <v>13.031464180145701</v>
      </c>
      <c r="N110" s="3">
        <v>8.1327933412010793</v>
      </c>
    </row>
    <row r="111" spans="1:14" x14ac:dyDescent="0.35">
      <c r="A111" s="2">
        <v>45247</v>
      </c>
      <c r="B111" s="3">
        <v>20.1270026211924</v>
      </c>
      <c r="C111" s="3">
        <v>15.0578424581463</v>
      </c>
      <c r="D111" s="3">
        <v>12.842768978483999</v>
      </c>
      <c r="E111" s="3">
        <v>10.7779755963863</v>
      </c>
      <c r="F111" s="3">
        <v>14.533418686755001</v>
      </c>
      <c r="G111" s="3">
        <v>16.099919100348501</v>
      </c>
      <c r="H111" s="3">
        <v>10.3720123860373</v>
      </c>
      <c r="I111" s="3">
        <v>24.3996403475218</v>
      </c>
      <c r="J111" s="3">
        <v>18.6315683221803</v>
      </c>
      <c r="K111" s="3">
        <v>12.822134429750401</v>
      </c>
      <c r="L111" s="3">
        <v>14.6723318452394</v>
      </c>
      <c r="M111" s="3">
        <v>13.342565084783001</v>
      </c>
      <c r="N111" s="3">
        <v>8.3244444999797196</v>
      </c>
    </row>
    <row r="112" spans="1:14" x14ac:dyDescent="0.35">
      <c r="A112" s="2">
        <v>45278</v>
      </c>
      <c r="B112" s="3">
        <v>22.596207115801501</v>
      </c>
      <c r="C112" s="3">
        <v>15.9748243526547</v>
      </c>
      <c r="D112" s="3">
        <v>13.4372363376074</v>
      </c>
      <c r="E112" s="3">
        <v>11.153484087505401</v>
      </c>
      <c r="F112" s="3">
        <v>13.8213335175067</v>
      </c>
      <c r="G112" s="3">
        <v>16.766243264829399</v>
      </c>
      <c r="H112" s="3">
        <v>10.759573406695001</v>
      </c>
      <c r="I112" s="3">
        <v>25.1226911768841</v>
      </c>
      <c r="J112" s="3">
        <v>19.454849370683501</v>
      </c>
      <c r="K112" s="3">
        <v>13.4274451265678</v>
      </c>
      <c r="L112" s="3">
        <v>15.143379046881501</v>
      </c>
      <c r="M112" s="3">
        <v>15.594902720987401</v>
      </c>
      <c r="N112" s="3">
        <v>8.8299616668646799</v>
      </c>
    </row>
    <row r="113" spans="1:25" x14ac:dyDescent="0.35">
      <c r="A113" s="2">
        <v>45309</v>
      </c>
      <c r="B113" s="3">
        <v>22.1770089207442</v>
      </c>
      <c r="C113" s="3">
        <v>15.7130657337964</v>
      </c>
      <c r="D113" s="3">
        <v>13.5472472887993</v>
      </c>
      <c r="E113" s="3">
        <v>11.014477505934099</v>
      </c>
      <c r="F113" s="3">
        <v>14.782975368480701</v>
      </c>
      <c r="G113" s="3">
        <v>16.832124277617599</v>
      </c>
      <c r="H113" s="3">
        <v>10.6969787467172</v>
      </c>
      <c r="I113" s="3">
        <v>25.137239134583499</v>
      </c>
      <c r="J113" s="3">
        <v>19.530740177682102</v>
      </c>
      <c r="K113" s="3">
        <v>13.2288514978096</v>
      </c>
      <c r="L113" s="3">
        <v>14.821213240918</v>
      </c>
      <c r="M113" s="3">
        <v>15.1846266462664</v>
      </c>
      <c r="N113" s="3">
        <v>8.9576042272290906</v>
      </c>
    </row>
    <row r="114" spans="1:25" x14ac:dyDescent="0.35">
      <c r="A114" s="2">
        <v>45338</v>
      </c>
      <c r="B114" s="3">
        <v>22.296480568795399</v>
      </c>
      <c r="C114" s="3">
        <v>16.449760072945001</v>
      </c>
      <c r="D114" s="3">
        <v>14.100300465022301</v>
      </c>
      <c r="E114" s="3">
        <v>11.6613299894699</v>
      </c>
      <c r="F114" s="3">
        <v>15.3623208231659</v>
      </c>
      <c r="G114" s="3">
        <v>17.379777331992599</v>
      </c>
      <c r="H114" s="3">
        <v>11.200086502133701</v>
      </c>
      <c r="I114" s="3">
        <v>25.912862325191199</v>
      </c>
      <c r="J114" s="3">
        <v>20.250964271912</v>
      </c>
      <c r="K114" s="3">
        <v>13.996996262238699</v>
      </c>
      <c r="L114" s="3">
        <v>16.3751148072778</v>
      </c>
      <c r="M114" s="3">
        <v>16.042892695051702</v>
      </c>
      <c r="N114" s="3">
        <v>9.0021219405869708</v>
      </c>
    </row>
    <row r="115" spans="1:25" x14ac:dyDescent="0.35">
      <c r="A115" s="2">
        <v>45369</v>
      </c>
      <c r="B115" s="3">
        <v>24.759228383282501</v>
      </c>
      <c r="C115" s="3">
        <v>16.425476176578702</v>
      </c>
      <c r="D115" s="3">
        <v>14.502460952598</v>
      </c>
      <c r="E115" s="3">
        <v>12.0680520391392</v>
      </c>
      <c r="F115" s="3">
        <v>15.6335267389273</v>
      </c>
      <c r="G115" s="3">
        <v>17.658195721845601</v>
      </c>
      <c r="H115" s="3">
        <v>11.2769324815054</v>
      </c>
      <c r="I115" s="3">
        <v>25.989057458064</v>
      </c>
      <c r="J115" s="3">
        <v>20.608617074208698</v>
      </c>
      <c r="K115" s="3">
        <v>14.616749076989301</v>
      </c>
      <c r="L115" s="3">
        <v>15.955443347711</v>
      </c>
      <c r="M115" s="3">
        <v>16.524569399018301</v>
      </c>
      <c r="N115" s="3">
        <v>9.6205394716256496</v>
      </c>
    </row>
    <row r="116" spans="1:25" x14ac:dyDescent="0.35">
      <c r="A116" s="2">
        <v>45400</v>
      </c>
      <c r="B116" s="3">
        <v>24.740731310030501</v>
      </c>
      <c r="C116" s="3">
        <v>16.281292444002801</v>
      </c>
      <c r="D116" s="3">
        <v>14.202040557249999</v>
      </c>
      <c r="E116" s="3">
        <v>11.8806350916628</v>
      </c>
      <c r="F116" s="3">
        <v>15.1716861558742</v>
      </c>
      <c r="G116" s="3">
        <v>16.775323705630498</v>
      </c>
      <c r="H116" s="3">
        <v>11.271850965129801</v>
      </c>
      <c r="I116" s="3">
        <v>24.7668094806927</v>
      </c>
      <c r="J116" s="3">
        <v>19.8741237204745</v>
      </c>
      <c r="K116" s="3">
        <v>14.3260464477612</v>
      </c>
      <c r="L116" s="3">
        <v>15.608814277945401</v>
      </c>
      <c r="M116" s="3">
        <v>16.037515283471102</v>
      </c>
      <c r="N116" s="3">
        <v>9.5427979834819592</v>
      </c>
    </row>
    <row r="117" spans="1:25" x14ac:dyDescent="0.35">
      <c r="A117" s="2">
        <v>45429</v>
      </c>
      <c r="B117" s="3">
        <v>25.3800496446806</v>
      </c>
      <c r="C117" s="3">
        <v>16.8619618471708</v>
      </c>
      <c r="D117" s="3">
        <v>14.5382130772282</v>
      </c>
      <c r="E117" s="3">
        <v>12.0805398569884</v>
      </c>
      <c r="F117" s="3">
        <v>15.4831113650867</v>
      </c>
      <c r="G117" s="3">
        <v>17.4190578711884</v>
      </c>
      <c r="H117" s="3">
        <v>11.930156983565601</v>
      </c>
      <c r="I117" s="3">
        <v>26.129882264967701</v>
      </c>
      <c r="J117" s="3">
        <v>20.724249233626299</v>
      </c>
      <c r="K117" s="3">
        <v>14.651638414996301</v>
      </c>
      <c r="L117" s="3">
        <v>16.367096928352002</v>
      </c>
      <c r="M117" s="3">
        <v>16.341224885414199</v>
      </c>
      <c r="N117" s="3">
        <v>9.9708649802326601</v>
      </c>
    </row>
    <row r="118" spans="1:25" x14ac:dyDescent="0.35">
      <c r="A118" s="2">
        <v>45461</v>
      </c>
      <c r="B118" s="3">
        <v>24.3421603024779</v>
      </c>
      <c r="C118" s="3">
        <v>16.863087806266599</v>
      </c>
      <c r="D118" s="3">
        <v>13.8027379075625</v>
      </c>
      <c r="E118" s="3">
        <v>11.6174992715515</v>
      </c>
      <c r="F118" s="3">
        <v>15.0937522219138</v>
      </c>
      <c r="G118" s="3">
        <v>17.3347660447637</v>
      </c>
      <c r="H118" s="3">
        <v>11.4541054261291</v>
      </c>
      <c r="I118" s="3">
        <v>27.319992511706101</v>
      </c>
      <c r="J118" s="3">
        <v>21.1222295932976</v>
      </c>
      <c r="K118" s="3">
        <v>13.629404286189599</v>
      </c>
      <c r="L118" s="3">
        <v>16.6024624325437</v>
      </c>
      <c r="M118" s="3">
        <v>15.873539917414</v>
      </c>
      <c r="N118" s="3">
        <v>9.3606162342819097</v>
      </c>
    </row>
    <row r="119" spans="1:25" x14ac:dyDescent="0.35">
      <c r="A119" s="2">
        <v>45491</v>
      </c>
      <c r="B119" s="3">
        <v>25.352103266639599</v>
      </c>
      <c r="C119" s="3">
        <v>17.556796473772099</v>
      </c>
      <c r="D119" s="3">
        <v>14.3601341877491</v>
      </c>
      <c r="E119" s="3">
        <v>11.8340214995899</v>
      </c>
      <c r="F119" s="3">
        <v>15.7739170807275</v>
      </c>
      <c r="G119" s="3">
        <v>17.471141367390601</v>
      </c>
      <c r="H119" s="3">
        <v>11.591238979127199</v>
      </c>
      <c r="I119" s="3">
        <v>26.6780614455792</v>
      </c>
      <c r="J119" s="3">
        <v>21.2027052550355</v>
      </c>
      <c r="K119" s="3">
        <v>13.5895991464202</v>
      </c>
      <c r="L119" s="3">
        <v>15.9720924847561</v>
      </c>
      <c r="M119" s="3">
        <v>16.3828867411573</v>
      </c>
      <c r="N119" s="3">
        <v>9.7308931492219806</v>
      </c>
    </row>
    <row r="120" spans="1:25" x14ac:dyDescent="0.35">
      <c r="A120" s="2">
        <v>45520</v>
      </c>
      <c r="B120" s="3">
        <v>26.135445121819799</v>
      </c>
      <c r="C120" s="3">
        <v>17.3886933541019</v>
      </c>
      <c r="D120" s="3">
        <v>14.3739612060259</v>
      </c>
      <c r="E120" s="3">
        <v>11.733459223226699</v>
      </c>
      <c r="F120" s="3">
        <v>14.504168671188699</v>
      </c>
      <c r="G120" s="3">
        <v>17.295682545563299</v>
      </c>
      <c r="H120" s="3">
        <v>11.5910903360646</v>
      </c>
      <c r="I120" s="3">
        <v>26.440055281341301</v>
      </c>
      <c r="J120" s="3">
        <v>21.041320907825298</v>
      </c>
      <c r="K120" s="3">
        <v>13.5175251848556</v>
      </c>
      <c r="L120" s="3">
        <v>15.144059961333101</v>
      </c>
      <c r="M120" s="3">
        <v>15.8871879251418</v>
      </c>
      <c r="N120" s="3">
        <v>9.5384930469395801</v>
      </c>
    </row>
    <row r="121" spans="1:25" x14ac:dyDescent="0.35">
      <c r="A121" s="2">
        <v>45553</v>
      </c>
      <c r="B121" s="3">
        <v>23.941196794892999</v>
      </c>
      <c r="C121" s="3">
        <v>18.214958774395399</v>
      </c>
      <c r="D121" s="3">
        <v>14.874719140431401</v>
      </c>
      <c r="E121" s="3">
        <v>12.2094587433853</v>
      </c>
      <c r="F121" s="3">
        <v>13.6745075328885</v>
      </c>
      <c r="G121" s="3">
        <v>17.057858270478899</v>
      </c>
      <c r="H121" s="3">
        <v>11.638298600627</v>
      </c>
      <c r="I121" s="3">
        <v>25.676078236661301</v>
      </c>
      <c r="J121" s="3">
        <v>21.041782113126899</v>
      </c>
      <c r="K121" s="3">
        <v>13.525231389814801</v>
      </c>
      <c r="L121" s="3">
        <v>14.718019825111</v>
      </c>
      <c r="M121" s="3">
        <v>15.948999453999599</v>
      </c>
      <c r="N121" s="3">
        <v>9.8766051610843295</v>
      </c>
    </row>
    <row r="122" spans="1:25" x14ac:dyDescent="0.35">
      <c r="A122" s="2">
        <v>45581</v>
      </c>
      <c r="B122" s="3">
        <v>24.2217974660233</v>
      </c>
      <c r="C122" s="3">
        <v>18.4106160368686</v>
      </c>
      <c r="D122" s="3">
        <v>15.460039834551299</v>
      </c>
      <c r="E122" s="3">
        <v>12.914296507962</v>
      </c>
      <c r="F122" s="3">
        <v>14.3724839955223</v>
      </c>
      <c r="G122" s="3">
        <v>17.308922515588101</v>
      </c>
      <c r="H122" s="3">
        <v>11.737284527165</v>
      </c>
      <c r="I122" s="3">
        <v>26.432953290029499</v>
      </c>
      <c r="J122" s="3">
        <v>21.877959043311598</v>
      </c>
      <c r="K122" s="3">
        <v>13.809237428181801</v>
      </c>
      <c r="L122" s="3">
        <v>14.771229842849401</v>
      </c>
      <c r="M122" s="3">
        <v>16.160015336547499</v>
      </c>
      <c r="N122" s="3">
        <v>10.5741868540631</v>
      </c>
    </row>
    <row r="124" spans="1:25" x14ac:dyDescent="0.35">
      <c r="A124" s="2" t="s">
        <v>91</v>
      </c>
      <c r="B124" s="3" cm="1">
        <f t="array" ref="B124">MIN(_xlfn._xlws.FILTER(B1:B122, ISNUMBER(B1:B122)))</f>
        <v>16.7401097983836</v>
      </c>
      <c r="C124" s="3" cm="1">
        <f t="array" ref="C124">MIN(_xlfn._xlws.FILTER(C1:C122, ISNUMBER(C1:C122)))</f>
        <v>12.449674540391699</v>
      </c>
      <c r="D124" s="3" cm="1">
        <f t="array" ref="D124">MIN(_xlfn._xlws.FILTER(D1:D122, ISNUMBER(D1:D122)))</f>
        <v>10.758813388843</v>
      </c>
      <c r="E124" s="3" cm="1">
        <f t="array" ref="E124">MIN(_xlfn._xlws.FILTER(E1:E122, ISNUMBER(E1:E122)))</f>
        <v>9.1672835825559709</v>
      </c>
      <c r="F124" s="3" cm="1">
        <f t="array" ref="F124">MIN(_xlfn._xlws.FILTER(F1:F122, ISNUMBER(F1:F122)))</f>
        <v>10.979634484118501</v>
      </c>
      <c r="G124" s="3" cm="1">
        <f t="array" ref="G124">MIN(_xlfn._xlws.FILTER(G1:G122, ISNUMBER(G1:G122)))</f>
        <v>13.9790874264111</v>
      </c>
      <c r="H124" s="3" cm="1">
        <f t="array" ref="H124">MIN(_xlfn._xlws.FILTER(H1:H122, ISNUMBER(H1:H122)))</f>
        <v>8.6963576059277496</v>
      </c>
      <c r="I124" s="3" cm="1">
        <f t="array" ref="I124">MIN(_xlfn._xlws.FILTER(I1:I122, ISNUMBER(I1:I122)))</f>
        <v>16.357041465684201</v>
      </c>
      <c r="J124" s="3" cm="1">
        <f t="array" ref="J124">MIN(_xlfn._xlws.FILTER(J1:J122, ISNUMBER(J1:J122)))</f>
        <v>13.8132767038307</v>
      </c>
      <c r="K124" s="3" cm="1">
        <f t="array" ref="K124">MIN(_xlfn._xlws.FILTER(K1:K122, ISNUMBER(K1:K122)))</f>
        <v>10.041066850449401</v>
      </c>
      <c r="L124" s="3" cm="1">
        <f t="array" ref="L124">MIN(_xlfn._xlws.FILTER(L1:L122, ISNUMBER(L1:L122)))</f>
        <v>11.8970902132664</v>
      </c>
      <c r="M124" s="3" cm="1">
        <f t="array" ref="M124">MIN(_xlfn._xlws.FILTER(M1:M122, ISNUMBER(M1:M122)))</f>
        <v>12.0003392796055</v>
      </c>
      <c r="N124" s="3" cm="1">
        <f t="array" ref="N124">MIN(_xlfn._xlws.FILTER(N1:N122, ISNUMBER(N1:N122)))</f>
        <v>7.4888461811300502</v>
      </c>
    </row>
    <row r="125" spans="1:25" x14ac:dyDescent="0.35">
      <c r="A125" s="2" t="s">
        <v>92</v>
      </c>
      <c r="B125" s="3" cm="1">
        <f t="array" ref="B125">MAX(_xlfn._xlws.FILTER(B1:B122, ISNUMBER(B1:B122)))</f>
        <v>34.9638426930048</v>
      </c>
      <c r="C125" s="3" cm="1">
        <f t="array" ref="C125">MAX(_xlfn._xlws.FILTER(C1:C122, ISNUMBER(C1:C122)))</f>
        <v>19.725431293820499</v>
      </c>
      <c r="D125" s="3" cm="1">
        <f t="array" ref="D125">MAX(_xlfn._xlws.FILTER(D1:D122, ISNUMBER(D1:D122)))</f>
        <v>17.971133860956101</v>
      </c>
      <c r="E125" s="3" cm="1">
        <f t="array" ref="E125">MAX(_xlfn._xlws.FILTER(E1:E122, ISNUMBER(E1:E122)))</f>
        <v>18.5494296933798</v>
      </c>
      <c r="F125" s="3" cm="1">
        <f t="array" ref="F125">MAX(_xlfn._xlws.FILTER(F1:F122, ISNUMBER(F1:F122)))</f>
        <v>18.729628413647401</v>
      </c>
      <c r="G125" s="3" cm="1">
        <f t="array" ref="G125">MAX(_xlfn._xlws.FILTER(G1:G122, ISNUMBER(G1:G122)))</f>
        <v>20.128564659977101</v>
      </c>
      <c r="H125" s="3" cm="1">
        <f t="array" ref="H125">MAX(_xlfn._xlws.FILTER(H1:H122, ISNUMBER(H1:H122)))</f>
        <v>16.4880839124014</v>
      </c>
      <c r="I125" s="3" cm="1">
        <f t="array" ref="I125">MAX(_xlfn._xlws.FILTER(I1:I122, ISNUMBER(I1:I122)))</f>
        <v>30.227769483797601</v>
      </c>
      <c r="J125" s="3" cm="1">
        <f t="array" ref="J125">MAX(_xlfn._xlws.FILTER(J1:J122, ISNUMBER(J1:J122)))</f>
        <v>22.4559945760851</v>
      </c>
      <c r="K125" s="3" cm="1">
        <f t="array" ref="K125">MAX(_xlfn._xlws.FILTER(K1:K122, ISNUMBER(K1:K122)))</f>
        <v>19.7967165820499</v>
      </c>
      <c r="L125" s="3" cm="1">
        <f t="array" ref="L125">MAX(_xlfn._xlws.FILTER(L1:L122, ISNUMBER(L1:L122)))</f>
        <v>22.831842788425099</v>
      </c>
      <c r="M125" s="3" cm="1">
        <f t="array" ref="M125">MAX(_xlfn._xlws.FILTER(M1:M122, ISNUMBER(M1:M122)))</f>
        <v>20.7635328598566</v>
      </c>
      <c r="N125" s="3" cm="1">
        <f t="array" ref="N125">MAX(_xlfn._xlws.FILTER(N1:N122, ISNUMBER(N1:N122)))</f>
        <v>17.8707721558781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0.63100000000000001</v>
      </c>
      <c r="C127" s="9" cm="1">
        <f t="array" ref="C127">_xlfn.PERCENTRANK.EXC(_xlfn._xlws.FILTER(C1:C122, ISNUMBER(C1:C122)),C122)</f>
        <v>0.91800000000000004</v>
      </c>
      <c r="D127" s="9" cm="1">
        <f t="array" ref="D127">_xlfn.PERCENTRANK.EXC(_xlfn._xlws.FILTER(D1:D122, ISNUMBER(D1:D122)),D122)</f>
        <v>0.67200000000000004</v>
      </c>
      <c r="E127" s="9" cm="1">
        <f t="array" ref="E127">_xlfn.PERCENTRANK.EXC(_xlfn._xlws.FILTER(E1:E122, ISNUMBER(E1:E122)),E122)</f>
        <v>0.5</v>
      </c>
      <c r="F127" s="9" cm="1">
        <f t="array" ref="F127">_xlfn.PERCENTRANK.EXC(_xlfn._xlws.FILTER(F1:F122, ISNUMBER(F1:F122)),F122)</f>
        <v>0.59799999999999998</v>
      </c>
      <c r="G127" s="9" cm="1">
        <f t="array" ref="G127">_xlfn.PERCENTRANK.EXC(_xlfn._xlws.FILTER(G1:G122, ISNUMBER(G1:G122)),G122)</f>
        <v>0.54900000000000004</v>
      </c>
      <c r="H127" s="9" cm="1">
        <f t="array" ref="H127">_xlfn.PERCENTRANK.EXC(_xlfn._xlws.FILTER(H1:H122, ISNUMBER(H1:H122)),H122)</f>
        <v>0.27</v>
      </c>
      <c r="I127" s="9" cm="1">
        <f t="array" ref="I127">_xlfn.PERCENTRANK.EXC(_xlfn._xlws.FILTER(I1:I122, ISNUMBER(I1:I122)),I122)</f>
        <v>0.78600000000000003</v>
      </c>
      <c r="J127" s="9" cm="1">
        <f t="array" ref="J127">_xlfn.PERCENTRANK.EXC(_xlfn._xlws.FILTER(J1:J122, ISNUMBER(J1:J122)),J122)</f>
        <v>0.93400000000000005</v>
      </c>
      <c r="K127" s="9" cm="1">
        <f t="array" ref="K127">_xlfn.PERCENTRANK.EXC(_xlfn._xlws.FILTER(K1:K122, ISNUMBER(K1:K122)),K122)</f>
        <v>0.377</v>
      </c>
      <c r="L127" s="9" cm="1">
        <f t="array" ref="L127">_xlfn.PERCENTRANK.EXC(_xlfn._xlws.FILTER(L1:L122, ISNUMBER(L1:L122)),L122)</f>
        <v>0.18</v>
      </c>
      <c r="M127" s="9" cm="1">
        <f t="array" ref="M127">_xlfn.PERCENTRANK.EXC(_xlfn._xlws.FILTER(M1:M122, ISNUMBER(M1:M122)),M122)</f>
        <v>0.60599999999999998</v>
      </c>
      <c r="N127" s="9" cm="1">
        <f t="array" ref="N127">_xlfn.PERCENTRANK.EXC(_xlfn._xlws.FILTER(N1:N122, ISNUMBER(N1:N122)),N122)</f>
        <v>0.34399999999999997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41929</v>
      </c>
      <c r="B2" s="3" cm="1">
        <f t="array" ref="B2:B122">_xll.FDS(B1,"FMA_DIV_YLD(NTMA,-10AY,0,AM,""PORTAGG"",""MEANR"")")</f>
        <v>4.69560903056722</v>
      </c>
      <c r="C2" s="3" cm="1">
        <f t="array" ref="C2:C122">_xll.FDS(C1,"FMA_DIV_YLD(NTMA,-10AY,0,AM,""PORTAGG"",""MEANR"")")</f>
        <v>5.0655415651363001</v>
      </c>
      <c r="D2" s="3" cm="1">
        <f t="array" ref="D2:D122">_xll.FDS(D1,"FMA_DIV_YLD(NTMA,-10AY,0,AM,""PORTAGG"",""MEANR"")")</f>
        <v>3.0457948089814701</v>
      </c>
      <c r="E2" s="3" cm="1">
        <f t="array" ref="E2:E122">_xll.FDS(E1,"FMA_DIV_YLD(NTMA,-10AY,0,AM,""PORTAGG"",""MEANR"")")</f>
        <v>3.4220880623055998</v>
      </c>
      <c r="F2" s="3" cm="1">
        <f t="array" ref="F2:F122">_xll.FDS(F1,"FMA_DIV_YLD(NTMA,-10AY,0,AM,""PORTAGG"",""MEANR"")")</f>
        <v>2.29140445203823</v>
      </c>
      <c r="G2" s="3" cm="1">
        <f t="array" ref="G2:G122">_xll.FDS(G1,"FMA_DIV_YLD(NTMA,-10AY,0,AM,""PORTAGG"",""MEANR"")")</f>
        <v>3.54645452129457</v>
      </c>
      <c r="H2" s="3" cm="1">
        <f t="array" ref="H2:H122">_xll.FDS(H1,"FMA_DIV_YLD(NTMA,-10AY,0,AM,""PORTAGG"",""MEANR"")")</f>
        <v>4.2619356724209698</v>
      </c>
      <c r="I2" s="3" cm="1">
        <f t="array" ref="I2:I122">_xll.FDS(I1,"FMA_DIV_YLD(NTMA,-10AY,0,AM,""PORTAGG"",""MEANR"")")</f>
        <v>1.3227353949337499</v>
      </c>
      <c r="J2" s="3" cm="1">
        <f t="array" ref="J2:J122">_xll.FDS(J1,"FMA_DIV_YLD(NTMA,-10AY,0,AM,""PORTAGG"",""MEANR"")")</f>
        <v>2.23666301759582</v>
      </c>
      <c r="K2" s="3" cm="1">
        <f t="array" ref="K2:K122">_xll.FDS(K1,"FMA_DIV_YLD(NTMA,-10AY,0,AM,""PORTAGG"",""MEANR"")")</f>
        <v>3.87472559405058</v>
      </c>
      <c r="L2" s="3" cm="1">
        <f t="array" ref="L2:L122">_xll.FDS(L1,"FMA_DIV_YLD(NTMA,-10AY,0,AM,""PORTAGG"",""MEANR"")")</f>
        <v>3.2845385973182899</v>
      </c>
      <c r="M2" s="3" cm="1">
        <f t="array" ref="M2:M122">_xll.FDS(M1,"FMA_DIV_YLD(NTMA,-10AY,0,AM,""PORTAGG"",""MEANR"")")</f>
        <v>4.5027189134297503</v>
      </c>
      <c r="N2" s="3" cm="1">
        <f t="array" ref="N2:N122">_xll.FDS(N1,"FMA_DIV_YLD(NTMA,-10AY,0,AM,""PORTAGG"",""MEANR"")")</f>
        <v>4.0885771342913602</v>
      </c>
    </row>
    <row r="3" spans="1:14" x14ac:dyDescent="0.35">
      <c r="A3" s="2">
        <v>41961</v>
      </c>
      <c r="B3" s="3">
        <v>4.4214508398475001</v>
      </c>
      <c r="C3" s="3">
        <v>4.9676840009469796</v>
      </c>
      <c r="D3" s="3">
        <v>2.9041929643201101</v>
      </c>
      <c r="E3" s="3">
        <v>3.2865301464408798</v>
      </c>
      <c r="F3" s="3">
        <v>1.95113057667888</v>
      </c>
      <c r="G3" s="3">
        <v>3.2571914717265402</v>
      </c>
      <c r="H3" s="3">
        <v>4.0355701270264701</v>
      </c>
      <c r="I3" s="3">
        <v>1.2077129258013499</v>
      </c>
      <c r="J3" s="3">
        <v>2.07928408186141</v>
      </c>
      <c r="K3" s="3">
        <v>3.6628937923883602</v>
      </c>
      <c r="L3" s="3">
        <v>3.0882386361639398</v>
      </c>
      <c r="M3" s="3">
        <v>4.1427135964674298</v>
      </c>
      <c r="N3" s="3">
        <v>3.9567003076812202</v>
      </c>
    </row>
    <row r="4" spans="1:14" x14ac:dyDescent="0.35">
      <c r="A4" s="2">
        <v>41991</v>
      </c>
      <c r="B4" s="3">
        <v>4.47131171207156</v>
      </c>
      <c r="C4" s="3">
        <v>5.1631384755866803</v>
      </c>
      <c r="D4" s="3">
        <v>2.9997162808914899</v>
      </c>
      <c r="E4" s="3">
        <v>3.1853657438323499</v>
      </c>
      <c r="F4" s="3">
        <v>2.0218761024567198</v>
      </c>
      <c r="G4" s="3">
        <v>3.2862902870938902</v>
      </c>
      <c r="H4" s="3">
        <v>4.1908504737910297</v>
      </c>
      <c r="I4" s="3">
        <v>1.2161439689418201</v>
      </c>
      <c r="J4" s="3">
        <v>2.0918990926763801</v>
      </c>
      <c r="K4" s="3">
        <v>3.6634413666791801</v>
      </c>
      <c r="L4" s="3">
        <v>3.10076029850251</v>
      </c>
      <c r="M4" s="3">
        <v>4.15425656112496</v>
      </c>
      <c r="N4" s="3">
        <v>4.0459155927400303</v>
      </c>
    </row>
    <row r="5" spans="1:14" x14ac:dyDescent="0.35">
      <c r="A5" s="2">
        <v>42020</v>
      </c>
      <c r="B5" s="3">
        <v>4.3756312525740597</v>
      </c>
      <c r="C5" s="3">
        <v>5.0782640421049701</v>
      </c>
      <c r="D5" s="3">
        <v>3.0249021577465101</v>
      </c>
      <c r="E5" s="3">
        <v>3.0859012896154199</v>
      </c>
      <c r="F5" s="3">
        <v>2.0637344099051802</v>
      </c>
      <c r="G5" s="3">
        <v>3.5452035248247</v>
      </c>
      <c r="H5" s="3">
        <v>4.1815640027383596</v>
      </c>
      <c r="I5" s="3">
        <v>1.2356419380417001</v>
      </c>
      <c r="J5" s="3">
        <v>2.15191508541109</v>
      </c>
      <c r="K5" s="3">
        <v>3.5576478375525999</v>
      </c>
      <c r="L5" s="3">
        <v>3.0338750475643499</v>
      </c>
      <c r="M5" s="3">
        <v>4.1085346438435897</v>
      </c>
      <c r="N5" s="3">
        <v>4.04382352170221</v>
      </c>
    </row>
    <row r="6" spans="1:14" x14ac:dyDescent="0.35">
      <c r="A6" s="2">
        <v>42053</v>
      </c>
      <c r="B6" s="3">
        <v>4.2771828611827196</v>
      </c>
      <c r="C6" s="3">
        <v>4.5867940554626001</v>
      </c>
      <c r="D6" s="3">
        <v>2.8544816285162602</v>
      </c>
      <c r="E6" s="3">
        <v>2.8761842101799502</v>
      </c>
      <c r="F6" s="3">
        <v>1.92468316343739</v>
      </c>
      <c r="G6" s="3">
        <v>3.2367823331475698</v>
      </c>
      <c r="H6" s="3">
        <v>3.9510297523139499</v>
      </c>
      <c r="I6" s="3">
        <v>1.2269443232045201</v>
      </c>
      <c r="J6" s="3">
        <v>2.10566773466853</v>
      </c>
      <c r="K6" s="3">
        <v>3.2091543421489499</v>
      </c>
      <c r="L6" s="3">
        <v>2.8150581604223999</v>
      </c>
      <c r="M6" s="3">
        <v>3.67128737280383</v>
      </c>
      <c r="N6" s="3">
        <v>3.51855245144576</v>
      </c>
    </row>
    <row r="7" spans="1:14" x14ac:dyDescent="0.35">
      <c r="A7" s="2">
        <v>42081</v>
      </c>
      <c r="B7" s="3">
        <v>4.3744463098021198</v>
      </c>
      <c r="C7" s="3">
        <v>4.6513853193405001</v>
      </c>
      <c r="D7" s="3">
        <v>2.90202090771268</v>
      </c>
      <c r="E7" s="3">
        <v>2.6737368099180601</v>
      </c>
      <c r="F7" s="3">
        <v>1.82298778811567</v>
      </c>
      <c r="G7" s="3">
        <v>3.1228310666393599</v>
      </c>
      <c r="H7" s="3">
        <v>3.9610864606151899</v>
      </c>
      <c r="I7" s="3">
        <v>1.2471960136524201</v>
      </c>
      <c r="J7" s="3">
        <v>2.1565272083557798</v>
      </c>
      <c r="K7" s="3">
        <v>3.1921676011056901</v>
      </c>
      <c r="L7" s="3">
        <v>2.6239987457569698</v>
      </c>
      <c r="M7" s="3">
        <v>3.5933567898380701</v>
      </c>
      <c r="N7" s="3">
        <v>3.20481426593504</v>
      </c>
    </row>
    <row r="8" spans="1:14" x14ac:dyDescent="0.35">
      <c r="A8" s="2">
        <v>42111</v>
      </c>
      <c r="B8" s="3">
        <v>4.4222828019013898</v>
      </c>
      <c r="C8" s="3">
        <v>4.6012899565879701</v>
      </c>
      <c r="D8" s="3">
        <v>2.8305374130283298</v>
      </c>
      <c r="E8" s="3">
        <v>2.7642407410067902</v>
      </c>
      <c r="F8" s="3">
        <v>1.8476845247831499</v>
      </c>
      <c r="G8" s="3">
        <v>3.0714786018148801</v>
      </c>
      <c r="H8" s="3">
        <v>3.9116101551318101</v>
      </c>
      <c r="I8" s="3">
        <v>1.27587998522588</v>
      </c>
      <c r="J8" s="3">
        <v>2.1714633195704298</v>
      </c>
      <c r="K8" s="3">
        <v>3.1403116872166299</v>
      </c>
      <c r="L8" s="3">
        <v>2.6814342588545199</v>
      </c>
      <c r="M8" s="3">
        <v>3.7147761123012599</v>
      </c>
      <c r="N8" s="3">
        <v>3.1645834053086799</v>
      </c>
    </row>
    <row r="9" spans="1:14" x14ac:dyDescent="0.35">
      <c r="A9" s="2">
        <v>42142</v>
      </c>
      <c r="B9" s="3">
        <v>4.4403639728469901</v>
      </c>
      <c r="C9" s="3">
        <v>4.7571824729411301</v>
      </c>
      <c r="D9" s="3">
        <v>2.8764485513473201</v>
      </c>
      <c r="E9" s="3">
        <v>2.8679497845143098</v>
      </c>
      <c r="F9" s="3">
        <v>1.8599030830861101</v>
      </c>
      <c r="G9" s="3">
        <v>3.0897560537395599</v>
      </c>
      <c r="H9" s="3">
        <v>3.87814626370242</v>
      </c>
      <c r="I9" s="3">
        <v>1.2338568758656601</v>
      </c>
      <c r="J9" s="3">
        <v>2.1358762803119502</v>
      </c>
      <c r="K9" s="3">
        <v>3.2691095849313401</v>
      </c>
      <c r="L9" s="3">
        <v>2.7389718532162699</v>
      </c>
      <c r="M9" s="3">
        <v>3.8396452751492101</v>
      </c>
      <c r="N9" s="3">
        <v>3.2073565135226998</v>
      </c>
    </row>
    <row r="10" spans="1:14" x14ac:dyDescent="0.35">
      <c r="A10" s="2">
        <v>42173</v>
      </c>
      <c r="B10" s="3">
        <v>4.5286203026256704</v>
      </c>
      <c r="C10" s="3">
        <v>4.9008123175007796</v>
      </c>
      <c r="D10" s="3">
        <v>2.9536754688993101</v>
      </c>
      <c r="E10" s="3">
        <v>3.0437188436241098</v>
      </c>
      <c r="F10" s="3">
        <v>1.9255611580975101</v>
      </c>
      <c r="G10" s="3">
        <v>3.22876970439316</v>
      </c>
      <c r="H10" s="3">
        <v>4.0426893471574497</v>
      </c>
      <c r="I10" s="3">
        <v>1.2361954828364601</v>
      </c>
      <c r="J10" s="3">
        <v>2.1505575836026898</v>
      </c>
      <c r="K10" s="3">
        <v>3.4264371609548601</v>
      </c>
      <c r="L10" s="3">
        <v>2.9572576748944002</v>
      </c>
      <c r="M10" s="3">
        <v>4.0202636975491304</v>
      </c>
      <c r="N10" s="3">
        <v>3.3747119323474002</v>
      </c>
    </row>
    <row r="11" spans="1:14" x14ac:dyDescent="0.35">
      <c r="A11" s="2">
        <v>42202</v>
      </c>
      <c r="B11" s="3">
        <v>4.6065262367507103</v>
      </c>
      <c r="C11" s="3">
        <v>4.8176592052246097</v>
      </c>
      <c r="D11" s="3">
        <v>3.0053928156556702</v>
      </c>
      <c r="E11" s="3">
        <v>2.9104922810393901</v>
      </c>
      <c r="F11" s="3">
        <v>1.8925005214513899</v>
      </c>
      <c r="G11" s="3">
        <v>3.1078588723756999</v>
      </c>
      <c r="H11" s="3">
        <v>4.0630025934881999</v>
      </c>
      <c r="I11" s="3">
        <v>1.2049462773283499</v>
      </c>
      <c r="J11" s="3">
        <v>2.1474293646387399</v>
      </c>
      <c r="K11" s="3">
        <v>3.2509637437728101</v>
      </c>
      <c r="L11" s="3">
        <v>2.8166705338715698</v>
      </c>
      <c r="M11" s="3">
        <v>3.88469336882092</v>
      </c>
      <c r="N11" s="3">
        <v>3.1554905469398</v>
      </c>
    </row>
    <row r="12" spans="1:14" x14ac:dyDescent="0.35">
      <c r="A12" s="2">
        <v>42234</v>
      </c>
      <c r="B12" s="3">
        <v>4.7354061583613003</v>
      </c>
      <c r="C12" s="3">
        <v>5.1899866091157802</v>
      </c>
      <c r="D12" s="3">
        <v>3.0907310652715698</v>
      </c>
      <c r="E12" s="3">
        <v>3.12619945034466</v>
      </c>
      <c r="F12" s="3">
        <v>1.9010723022982601</v>
      </c>
      <c r="G12" s="3">
        <v>3.1394845386332899</v>
      </c>
      <c r="H12" s="3">
        <v>4.1690969476762296</v>
      </c>
      <c r="I12" s="3">
        <v>1.27896330519033</v>
      </c>
      <c r="J12" s="3">
        <v>2.2054966951715</v>
      </c>
      <c r="K12" s="3">
        <v>3.3795361040612</v>
      </c>
      <c r="L12" s="3">
        <v>3.1706300047601701</v>
      </c>
      <c r="M12" s="3">
        <v>4.0589725736755602</v>
      </c>
      <c r="N12" s="3">
        <v>3.1494002909805801</v>
      </c>
    </row>
    <row r="13" spans="1:14" x14ac:dyDescent="0.35">
      <c r="A13" s="2">
        <v>42265</v>
      </c>
      <c r="B13" s="3">
        <v>5.0859333925198804</v>
      </c>
      <c r="C13" s="3">
        <v>5.3132180308080201</v>
      </c>
      <c r="D13" s="3">
        <v>3.2198397285535898</v>
      </c>
      <c r="E13" s="3">
        <v>3.4409000124830098</v>
      </c>
      <c r="F13" s="3">
        <v>2.1836933325747498</v>
      </c>
      <c r="G13" s="3">
        <v>3.3483882155779798</v>
      </c>
      <c r="H13" s="3">
        <v>4.4755550463083402</v>
      </c>
      <c r="I13" s="3">
        <v>1.3507350108871801</v>
      </c>
      <c r="J13" s="3">
        <v>2.3753046133809801</v>
      </c>
      <c r="K13" s="3">
        <v>3.7033798196565799</v>
      </c>
      <c r="L13" s="3">
        <v>3.5203705998270101</v>
      </c>
      <c r="M13" s="3">
        <v>4.4508588154883704</v>
      </c>
      <c r="N13" s="3">
        <v>3.4685225434539202</v>
      </c>
    </row>
    <row r="14" spans="1:14" x14ac:dyDescent="0.35">
      <c r="A14" s="2">
        <v>42293</v>
      </c>
      <c r="B14" s="3">
        <v>5.0685488039503497</v>
      </c>
      <c r="C14" s="3">
        <v>5.1778192920332202</v>
      </c>
      <c r="D14" s="3">
        <v>3.1786732062189702</v>
      </c>
      <c r="E14" s="3">
        <v>3.3165236299719099</v>
      </c>
      <c r="F14" s="3">
        <v>2.1166005519027</v>
      </c>
      <c r="G14" s="3">
        <v>3.33290528003426</v>
      </c>
      <c r="H14" s="3">
        <v>4.2359408377922296</v>
      </c>
      <c r="I14" s="3">
        <v>1.3189035111695799</v>
      </c>
      <c r="J14" s="3">
        <v>2.2914358358195899</v>
      </c>
      <c r="K14" s="3">
        <v>3.5532851388434601</v>
      </c>
      <c r="L14" s="3">
        <v>3.40588988344419</v>
      </c>
      <c r="M14" s="3">
        <v>4.3969491942472896</v>
      </c>
      <c r="N14" s="3">
        <v>3.55207073737418</v>
      </c>
    </row>
    <row r="15" spans="1:14" x14ac:dyDescent="0.35">
      <c r="A15" s="2">
        <v>42326</v>
      </c>
      <c r="B15" s="3">
        <v>4.9243941518582197</v>
      </c>
      <c r="C15" s="3">
        <v>5.3531667010569803</v>
      </c>
      <c r="D15" s="3">
        <v>3.2981383600141299</v>
      </c>
      <c r="E15" s="3">
        <v>2.9553539825481101</v>
      </c>
      <c r="F15" s="3">
        <v>2.0238262772061399</v>
      </c>
      <c r="G15" s="3">
        <v>3.24209646510552</v>
      </c>
      <c r="H15" s="3">
        <v>4.2651076391932703</v>
      </c>
      <c r="I15" s="3">
        <v>1.27537320258251</v>
      </c>
      <c r="J15" s="3">
        <v>2.2698045739012098</v>
      </c>
      <c r="K15" s="3">
        <v>3.4370051895489602</v>
      </c>
      <c r="L15" s="3">
        <v>3.1544963214544599</v>
      </c>
      <c r="M15" s="3">
        <v>4.16521830291504</v>
      </c>
      <c r="N15" s="3">
        <v>3.64272232206201</v>
      </c>
    </row>
    <row r="16" spans="1:14" x14ac:dyDescent="0.35">
      <c r="A16" s="2">
        <v>42356</v>
      </c>
      <c r="B16" s="3">
        <v>4.8429830955724302</v>
      </c>
      <c r="C16" s="3">
        <v>5.3253624343487402</v>
      </c>
      <c r="D16" s="3">
        <v>3.3831627680443699</v>
      </c>
      <c r="E16" s="3">
        <v>3.0731820869576398</v>
      </c>
      <c r="F16" s="3">
        <v>2.1006724451341801</v>
      </c>
      <c r="G16" s="3">
        <v>3.3425077328558701</v>
      </c>
      <c r="H16" s="3">
        <v>4.4282252604865198</v>
      </c>
      <c r="I16" s="3">
        <v>1.3174945921802901</v>
      </c>
      <c r="J16" s="3">
        <v>2.3545630070759702</v>
      </c>
      <c r="K16" s="3">
        <v>3.6169675696544301</v>
      </c>
      <c r="L16" s="3">
        <v>3.3303674894999502</v>
      </c>
      <c r="M16" s="3">
        <v>4.3986764108285401</v>
      </c>
      <c r="N16" s="3">
        <v>3.8488681421563502</v>
      </c>
    </row>
    <row r="17" spans="1:14" x14ac:dyDescent="0.35">
      <c r="A17" s="2">
        <v>42384</v>
      </c>
      <c r="B17" s="3">
        <v>4.8511473043034901</v>
      </c>
      <c r="C17" s="3">
        <v>5.5744427831521399</v>
      </c>
      <c r="D17" s="3">
        <v>3.6441240487109501</v>
      </c>
      <c r="E17" s="3">
        <v>3.4250055800479702</v>
      </c>
      <c r="F17" s="3">
        <v>2.3224706219909801</v>
      </c>
      <c r="G17" s="3">
        <v>3.5595216982005802</v>
      </c>
      <c r="H17" s="3">
        <v>4.6428090972616198</v>
      </c>
      <c r="I17" s="3">
        <v>1.3990240856816201</v>
      </c>
      <c r="J17" s="3">
        <v>2.5257732265288801</v>
      </c>
      <c r="K17" s="3">
        <v>3.9706067891239401</v>
      </c>
      <c r="L17" s="3">
        <v>3.3918077322730702</v>
      </c>
      <c r="M17" s="3">
        <v>4.7561241283537603</v>
      </c>
      <c r="N17" s="3">
        <v>4.3098521474506502</v>
      </c>
    </row>
    <row r="18" spans="1:14" x14ac:dyDescent="0.35">
      <c r="A18" s="2">
        <v>42418</v>
      </c>
      <c r="B18" s="3">
        <v>4.8920194114924902</v>
      </c>
      <c r="C18" s="3">
        <v>5.0656990170471099</v>
      </c>
      <c r="D18" s="3">
        <v>3.3093086196452401</v>
      </c>
      <c r="E18" s="3">
        <v>3.4715513601287098</v>
      </c>
      <c r="F18" s="3">
        <v>2.4763955118468801</v>
      </c>
      <c r="G18" s="3">
        <v>3.5253621161659199</v>
      </c>
      <c r="H18" s="3">
        <v>4.5850890245471296</v>
      </c>
      <c r="I18" s="3">
        <v>1.42378277712552</v>
      </c>
      <c r="J18" s="3">
        <v>2.4518202590146898</v>
      </c>
      <c r="K18" s="3">
        <v>3.9065091765625999</v>
      </c>
      <c r="L18" s="3">
        <v>3.4718589841198102</v>
      </c>
      <c r="M18" s="3">
        <v>4.3978005044743202</v>
      </c>
      <c r="N18" s="3">
        <v>4.6544534043588897</v>
      </c>
    </row>
    <row r="19" spans="1:14" x14ac:dyDescent="0.35">
      <c r="A19" s="2">
        <v>42447</v>
      </c>
      <c r="B19" s="3">
        <v>4.6259586806645698</v>
      </c>
      <c r="C19" s="3">
        <v>4.7105205045726102</v>
      </c>
      <c r="D19" s="3">
        <v>3.1416451998097399</v>
      </c>
      <c r="E19" s="3">
        <v>3.3041986626276101</v>
      </c>
      <c r="F19" s="3">
        <v>2.40351552637257</v>
      </c>
      <c r="G19" s="3">
        <v>3.5190994637953401</v>
      </c>
      <c r="H19" s="3">
        <v>4.3258878198385302</v>
      </c>
      <c r="I19" s="3">
        <v>1.35619406980042</v>
      </c>
      <c r="J19" s="3">
        <v>2.4751977345461702</v>
      </c>
      <c r="K19" s="3">
        <v>3.7102781091852699</v>
      </c>
      <c r="L19" s="3">
        <v>3.2842317030068</v>
      </c>
      <c r="M19" s="3">
        <v>4.31475585889011</v>
      </c>
      <c r="N19" s="3">
        <v>4.2599417813522296</v>
      </c>
    </row>
    <row r="20" spans="1:14" x14ac:dyDescent="0.35">
      <c r="A20" s="2">
        <v>42478</v>
      </c>
      <c r="B20" s="3">
        <v>4.5291619067172002</v>
      </c>
      <c r="C20" s="3">
        <v>4.7663268416850304</v>
      </c>
      <c r="D20" s="3">
        <v>3.0999381255902199</v>
      </c>
      <c r="E20" s="3">
        <v>3.2513749596042198</v>
      </c>
      <c r="F20" s="3">
        <v>2.4395088361294199</v>
      </c>
      <c r="G20" s="3">
        <v>3.4678940505640901</v>
      </c>
      <c r="H20" s="3">
        <v>4.2369645996991903</v>
      </c>
      <c r="I20" s="3">
        <v>1.31698923386867</v>
      </c>
      <c r="J20" s="3">
        <v>2.2917987413403398</v>
      </c>
      <c r="K20" s="3">
        <v>3.6832992589006399</v>
      </c>
      <c r="L20" s="3">
        <v>3.2450461543397702</v>
      </c>
      <c r="M20" s="3">
        <v>4.3302258932012903</v>
      </c>
      <c r="N20" s="3">
        <v>4.37673608520483</v>
      </c>
    </row>
    <row r="21" spans="1:14" x14ac:dyDescent="0.35">
      <c r="A21" s="2">
        <v>42508</v>
      </c>
      <c r="B21" s="3">
        <v>4.4268206942082502</v>
      </c>
      <c r="C21" s="3">
        <v>4.57128520061198</v>
      </c>
      <c r="D21" s="3">
        <v>3.0729200935101901</v>
      </c>
      <c r="E21" s="3">
        <v>3.3614923495679001</v>
      </c>
      <c r="F21" s="3">
        <v>2.3914523530643201</v>
      </c>
      <c r="G21" s="3">
        <v>3.54445566580022</v>
      </c>
      <c r="H21" s="3">
        <v>4.33347016560145</v>
      </c>
      <c r="I21" s="3">
        <v>1.3963514728794699</v>
      </c>
      <c r="J21" s="3">
        <v>2.2927014117324598</v>
      </c>
      <c r="K21" s="3">
        <v>3.8183748746919601</v>
      </c>
      <c r="L21" s="3">
        <v>3.4027867949215902</v>
      </c>
      <c r="M21" s="3">
        <v>4.4535764018130104</v>
      </c>
      <c r="N21" s="3">
        <v>4.5446889385867104</v>
      </c>
    </row>
    <row r="22" spans="1:14" x14ac:dyDescent="0.35">
      <c r="A22" s="2">
        <v>42538</v>
      </c>
      <c r="B22" s="3">
        <v>4.4497488045998796</v>
      </c>
      <c r="C22" s="3">
        <v>4.7553197926033004</v>
      </c>
      <c r="D22" s="3">
        <v>3.0980306284357999</v>
      </c>
      <c r="E22" s="3">
        <v>3.50515725063525</v>
      </c>
      <c r="F22" s="3">
        <v>2.5203569002255302</v>
      </c>
      <c r="G22" s="3">
        <v>3.6457634453746</v>
      </c>
      <c r="H22" s="3">
        <v>4.4590307063252297</v>
      </c>
      <c r="I22" s="3">
        <v>1.3908508814267699</v>
      </c>
      <c r="J22" s="3">
        <v>2.3065160911528801</v>
      </c>
      <c r="K22" s="3">
        <v>3.9560201232904899</v>
      </c>
      <c r="L22" s="3">
        <v>3.3930899600251201</v>
      </c>
      <c r="M22" s="3">
        <v>4.6139499504247103</v>
      </c>
      <c r="N22" s="3">
        <v>4.8366151161657003</v>
      </c>
    </row>
    <row r="23" spans="1:14" x14ac:dyDescent="0.35">
      <c r="A23" s="2">
        <v>42569</v>
      </c>
      <c r="B23" s="3">
        <v>4.2609096973332701</v>
      </c>
      <c r="C23" s="3">
        <v>4.5040807247331696</v>
      </c>
      <c r="D23" s="3">
        <v>2.9870003179016802</v>
      </c>
      <c r="E23" s="3">
        <v>3.35075186455563</v>
      </c>
      <c r="F23" s="3">
        <v>2.38540902628952</v>
      </c>
      <c r="G23" s="3">
        <v>3.5012024271703899</v>
      </c>
      <c r="H23" s="3">
        <v>4.1323384069544504</v>
      </c>
      <c r="I23" s="3">
        <v>1.3173109672535399</v>
      </c>
      <c r="J23" s="3">
        <v>2.21527882536496</v>
      </c>
      <c r="K23" s="3">
        <v>3.8030199993560698</v>
      </c>
      <c r="L23" s="3">
        <v>3.2388843635576401</v>
      </c>
      <c r="M23" s="3">
        <v>4.3665952362567797</v>
      </c>
      <c r="N23" s="3">
        <v>4.7622833390613497</v>
      </c>
    </row>
    <row r="24" spans="1:14" x14ac:dyDescent="0.35">
      <c r="A24" s="2">
        <v>42600</v>
      </c>
      <c r="B24" s="3">
        <v>4.1406754865884796</v>
      </c>
      <c r="C24" s="3">
        <v>4.4613930380145703</v>
      </c>
      <c r="D24" s="3">
        <v>2.9556748148065299</v>
      </c>
      <c r="E24" s="3">
        <v>3.1750492975857099</v>
      </c>
      <c r="F24" s="3">
        <v>2.4374003362613101</v>
      </c>
      <c r="G24" s="3">
        <v>3.4405438861362501</v>
      </c>
      <c r="H24" s="3">
        <v>4.0640442314657497</v>
      </c>
      <c r="I24" s="3">
        <v>1.2759703757418299</v>
      </c>
      <c r="J24" s="3">
        <v>2.20145066959804</v>
      </c>
      <c r="K24" s="3">
        <v>3.7289687118995301</v>
      </c>
      <c r="L24" s="3">
        <v>3.1604170320950198</v>
      </c>
      <c r="M24" s="3">
        <v>4.2542839515070403</v>
      </c>
      <c r="N24" s="3">
        <v>4.77295699418237</v>
      </c>
    </row>
    <row r="25" spans="1:14" x14ac:dyDescent="0.35">
      <c r="A25" s="2">
        <v>42629</v>
      </c>
      <c r="B25" s="3">
        <v>4.3240413098721602</v>
      </c>
      <c r="C25" s="3">
        <v>4.6656017471717597</v>
      </c>
      <c r="D25" s="3">
        <v>3.0005249791321398</v>
      </c>
      <c r="E25" s="3">
        <v>3.2653186169392701</v>
      </c>
      <c r="F25" s="3">
        <v>2.4169492770179901</v>
      </c>
      <c r="G25" s="3">
        <v>3.5114593426159102</v>
      </c>
      <c r="H25" s="3">
        <v>4.2303691389317803</v>
      </c>
      <c r="I25" s="3">
        <v>1.2805825751655</v>
      </c>
      <c r="J25" s="3">
        <v>2.25397209924511</v>
      </c>
      <c r="K25" s="3">
        <v>3.8135661315122</v>
      </c>
      <c r="L25" s="3">
        <v>3.23886909330247</v>
      </c>
      <c r="M25" s="3">
        <v>4.2813052189787504</v>
      </c>
      <c r="N25" s="3">
        <v>5.0148205504686096</v>
      </c>
    </row>
    <row r="26" spans="1:14" x14ac:dyDescent="0.35">
      <c r="A26" s="2">
        <v>42661</v>
      </c>
      <c r="B26" s="3">
        <v>4.5712678855422899</v>
      </c>
      <c r="C26" s="3">
        <v>4.5604336266424799</v>
      </c>
      <c r="D26" s="3">
        <v>2.9348699841488401</v>
      </c>
      <c r="E26" s="3">
        <v>3.12948328121217</v>
      </c>
      <c r="F26" s="3">
        <v>2.3575121895518598</v>
      </c>
      <c r="G26" s="3">
        <v>3.5526431441498398</v>
      </c>
      <c r="H26" s="3">
        <v>4.2629385153749002</v>
      </c>
      <c r="I26" s="3">
        <v>1.2726301639191899</v>
      </c>
      <c r="J26" s="3">
        <v>2.2549550458033698</v>
      </c>
      <c r="K26" s="3">
        <v>3.70952777022391</v>
      </c>
      <c r="L26" s="3">
        <v>3.1079305459962399</v>
      </c>
      <c r="M26" s="3">
        <v>4.0766170382640698</v>
      </c>
      <c r="N26" s="3">
        <v>4.8466559412702104</v>
      </c>
    </row>
    <row r="27" spans="1:14" x14ac:dyDescent="0.35">
      <c r="A27" s="2">
        <v>42692</v>
      </c>
      <c r="B27" s="3">
        <v>4.6269166610360202</v>
      </c>
      <c r="C27" s="3">
        <v>4.6344411482718098</v>
      </c>
      <c r="D27" s="3">
        <v>2.9086157395075101</v>
      </c>
      <c r="E27" s="3">
        <v>3.17988647226837</v>
      </c>
      <c r="F27" s="3">
        <v>2.2488987612715601</v>
      </c>
      <c r="G27" s="3">
        <v>3.6380582748222898</v>
      </c>
      <c r="H27" s="3">
        <v>4.4472982744485998</v>
      </c>
      <c r="I27" s="3">
        <v>1.2941431650908499</v>
      </c>
      <c r="J27" s="3">
        <v>2.2282962137790499</v>
      </c>
      <c r="K27" s="3">
        <v>3.7315664671370499</v>
      </c>
      <c r="L27" s="3">
        <v>3.1442382567643499</v>
      </c>
      <c r="M27" s="3">
        <v>4.0431277434556199</v>
      </c>
      <c r="N27" s="3">
        <v>4.8978262857806696</v>
      </c>
    </row>
    <row r="28" spans="1:14" x14ac:dyDescent="0.35">
      <c r="A28" s="2">
        <v>42720</v>
      </c>
      <c r="B28" s="3">
        <v>4.7126412528621202</v>
      </c>
      <c r="C28" s="3">
        <v>4.6088293285485102</v>
      </c>
      <c r="D28" s="3">
        <v>2.8392288205718001</v>
      </c>
      <c r="E28" s="3">
        <v>2.9886997332384699</v>
      </c>
      <c r="F28" s="3">
        <v>2.0748656114284598</v>
      </c>
      <c r="G28" s="3">
        <v>3.5724479746801299</v>
      </c>
      <c r="H28" s="3">
        <v>4.33122110045207</v>
      </c>
      <c r="I28" s="3">
        <v>1.2833098366340201</v>
      </c>
      <c r="J28" s="3">
        <v>2.1662274050803201</v>
      </c>
      <c r="K28" s="3">
        <v>3.5008556419686299</v>
      </c>
      <c r="L28" s="3">
        <v>3.0037962282239898</v>
      </c>
      <c r="M28" s="3">
        <v>3.8318206558959802</v>
      </c>
      <c r="N28" s="3">
        <v>4.3350002750323497</v>
      </c>
    </row>
    <row r="29" spans="1:14" x14ac:dyDescent="0.35">
      <c r="A29" s="2">
        <v>42753</v>
      </c>
      <c r="B29" s="3">
        <v>4.5118123530848102</v>
      </c>
      <c r="C29" s="3">
        <v>4.50792332120316</v>
      </c>
      <c r="D29" s="3">
        <v>2.83107301605413</v>
      </c>
      <c r="E29" s="3">
        <v>2.9531091862955101</v>
      </c>
      <c r="F29" s="3">
        <v>2.1454268338521798</v>
      </c>
      <c r="G29" s="3">
        <v>3.5007096530822799</v>
      </c>
      <c r="H29" s="3">
        <v>4.2634144891981602</v>
      </c>
      <c r="I29" s="3">
        <v>1.2561194527772399</v>
      </c>
      <c r="J29" s="3">
        <v>2.1673892635977001</v>
      </c>
      <c r="K29" s="3">
        <v>3.4641179946515499</v>
      </c>
      <c r="L29" s="3">
        <v>2.9671999586550299</v>
      </c>
      <c r="M29" s="3">
        <v>3.8995151201529401</v>
      </c>
      <c r="N29" s="3">
        <v>4.3321748449899404</v>
      </c>
    </row>
    <row r="30" spans="1:14" x14ac:dyDescent="0.35">
      <c r="A30" s="2">
        <v>42783</v>
      </c>
      <c r="B30" s="3">
        <v>4.5504052889121702</v>
      </c>
      <c r="C30" s="3">
        <v>4.4597647114230297</v>
      </c>
      <c r="D30" s="3">
        <v>2.7799235385460999</v>
      </c>
      <c r="E30" s="3">
        <v>2.9369768530488298</v>
      </c>
      <c r="F30" s="3">
        <v>2.14000132546178</v>
      </c>
      <c r="G30" s="3">
        <v>3.3788704363158701</v>
      </c>
      <c r="H30" s="3">
        <v>4.2566232951870502</v>
      </c>
      <c r="I30" s="3">
        <v>1.22228062311592</v>
      </c>
      <c r="J30" s="3">
        <v>2.1133184846347599</v>
      </c>
      <c r="K30" s="3">
        <v>3.49149768559694</v>
      </c>
      <c r="L30" s="3">
        <v>2.8388598865328798</v>
      </c>
      <c r="M30" s="3">
        <v>3.6441262141201398</v>
      </c>
      <c r="N30" s="3">
        <v>4.4389166641506899</v>
      </c>
    </row>
    <row r="31" spans="1:14" x14ac:dyDescent="0.35">
      <c r="A31" s="2">
        <v>42811</v>
      </c>
      <c r="B31" s="3">
        <v>4.5963088148128701</v>
      </c>
      <c r="C31" s="3">
        <v>4.5523279458675798</v>
      </c>
      <c r="D31" s="3">
        <v>2.9168189117046901</v>
      </c>
      <c r="E31" s="3">
        <v>2.9358251026174398</v>
      </c>
      <c r="F31" s="3">
        <v>2.1346583131967898</v>
      </c>
      <c r="G31" s="3">
        <v>3.3236699324429999</v>
      </c>
      <c r="H31" s="3">
        <v>4.2851686566291303</v>
      </c>
      <c r="I31" s="3">
        <v>1.2115395831872899</v>
      </c>
      <c r="J31" s="3">
        <v>2.0988752808481701</v>
      </c>
      <c r="K31" s="3">
        <v>3.4038990585678901</v>
      </c>
      <c r="L31" s="3">
        <v>2.7613475358337598</v>
      </c>
      <c r="M31" s="3">
        <v>3.63830171573328</v>
      </c>
      <c r="N31" s="3">
        <v>3.9863165802137002</v>
      </c>
    </row>
    <row r="32" spans="1:14" x14ac:dyDescent="0.35">
      <c r="A32" s="2">
        <v>42843</v>
      </c>
      <c r="B32" s="3">
        <v>4.5646845439164299</v>
      </c>
      <c r="C32" s="3">
        <v>4.5366961745882701</v>
      </c>
      <c r="D32" s="3">
        <v>2.92164313635441</v>
      </c>
      <c r="E32" s="3">
        <v>2.9706868172864098</v>
      </c>
      <c r="F32" s="3">
        <v>2.2924208546233098</v>
      </c>
      <c r="G32" s="3">
        <v>3.46438664289369</v>
      </c>
      <c r="H32" s="3">
        <v>4.4251504919618601</v>
      </c>
      <c r="I32" s="3">
        <v>1.22407711765224</v>
      </c>
      <c r="J32" s="3">
        <v>2.1422831361168</v>
      </c>
      <c r="K32" s="3">
        <v>3.44040193220652</v>
      </c>
      <c r="L32" s="3">
        <v>2.7972845459927398</v>
      </c>
      <c r="M32" s="3">
        <v>3.6966450654636902</v>
      </c>
      <c r="N32" s="3">
        <v>4.1260138764585399</v>
      </c>
    </row>
    <row r="33" spans="1:14" x14ac:dyDescent="0.35">
      <c r="A33" s="2">
        <v>42873</v>
      </c>
      <c r="B33" s="3">
        <v>4.5134926821528101</v>
      </c>
      <c r="C33" s="3">
        <v>4.6387655650060298</v>
      </c>
      <c r="D33" s="3">
        <v>3.0129478142556501</v>
      </c>
      <c r="E33" s="3">
        <v>2.9307969861816399</v>
      </c>
      <c r="F33" s="3">
        <v>2.2037430605142698</v>
      </c>
      <c r="G33" s="3">
        <v>3.3315107329667302</v>
      </c>
      <c r="H33" s="3">
        <v>4.2506181408856403</v>
      </c>
      <c r="I33" s="3">
        <v>1.1881659757060199</v>
      </c>
      <c r="J33" s="3">
        <v>2.1351349879955599</v>
      </c>
      <c r="K33" s="3">
        <v>3.2611972028856702</v>
      </c>
      <c r="L33" s="3">
        <v>2.75399925229295</v>
      </c>
      <c r="M33" s="3">
        <v>3.4304055115749299</v>
      </c>
      <c r="N33" s="3">
        <v>3.8097312120563598</v>
      </c>
    </row>
    <row r="34" spans="1:14" x14ac:dyDescent="0.35">
      <c r="A34" s="2">
        <v>42902</v>
      </c>
      <c r="B34" s="3">
        <v>4.3972567422723996</v>
      </c>
      <c r="C34" s="3">
        <v>4.6055726321059796</v>
      </c>
      <c r="D34" s="3">
        <v>3.03561012837462</v>
      </c>
      <c r="E34" s="3">
        <v>2.9239219170810502</v>
      </c>
      <c r="F34" s="3">
        <v>2.1818093094039299</v>
      </c>
      <c r="G34" s="3">
        <v>3.27060393818847</v>
      </c>
      <c r="H34" s="3">
        <v>4.2805682780138703</v>
      </c>
      <c r="I34" s="3">
        <v>1.1841711194523901</v>
      </c>
      <c r="J34" s="3">
        <v>2.0865770458337698</v>
      </c>
      <c r="K34" s="3">
        <v>3.2865296113915199</v>
      </c>
      <c r="L34" s="3">
        <v>2.74498051575446</v>
      </c>
      <c r="M34" s="3">
        <v>3.5232241665946402</v>
      </c>
      <c r="N34" s="3">
        <v>3.7853080044945</v>
      </c>
    </row>
    <row r="35" spans="1:14" x14ac:dyDescent="0.35">
      <c r="A35" s="2">
        <v>42934</v>
      </c>
      <c r="B35" s="3">
        <v>4.3935477464985304</v>
      </c>
      <c r="C35" s="3">
        <v>4.6151444174931102</v>
      </c>
      <c r="D35" s="3">
        <v>3.0470886985031602</v>
      </c>
      <c r="E35" s="3">
        <v>3.0152306639221602</v>
      </c>
      <c r="F35" s="3">
        <v>2.1663708954363901</v>
      </c>
      <c r="G35" s="3">
        <v>3.2662174669906299</v>
      </c>
      <c r="H35" s="3">
        <v>4.2974590871711502</v>
      </c>
      <c r="I35" s="3">
        <v>1.1705016148492999</v>
      </c>
      <c r="J35" s="3">
        <v>2.0893290773198299</v>
      </c>
      <c r="K35" s="3">
        <v>3.35506506266417</v>
      </c>
      <c r="L35" s="3">
        <v>2.7890817952748601</v>
      </c>
      <c r="M35" s="3">
        <v>3.6157139977435402</v>
      </c>
      <c r="N35" s="3">
        <v>3.7646844778202402</v>
      </c>
    </row>
    <row r="36" spans="1:14" x14ac:dyDescent="0.35">
      <c r="A36" s="2">
        <v>42965</v>
      </c>
      <c r="B36" s="3">
        <v>4.3164240788739496</v>
      </c>
      <c r="C36" s="3">
        <v>4.5450769294858704</v>
      </c>
      <c r="D36" s="3">
        <v>3.0902377614944698</v>
      </c>
      <c r="E36" s="3">
        <v>3.1177176948962999</v>
      </c>
      <c r="F36" s="3">
        <v>2.2175294405593302</v>
      </c>
      <c r="G36" s="3">
        <v>3.33854731677605</v>
      </c>
      <c r="H36" s="3">
        <v>4.3894288421289502</v>
      </c>
      <c r="I36" s="3">
        <v>1.19792496937399</v>
      </c>
      <c r="J36" s="3">
        <v>2.13162864726519</v>
      </c>
      <c r="K36" s="3">
        <v>3.4111370490711899</v>
      </c>
      <c r="L36" s="3">
        <v>2.8088726025717499</v>
      </c>
      <c r="M36" s="3">
        <v>3.7928706729305302</v>
      </c>
      <c r="N36" s="3">
        <v>3.7637243979391499</v>
      </c>
    </row>
    <row r="37" spans="1:14" x14ac:dyDescent="0.35">
      <c r="A37" s="2">
        <v>42996</v>
      </c>
      <c r="B37" s="3">
        <v>4.4520171141967397</v>
      </c>
      <c r="C37" s="3">
        <v>4.58276776137191</v>
      </c>
      <c r="D37" s="3">
        <v>3.0630526230081498</v>
      </c>
      <c r="E37" s="3">
        <v>3.0424178198340002</v>
      </c>
      <c r="F37" s="3">
        <v>2.1973656864568998</v>
      </c>
      <c r="G37" s="3">
        <v>3.2811862197591299</v>
      </c>
      <c r="H37" s="3">
        <v>4.3515433125471397</v>
      </c>
      <c r="I37" s="3">
        <v>1.16243030629624</v>
      </c>
      <c r="J37" s="3">
        <v>2.0711223717103802</v>
      </c>
      <c r="K37" s="3">
        <v>3.34248411890569</v>
      </c>
      <c r="L37" s="3">
        <v>2.8046722481156698</v>
      </c>
      <c r="M37" s="3">
        <v>3.6901738833551301</v>
      </c>
      <c r="N37" s="3">
        <v>3.70665795433972</v>
      </c>
    </row>
    <row r="38" spans="1:14" x14ac:dyDescent="0.35">
      <c r="A38" s="2">
        <v>43026</v>
      </c>
      <c r="B38" s="3">
        <v>4.3474669913041</v>
      </c>
      <c r="C38" s="3">
        <v>4.4901819565498204</v>
      </c>
      <c r="D38" s="3">
        <v>2.9545311868866699</v>
      </c>
      <c r="E38" s="3">
        <v>2.9451105286204302</v>
      </c>
      <c r="F38" s="3">
        <v>2.1024414903791899</v>
      </c>
      <c r="G38" s="3">
        <v>3.2377322823799699</v>
      </c>
      <c r="H38" s="3">
        <v>4.26817368488196</v>
      </c>
      <c r="I38" s="3">
        <v>1.1406913341471001</v>
      </c>
      <c r="J38" s="3">
        <v>2.03491244531615</v>
      </c>
      <c r="K38" s="3">
        <v>3.2756793287759001</v>
      </c>
      <c r="L38" s="3">
        <v>2.7463391264584698</v>
      </c>
      <c r="M38" s="3">
        <v>3.5681633816885001</v>
      </c>
      <c r="N38" s="3">
        <v>3.8314244834064199</v>
      </c>
    </row>
    <row r="39" spans="1:14" x14ac:dyDescent="0.35">
      <c r="A39" s="2">
        <v>43056</v>
      </c>
      <c r="B39" s="3">
        <v>4.4109494783467298</v>
      </c>
      <c r="C39" s="3">
        <v>4.4920154688001599</v>
      </c>
      <c r="D39" s="3">
        <v>2.9274110237563602</v>
      </c>
      <c r="E39" s="3">
        <v>2.9571967747432901</v>
      </c>
      <c r="F39" s="3">
        <v>2.0895612701289901</v>
      </c>
      <c r="G39" s="3">
        <v>3.2745856005257599</v>
      </c>
      <c r="H39" s="3">
        <v>4.3905943990352103</v>
      </c>
      <c r="I39" s="3">
        <v>1.1103940742871801</v>
      </c>
      <c r="J39" s="3">
        <v>2.0195176532151899</v>
      </c>
      <c r="K39" s="3">
        <v>3.3416682622057898</v>
      </c>
      <c r="L39" s="3">
        <v>2.8439330676821699</v>
      </c>
      <c r="M39" s="3">
        <v>3.6414021338989602</v>
      </c>
      <c r="N39" s="3">
        <v>3.9226686147602301</v>
      </c>
    </row>
    <row r="40" spans="1:14" x14ac:dyDescent="0.35">
      <c r="A40" s="2">
        <v>43087</v>
      </c>
      <c r="B40" s="3">
        <v>4.2279226025675101</v>
      </c>
      <c r="C40" s="3">
        <v>4.4802022956662704</v>
      </c>
      <c r="D40" s="3">
        <v>2.91178706250022</v>
      </c>
      <c r="E40" s="3">
        <v>2.8636495629398899</v>
      </c>
      <c r="F40" s="3">
        <v>2.0528279083483998</v>
      </c>
      <c r="G40" s="3">
        <v>3.19530609284126</v>
      </c>
      <c r="H40" s="3">
        <v>4.2855083461834003</v>
      </c>
      <c r="I40" s="3">
        <v>1.07906830380132</v>
      </c>
      <c r="J40" s="3">
        <v>1.9461014755502399</v>
      </c>
      <c r="K40" s="3">
        <v>3.2557103609646698</v>
      </c>
      <c r="L40" s="3">
        <v>2.7989252999829199</v>
      </c>
      <c r="M40" s="3">
        <v>3.6770131064749698</v>
      </c>
      <c r="N40" s="3">
        <v>3.87702585838985</v>
      </c>
    </row>
    <row r="41" spans="1:14" x14ac:dyDescent="0.35">
      <c r="A41" s="2">
        <v>43118</v>
      </c>
      <c r="B41" s="3">
        <v>4.2846469391850199</v>
      </c>
      <c r="C41" s="3">
        <v>4.5292682609686397</v>
      </c>
      <c r="D41" s="3">
        <v>2.9026474979902601</v>
      </c>
      <c r="E41" s="3">
        <v>2.8801871274447</v>
      </c>
      <c r="F41" s="3">
        <v>1.9966293088187701</v>
      </c>
      <c r="G41" s="3">
        <v>3.1815242560959698</v>
      </c>
      <c r="H41" s="3">
        <v>4.1824043665724</v>
      </c>
      <c r="I41" s="3">
        <v>1.0392840812256601</v>
      </c>
      <c r="J41" s="3">
        <v>1.8865714170277801</v>
      </c>
      <c r="K41" s="3">
        <v>3.2194491848131501</v>
      </c>
      <c r="L41" s="3">
        <v>2.7675320941241401</v>
      </c>
      <c r="M41" s="3">
        <v>3.6562417755727101</v>
      </c>
      <c r="N41" s="3">
        <v>3.73747517532804</v>
      </c>
    </row>
    <row r="42" spans="1:14" x14ac:dyDescent="0.35">
      <c r="A42" s="2">
        <v>43147</v>
      </c>
      <c r="B42" s="3">
        <v>4.3958586661376096</v>
      </c>
      <c r="C42" s="3">
        <v>4.6455670556995701</v>
      </c>
      <c r="D42" s="3">
        <v>3.1120355843575802</v>
      </c>
      <c r="E42" s="3">
        <v>3.1143043065409799</v>
      </c>
      <c r="F42" s="3">
        <v>2.1987146831294302</v>
      </c>
      <c r="G42" s="3">
        <v>3.3272749018032202</v>
      </c>
      <c r="H42" s="3">
        <v>4.38697091576425</v>
      </c>
      <c r="I42" s="3">
        <v>1.07551022921951</v>
      </c>
      <c r="J42" s="3">
        <v>1.9639033488611199</v>
      </c>
      <c r="K42" s="3">
        <v>3.3762409839032599</v>
      </c>
      <c r="L42" s="3">
        <v>2.9422214687307302</v>
      </c>
      <c r="M42" s="3">
        <v>3.8880906545787801</v>
      </c>
      <c r="N42" s="3">
        <v>3.9250307391829802</v>
      </c>
    </row>
    <row r="43" spans="1:14" x14ac:dyDescent="0.35">
      <c r="A43" s="2">
        <v>43175</v>
      </c>
      <c r="B43" s="3">
        <v>4.2236547874025101</v>
      </c>
      <c r="C43" s="3">
        <v>4.6797804831310801</v>
      </c>
      <c r="D43" s="3">
        <v>3.1056301166168598</v>
      </c>
      <c r="E43" s="3">
        <v>3.1606718054261198</v>
      </c>
      <c r="F43" s="3">
        <v>2.23127629619239</v>
      </c>
      <c r="G43" s="3">
        <v>3.4427233308913099</v>
      </c>
      <c r="H43" s="3">
        <v>4.5079576677181503</v>
      </c>
      <c r="I43" s="3">
        <v>1.04764985965845</v>
      </c>
      <c r="J43" s="3">
        <v>1.9697714850046899</v>
      </c>
      <c r="K43" s="3">
        <v>3.3845888950857601</v>
      </c>
      <c r="L43" s="3">
        <v>2.9177647552149502</v>
      </c>
      <c r="M43" s="3">
        <v>3.88744848062447</v>
      </c>
      <c r="N43" s="3">
        <v>4.0138424460728803</v>
      </c>
    </row>
    <row r="44" spans="1:14" x14ac:dyDescent="0.35">
      <c r="A44" s="2">
        <v>43208</v>
      </c>
      <c r="B44" s="3">
        <v>4.2886951846848902</v>
      </c>
      <c r="C44" s="3">
        <v>4.7681521637981197</v>
      </c>
      <c r="D44" s="3">
        <v>3.16663565156527</v>
      </c>
      <c r="E44" s="3">
        <v>3.1476239238522901</v>
      </c>
      <c r="F44" s="3">
        <v>2.2342083297344502</v>
      </c>
      <c r="G44" s="3">
        <v>3.4239825596324001</v>
      </c>
      <c r="H44" s="3">
        <v>4.3945279744634798</v>
      </c>
      <c r="I44" s="3">
        <v>1.0867352509839601</v>
      </c>
      <c r="J44" s="3">
        <v>2.01843802190974</v>
      </c>
      <c r="K44" s="3">
        <v>3.34567367045535</v>
      </c>
      <c r="L44" s="3">
        <v>2.9136931292246202</v>
      </c>
      <c r="M44" s="3">
        <v>4.0524072494577998</v>
      </c>
      <c r="N44" s="3">
        <v>3.9132791161871401</v>
      </c>
    </row>
    <row r="45" spans="1:14" x14ac:dyDescent="0.35">
      <c r="A45" s="2">
        <v>43238</v>
      </c>
      <c r="B45" s="3">
        <v>4.2079379691947096</v>
      </c>
      <c r="C45" s="3">
        <v>4.62891811807485</v>
      </c>
      <c r="D45" s="3">
        <v>3.0510189842002</v>
      </c>
      <c r="E45" s="3">
        <v>3.0942485206036898</v>
      </c>
      <c r="F45" s="3">
        <v>2.1760897238028001</v>
      </c>
      <c r="G45" s="3">
        <v>3.4370520939280298</v>
      </c>
      <c r="H45" s="3">
        <v>4.2489289133567301</v>
      </c>
      <c r="I45" s="3">
        <v>1.0975758356040599</v>
      </c>
      <c r="J45" s="3">
        <v>2.0354519873589401</v>
      </c>
      <c r="K45" s="3">
        <v>3.26335878984565</v>
      </c>
      <c r="L45" s="3">
        <v>2.8820753357642102</v>
      </c>
      <c r="M45" s="3">
        <v>3.9441588967668699</v>
      </c>
      <c r="N45" s="3">
        <v>4.0271298103291899</v>
      </c>
    </row>
    <row r="46" spans="1:14" x14ac:dyDescent="0.35">
      <c r="A46" s="2">
        <v>43269</v>
      </c>
      <c r="B46" s="3">
        <v>4.0047162511764203</v>
      </c>
      <c r="C46" s="3">
        <v>4.7243666601187302</v>
      </c>
      <c r="D46" s="3">
        <v>3.0425261356791999</v>
      </c>
      <c r="E46" s="3">
        <v>3.13805354113238</v>
      </c>
      <c r="F46" s="3">
        <v>2.2502745938234998</v>
      </c>
      <c r="G46" s="3">
        <v>3.5972210675628999</v>
      </c>
      <c r="H46" s="3">
        <v>4.3909869654445197</v>
      </c>
      <c r="I46" s="3">
        <v>1.04018742267516</v>
      </c>
      <c r="J46" s="3">
        <v>2.0087654991743098</v>
      </c>
      <c r="K46" s="3">
        <v>3.3803214154491599</v>
      </c>
      <c r="L46" s="3">
        <v>2.8776076067952401</v>
      </c>
      <c r="M46" s="3">
        <v>4.1220305809551796</v>
      </c>
      <c r="N46" s="3">
        <v>4.3918816694805898</v>
      </c>
    </row>
    <row r="47" spans="1:14" x14ac:dyDescent="0.35">
      <c r="A47" s="2">
        <v>43299</v>
      </c>
      <c r="B47" s="3">
        <v>4.0749615677252304</v>
      </c>
      <c r="C47" s="3">
        <v>4.6043042750715699</v>
      </c>
      <c r="D47" s="3">
        <v>3.0487365278546399</v>
      </c>
      <c r="E47" s="3">
        <v>3.1636703723791402</v>
      </c>
      <c r="F47" s="3">
        <v>2.27516761885478</v>
      </c>
      <c r="G47" s="3">
        <v>3.4478631389802201</v>
      </c>
      <c r="H47" s="3">
        <v>4.4164645445403199</v>
      </c>
      <c r="I47" s="3">
        <v>1.03121051046054</v>
      </c>
      <c r="J47" s="3">
        <v>1.9975387581491</v>
      </c>
      <c r="K47" s="3">
        <v>3.3883001838117499</v>
      </c>
      <c r="L47" s="3">
        <v>2.8795240890298799</v>
      </c>
      <c r="M47" s="3">
        <v>4.1406296392688704</v>
      </c>
      <c r="N47" s="3">
        <v>4.4640113912018897</v>
      </c>
    </row>
    <row r="48" spans="1:14" x14ac:dyDescent="0.35">
      <c r="A48" s="2">
        <v>43329</v>
      </c>
      <c r="B48" s="3">
        <v>4.02999009094997</v>
      </c>
      <c r="C48" s="3">
        <v>4.5546858528368102</v>
      </c>
      <c r="D48" s="3">
        <v>3.0875653910289</v>
      </c>
      <c r="E48" s="3">
        <v>3.30404631047552</v>
      </c>
      <c r="F48" s="3">
        <v>2.3571363167612098</v>
      </c>
      <c r="G48" s="3">
        <v>3.4443624173770702</v>
      </c>
      <c r="H48" s="3">
        <v>4.5274438705012701</v>
      </c>
      <c r="I48" s="3">
        <v>1.08343174443854</v>
      </c>
      <c r="J48" s="3">
        <v>1.98834390657188</v>
      </c>
      <c r="K48" s="3">
        <v>3.4908319109852202</v>
      </c>
      <c r="L48" s="3">
        <v>2.9565734826592598</v>
      </c>
      <c r="M48" s="3">
        <v>4.0951742996453397</v>
      </c>
      <c r="N48" s="3">
        <v>4.7053372359055201</v>
      </c>
    </row>
    <row r="49" spans="1:14" x14ac:dyDescent="0.35">
      <c r="A49" s="2">
        <v>43361</v>
      </c>
      <c r="B49" s="3">
        <v>3.9460634073004099</v>
      </c>
      <c r="C49" s="3">
        <v>4.7661847816823801</v>
      </c>
      <c r="D49" s="3">
        <v>3.1468699411201801</v>
      </c>
      <c r="E49" s="3">
        <v>3.32161276605737</v>
      </c>
      <c r="F49" s="3">
        <v>2.2840417766175198</v>
      </c>
      <c r="G49" s="3">
        <v>3.4300611062967801</v>
      </c>
      <c r="H49" s="3">
        <v>4.6247992122529897</v>
      </c>
      <c r="I49" s="3">
        <v>1.0784307480994</v>
      </c>
      <c r="J49" s="3">
        <v>1.95974024764434</v>
      </c>
      <c r="K49" s="3">
        <v>3.4860246662054299</v>
      </c>
      <c r="L49" s="3">
        <v>3.0333831741642499</v>
      </c>
      <c r="M49" s="3">
        <v>4.1259033561630902</v>
      </c>
      <c r="N49" s="3">
        <v>4.57409903242044</v>
      </c>
    </row>
    <row r="50" spans="1:14" x14ac:dyDescent="0.35">
      <c r="A50" s="2">
        <v>43391</v>
      </c>
      <c r="B50" s="3">
        <v>4.2016861985846203</v>
      </c>
      <c r="C50" s="3">
        <v>4.97674056487448</v>
      </c>
      <c r="D50" s="3">
        <v>3.3426818288063398</v>
      </c>
      <c r="E50" s="3">
        <v>3.51172059860775</v>
      </c>
      <c r="F50" s="3">
        <v>2.3685616797053002</v>
      </c>
      <c r="G50" s="3">
        <v>3.5851459567317998</v>
      </c>
      <c r="H50" s="3">
        <v>4.84337983689624</v>
      </c>
      <c r="I50" s="3">
        <v>1.1454018013363401</v>
      </c>
      <c r="J50" s="3">
        <v>2.06891448110474</v>
      </c>
      <c r="K50" s="3">
        <v>3.6848174515094398</v>
      </c>
      <c r="L50" s="3">
        <v>3.1729802720224001</v>
      </c>
      <c r="M50" s="3">
        <v>4.3008853904759503</v>
      </c>
      <c r="N50" s="3">
        <v>5.0904140090352499</v>
      </c>
    </row>
    <row r="51" spans="1:14" x14ac:dyDescent="0.35">
      <c r="A51" s="2">
        <v>43420</v>
      </c>
      <c r="B51" s="3">
        <v>4.2358056780564501</v>
      </c>
      <c r="C51" s="3">
        <v>5.2237283516148896</v>
      </c>
      <c r="D51" s="3">
        <v>3.3939544835930602</v>
      </c>
      <c r="E51" s="3">
        <v>3.6365224523809898</v>
      </c>
      <c r="F51" s="3">
        <v>2.5028888889397298</v>
      </c>
      <c r="G51" s="3">
        <v>3.5657887256342402</v>
      </c>
      <c r="H51" s="3">
        <v>4.9284017371767099</v>
      </c>
      <c r="I51" s="3">
        <v>1.1946007980068301</v>
      </c>
      <c r="J51" s="3">
        <v>2.09826917852094</v>
      </c>
      <c r="K51" s="3">
        <v>3.7664009755233701</v>
      </c>
      <c r="L51" s="3">
        <v>3.2051702115171499</v>
      </c>
      <c r="M51" s="3">
        <v>4.4699384013506496</v>
      </c>
      <c r="N51" s="3">
        <v>5.1721903534940701</v>
      </c>
    </row>
    <row r="52" spans="1:14" x14ac:dyDescent="0.35">
      <c r="A52" s="2">
        <v>43452</v>
      </c>
      <c r="B52" s="3">
        <v>4.22915756435075</v>
      </c>
      <c r="C52" s="3">
        <v>5.4254408324884302</v>
      </c>
      <c r="D52" s="3">
        <v>3.5725284610752199</v>
      </c>
      <c r="E52" s="3">
        <v>3.8878840839689</v>
      </c>
      <c r="F52" s="3">
        <v>2.6054153579175998</v>
      </c>
      <c r="G52" s="3">
        <v>3.6905873601201802</v>
      </c>
      <c r="H52" s="3">
        <v>5.2342839102744296</v>
      </c>
      <c r="I52" s="3">
        <v>1.2902866927229499</v>
      </c>
      <c r="J52" s="3">
        <v>2.2747105669699899</v>
      </c>
      <c r="K52" s="3">
        <v>3.9821277753059099</v>
      </c>
      <c r="L52" s="3">
        <v>3.4110031748016998</v>
      </c>
      <c r="M52" s="3">
        <v>4.6382839536097498</v>
      </c>
      <c r="N52" s="3">
        <v>5.3194275139573204</v>
      </c>
    </row>
    <row r="53" spans="1:14" x14ac:dyDescent="0.35">
      <c r="A53" s="2">
        <v>43483</v>
      </c>
      <c r="B53" s="3">
        <v>4.0373834466379099</v>
      </c>
      <c r="C53" s="3">
        <v>5.0832202253432097</v>
      </c>
      <c r="D53" s="3">
        <v>3.3649424151579601</v>
      </c>
      <c r="E53" s="3">
        <v>3.7141151633146099</v>
      </c>
      <c r="F53" s="3">
        <v>2.6476194049570898</v>
      </c>
      <c r="G53" s="3">
        <v>3.4635429401433799</v>
      </c>
      <c r="H53" s="3">
        <v>5.1148731332854398</v>
      </c>
      <c r="I53" s="3">
        <v>1.2360889910347601</v>
      </c>
      <c r="J53" s="3">
        <v>2.1802797338775899</v>
      </c>
      <c r="K53" s="3">
        <v>3.8790938569913398</v>
      </c>
      <c r="L53" s="3">
        <v>3.3241366164834201</v>
      </c>
      <c r="M53" s="3">
        <v>4.37893456688104</v>
      </c>
      <c r="N53" s="3">
        <v>5.07212143979012</v>
      </c>
    </row>
    <row r="54" spans="1:14" x14ac:dyDescent="0.35">
      <c r="A54" s="2">
        <v>43511</v>
      </c>
      <c r="B54" s="3">
        <v>4.0285821611894903</v>
      </c>
      <c r="C54" s="3">
        <v>4.9593625054295796</v>
      </c>
      <c r="D54" s="3">
        <v>3.30233583513369</v>
      </c>
      <c r="E54" s="3">
        <v>3.6714910407130499</v>
      </c>
      <c r="F54" s="3">
        <v>2.61644662750196</v>
      </c>
      <c r="G54" s="3">
        <v>3.3766955986703699</v>
      </c>
      <c r="H54" s="3">
        <v>4.9429895069669296</v>
      </c>
      <c r="I54" s="3">
        <v>1.1959758197735499</v>
      </c>
      <c r="J54" s="3">
        <v>2.1081699541846199</v>
      </c>
      <c r="K54" s="3">
        <v>3.7069251535267398</v>
      </c>
      <c r="L54" s="3">
        <v>3.1191075135589199</v>
      </c>
      <c r="M54" s="3">
        <v>4.1224156400405603</v>
      </c>
      <c r="N54" s="3">
        <v>4.9193612340890001</v>
      </c>
    </row>
    <row r="55" spans="1:14" x14ac:dyDescent="0.35">
      <c r="A55" s="2">
        <v>43542</v>
      </c>
      <c r="B55" s="3">
        <v>3.87259080521858</v>
      </c>
      <c r="C55" s="3">
        <v>4.9450326825669997</v>
      </c>
      <c r="D55" s="3">
        <v>3.2386701864498599</v>
      </c>
      <c r="E55" s="3">
        <v>3.5675175641732699</v>
      </c>
      <c r="F55" s="3">
        <v>2.5585872776616601</v>
      </c>
      <c r="G55" s="3">
        <v>3.3116531475672999</v>
      </c>
      <c r="H55" s="3">
        <v>4.8577437808464996</v>
      </c>
      <c r="I55" s="3">
        <v>1.1412697161321499</v>
      </c>
      <c r="J55" s="3">
        <v>2.0796477550455799</v>
      </c>
      <c r="K55" s="3">
        <v>3.5465427491115502</v>
      </c>
      <c r="L55" s="3">
        <v>3.04109009885337</v>
      </c>
      <c r="M55" s="3">
        <v>4.0799436995744403</v>
      </c>
      <c r="N55" s="3">
        <v>4.7014335639845397</v>
      </c>
    </row>
    <row r="56" spans="1:14" x14ac:dyDescent="0.35">
      <c r="A56" s="2">
        <v>43573</v>
      </c>
      <c r="B56" s="3">
        <v>3.7053522706424702</v>
      </c>
      <c r="C56" s="3">
        <v>4.9071890749254896</v>
      </c>
      <c r="D56" s="3">
        <v>3.1781409264264102</v>
      </c>
      <c r="E56" s="3">
        <v>3.4165338769173399</v>
      </c>
      <c r="F56" s="3">
        <v>2.56631366895633</v>
      </c>
      <c r="G56" s="3">
        <v>3.2880070669422299</v>
      </c>
      <c r="H56" s="3">
        <v>4.8220768974166903</v>
      </c>
      <c r="I56" s="3">
        <v>1.1004173465179501</v>
      </c>
      <c r="J56" s="3">
        <v>2.0486549005715098</v>
      </c>
      <c r="K56" s="3">
        <v>3.4723192274072199</v>
      </c>
      <c r="L56" s="3">
        <v>2.95777907764433</v>
      </c>
      <c r="M56" s="3">
        <v>3.96434695606085</v>
      </c>
      <c r="N56" s="3">
        <v>4.6089562362465504</v>
      </c>
    </row>
    <row r="57" spans="1:14" x14ac:dyDescent="0.35">
      <c r="A57" s="2">
        <v>43602</v>
      </c>
      <c r="B57" s="3">
        <v>3.66575340239948</v>
      </c>
      <c r="C57" s="3">
        <v>4.8554133020960402</v>
      </c>
      <c r="D57" s="3">
        <v>3.2969120635823099</v>
      </c>
      <c r="E57" s="3">
        <v>3.5050223889262502</v>
      </c>
      <c r="F57" s="3">
        <v>2.66662261397865</v>
      </c>
      <c r="G57" s="3">
        <v>3.2914434844968001</v>
      </c>
      <c r="H57" s="3">
        <v>4.93330965937235</v>
      </c>
      <c r="I57" s="3">
        <v>1.13461876556907</v>
      </c>
      <c r="J57" s="3">
        <v>2.0908482574389899</v>
      </c>
      <c r="K57" s="3">
        <v>3.5673970690891901</v>
      </c>
      <c r="L57" s="3">
        <v>3.0295237356265901</v>
      </c>
      <c r="M57" s="3">
        <v>4.19112178304092</v>
      </c>
      <c r="N57" s="3">
        <v>4.8213518921036798</v>
      </c>
    </row>
    <row r="58" spans="1:14" x14ac:dyDescent="0.35">
      <c r="A58" s="2">
        <v>43634</v>
      </c>
      <c r="B58" s="3">
        <v>3.66335689286533</v>
      </c>
      <c r="C58" s="3">
        <v>4.6647921838237503</v>
      </c>
      <c r="D58" s="3">
        <v>3.2931748799240701</v>
      </c>
      <c r="E58" s="3">
        <v>3.5117586367906299</v>
      </c>
      <c r="F58" s="3">
        <v>2.7253143007332801</v>
      </c>
      <c r="G58" s="3">
        <v>3.21003685849989</v>
      </c>
      <c r="H58" s="3">
        <v>4.7935298223991802</v>
      </c>
      <c r="I58" s="3">
        <v>1.1182359623628</v>
      </c>
      <c r="J58" s="3">
        <v>2.0601935978674302</v>
      </c>
      <c r="K58" s="3">
        <v>4.74829586986242</v>
      </c>
      <c r="L58" s="3">
        <v>3.0357773916775299</v>
      </c>
      <c r="M58" s="3">
        <v>4.1802089187796101</v>
      </c>
      <c r="N58" s="3">
        <v>4.8459968176775901</v>
      </c>
    </row>
    <row r="59" spans="1:14" x14ac:dyDescent="0.35">
      <c r="A59" s="2">
        <v>43664</v>
      </c>
      <c r="B59" s="3">
        <v>3.4302335732679698</v>
      </c>
      <c r="C59" s="3">
        <v>4.6036649304088497</v>
      </c>
      <c r="D59" s="3">
        <v>3.3169578106321902</v>
      </c>
      <c r="E59" s="3">
        <v>3.48570311267477</v>
      </c>
      <c r="F59" s="3">
        <v>2.7155806474108202</v>
      </c>
      <c r="G59" s="3">
        <v>3.19870640978022</v>
      </c>
      <c r="H59" s="3">
        <v>4.8249646818113501</v>
      </c>
      <c r="I59" s="3">
        <v>1.0856203699582401</v>
      </c>
      <c r="J59" s="3">
        <v>2.0194563186458199</v>
      </c>
      <c r="K59" s="3">
        <v>3.5336397948077098</v>
      </c>
      <c r="L59" s="3">
        <v>2.9437036950134301</v>
      </c>
      <c r="M59" s="3">
        <v>4.1128610398555798</v>
      </c>
      <c r="N59" s="3">
        <v>4.6653510772926596</v>
      </c>
    </row>
    <row r="60" spans="1:14" x14ac:dyDescent="0.35">
      <c r="A60" s="2">
        <v>43693</v>
      </c>
      <c r="B60" s="3">
        <v>3.4806186740490301</v>
      </c>
      <c r="C60" s="3">
        <v>4.77194841129488</v>
      </c>
      <c r="D60" s="3">
        <v>3.4360843370924101</v>
      </c>
      <c r="E60" s="3">
        <v>3.6392544086428802</v>
      </c>
      <c r="F60" s="3">
        <v>2.8038415409077602</v>
      </c>
      <c r="G60" s="3">
        <v>3.29323438479681</v>
      </c>
      <c r="H60" s="3">
        <v>5.1545657660760202</v>
      </c>
      <c r="I60" s="3">
        <v>1.12853164751718</v>
      </c>
      <c r="J60" s="3">
        <v>2.1022358904441099</v>
      </c>
      <c r="K60" s="3">
        <v>3.71485512777689</v>
      </c>
      <c r="L60" s="3">
        <v>3.0256457384332802</v>
      </c>
      <c r="M60" s="3">
        <v>4.3239607134910303</v>
      </c>
      <c r="N60" s="3">
        <v>5.10238955572681</v>
      </c>
    </row>
    <row r="61" spans="1:14" x14ac:dyDescent="0.35">
      <c r="A61" s="2">
        <v>43726</v>
      </c>
      <c r="B61" s="3">
        <v>3.3775781637234501</v>
      </c>
      <c r="C61" s="3">
        <v>4.4532013524382998</v>
      </c>
      <c r="D61" s="3">
        <v>3.2990366180211499</v>
      </c>
      <c r="E61" s="3">
        <v>3.40148424619104</v>
      </c>
      <c r="F61" s="3">
        <v>2.5866469669329599</v>
      </c>
      <c r="G61" s="3">
        <v>3.21831526598451</v>
      </c>
      <c r="H61" s="3">
        <v>4.9364594910175503</v>
      </c>
      <c r="I61" s="3">
        <v>1.1160692308542299</v>
      </c>
      <c r="J61" s="3">
        <v>2.0313515816833498</v>
      </c>
      <c r="K61" s="3">
        <v>3.5147295397134899</v>
      </c>
      <c r="L61" s="3">
        <v>2.7458834488244901</v>
      </c>
      <c r="M61" s="3">
        <v>3.8982995478505198</v>
      </c>
      <c r="N61" s="3">
        <v>4.7648716617621503</v>
      </c>
    </row>
    <row r="62" spans="1:14" x14ac:dyDescent="0.35">
      <c r="A62" s="2">
        <v>43756</v>
      </c>
      <c r="B62" s="3">
        <v>3.2955096306579299</v>
      </c>
      <c r="C62" s="3">
        <v>4.4371615427209701</v>
      </c>
      <c r="D62" s="3">
        <v>3.36603868791653</v>
      </c>
      <c r="E62" s="3">
        <v>3.3376327782681501</v>
      </c>
      <c r="F62" s="3">
        <v>2.5732436283263498</v>
      </c>
      <c r="G62" s="3">
        <v>3.22751445493823</v>
      </c>
      <c r="H62" s="3">
        <v>4.9296363952616797</v>
      </c>
      <c r="I62" s="3">
        <v>1.1038044598691701</v>
      </c>
      <c r="J62" s="3">
        <v>2.0544980541102</v>
      </c>
      <c r="K62" s="3">
        <v>3.5120976951285701</v>
      </c>
      <c r="L62" s="3">
        <v>2.74729542093556</v>
      </c>
      <c r="M62" s="3">
        <v>3.8388186963134499</v>
      </c>
      <c r="N62" s="3">
        <v>4.7094468540645096</v>
      </c>
    </row>
    <row r="63" spans="1:14" x14ac:dyDescent="0.35">
      <c r="A63" s="2">
        <v>43784</v>
      </c>
      <c r="B63" s="3">
        <v>3.35291025689724</v>
      </c>
      <c r="C63" s="3">
        <v>4.32655033288796</v>
      </c>
      <c r="D63" s="3">
        <v>3.2323590950632499</v>
      </c>
      <c r="E63" s="3">
        <v>3.12058324061507</v>
      </c>
      <c r="F63" s="3">
        <v>2.4713619444067101</v>
      </c>
      <c r="G63" s="3">
        <v>3.12120591475967</v>
      </c>
      <c r="H63" s="3">
        <v>4.8043084718861699</v>
      </c>
      <c r="I63" s="3">
        <v>1.0570611850371301</v>
      </c>
      <c r="J63" s="3">
        <v>1.98008939104235</v>
      </c>
      <c r="K63" s="3">
        <v>3.3595110395901799</v>
      </c>
      <c r="L63" s="3">
        <v>2.6450496711735298</v>
      </c>
      <c r="M63" s="3">
        <v>3.6790520758282299</v>
      </c>
      <c r="N63" s="3">
        <v>4.5329913097660803</v>
      </c>
    </row>
    <row r="64" spans="1:14" x14ac:dyDescent="0.35">
      <c r="A64" s="2">
        <v>43817</v>
      </c>
      <c r="B64" s="3">
        <v>3.2030271576045899</v>
      </c>
      <c r="C64" s="3">
        <v>4.2244676230866798</v>
      </c>
      <c r="D64" s="3">
        <v>3.2446305828733801</v>
      </c>
      <c r="E64" s="3">
        <v>3.0946606734684501</v>
      </c>
      <c r="F64" s="3">
        <v>2.4166007567762602</v>
      </c>
      <c r="G64" s="3">
        <v>3.07009863648479</v>
      </c>
      <c r="H64" s="3">
        <v>4.6000057675053503</v>
      </c>
      <c r="I64" s="3">
        <v>1.0597999749248901</v>
      </c>
      <c r="J64" s="3">
        <v>1.9555596062152001</v>
      </c>
      <c r="K64" s="3">
        <v>3.3613146188587701</v>
      </c>
      <c r="L64" s="3">
        <v>2.5987937104537799</v>
      </c>
      <c r="M64" s="3">
        <v>3.5668989298349998</v>
      </c>
      <c r="N64" s="3">
        <v>4.46580460180627</v>
      </c>
    </row>
    <row r="65" spans="1:14" x14ac:dyDescent="0.35">
      <c r="A65" s="2">
        <v>43847</v>
      </c>
      <c r="B65" s="3">
        <v>3.0882819708644802</v>
      </c>
      <c r="C65" s="3">
        <v>4.1227299844443399</v>
      </c>
      <c r="D65" s="3">
        <v>3.1981128633845501</v>
      </c>
      <c r="E65" s="3">
        <v>3.0382588387476002</v>
      </c>
      <c r="F65" s="3">
        <v>2.4229259611813099</v>
      </c>
      <c r="G65" s="3">
        <v>2.9842273900563998</v>
      </c>
      <c r="H65" s="3">
        <v>4.5272027187548396</v>
      </c>
      <c r="I65" s="3">
        <v>1.0011926604743899</v>
      </c>
      <c r="J65" s="3">
        <v>1.88474253585039</v>
      </c>
      <c r="K65" s="3">
        <v>3.2871063716711402</v>
      </c>
      <c r="L65" s="3">
        <v>2.5745146059779498</v>
      </c>
      <c r="M65" s="3">
        <v>3.4958182819763901</v>
      </c>
      <c r="N65" s="3">
        <v>4.4043477400786797</v>
      </c>
    </row>
    <row r="66" spans="1:14" x14ac:dyDescent="0.35">
      <c r="A66" s="2">
        <v>43879</v>
      </c>
      <c r="B66" s="3">
        <v>3.0407135664295999</v>
      </c>
      <c r="C66" s="3">
        <v>4.06178761090628</v>
      </c>
      <c r="D66" s="3">
        <v>3.2018465878772502</v>
      </c>
      <c r="E66" s="3">
        <v>3.0171965543607899</v>
      </c>
      <c r="F66" s="3">
        <v>2.52015897029808</v>
      </c>
      <c r="G66" s="3">
        <v>2.9321683583173499</v>
      </c>
      <c r="H66" s="3">
        <v>4.7101036724514902</v>
      </c>
      <c r="I66" s="3">
        <v>0.95857984521539596</v>
      </c>
      <c r="J66" s="3">
        <v>1.87547687769654</v>
      </c>
      <c r="K66" s="3">
        <v>3.2893661818273601</v>
      </c>
      <c r="L66" s="3">
        <v>2.49261329569506</v>
      </c>
      <c r="M66" s="3">
        <v>3.4224523836287801</v>
      </c>
      <c r="N66" s="3">
        <v>4.3922310337886197</v>
      </c>
    </row>
    <row r="67" spans="1:14" x14ac:dyDescent="0.35">
      <c r="A67" s="2">
        <v>43908</v>
      </c>
      <c r="B67" s="3">
        <v>3.7647133382123501</v>
      </c>
      <c r="C67" s="3">
        <v>5.8209997999551399</v>
      </c>
      <c r="D67" s="3">
        <v>4.9394431412562803</v>
      </c>
      <c r="E67" s="3">
        <v>4.8417821256364899</v>
      </c>
      <c r="F67" s="3">
        <v>3.2919060796639101</v>
      </c>
      <c r="G67" s="3">
        <v>3.9309354264907399</v>
      </c>
      <c r="H67" s="3">
        <v>7.1297573980707796</v>
      </c>
      <c r="I67" s="3">
        <v>1.29438311000065</v>
      </c>
      <c r="J67" s="3">
        <v>2.6395325677655501</v>
      </c>
      <c r="K67" s="3">
        <v>5.2481554178043899</v>
      </c>
      <c r="L67" s="3">
        <v>3.8253401113565402</v>
      </c>
      <c r="M67" s="3">
        <v>4.7778368421197399</v>
      </c>
      <c r="N67" s="3">
        <v>7.0148410442448297</v>
      </c>
    </row>
    <row r="68" spans="1:14" x14ac:dyDescent="0.35">
      <c r="A68" s="2">
        <v>43938</v>
      </c>
      <c r="B68" s="3">
        <v>2.69678494738816</v>
      </c>
      <c r="C68" s="3">
        <v>4.2906887379767102</v>
      </c>
      <c r="D68" s="3">
        <v>3.9999813096254702</v>
      </c>
      <c r="E68" s="3">
        <v>3.49349703415107</v>
      </c>
      <c r="F68" s="3">
        <v>2.8466047269141099</v>
      </c>
      <c r="G68" s="3">
        <v>3.33388939220045</v>
      </c>
      <c r="H68" s="3">
        <v>5.6908085474944201</v>
      </c>
      <c r="I68" s="3">
        <v>1.0495992626264301</v>
      </c>
      <c r="J68" s="3">
        <v>2.1401206303175302</v>
      </c>
      <c r="K68" s="3">
        <v>3.78783669805415</v>
      </c>
      <c r="L68" s="3">
        <v>2.8504699172368602</v>
      </c>
      <c r="M68" s="3">
        <v>3.4470688576294499</v>
      </c>
      <c r="N68" s="3">
        <v>5.83046663565817</v>
      </c>
    </row>
    <row r="69" spans="1:14" x14ac:dyDescent="0.35">
      <c r="A69" s="2">
        <v>43969</v>
      </c>
      <c r="B69" s="3">
        <v>2.6142738018396998</v>
      </c>
      <c r="C69" s="3">
        <v>3.7901621579599101</v>
      </c>
      <c r="D69" s="3">
        <v>3.7832924615201202</v>
      </c>
      <c r="E69" s="3">
        <v>3.2752319075673002</v>
      </c>
      <c r="F69" s="3">
        <v>2.79924696018562</v>
      </c>
      <c r="G69" s="3">
        <v>3.2157710210836399</v>
      </c>
      <c r="H69" s="3">
        <v>4.3952956096358804</v>
      </c>
      <c r="I69" s="3">
        <v>0.97914580550296304</v>
      </c>
      <c r="J69" s="3">
        <v>2.0527693855200502</v>
      </c>
      <c r="K69" s="3">
        <v>3.51075306453063</v>
      </c>
      <c r="L69" s="3">
        <v>2.5990131081737999</v>
      </c>
      <c r="M69" s="3">
        <v>3.28511942619705</v>
      </c>
      <c r="N69" s="3">
        <v>4.9543252294727598</v>
      </c>
    </row>
    <row r="70" spans="1:14" x14ac:dyDescent="0.35">
      <c r="A70" s="2">
        <v>44000</v>
      </c>
      <c r="B70" s="3">
        <v>2.5125733858318502</v>
      </c>
      <c r="C70" s="3">
        <v>3.42883168040535</v>
      </c>
      <c r="D70" s="3">
        <v>3.5307760557901098</v>
      </c>
      <c r="E70" s="3">
        <v>2.9044541593647799</v>
      </c>
      <c r="F70" s="3">
        <v>2.4780788671298</v>
      </c>
      <c r="G70" s="3">
        <v>3.0590185671352801</v>
      </c>
      <c r="H70" s="3">
        <v>4.1028477350035004</v>
      </c>
      <c r="I70" s="3">
        <v>0.90803791566820302</v>
      </c>
      <c r="J70" s="3">
        <v>1.9328688806576499</v>
      </c>
      <c r="K70" s="3">
        <v>3.14575110445548</v>
      </c>
      <c r="L70" s="3">
        <v>2.3806634882011499</v>
      </c>
      <c r="M70" s="3">
        <v>3.02542125684348</v>
      </c>
      <c r="N70" s="3">
        <v>4.2907147283594496</v>
      </c>
    </row>
    <row r="71" spans="1:14" x14ac:dyDescent="0.35">
      <c r="A71" s="2">
        <v>44029</v>
      </c>
      <c r="B71" s="3">
        <v>2.4430174281089401</v>
      </c>
      <c r="C71" s="3">
        <v>3.4183708125836798</v>
      </c>
      <c r="D71" s="3">
        <v>3.4079336274408298</v>
      </c>
      <c r="E71" s="3">
        <v>2.8068175589381301</v>
      </c>
      <c r="F71" s="3">
        <v>2.4830022164435599</v>
      </c>
      <c r="G71" s="3">
        <v>2.9938220006510998</v>
      </c>
      <c r="H71" s="3">
        <v>3.9788827390827302</v>
      </c>
      <c r="I71" s="3">
        <v>0.85778805352471599</v>
      </c>
      <c r="J71" s="3">
        <v>1.8442924442676301</v>
      </c>
      <c r="K71" s="3">
        <v>3.05745394474273</v>
      </c>
      <c r="L71" s="3">
        <v>2.3240775507152902</v>
      </c>
      <c r="M71" s="3">
        <v>2.9274362088067201</v>
      </c>
      <c r="N71" s="3">
        <v>4.1957287080757704</v>
      </c>
    </row>
    <row r="72" spans="1:14" x14ac:dyDescent="0.35">
      <c r="A72" s="2">
        <v>44061</v>
      </c>
      <c r="B72" s="3">
        <v>2.3764115366520699</v>
      </c>
      <c r="C72" s="3">
        <v>3.35298883114727</v>
      </c>
      <c r="D72" s="3">
        <v>3.31572001374703</v>
      </c>
      <c r="E72" s="3">
        <v>2.8139546055825502</v>
      </c>
      <c r="F72" s="3">
        <v>2.4032941071253302</v>
      </c>
      <c r="G72" s="3">
        <v>2.9491400529207299</v>
      </c>
      <c r="H72" s="3">
        <v>3.97854722173245</v>
      </c>
      <c r="I72" s="3">
        <v>0.802072054852074</v>
      </c>
      <c r="J72" s="3">
        <v>1.7581741851185599</v>
      </c>
      <c r="K72" s="3">
        <v>3.1446053138097398</v>
      </c>
      <c r="L72" s="3">
        <v>2.34444772150347</v>
      </c>
      <c r="M72" s="3">
        <v>3.0185943132800301</v>
      </c>
      <c r="N72" s="3">
        <v>3.9718491110409802</v>
      </c>
    </row>
    <row r="73" spans="1:14" x14ac:dyDescent="0.35">
      <c r="A73" s="2">
        <v>44092</v>
      </c>
      <c r="B73" s="3">
        <v>2.4669632115964002</v>
      </c>
      <c r="C73" s="3">
        <v>3.6185460495739399</v>
      </c>
      <c r="D73" s="3">
        <v>3.4226043771959702</v>
      </c>
      <c r="E73" s="3">
        <v>2.8129441910770998</v>
      </c>
      <c r="F73" s="3">
        <v>2.3499726255192099</v>
      </c>
      <c r="G73" s="3">
        <v>2.8787582461227998</v>
      </c>
      <c r="H73" s="3">
        <v>4.1026227081790498</v>
      </c>
      <c r="I73" s="3">
        <v>0.83694794052622801</v>
      </c>
      <c r="J73" s="3">
        <v>1.8002244488122401</v>
      </c>
      <c r="K73" s="3">
        <v>3.1653507352583699</v>
      </c>
      <c r="L73" s="3">
        <v>2.3302442272994002</v>
      </c>
      <c r="M73" s="3">
        <v>2.9630126040935498</v>
      </c>
      <c r="N73" s="3">
        <v>4.0972180767685602</v>
      </c>
    </row>
    <row r="74" spans="1:14" x14ac:dyDescent="0.35">
      <c r="A74" s="2">
        <v>44120</v>
      </c>
      <c r="B74" s="3">
        <v>2.3508735795414002</v>
      </c>
      <c r="C74" s="3">
        <v>3.563632538337</v>
      </c>
      <c r="D74" s="3">
        <v>3.3812853425141398</v>
      </c>
      <c r="E74" s="3">
        <v>2.8130516736303401</v>
      </c>
      <c r="F74" s="3">
        <v>2.3994510473343902</v>
      </c>
      <c r="G74" s="3">
        <v>2.9640610033211998</v>
      </c>
      <c r="H74" s="3">
        <v>4.2957169709098402</v>
      </c>
      <c r="I74" s="3">
        <v>0.77661825278512397</v>
      </c>
      <c r="J74" s="3">
        <v>1.71781404486712</v>
      </c>
      <c r="K74" s="3">
        <v>3.2063652959522302</v>
      </c>
      <c r="L74" s="3">
        <v>2.2722668399922901</v>
      </c>
      <c r="M74" s="3">
        <v>3.02064307021978</v>
      </c>
      <c r="N74" s="3">
        <v>4.1389315143047503</v>
      </c>
    </row>
    <row r="75" spans="1:14" x14ac:dyDescent="0.35">
      <c r="A75" s="2">
        <v>44153</v>
      </c>
      <c r="B75" s="3">
        <v>2.3743276148835601</v>
      </c>
      <c r="C75" s="3">
        <v>3.4400316855813902</v>
      </c>
      <c r="D75" s="3">
        <v>3.24993057913247</v>
      </c>
      <c r="E75" s="3">
        <v>2.82592670791488</v>
      </c>
      <c r="F75" s="3">
        <v>2.2559201182264301</v>
      </c>
      <c r="G75" s="3">
        <v>2.8671514521377599</v>
      </c>
      <c r="H75" s="3">
        <v>3.9890243786099702</v>
      </c>
      <c r="I75" s="3">
        <v>0.77894448636347502</v>
      </c>
      <c r="J75" s="3">
        <v>1.6793346449465301</v>
      </c>
      <c r="K75" s="3">
        <v>2.9026267981707599</v>
      </c>
      <c r="L75" s="3">
        <v>2.1772105575077898</v>
      </c>
      <c r="M75" s="3">
        <v>3.01139285411739</v>
      </c>
      <c r="N75" s="3">
        <v>3.94143905936604</v>
      </c>
    </row>
    <row r="76" spans="1:14" x14ac:dyDescent="0.35">
      <c r="A76" s="2">
        <v>44183</v>
      </c>
      <c r="B76" s="3">
        <v>2.4570721175054202</v>
      </c>
      <c r="C76" s="3">
        <v>3.5239176249223401</v>
      </c>
      <c r="D76" s="3">
        <v>3.0995648698029599</v>
      </c>
      <c r="E76" s="3">
        <v>2.7225440419298499</v>
      </c>
      <c r="F76" s="3">
        <v>2.1532169357397701</v>
      </c>
      <c r="G76" s="3">
        <v>2.86796468733837</v>
      </c>
      <c r="H76" s="3">
        <v>3.9052527191005901</v>
      </c>
      <c r="I76" s="3">
        <v>0.73249044853358702</v>
      </c>
      <c r="J76" s="3">
        <v>1.6218424697338401</v>
      </c>
      <c r="K76" s="3">
        <v>2.9323298858381102</v>
      </c>
      <c r="L76" s="3">
        <v>2.0298932107918</v>
      </c>
      <c r="M76" s="3">
        <v>3.07896189058863</v>
      </c>
      <c r="N76" s="3">
        <v>3.9576184699139501</v>
      </c>
    </row>
    <row r="77" spans="1:14" x14ac:dyDescent="0.35">
      <c r="A77" s="2">
        <v>44211</v>
      </c>
      <c r="B77" s="3">
        <v>2.4548774849795501</v>
      </c>
      <c r="C77" s="3">
        <v>3.5583476738301298</v>
      </c>
      <c r="D77" s="3">
        <v>3.0200216379905198</v>
      </c>
      <c r="E77" s="3">
        <v>2.7331999532903701</v>
      </c>
      <c r="F77" s="3">
        <v>2.08552423780485</v>
      </c>
      <c r="G77" s="3">
        <v>2.8036622943743001</v>
      </c>
      <c r="H77" s="3">
        <v>3.8925618954154899</v>
      </c>
      <c r="I77" s="3">
        <v>0.77115176063707702</v>
      </c>
      <c r="J77" s="3">
        <v>1.5775018541357499</v>
      </c>
      <c r="K77" s="3">
        <v>2.9280442885501201</v>
      </c>
      <c r="L77" s="3">
        <v>1.9660691004843001</v>
      </c>
      <c r="M77" s="3">
        <v>3.0125419278932899</v>
      </c>
      <c r="N77" s="3">
        <v>3.9855176020304999</v>
      </c>
    </row>
    <row r="78" spans="1:14" x14ac:dyDescent="0.35">
      <c r="A78" s="2">
        <v>44245</v>
      </c>
      <c r="B78" s="3">
        <v>2.5455681521549098</v>
      </c>
      <c r="C78" s="3">
        <v>3.80181452331498</v>
      </c>
      <c r="D78" s="3">
        <v>2.9361924690924299</v>
      </c>
      <c r="E78" s="3">
        <v>2.7730112236892599</v>
      </c>
      <c r="F78" s="3">
        <v>2.02397939010865</v>
      </c>
      <c r="G78" s="3">
        <v>2.8453936735807699</v>
      </c>
      <c r="H78" s="3">
        <v>4.0059470366676102</v>
      </c>
      <c r="I78" s="3">
        <v>0.73149485038392603</v>
      </c>
      <c r="J78" s="3">
        <v>1.53431158493221</v>
      </c>
      <c r="K78" s="3">
        <v>2.8615864778622</v>
      </c>
      <c r="L78" s="3">
        <v>1.9152335332455299</v>
      </c>
      <c r="M78" s="3">
        <v>2.98608638530134</v>
      </c>
      <c r="N78" s="3">
        <v>4.0406466001100103</v>
      </c>
    </row>
    <row r="79" spans="1:14" x14ac:dyDescent="0.35">
      <c r="A79" s="2">
        <v>44273</v>
      </c>
      <c r="B79" s="3">
        <v>2.5634635632188099</v>
      </c>
      <c r="C79" s="3">
        <v>3.9028386466712099</v>
      </c>
      <c r="D79" s="3">
        <v>2.8242140133316198</v>
      </c>
      <c r="E79" s="3">
        <v>2.7219216175739001</v>
      </c>
      <c r="F79" s="3">
        <v>2.0076395737588002</v>
      </c>
      <c r="G79" s="3">
        <v>2.82070277581892</v>
      </c>
      <c r="H79" s="3">
        <v>3.9538872024196499</v>
      </c>
      <c r="I79" s="3">
        <v>0.78487934348060895</v>
      </c>
      <c r="J79" s="3">
        <v>1.54431497302986</v>
      </c>
      <c r="K79" s="3">
        <v>2.73683567236499</v>
      </c>
      <c r="L79" s="3">
        <v>2.0075282883646302</v>
      </c>
      <c r="M79" s="3">
        <v>2.7757278594805799</v>
      </c>
      <c r="N79" s="3">
        <v>4.0134632437123603</v>
      </c>
    </row>
    <row r="80" spans="1:14" x14ac:dyDescent="0.35">
      <c r="A80" s="2">
        <v>44302</v>
      </c>
      <c r="B80" s="3">
        <v>2.56196761103753</v>
      </c>
      <c r="C80" s="3">
        <v>3.85939080492063</v>
      </c>
      <c r="D80" s="3">
        <v>2.7230741778681602</v>
      </c>
      <c r="E80" s="3">
        <v>2.6676954452608301</v>
      </c>
      <c r="F80" s="3">
        <v>2.0749365642255002</v>
      </c>
      <c r="G80" s="3">
        <v>2.71758254894283</v>
      </c>
      <c r="H80" s="3">
        <v>3.9285401671464202</v>
      </c>
      <c r="I80" s="3">
        <v>0.717547955641339</v>
      </c>
      <c r="J80" s="3">
        <v>1.45404539052768</v>
      </c>
      <c r="K80" s="3">
        <v>2.6792813061910898</v>
      </c>
      <c r="L80" s="3">
        <v>1.90607267115916</v>
      </c>
      <c r="M80" s="3">
        <v>2.6773996898131398</v>
      </c>
      <c r="N80" s="3">
        <v>4.0613448081006602</v>
      </c>
    </row>
    <row r="81" spans="1:14" x14ac:dyDescent="0.35">
      <c r="A81" s="2">
        <v>44334</v>
      </c>
      <c r="B81" s="3">
        <v>2.6755476763515702</v>
      </c>
      <c r="C81" s="3">
        <v>3.9078759548210402</v>
      </c>
      <c r="D81" s="3">
        <v>2.69682280433861</v>
      </c>
      <c r="E81" s="3">
        <v>2.8189826786786201</v>
      </c>
      <c r="F81" s="3">
        <v>2.1804141444546401</v>
      </c>
      <c r="G81" s="3">
        <v>2.7533963869185101</v>
      </c>
      <c r="H81" s="3">
        <v>3.8970713718475798</v>
      </c>
      <c r="I81" s="3">
        <v>0.76526326627354502</v>
      </c>
      <c r="J81" s="3">
        <v>1.48163759911352</v>
      </c>
      <c r="K81" s="3">
        <v>2.7173709490507498</v>
      </c>
      <c r="L81" s="3">
        <v>1.9997980905073001</v>
      </c>
      <c r="M81" s="3">
        <v>2.8348219765155398</v>
      </c>
      <c r="N81" s="3">
        <v>4.1616815629889699</v>
      </c>
    </row>
    <row r="82" spans="1:14" x14ac:dyDescent="0.35">
      <c r="A82" s="2">
        <v>44365</v>
      </c>
      <c r="B82" s="3">
        <v>2.6800170529841201</v>
      </c>
      <c r="C82" s="3">
        <v>3.8846471633619699</v>
      </c>
      <c r="D82" s="3">
        <v>2.5696987593841198</v>
      </c>
      <c r="E82" s="3">
        <v>2.8207464505728601</v>
      </c>
      <c r="F82" s="3">
        <v>2.1782634439692701</v>
      </c>
      <c r="G82" s="3">
        <v>2.6349121133845101</v>
      </c>
      <c r="H82" s="3">
        <v>3.9780211148168099</v>
      </c>
      <c r="I82" s="3">
        <v>0.72745025903482596</v>
      </c>
      <c r="J82" s="3">
        <v>1.4815613034075501</v>
      </c>
      <c r="K82" s="3">
        <v>2.6689572497782401</v>
      </c>
      <c r="L82" s="3">
        <v>2.0167395512925101</v>
      </c>
      <c r="M82" s="3">
        <v>2.7103086158430201</v>
      </c>
      <c r="N82" s="3">
        <v>4.1161787737800601</v>
      </c>
    </row>
    <row r="83" spans="1:14" x14ac:dyDescent="0.35">
      <c r="A83" s="2">
        <v>44393</v>
      </c>
      <c r="B83" s="3">
        <v>2.6168884227616198</v>
      </c>
      <c r="C83" s="3">
        <v>4.1867600030224397</v>
      </c>
      <c r="D83" s="3">
        <v>2.7296592570947298</v>
      </c>
      <c r="E83" s="3">
        <v>2.8344763369145101</v>
      </c>
      <c r="F83" s="3">
        <v>2.2254558074651198</v>
      </c>
      <c r="G83" s="3">
        <v>2.6219549008539298</v>
      </c>
      <c r="H83" s="3">
        <v>4.0836000148769998</v>
      </c>
      <c r="I83" s="3">
        <v>0.69988427742844095</v>
      </c>
      <c r="J83" s="3">
        <v>1.4472008049240499</v>
      </c>
      <c r="K83" s="3">
        <v>2.7357914630228599</v>
      </c>
      <c r="L83" s="3">
        <v>2.0199678822427298</v>
      </c>
      <c r="M83" s="3">
        <v>2.6839107220719298</v>
      </c>
      <c r="N83" s="3">
        <v>4.2401707888096603</v>
      </c>
    </row>
    <row r="84" spans="1:14" x14ac:dyDescent="0.35">
      <c r="A84" s="2">
        <v>44426</v>
      </c>
      <c r="B84" s="3">
        <v>2.6821496365394801</v>
      </c>
      <c r="C84" s="3">
        <v>4.0752907930520701</v>
      </c>
      <c r="D84" s="3">
        <v>2.7057921653586599</v>
      </c>
      <c r="E84" s="3">
        <v>2.8216845808183701</v>
      </c>
      <c r="F84" s="3">
        <v>2.2709275802178999</v>
      </c>
      <c r="G84" s="3">
        <v>2.53677680783492</v>
      </c>
      <c r="H84" s="3">
        <v>4.1607524535830498</v>
      </c>
      <c r="I84" s="3">
        <v>0.71217925140296301</v>
      </c>
      <c r="J84" s="3">
        <v>1.4347505081663099</v>
      </c>
      <c r="K84" s="3">
        <v>2.7162775661624798</v>
      </c>
      <c r="L84" s="3">
        <v>1.8625831016907599</v>
      </c>
      <c r="M84" s="3">
        <v>2.7426545231116499</v>
      </c>
      <c r="N84" s="3">
        <v>4.3060691747673197</v>
      </c>
    </row>
    <row r="85" spans="1:14" x14ac:dyDescent="0.35">
      <c r="A85" s="2">
        <v>44456</v>
      </c>
      <c r="B85" s="3">
        <v>2.5871272433624202</v>
      </c>
      <c r="C85" s="3">
        <v>4.0988890259380097</v>
      </c>
      <c r="D85" s="3">
        <v>2.7573898511344299</v>
      </c>
      <c r="E85" s="3">
        <v>2.9137904762881002</v>
      </c>
      <c r="F85" s="3">
        <v>2.12690369398993</v>
      </c>
      <c r="G85" s="3">
        <v>2.6748487709520798</v>
      </c>
      <c r="H85" s="3">
        <v>4.2859965083081102</v>
      </c>
      <c r="I85" s="3">
        <v>0.69341769161091105</v>
      </c>
      <c r="J85" s="3">
        <v>1.4317390254360201</v>
      </c>
      <c r="K85" s="3">
        <v>2.82232915360796</v>
      </c>
      <c r="L85" s="3">
        <v>1.8533731992384701</v>
      </c>
      <c r="M85" s="3">
        <v>2.7829165943882299</v>
      </c>
      <c r="N85" s="3">
        <v>4.5441278435050299</v>
      </c>
    </row>
    <row r="86" spans="1:14" x14ac:dyDescent="0.35">
      <c r="A86" s="2">
        <v>44487</v>
      </c>
      <c r="B86" s="3">
        <v>2.6823882137311998</v>
      </c>
      <c r="C86" s="3">
        <v>3.9756501053590698</v>
      </c>
      <c r="D86" s="3">
        <v>2.6917034542998302</v>
      </c>
      <c r="E86" s="3">
        <v>2.9600232080267799</v>
      </c>
      <c r="F86" s="3">
        <v>2.2162578480402901</v>
      </c>
      <c r="G86" s="3">
        <v>2.6927693780870001</v>
      </c>
      <c r="H86" s="3">
        <v>4.0634886790972304</v>
      </c>
      <c r="I86" s="3">
        <v>0.70109033533562404</v>
      </c>
      <c r="J86" s="3">
        <v>1.4242495444055701</v>
      </c>
      <c r="K86" s="3">
        <v>2.8417762864840799</v>
      </c>
      <c r="L86" s="3">
        <v>1.93470912152366</v>
      </c>
      <c r="M86" s="3">
        <v>2.82523628964314</v>
      </c>
      <c r="N86" s="3">
        <v>4.4328295515136604</v>
      </c>
    </row>
    <row r="87" spans="1:14" x14ac:dyDescent="0.35">
      <c r="A87" s="2">
        <v>44518</v>
      </c>
      <c r="B87" s="3">
        <v>2.7397573752469802</v>
      </c>
      <c r="C87" s="3">
        <v>4.0281612875677402</v>
      </c>
      <c r="D87" s="3">
        <v>2.6808689875264302</v>
      </c>
      <c r="E87" s="3">
        <v>2.9302347765838701</v>
      </c>
      <c r="F87" s="3">
        <v>2.2232900500629502</v>
      </c>
      <c r="G87" s="3">
        <v>2.5785957714341001</v>
      </c>
      <c r="H87" s="3">
        <v>4.0513452960384999</v>
      </c>
      <c r="I87" s="3">
        <v>0.65535676704699597</v>
      </c>
      <c r="J87" s="3">
        <v>1.36648308499505</v>
      </c>
      <c r="K87" s="3">
        <v>2.7174409842220699</v>
      </c>
      <c r="L87" s="3">
        <v>1.8370855414713501</v>
      </c>
      <c r="M87" s="3">
        <v>2.9347462140890399</v>
      </c>
      <c r="N87" s="3">
        <v>4.3262713546601903</v>
      </c>
    </row>
    <row r="88" spans="1:14" x14ac:dyDescent="0.35">
      <c r="A88" s="2">
        <v>44547</v>
      </c>
      <c r="B88" s="3">
        <v>2.80549714770734</v>
      </c>
      <c r="C88" s="3">
        <v>3.9639030979513099</v>
      </c>
      <c r="D88" s="3">
        <v>2.8303968065485101</v>
      </c>
      <c r="E88" s="3">
        <v>3.0832612230940799</v>
      </c>
      <c r="F88" s="3">
        <v>2.3180880793346699</v>
      </c>
      <c r="G88" s="3">
        <v>2.5667918363654101</v>
      </c>
      <c r="H88" s="3">
        <v>4.0181180114556003</v>
      </c>
      <c r="I88" s="3">
        <v>0.68901613491329405</v>
      </c>
      <c r="J88" s="3">
        <v>1.3973226708476401</v>
      </c>
      <c r="K88" s="3">
        <v>2.8235404339616199</v>
      </c>
      <c r="L88" s="3">
        <v>2.0080865730905901</v>
      </c>
      <c r="M88" s="3">
        <v>2.9709718583108198</v>
      </c>
      <c r="N88" s="3">
        <v>4.6980861489123402</v>
      </c>
    </row>
    <row r="89" spans="1:14" x14ac:dyDescent="0.35">
      <c r="A89" s="2">
        <v>44579</v>
      </c>
      <c r="B89" s="3">
        <v>2.8423846946604101</v>
      </c>
      <c r="C89" s="3">
        <v>3.9023644807150499</v>
      </c>
      <c r="D89" s="3">
        <v>2.7744136345031398</v>
      </c>
      <c r="E89" s="3">
        <v>3.0909988143469902</v>
      </c>
      <c r="F89" s="3">
        <v>2.3500634997470402</v>
      </c>
      <c r="G89" s="3">
        <v>2.6374684294163302</v>
      </c>
      <c r="H89" s="3">
        <v>3.8367724338023699</v>
      </c>
      <c r="I89" s="3">
        <v>0.71902365494421305</v>
      </c>
      <c r="J89" s="3">
        <v>1.4160912631221001</v>
      </c>
      <c r="K89" s="3">
        <v>2.7848655041310302</v>
      </c>
      <c r="L89" s="3">
        <v>2.0381776718687199</v>
      </c>
      <c r="M89" s="3">
        <v>2.8128042333196999</v>
      </c>
      <c r="N89" s="3">
        <v>4.6353266907718096</v>
      </c>
    </row>
    <row r="90" spans="1:14" x14ac:dyDescent="0.35">
      <c r="A90" s="2">
        <v>44610</v>
      </c>
      <c r="B90" s="3">
        <v>2.9952490748079099</v>
      </c>
      <c r="C90" s="3">
        <v>4.30660238177812</v>
      </c>
      <c r="D90" s="3">
        <v>2.8585204937616999</v>
      </c>
      <c r="E90" s="3">
        <v>3.3003062287563498</v>
      </c>
      <c r="F90" s="3">
        <v>2.4766958085923898</v>
      </c>
      <c r="G90" s="3">
        <v>2.7905322967172399</v>
      </c>
      <c r="H90" s="3">
        <v>3.8398534386634799</v>
      </c>
      <c r="I90" s="3">
        <v>0.79325830148419896</v>
      </c>
      <c r="J90" s="3">
        <v>1.5129010373208001</v>
      </c>
      <c r="K90" s="3">
        <v>2.95092870446708</v>
      </c>
      <c r="L90" s="3">
        <v>2.25422523485055</v>
      </c>
      <c r="M90" s="3">
        <v>3.0671692808295199</v>
      </c>
      <c r="N90" s="3">
        <v>4.8796410217421498</v>
      </c>
    </row>
    <row r="91" spans="1:14" x14ac:dyDescent="0.35">
      <c r="A91" s="2">
        <v>44638</v>
      </c>
      <c r="B91" s="3">
        <v>3.0189098686923801</v>
      </c>
      <c r="C91" s="3">
        <v>4.2344433632073599</v>
      </c>
      <c r="D91" s="3">
        <v>2.7928780834366198</v>
      </c>
      <c r="E91" s="3">
        <v>3.5096291545212801</v>
      </c>
      <c r="F91" s="3">
        <v>2.5549983161112002</v>
      </c>
      <c r="G91" s="3">
        <v>2.7719871706838202</v>
      </c>
      <c r="H91" s="3">
        <v>3.9907296703925002</v>
      </c>
      <c r="I91" s="3">
        <v>0.78066427087649704</v>
      </c>
      <c r="J91" s="3">
        <v>1.4777763932633401</v>
      </c>
      <c r="K91" s="3">
        <v>3.1086417118026102</v>
      </c>
      <c r="L91" s="3">
        <v>2.2457920874747099</v>
      </c>
      <c r="M91" s="3">
        <v>3.0245180138832599</v>
      </c>
      <c r="N91" s="3">
        <v>5.2268303707849002</v>
      </c>
    </row>
    <row r="92" spans="1:14" x14ac:dyDescent="0.35">
      <c r="A92" s="2">
        <v>44669</v>
      </c>
      <c r="B92" s="3">
        <v>3.1381217088179398</v>
      </c>
      <c r="C92" s="3">
        <v>4.3577323841504496</v>
      </c>
      <c r="D92" s="3">
        <v>2.8270905514185798</v>
      </c>
      <c r="E92" s="3">
        <v>3.62973193495605</v>
      </c>
      <c r="F92" s="3">
        <v>2.6051552670175502</v>
      </c>
      <c r="G92" s="3">
        <v>2.7526643114590001</v>
      </c>
      <c r="H92" s="3">
        <v>3.9418946645350399</v>
      </c>
      <c r="I92" s="3">
        <v>0.81219297801781798</v>
      </c>
      <c r="J92" s="3">
        <v>1.5022010045659899</v>
      </c>
      <c r="K92" s="3">
        <v>3.1314265705461901</v>
      </c>
      <c r="L92" s="3">
        <v>2.3221374940576802</v>
      </c>
      <c r="M92" s="3">
        <v>3.1672070393875602</v>
      </c>
      <c r="N92" s="3">
        <v>5.0396047168004996</v>
      </c>
    </row>
    <row r="93" spans="1:14" x14ac:dyDescent="0.35">
      <c r="A93" s="2">
        <v>44699</v>
      </c>
      <c r="B93" s="3">
        <v>3.2147365680067601</v>
      </c>
      <c r="C93" s="3">
        <v>4.6548764627841903</v>
      </c>
      <c r="D93" s="3">
        <v>3.1821816272089101</v>
      </c>
      <c r="E93" s="3">
        <v>3.8470083351612199</v>
      </c>
      <c r="F93" s="3">
        <v>2.6304507883805699</v>
      </c>
      <c r="G93" s="3">
        <v>2.99036375158156</v>
      </c>
      <c r="H93" s="3">
        <v>4.1293689492446104</v>
      </c>
      <c r="I93" s="3">
        <v>0.95225285779444702</v>
      </c>
      <c r="J93" s="3">
        <v>1.69191964353161</v>
      </c>
      <c r="K93" s="3">
        <v>3.27003661140935</v>
      </c>
      <c r="L93" s="3">
        <v>2.57658700968455</v>
      </c>
      <c r="M93" s="3">
        <v>3.4230041499099899</v>
      </c>
      <c r="N93" s="3">
        <v>5.18540972927764</v>
      </c>
    </row>
    <row r="94" spans="1:14" x14ac:dyDescent="0.35">
      <c r="A94" s="2">
        <v>44729</v>
      </c>
      <c r="B94" s="3">
        <v>3.4612412178330301</v>
      </c>
      <c r="C94" s="3">
        <v>5.33004498627038</v>
      </c>
      <c r="D94" s="3">
        <v>3.4009912736141801</v>
      </c>
      <c r="E94" s="3">
        <v>4.09883634768671</v>
      </c>
      <c r="F94" s="3">
        <v>2.7456989667475198</v>
      </c>
      <c r="G94" s="3">
        <v>3.3002602220363699</v>
      </c>
      <c r="H94" s="3">
        <v>4.4303737417631197</v>
      </c>
      <c r="I94" s="3">
        <v>1.01538265484701</v>
      </c>
      <c r="J94" s="3">
        <v>1.8198201387810899</v>
      </c>
      <c r="K94" s="3">
        <v>3.5554169336727401</v>
      </c>
      <c r="L94" s="3">
        <v>3.56862725578815</v>
      </c>
      <c r="M94" s="3">
        <v>3.6213600993498898</v>
      </c>
      <c r="N94" s="3">
        <v>5.8282754112832302</v>
      </c>
    </row>
    <row r="95" spans="1:14" x14ac:dyDescent="0.35">
      <c r="A95" s="2">
        <v>44760</v>
      </c>
      <c r="B95" s="3">
        <v>3.32956350380549</v>
      </c>
      <c r="C95" s="3">
        <v>5.1433286953807897</v>
      </c>
      <c r="D95" s="3">
        <v>3.4742192552584799</v>
      </c>
      <c r="E95" s="3">
        <v>4.1680606392705597</v>
      </c>
      <c r="F95" s="3">
        <v>2.67359767102896</v>
      </c>
      <c r="G95" s="3">
        <v>3.1367401025461699</v>
      </c>
      <c r="H95" s="3">
        <v>4.3030366866936403</v>
      </c>
      <c r="I95" s="3">
        <v>0.97142837586894704</v>
      </c>
      <c r="J95" s="3">
        <v>1.7582789600840001</v>
      </c>
      <c r="K95" s="3">
        <v>3.4511619891196399</v>
      </c>
      <c r="L95" s="3">
        <v>3.3148485032008899</v>
      </c>
      <c r="M95" s="3">
        <v>3.6935595669253698</v>
      </c>
      <c r="N95" s="3">
        <v>6.01984708693832</v>
      </c>
    </row>
    <row r="96" spans="1:14" x14ac:dyDescent="0.35">
      <c r="A96" s="2">
        <v>44791</v>
      </c>
      <c r="B96" s="3">
        <v>3.1260000109806501</v>
      </c>
      <c r="C96" s="3">
        <v>4.6745277393420199</v>
      </c>
      <c r="D96" s="3">
        <v>3.2742628818657402</v>
      </c>
      <c r="E96" s="3">
        <v>3.9525424273890999</v>
      </c>
      <c r="F96" s="3">
        <v>2.5523856480738298</v>
      </c>
      <c r="G96" s="3">
        <v>3.08401111235922</v>
      </c>
      <c r="H96" s="3">
        <v>4.1829462727164097</v>
      </c>
      <c r="I96" s="3">
        <v>0.85791852200777596</v>
      </c>
      <c r="J96" s="3">
        <v>1.5878973952595801</v>
      </c>
      <c r="K96" s="3">
        <v>3.2653247172387001</v>
      </c>
      <c r="L96" s="3">
        <v>3.0548806332766301</v>
      </c>
      <c r="M96" s="3">
        <v>3.4634265925325201</v>
      </c>
      <c r="N96" s="3">
        <v>5.5406839233824696</v>
      </c>
    </row>
    <row r="97" spans="1:14" x14ac:dyDescent="0.35">
      <c r="A97" s="2">
        <v>44820</v>
      </c>
      <c r="B97" s="3">
        <v>3.2615933066761298</v>
      </c>
      <c r="C97" s="3">
        <v>5.00216648526927</v>
      </c>
      <c r="D97" s="3">
        <v>3.4389691086368499</v>
      </c>
      <c r="E97" s="3">
        <v>4.2412582501728302</v>
      </c>
      <c r="F97" s="3">
        <v>2.6438690374003802</v>
      </c>
      <c r="G97" s="3">
        <v>3.2865422619023001</v>
      </c>
      <c r="H97" s="3">
        <v>4.4971657481470402</v>
      </c>
      <c r="I97" s="3">
        <v>0.98394542344713498</v>
      </c>
      <c r="J97" s="3">
        <v>1.7681146933510901</v>
      </c>
      <c r="K97" s="3">
        <v>3.55273026878718</v>
      </c>
      <c r="L97" s="3">
        <v>3.76103819988329</v>
      </c>
      <c r="M97" s="3">
        <v>3.7733874231824398</v>
      </c>
      <c r="N97" s="3">
        <v>5.64220026183468</v>
      </c>
    </row>
    <row r="98" spans="1:14" x14ac:dyDescent="0.35">
      <c r="A98" s="2">
        <v>44852</v>
      </c>
      <c r="B98" s="3">
        <v>3.4751098962651201</v>
      </c>
      <c r="C98" s="3">
        <v>5.0776176379499498</v>
      </c>
      <c r="D98" s="3">
        <v>3.5532437684851699</v>
      </c>
      <c r="E98" s="3">
        <v>4.2373817860985801</v>
      </c>
      <c r="F98" s="3">
        <v>2.7174148542379899</v>
      </c>
      <c r="G98" s="3">
        <v>3.3314124220092101</v>
      </c>
      <c r="H98" s="3">
        <v>4.6266715084833203</v>
      </c>
      <c r="I98" s="3">
        <v>1.0576065125663501</v>
      </c>
      <c r="J98" s="3">
        <v>1.84884904484901</v>
      </c>
      <c r="K98" s="3">
        <v>3.5946335711031501</v>
      </c>
      <c r="L98" s="3">
        <v>3.0647799511138798</v>
      </c>
      <c r="M98" s="3">
        <v>3.6251836210607</v>
      </c>
      <c r="N98" s="3">
        <v>5.9927189379171999</v>
      </c>
    </row>
    <row r="99" spans="1:14" x14ac:dyDescent="0.35">
      <c r="A99" s="2">
        <v>44883</v>
      </c>
      <c r="B99" s="3">
        <v>3.3531564018156299</v>
      </c>
      <c r="C99" s="3">
        <v>4.6226268235425501</v>
      </c>
      <c r="D99" s="3">
        <v>3.3173595650546002</v>
      </c>
      <c r="E99" s="3">
        <v>3.7497686043425702</v>
      </c>
      <c r="F99" s="3">
        <v>2.6188371093381</v>
      </c>
      <c r="G99" s="3">
        <v>3.1358297507028698</v>
      </c>
      <c r="H99" s="3">
        <v>4.2907467887750697</v>
      </c>
      <c r="I99" s="3">
        <v>1.01802801990833</v>
      </c>
      <c r="J99" s="3">
        <v>1.7470929930489401</v>
      </c>
      <c r="K99" s="3">
        <v>3.2977760910196499</v>
      </c>
      <c r="L99" s="3">
        <v>2.6782219975966899</v>
      </c>
      <c r="M99" s="3">
        <v>3.6198696990263</v>
      </c>
      <c r="N99" s="3">
        <v>5.43747334441652</v>
      </c>
    </row>
    <row r="100" spans="1:14" x14ac:dyDescent="0.35">
      <c r="A100" s="2">
        <v>44911</v>
      </c>
      <c r="B100" s="3">
        <v>3.4301381510476001</v>
      </c>
      <c r="C100" s="3">
        <v>4.5937799131556503</v>
      </c>
      <c r="D100" s="3">
        <v>3.4478167458828</v>
      </c>
      <c r="E100" s="3">
        <v>3.8711052914781501</v>
      </c>
      <c r="F100" s="3">
        <v>2.6661280394617699</v>
      </c>
      <c r="G100" s="3">
        <v>3.2259846077048699</v>
      </c>
      <c r="H100" s="3">
        <v>4.34311824262294</v>
      </c>
      <c r="I100" s="3">
        <v>1.0521387708413501</v>
      </c>
      <c r="J100" s="3">
        <v>1.8007588966306101</v>
      </c>
      <c r="K100" s="3">
        <v>3.3919440950014201</v>
      </c>
      <c r="L100" s="3">
        <v>2.74083458646794</v>
      </c>
      <c r="M100" s="3">
        <v>3.72742535226228</v>
      </c>
      <c r="N100" s="3">
        <v>5.9365064880810596</v>
      </c>
    </row>
    <row r="101" spans="1:14" x14ac:dyDescent="0.35">
      <c r="A101" s="2">
        <v>44944</v>
      </c>
      <c r="B101" s="3">
        <v>3.3453830484683502</v>
      </c>
      <c r="C101" s="3">
        <v>4.3410528978003704</v>
      </c>
      <c r="D101" s="3">
        <v>3.3317557389597399</v>
      </c>
      <c r="E101" s="3">
        <v>3.5002689341326301</v>
      </c>
      <c r="F101" s="3">
        <v>2.6782111433377498</v>
      </c>
      <c r="G101" s="3">
        <v>3.03228918937856</v>
      </c>
      <c r="H101" s="3">
        <v>4.0355022390162603</v>
      </c>
      <c r="I101" s="3">
        <v>0.99987348974047197</v>
      </c>
      <c r="J101" s="3">
        <v>1.7727352699704599</v>
      </c>
      <c r="K101" s="3">
        <v>3.0994186201101401</v>
      </c>
      <c r="L101" s="3">
        <v>2.55537702073432</v>
      </c>
      <c r="M101" s="3">
        <v>3.4878447293247001</v>
      </c>
      <c r="N101" s="3">
        <v>5.4265950514656298</v>
      </c>
    </row>
    <row r="102" spans="1:14" x14ac:dyDescent="0.35">
      <c r="A102" s="2">
        <v>44974</v>
      </c>
      <c r="B102" s="3">
        <v>3.23639465055339</v>
      </c>
      <c r="C102" s="3">
        <v>4.3951920127213997</v>
      </c>
      <c r="D102" s="3">
        <v>3.2829227937189001</v>
      </c>
      <c r="E102" s="3">
        <v>3.45665631255926</v>
      </c>
      <c r="F102" s="3">
        <v>2.6086980218951599</v>
      </c>
      <c r="G102" s="3">
        <v>3.0775083937952501</v>
      </c>
      <c r="H102" s="3">
        <v>4.0580528952088102</v>
      </c>
      <c r="I102" s="3">
        <v>0.935291053455646</v>
      </c>
      <c r="J102" s="3">
        <v>1.7191033146010699</v>
      </c>
      <c r="K102" s="3">
        <v>3.10114352229097</v>
      </c>
      <c r="L102" s="3">
        <v>2.5548196332876301</v>
      </c>
      <c r="M102" s="3">
        <v>3.5212615386703798</v>
      </c>
      <c r="N102" s="3">
        <v>5.3983730723751604</v>
      </c>
    </row>
    <row r="103" spans="1:14" x14ac:dyDescent="0.35">
      <c r="A103" s="2">
        <v>45002</v>
      </c>
      <c r="B103" s="3">
        <v>3.5005369989165702</v>
      </c>
      <c r="C103" s="3">
        <v>4.66241896443226</v>
      </c>
      <c r="D103" s="3">
        <v>3.4755740267173501</v>
      </c>
      <c r="E103" s="3">
        <v>3.72225811670849</v>
      </c>
      <c r="F103" s="3">
        <v>2.6645857249173202</v>
      </c>
      <c r="G103" s="3">
        <v>3.2986505609042598</v>
      </c>
      <c r="H103" s="3">
        <v>4.44076377238357</v>
      </c>
      <c r="I103" s="3">
        <v>0.92752330099371405</v>
      </c>
      <c r="J103" s="3">
        <v>1.79417116712691</v>
      </c>
      <c r="K103" s="3">
        <v>3.3346166451640502</v>
      </c>
      <c r="L103" s="3">
        <v>2.7623079730415201</v>
      </c>
      <c r="M103" s="3">
        <v>3.8349946717837602</v>
      </c>
      <c r="N103" s="3">
        <v>5.76067849918915</v>
      </c>
    </row>
    <row r="104" spans="1:14" x14ac:dyDescent="0.35">
      <c r="A104" s="2">
        <v>45034</v>
      </c>
      <c r="B104" s="3">
        <v>3.4188794390548001</v>
      </c>
      <c r="C104" s="3">
        <v>4.3668447688924799</v>
      </c>
      <c r="D104" s="3">
        <v>3.2173004953045998</v>
      </c>
      <c r="E104" s="3">
        <v>3.4968228018491998</v>
      </c>
      <c r="F104" s="3">
        <v>2.57166123613084</v>
      </c>
      <c r="G104" s="3">
        <v>3.0917529600325802</v>
      </c>
      <c r="H104" s="3">
        <v>4.1330197943134497</v>
      </c>
      <c r="I104" s="3">
        <v>0.89102966411235296</v>
      </c>
      <c r="J104" s="3">
        <v>1.7027203597935401</v>
      </c>
      <c r="K104" s="3">
        <v>3.0949785698191201</v>
      </c>
      <c r="L104" s="3">
        <v>2.6610177753423998</v>
      </c>
      <c r="M104" s="3">
        <v>3.5948036428708701</v>
      </c>
      <c r="N104" s="3">
        <v>5.2956494760239297</v>
      </c>
    </row>
    <row r="105" spans="1:14" x14ac:dyDescent="0.35">
      <c r="A105" s="2">
        <v>45064</v>
      </c>
      <c r="B105" s="3">
        <v>3.4743872611492401</v>
      </c>
      <c r="C105" s="3">
        <v>4.4515428573529503</v>
      </c>
      <c r="D105" s="3">
        <v>3.2655542727262699</v>
      </c>
      <c r="E105" s="3">
        <v>3.5610312249640099</v>
      </c>
      <c r="F105" s="3">
        <v>2.4537011199167398</v>
      </c>
      <c r="G105" s="3">
        <v>3.11834434164922</v>
      </c>
      <c r="H105" s="3">
        <v>4.2986741012850702</v>
      </c>
      <c r="I105" s="3">
        <v>0.82837141896789002</v>
      </c>
      <c r="J105" s="3">
        <v>1.68118464070195</v>
      </c>
      <c r="K105" s="3">
        <v>3.1838360584893901</v>
      </c>
      <c r="L105" s="3">
        <v>2.6601652716847499</v>
      </c>
      <c r="M105" s="3">
        <v>3.75363295868208</v>
      </c>
      <c r="N105" s="3">
        <v>5.58341402501358</v>
      </c>
    </row>
    <row r="106" spans="1:14" x14ac:dyDescent="0.35">
      <c r="A106" s="2">
        <v>45093</v>
      </c>
      <c r="B106" s="3">
        <v>3.4676137145413199</v>
      </c>
      <c r="C106" s="3">
        <v>4.29993057778396</v>
      </c>
      <c r="D106" s="3">
        <v>3.2826745099360699</v>
      </c>
      <c r="E106" s="3">
        <v>3.5640267212909702</v>
      </c>
      <c r="F106" s="3">
        <v>2.3082976174695302</v>
      </c>
      <c r="G106" s="3">
        <v>3.13594939452627</v>
      </c>
      <c r="H106" s="3">
        <v>4.3090514784669303</v>
      </c>
      <c r="I106" s="3">
        <v>0.76737257729134101</v>
      </c>
      <c r="J106" s="3">
        <v>1.6115774864893</v>
      </c>
      <c r="K106" s="3">
        <v>3.2133504974592699</v>
      </c>
      <c r="L106" s="3">
        <v>2.6517914901438102</v>
      </c>
      <c r="M106" s="3">
        <v>3.6710127477775099</v>
      </c>
      <c r="N106" s="3">
        <v>5.3186704443465898</v>
      </c>
    </row>
    <row r="107" spans="1:14" x14ac:dyDescent="0.35">
      <c r="A107" s="2">
        <v>45125</v>
      </c>
      <c r="B107" s="3">
        <v>3.4360177651050101</v>
      </c>
      <c r="C107" s="3">
        <v>4.1938358671290201</v>
      </c>
      <c r="D107" s="3">
        <v>3.1820148724483901</v>
      </c>
      <c r="E107" s="3">
        <v>3.64736111211975</v>
      </c>
      <c r="F107" s="3">
        <v>2.3843692403325698</v>
      </c>
      <c r="G107" s="3">
        <v>3.16836354380106</v>
      </c>
      <c r="H107" s="3">
        <v>4.3721611852988103</v>
      </c>
      <c r="I107" s="3">
        <v>0.73404159744956299</v>
      </c>
      <c r="J107" s="3">
        <v>1.5637298754573099</v>
      </c>
      <c r="K107" s="3">
        <v>3.2701951465069099</v>
      </c>
      <c r="L107" s="3">
        <v>2.65972744791185</v>
      </c>
      <c r="M107" s="3">
        <v>3.7803697050095102</v>
      </c>
      <c r="N107" s="3">
        <v>5.2449863695661598</v>
      </c>
    </row>
    <row r="108" spans="1:14" x14ac:dyDescent="0.35">
      <c r="A108" s="2">
        <v>45156</v>
      </c>
      <c r="B108" s="3">
        <v>3.4865808035291002</v>
      </c>
      <c r="C108" s="3">
        <v>4.3125098188933402</v>
      </c>
      <c r="D108" s="3">
        <v>3.5628292997578801</v>
      </c>
      <c r="E108" s="3">
        <v>3.7770123079756299</v>
      </c>
      <c r="F108" s="3">
        <v>2.4424886085412401</v>
      </c>
      <c r="G108" s="3">
        <v>3.2986495433148502</v>
      </c>
      <c r="H108" s="3">
        <v>4.5816743651943002</v>
      </c>
      <c r="I108" s="3">
        <v>0.91964054901390002</v>
      </c>
      <c r="J108" s="3">
        <v>1.64277244915552</v>
      </c>
      <c r="K108" s="3">
        <v>3.3943507707107599</v>
      </c>
      <c r="L108" s="3">
        <v>2.8902836611432301</v>
      </c>
      <c r="M108" s="3">
        <v>4.0098581785954703</v>
      </c>
      <c r="N108" s="3">
        <v>5.6689418352251897</v>
      </c>
    </row>
    <row r="109" spans="1:14" x14ac:dyDescent="0.35">
      <c r="A109" s="2">
        <v>45187</v>
      </c>
      <c r="B109" s="3">
        <v>3.40403883409651</v>
      </c>
      <c r="C109" s="3">
        <v>4.1678385443176502</v>
      </c>
      <c r="D109" s="3">
        <v>3.4465524815878799</v>
      </c>
      <c r="E109" s="3">
        <v>3.7594833952784001</v>
      </c>
      <c r="F109" s="3">
        <v>2.2707812269569199</v>
      </c>
      <c r="G109" s="3">
        <v>3.2855565134420899</v>
      </c>
      <c r="H109" s="3">
        <v>4.3898380255292899</v>
      </c>
      <c r="I109" s="3">
        <v>0.89106849759683804</v>
      </c>
      <c r="J109" s="3">
        <v>1.61918673760579</v>
      </c>
      <c r="K109" s="3">
        <v>3.3490333743201002</v>
      </c>
      <c r="L109" s="3">
        <v>3.0084114172560201</v>
      </c>
      <c r="M109" s="3">
        <v>3.96341423285851</v>
      </c>
      <c r="N109" s="3">
        <v>5.4257609759871199</v>
      </c>
    </row>
    <row r="110" spans="1:14" x14ac:dyDescent="0.35">
      <c r="A110" s="2">
        <v>45217</v>
      </c>
      <c r="B110" s="3">
        <v>3.4603465061313901</v>
      </c>
      <c r="C110" s="3">
        <v>4.3283518277259301</v>
      </c>
      <c r="D110" s="3">
        <v>3.64298659972106</v>
      </c>
      <c r="E110" s="3">
        <v>3.9553236760112802</v>
      </c>
      <c r="F110" s="3">
        <v>2.4149573939615401</v>
      </c>
      <c r="G110" s="3">
        <v>3.4340204996339301</v>
      </c>
      <c r="H110" s="3">
        <v>4.4787615184391001</v>
      </c>
      <c r="I110" s="3">
        <v>0.93799602944749905</v>
      </c>
      <c r="J110" s="3">
        <v>1.68186542723611</v>
      </c>
      <c r="K110" s="3">
        <v>3.5158909862433698</v>
      </c>
      <c r="L110" s="3">
        <v>3.0832345962621899</v>
      </c>
      <c r="M110" s="3">
        <v>3.84155889640035</v>
      </c>
      <c r="N110" s="3">
        <v>5.60096260692307</v>
      </c>
    </row>
    <row r="111" spans="1:14" x14ac:dyDescent="0.35">
      <c r="A111" s="2">
        <v>45247</v>
      </c>
      <c r="B111" s="3">
        <v>3.4648363562325399</v>
      </c>
      <c r="C111" s="3">
        <v>4.33081440958179</v>
      </c>
      <c r="D111" s="3">
        <v>3.4897873037638401</v>
      </c>
      <c r="E111" s="3">
        <v>3.7074493826110499</v>
      </c>
      <c r="F111" s="3">
        <v>2.34792468435354</v>
      </c>
      <c r="G111" s="3">
        <v>3.4102648121655998</v>
      </c>
      <c r="H111" s="3">
        <v>4.4931411226121298</v>
      </c>
      <c r="I111" s="3">
        <v>0.89347477142790099</v>
      </c>
      <c r="J111" s="3">
        <v>1.6143933507011501</v>
      </c>
      <c r="K111" s="3">
        <v>3.36473063731709</v>
      </c>
      <c r="L111" s="3">
        <v>2.8226430474331199</v>
      </c>
      <c r="M111" s="3">
        <v>3.7011215030839799</v>
      </c>
      <c r="N111" s="3">
        <v>5.4884569840194404</v>
      </c>
    </row>
    <row r="112" spans="1:14" x14ac:dyDescent="0.35">
      <c r="A112" s="2">
        <v>45278</v>
      </c>
      <c r="B112" s="3">
        <v>3.0192400324854902</v>
      </c>
      <c r="C112" s="3">
        <v>4.0940561217937397</v>
      </c>
      <c r="D112" s="3">
        <v>3.40375803333048</v>
      </c>
      <c r="E112" s="3">
        <v>3.56437963684788</v>
      </c>
      <c r="F112" s="3">
        <v>2.47147525087335</v>
      </c>
      <c r="G112" s="3">
        <v>3.2955286416915999</v>
      </c>
      <c r="H112" s="3">
        <v>4.3424328450926399</v>
      </c>
      <c r="I112" s="3">
        <v>0.92115950343825803</v>
      </c>
      <c r="J112" s="3">
        <v>1.5495347396493599</v>
      </c>
      <c r="K112" s="3">
        <v>3.2278157118560999</v>
      </c>
      <c r="L112" s="3">
        <v>2.6754152391526298</v>
      </c>
      <c r="M112" s="3">
        <v>2.9522835020299998</v>
      </c>
      <c r="N112" s="3">
        <v>5.49708591385233</v>
      </c>
    </row>
    <row r="113" spans="1:25" x14ac:dyDescent="0.35">
      <c r="A113" s="2">
        <v>45309</v>
      </c>
      <c r="B113" s="3">
        <v>3.0343671677613</v>
      </c>
      <c r="C113" s="3">
        <v>4.1672340556336698</v>
      </c>
      <c r="D113" s="3">
        <v>3.3725165235483598</v>
      </c>
      <c r="E113" s="3">
        <v>3.6338650153813101</v>
      </c>
      <c r="F113" s="3">
        <v>2.2993485094781199</v>
      </c>
      <c r="G113" s="3">
        <v>3.3323338503294599</v>
      </c>
      <c r="H113" s="3">
        <v>4.4521178613106596</v>
      </c>
      <c r="I113" s="3">
        <v>0.90781987341544501</v>
      </c>
      <c r="J113" s="3">
        <v>1.5449565794148099</v>
      </c>
      <c r="K113" s="3">
        <v>3.2903829542218501</v>
      </c>
      <c r="L113" s="3">
        <v>2.7146211888285698</v>
      </c>
      <c r="M113" s="3">
        <v>3.05813118590169</v>
      </c>
      <c r="N113" s="3">
        <v>5.4290312689885196</v>
      </c>
    </row>
    <row r="114" spans="1:25" x14ac:dyDescent="0.35">
      <c r="A114" s="2">
        <v>45338</v>
      </c>
      <c r="B114" s="3">
        <v>2.9089946232426001</v>
      </c>
      <c r="C114" s="3">
        <v>3.985263797904</v>
      </c>
      <c r="D114" s="3">
        <v>3.2696186903750499</v>
      </c>
      <c r="E114" s="3">
        <v>3.4869275268411499</v>
      </c>
      <c r="F114" s="3">
        <v>2.2234595954718199</v>
      </c>
      <c r="G114" s="3">
        <v>3.32765437048938</v>
      </c>
      <c r="H114" s="3">
        <v>4.2266857397672801</v>
      </c>
      <c r="I114" s="3">
        <v>0.89431734314077604</v>
      </c>
      <c r="J114" s="3">
        <v>1.4962462413252999</v>
      </c>
      <c r="K114" s="3">
        <v>3.16782753899124</v>
      </c>
      <c r="L114" s="3">
        <v>2.4691100679790901</v>
      </c>
      <c r="M114" s="3">
        <v>3.3419916309489399</v>
      </c>
      <c r="N114" s="3">
        <v>5.4431641721073101</v>
      </c>
    </row>
    <row r="115" spans="1:25" x14ac:dyDescent="0.35">
      <c r="A115" s="2">
        <v>45369</v>
      </c>
      <c r="B115" s="3">
        <v>2.80296497140887</v>
      </c>
      <c r="C115" s="3">
        <v>4.0053024482154598</v>
      </c>
      <c r="D115" s="3">
        <v>3.1364698232751498</v>
      </c>
      <c r="E115" s="3">
        <v>3.3213128007798098</v>
      </c>
      <c r="F115" s="3">
        <v>2.17795874263724</v>
      </c>
      <c r="G115" s="3">
        <v>3.2709984566255899</v>
      </c>
      <c r="H115" s="3">
        <v>4.1366033506756699</v>
      </c>
      <c r="I115" s="3">
        <v>0.89636909305815904</v>
      </c>
      <c r="J115" s="3">
        <v>1.4573728440228499</v>
      </c>
      <c r="K115" s="3">
        <v>3.0645736682473999</v>
      </c>
      <c r="L115" s="3">
        <v>2.6057973246054398</v>
      </c>
      <c r="M115" s="3">
        <v>3.2290602626824301</v>
      </c>
      <c r="N115" s="3">
        <v>5.16784054869348</v>
      </c>
    </row>
    <row r="116" spans="1:25" x14ac:dyDescent="0.35">
      <c r="A116" s="2">
        <v>45400</v>
      </c>
      <c r="B116" s="3">
        <v>2.8005074361848501</v>
      </c>
      <c r="C116" s="3">
        <v>4.0465244946776497</v>
      </c>
      <c r="D116" s="3">
        <v>3.13946144527094</v>
      </c>
      <c r="E116" s="3">
        <v>3.3918258418108498</v>
      </c>
      <c r="F116" s="3">
        <v>2.25268216808555</v>
      </c>
      <c r="G116" s="3">
        <v>3.4050660572709002</v>
      </c>
      <c r="H116" s="3">
        <v>4.0767790816353298</v>
      </c>
      <c r="I116" s="3">
        <v>0.93147310019928398</v>
      </c>
      <c r="J116" s="3">
        <v>1.50587055819865</v>
      </c>
      <c r="K116" s="3">
        <v>3.13965201185444</v>
      </c>
      <c r="L116" s="3">
        <v>2.62691507971787</v>
      </c>
      <c r="M116" s="3">
        <v>3.3150404802856501</v>
      </c>
      <c r="N116" s="3">
        <v>5.2694555002882097</v>
      </c>
    </row>
    <row r="117" spans="1:25" x14ac:dyDescent="0.35">
      <c r="A117" s="2">
        <v>45429</v>
      </c>
      <c r="B117" s="3">
        <v>2.7322410881059298</v>
      </c>
      <c r="C117" s="3">
        <v>3.9256734010610299</v>
      </c>
      <c r="D117" s="3">
        <v>3.0227066526887798</v>
      </c>
      <c r="E117" s="3">
        <v>3.3209452633521699</v>
      </c>
      <c r="F117" s="3">
        <v>2.2197494928075199</v>
      </c>
      <c r="G117" s="3">
        <v>3.1930470821094801</v>
      </c>
      <c r="H117" s="3">
        <v>3.8110272225609001</v>
      </c>
      <c r="I117" s="3">
        <v>0.894421521009514</v>
      </c>
      <c r="J117" s="3">
        <v>1.44163634688864</v>
      </c>
      <c r="K117" s="3">
        <v>3.0761169141207199</v>
      </c>
      <c r="L117" s="3">
        <v>2.4553617049661902</v>
      </c>
      <c r="M117" s="3">
        <v>3.1966425648793999</v>
      </c>
      <c r="N117" s="3">
        <v>5.0978405053186497</v>
      </c>
    </row>
    <row r="118" spans="1:25" x14ac:dyDescent="0.35">
      <c r="A118" s="2">
        <v>45461</v>
      </c>
      <c r="B118" s="3">
        <v>2.7268836493783701</v>
      </c>
      <c r="C118" s="3">
        <v>3.91603521048861</v>
      </c>
      <c r="D118" s="3">
        <v>3.3881557502339001</v>
      </c>
      <c r="E118" s="3">
        <v>3.4520878401998898</v>
      </c>
      <c r="F118" s="3">
        <v>2.3083871688595998</v>
      </c>
      <c r="G118" s="3">
        <v>3.1960015407803901</v>
      </c>
      <c r="H118" s="3">
        <v>3.95466660771176</v>
      </c>
      <c r="I118" s="3">
        <v>0.83661767179699198</v>
      </c>
      <c r="J118" s="3">
        <v>1.4035554634296801</v>
      </c>
      <c r="K118" s="3">
        <v>3.32846386843738</v>
      </c>
      <c r="L118" s="3">
        <v>2.4526308481362298</v>
      </c>
      <c r="M118" s="3">
        <v>3.2613165521874699</v>
      </c>
      <c r="N118" s="3">
        <v>5.4502977677620397</v>
      </c>
    </row>
    <row r="119" spans="1:25" x14ac:dyDescent="0.35">
      <c r="A119" s="2">
        <v>45491</v>
      </c>
      <c r="B119" s="3">
        <v>2.6323029937041902</v>
      </c>
      <c r="C119" s="3">
        <v>3.7919712437166102</v>
      </c>
      <c r="D119" s="3">
        <v>3.22270333988692</v>
      </c>
      <c r="E119" s="3">
        <v>3.4094195205629401</v>
      </c>
      <c r="F119" s="3">
        <v>2.20873182742623</v>
      </c>
      <c r="G119" s="3">
        <v>3.1684089686789099</v>
      </c>
      <c r="H119" s="3">
        <v>3.90377535822845</v>
      </c>
      <c r="I119" s="3">
        <v>0.84402306232399105</v>
      </c>
      <c r="J119" s="3">
        <v>1.39217407474414</v>
      </c>
      <c r="K119" s="3">
        <v>3.34766539704265</v>
      </c>
      <c r="L119" s="3">
        <v>2.5235247580708799</v>
      </c>
      <c r="M119" s="3">
        <v>3.1875759308436198</v>
      </c>
      <c r="N119" s="3">
        <v>5.2732210648626303</v>
      </c>
    </row>
    <row r="120" spans="1:25" x14ac:dyDescent="0.35">
      <c r="A120" s="2">
        <v>45520</v>
      </c>
      <c r="B120" s="3">
        <v>2.5166796159214799</v>
      </c>
      <c r="C120" s="3">
        <v>3.8074155983492401</v>
      </c>
      <c r="D120" s="3">
        <v>3.1840441192167401</v>
      </c>
      <c r="E120" s="3">
        <v>3.4408792875580398</v>
      </c>
      <c r="F120" s="3">
        <v>2.3898423201291199</v>
      </c>
      <c r="G120" s="3">
        <v>3.1619608254100502</v>
      </c>
      <c r="H120" s="3">
        <v>3.8741420165127498</v>
      </c>
      <c r="I120" s="3">
        <v>0.83749266427083102</v>
      </c>
      <c r="J120" s="3">
        <v>1.3949347133199801</v>
      </c>
      <c r="K120" s="3">
        <v>3.4105621685120799</v>
      </c>
      <c r="L120" s="3">
        <v>2.6137755065702</v>
      </c>
      <c r="M120" s="3">
        <v>3.29288743935171</v>
      </c>
      <c r="N120" s="3">
        <v>5.4753917085639596</v>
      </c>
    </row>
    <row r="121" spans="1:25" x14ac:dyDescent="0.35">
      <c r="A121" s="2">
        <v>45553</v>
      </c>
      <c r="B121" s="3">
        <v>3.0590301179614401</v>
      </c>
      <c r="C121" s="3">
        <v>3.6457807268059401</v>
      </c>
      <c r="D121" s="3">
        <v>3.1063967939190298</v>
      </c>
      <c r="E121" s="3">
        <v>3.32235390015967</v>
      </c>
      <c r="F121" s="3">
        <v>2.5387189751379</v>
      </c>
      <c r="G121" s="3">
        <v>3.1987130079833599</v>
      </c>
      <c r="H121" s="3">
        <v>3.8965634946074901</v>
      </c>
      <c r="I121" s="3">
        <v>0.84571965169138297</v>
      </c>
      <c r="J121" s="3">
        <v>1.3848372915745599</v>
      </c>
      <c r="K121" s="3">
        <v>3.4226490242875398</v>
      </c>
      <c r="L121" s="3">
        <v>2.7172863647066201</v>
      </c>
      <c r="M121" s="3">
        <v>3.2356624096170701</v>
      </c>
      <c r="N121" s="3">
        <v>5.3922157516698297</v>
      </c>
    </row>
    <row r="122" spans="1:25" x14ac:dyDescent="0.35">
      <c r="A122" s="2">
        <v>45581</v>
      </c>
      <c r="B122" s="3">
        <v>3.0362931264783199</v>
      </c>
      <c r="C122" s="3">
        <v>3.5879511909274702</v>
      </c>
      <c r="D122" s="3">
        <v>2.9833147945473599</v>
      </c>
      <c r="E122" s="3">
        <v>3.0980329555583301</v>
      </c>
      <c r="F122" s="3">
        <v>2.42057293787723</v>
      </c>
      <c r="G122" s="3">
        <v>3.16045679206132</v>
      </c>
      <c r="H122" s="3">
        <v>3.9023059291666602</v>
      </c>
      <c r="I122" s="3">
        <v>0.81940242078276904</v>
      </c>
      <c r="J122" s="3">
        <v>1.3295227049340901</v>
      </c>
      <c r="K122" s="3">
        <v>3.4006909258120999</v>
      </c>
      <c r="L122" s="3">
        <v>2.71889061310877</v>
      </c>
      <c r="M122" s="3">
        <v>3.2204950510794901</v>
      </c>
      <c r="N122" s="3">
        <v>5.0879306692461101</v>
      </c>
    </row>
    <row r="125" spans="1:25" x14ac:dyDescent="0.35">
      <c r="A125" s="2" t="s">
        <v>91</v>
      </c>
      <c r="B125" s="3" cm="1">
        <f t="array" ref="B125">MIN(_xlfn._xlws.FILTER(B1:B122, ISNUMBER(B1:B122)))</f>
        <v>2.3508735795414002</v>
      </c>
      <c r="C125" s="3" cm="1">
        <f t="array" ref="C125">MIN(_xlfn._xlws.FILTER(C1:C122, ISNUMBER(C1:C122)))</f>
        <v>3.35298883114727</v>
      </c>
      <c r="D125" s="3" cm="1">
        <f t="array" ref="D125">MIN(_xlfn._xlws.FILTER(D1:D122, ISNUMBER(D1:D122)))</f>
        <v>2.5696987593841198</v>
      </c>
      <c r="E125" s="3" cm="1">
        <f t="array" ref="E125">MIN(_xlfn._xlws.FILTER(E1:E122, ISNUMBER(E1:E122)))</f>
        <v>2.6676954452608301</v>
      </c>
      <c r="F125" s="3" cm="1">
        <f t="array" ref="F125">MIN(_xlfn._xlws.FILTER(F1:F122, ISNUMBER(F1:F122)))</f>
        <v>1.82298778811567</v>
      </c>
      <c r="G125" s="3" cm="1">
        <f t="array" ref="G125">MIN(_xlfn._xlws.FILTER(G1:G122, ISNUMBER(G1:G122)))</f>
        <v>2.53677680783492</v>
      </c>
      <c r="H125" s="3" cm="1">
        <f t="array" ref="H125">MIN(_xlfn._xlws.FILTER(H1:H122, ISNUMBER(H1:H122)))</f>
        <v>3.8110272225609001</v>
      </c>
      <c r="I125" s="3" cm="1">
        <f t="array" ref="I125">MIN(_xlfn._xlws.FILTER(I1:I122, ISNUMBER(I1:I122)))</f>
        <v>0.65535676704699597</v>
      </c>
      <c r="J125" s="3" cm="1">
        <f t="array" ref="J125">MIN(_xlfn._xlws.FILTER(J1:J122, ISNUMBER(J1:J122)))</f>
        <v>1.3295227049340901</v>
      </c>
      <c r="K125" s="3" cm="1">
        <f t="array" ref="K125">MIN(_xlfn._xlws.FILTER(K1:K122, ISNUMBER(K1:K122)))</f>
        <v>2.6689572497782401</v>
      </c>
      <c r="L125" s="3" cm="1">
        <f t="array" ref="L125">MIN(_xlfn._xlws.FILTER(L1:L122, ISNUMBER(L1:L122)))</f>
        <v>1.8370855414713501</v>
      </c>
      <c r="M125" s="3" cm="1">
        <f t="array" ref="M125">MIN(_xlfn._xlws.FILTER(M1:M122, ISNUMBER(M1:M122)))</f>
        <v>2.6773996898131398</v>
      </c>
      <c r="N125" s="3" cm="1">
        <f t="array" ref="N125">MIN(_xlfn._xlws.FILTER(N1:N122, ISNUMBER(N1:N122)))</f>
        <v>3.1494002909805801</v>
      </c>
    </row>
    <row r="126" spans="1:25" x14ac:dyDescent="0.35">
      <c r="A126" s="2" t="s">
        <v>92</v>
      </c>
      <c r="B126" s="3" cm="1">
        <f t="array" ref="B126">MAX(_xlfn._xlws.FILTER(B1:B122, ISNUMBER(B1:B122)))</f>
        <v>5.0859333925198804</v>
      </c>
      <c r="C126" s="3" cm="1">
        <f t="array" ref="C126">MAX(_xlfn._xlws.FILTER(C1:C122, ISNUMBER(C1:C122)))</f>
        <v>5.8209997999551399</v>
      </c>
      <c r="D126" s="3" cm="1">
        <f t="array" ref="D126">MAX(_xlfn._xlws.FILTER(D1:D122, ISNUMBER(D1:D122)))</f>
        <v>4.9394431412562803</v>
      </c>
      <c r="E126" s="3" cm="1">
        <f t="array" ref="E126">MAX(_xlfn._xlws.FILTER(E1:E122, ISNUMBER(E1:E122)))</f>
        <v>4.8417821256364899</v>
      </c>
      <c r="F126" s="3" cm="1">
        <f t="array" ref="F126">MAX(_xlfn._xlws.FILTER(F1:F122, ISNUMBER(F1:F122)))</f>
        <v>3.2919060796639101</v>
      </c>
      <c r="G126" s="3" cm="1">
        <f t="array" ref="G126">MAX(_xlfn._xlws.FILTER(G1:G122, ISNUMBER(G1:G122)))</f>
        <v>3.9309354264907399</v>
      </c>
      <c r="H126" s="3" cm="1">
        <f t="array" ref="H126">MAX(_xlfn._xlws.FILTER(H1:H122, ISNUMBER(H1:H122)))</f>
        <v>7.1297573980707796</v>
      </c>
      <c r="I126" s="3" cm="1">
        <f t="array" ref="I126">MAX(_xlfn._xlws.FILTER(I1:I122, ISNUMBER(I1:I122)))</f>
        <v>1.42378277712552</v>
      </c>
      <c r="J126" s="3" cm="1">
        <f t="array" ref="J126">MAX(_xlfn._xlws.FILTER(J1:J122, ISNUMBER(J1:J122)))</f>
        <v>2.6395325677655501</v>
      </c>
      <c r="K126" s="3" cm="1">
        <f t="array" ref="K126">MAX(_xlfn._xlws.FILTER(K1:K122, ISNUMBER(K1:K122)))</f>
        <v>5.2481554178043899</v>
      </c>
      <c r="L126" s="3" cm="1">
        <f t="array" ref="L126">MAX(_xlfn._xlws.FILTER(L1:L122, ISNUMBER(L1:L122)))</f>
        <v>3.8253401113565402</v>
      </c>
      <c r="M126" s="3" cm="1">
        <f t="array" ref="M126">MAX(_xlfn._xlws.FILTER(M1:M122, ISNUMBER(M1:M122)))</f>
        <v>4.7778368421197399</v>
      </c>
      <c r="N126" s="3" cm="1">
        <f t="array" ref="N126">MAX(_xlfn._xlws.FILTER(N1:N122, ISNUMBER(N1:N122)))</f>
        <v>7.0148410442448297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0.27800000000000002</v>
      </c>
      <c r="C128" s="9" cm="1">
        <f t="array" ref="C128">_xlfn.PERCENTRANK.EXC(_xlfn._xlws.FILTER(C1:C122, ISNUMBER(C1:C122)),C122)</f>
        <v>6.5000000000000002E-2</v>
      </c>
      <c r="D128" s="9" cm="1">
        <f t="array" ref="D128">_xlfn.PERCENTRANK.EXC(_xlfn._xlws.FILTER(D1:D122, ISNUMBER(D1:D122)),D122)</f>
        <v>0.27800000000000002</v>
      </c>
      <c r="E128" s="9" cm="1">
        <f t="array" ref="E128">_xlfn.PERCENTRANK.EXC(_xlfn._xlws.FILTER(E1:E122, ISNUMBER(E1:E122)),E122)</f>
        <v>0.38500000000000001</v>
      </c>
      <c r="F128" s="9" cm="1">
        <f t="array" ref="F128">_xlfn.PERCENTRANK.EXC(_xlfn._xlws.FILTER(F1:F122, ISNUMBER(F1:F122)),F122)</f>
        <v>0.63900000000000001</v>
      </c>
      <c r="G128" s="9" cm="1">
        <f t="array" ref="G128">_xlfn.PERCENTRANK.EXC(_xlfn._xlws.FILTER(G1:G122, ISNUMBER(G1:G122)),G122)</f>
        <v>0.34399999999999997</v>
      </c>
      <c r="H128" s="9" cm="1">
        <f t="array" ref="H128">_xlfn.PERCENTRANK.EXC(_xlfn._xlws.FILTER(H1:H122, ISNUMBER(H1:H122)),H122)</f>
        <v>7.2999999999999995E-2</v>
      </c>
      <c r="I128" s="9" cm="1">
        <f t="array" ref="I128">_xlfn.PERCENTRANK.EXC(_xlfn._xlws.FILTER(I1:I122, ISNUMBER(I1:I122)),I122)</f>
        <v>0.188</v>
      </c>
      <c r="J128" s="9" cm="1">
        <f t="array" ref="J128">_xlfn.PERCENTRANK.EXC(_xlfn._xlws.FILTER(J1:J122, ISNUMBER(J1:J122)),J122)</f>
        <v>8.0000000000000002E-3</v>
      </c>
      <c r="K128" s="9" cm="1">
        <f t="array" ref="K128">_xlfn.PERCENTRANK.EXC(_xlfn._xlws.FILTER(K1:K122, ISNUMBER(K1:K122)),K122)</f>
        <v>0.57299999999999995</v>
      </c>
      <c r="L128" s="9" cm="1">
        <f t="array" ref="L128">_xlfn.PERCENTRANK.EXC(_xlfn._xlws.FILTER(L1:L122, ISNUMBER(L1:L122)),L122)</f>
        <v>0.40100000000000002</v>
      </c>
      <c r="M128" s="9" cm="1">
        <f t="array" ref="M128">_xlfn.PERCENTRANK.EXC(_xlfn._xlws.FILTER(M1:M122, ISNUMBER(M1:M122)),M122)</f>
        <v>0.22900000000000001</v>
      </c>
      <c r="N128" s="9" cm="1">
        <f t="array" ref="N128">_xlfn.PERCENTRANK.EXC(_xlfn._xlws.FILTER(N1:N122, ISNUMBER(N1:N122)),N122)</f>
        <v>0.69599999999999995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41929</v>
      </c>
      <c r="B2" s="24" cm="1">
        <f t="array" ref="B2:B122">_xll.FDS(B1,"FG_TOTAL_RETURNC(-10AY,0,AM)")/100</f>
        <v>-1.9617855999999999E-2</v>
      </c>
      <c r="C2" s="24" cm="1">
        <f t="array" ref="C2:C122">_xll.FDS(C1,"FG_TOTAL_RETURNC(-10AY,0,AM)")/100</f>
        <v>-4.1420164000000002E-2</v>
      </c>
      <c r="D2" s="24" cm="1">
        <f t="array" ref="D2:D122">_xll.FDS(D1,"FG_TOTAL_RETURNC(-10AY,0,AM)")/100</f>
        <v>-0.10594397999999999</v>
      </c>
      <c r="E2" s="24" cm="1">
        <f t="array" ref="E2:E122">_xll.FDS(E1,"FG_TOTAL_RETURNC(-10AY,0,AM)")/100</f>
        <v>-0.10655742999999999</v>
      </c>
      <c r="F2" s="24" cm="1">
        <f t="array" ref="F2:F122">_xll.FDS(F1,"FG_TOTAL_RETURNC(-10AY,0,AM)")/100</f>
        <v>-7.2095037000000001E-2</v>
      </c>
      <c r="G2" s="24" cm="1">
        <f t="array" ref="G2:G122">_xll.FDS(G1,"FG_TOTAL_RETURNC(-10AY,0,AM)")/100</f>
        <v>-8.2310680000000011E-2</v>
      </c>
      <c r="H2" s="24" cm="1">
        <f t="array" ref="H2:H122">_xll.FDS(H1,"FG_TOTAL_RETURNC(-10AY,0,AM)")/100</f>
        <v>-9.1897249999999986E-2</v>
      </c>
      <c r="I2" s="24" cm="1">
        <f t="array" ref="I2:I122">_xll.FDS(I1,"FG_TOTAL_RETURNC(-10AY,0,AM)")/100</f>
        <v>-7.0390882000000002E-2</v>
      </c>
      <c r="J2" s="24" cm="1">
        <f t="array" ref="J2:J122">_xll.FDS(J1,"FG_TOTAL_RETURNC(-10AY,0,AM)")/100</f>
        <v>-6.1778069999999997E-2</v>
      </c>
      <c r="K2" s="24" cm="1">
        <f t="array" ref="K2:K122">_xll.FDS(K1,"FG_TOTAL_RETURNC(-10AY,0,AM)")/100</f>
        <v>-0.10675382999999999</v>
      </c>
      <c r="L2" s="24" cm="1">
        <f t="array" ref="L2:L122">_xll.FDS(L1,"FG_TOTAL_RETURNC(-10AY,0,AM)")/100</f>
        <v>-8.8377709999999998E-2</v>
      </c>
      <c r="M2" s="24" cm="1">
        <f t="array" ref="M2:M122">_xll.FDS(M1,"FG_TOTAL_RETURNC(-10AY,0,AM)")/100</f>
        <v>-9.1308120000000006E-2</v>
      </c>
      <c r="N2" s="24" cm="1">
        <f t="array" ref="N2:N122">_xll.FDS(N1,"FG_TOTAL_RETURNC(-10AY,0,AM)")/100</f>
        <v>-0.12190598499999999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41961</v>
      </c>
      <c r="B3" s="24">
        <v>7.5103879999999998E-2</v>
      </c>
      <c r="C3" s="24">
        <v>1.7283916E-2</v>
      </c>
      <c r="D3" s="24">
        <v>4.4781209999999995E-2</v>
      </c>
      <c r="E3" s="24">
        <v>3.1727789999999999E-2</v>
      </c>
      <c r="F3" s="24">
        <v>7.3126197000000004E-2</v>
      </c>
      <c r="G3" s="24">
        <v>7.2080850000000002E-2</v>
      </c>
      <c r="H3" s="24">
        <v>3.9173125999999996E-2</v>
      </c>
      <c r="I3" s="24">
        <v>0.11483871000000001</v>
      </c>
      <c r="J3" s="24">
        <v>9.0624570000000002E-2</v>
      </c>
      <c r="K3" s="24">
        <v>4.9186945000000003E-2</v>
      </c>
      <c r="L3" s="24">
        <v>7.7025175000000001E-2</v>
      </c>
      <c r="M3" s="24">
        <v>7.4396133000000003E-2</v>
      </c>
      <c r="N3" s="24">
        <v>2.8893589999999997E-2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41991</v>
      </c>
      <c r="B4" s="24">
        <v>-1.1210679999999999E-2</v>
      </c>
      <c r="C4" s="24">
        <v>-8.6960739999999995E-2</v>
      </c>
      <c r="D4" s="24">
        <v>-5.6051073E-2</v>
      </c>
      <c r="E4" s="24">
        <v>4.1496873000000004E-2</v>
      </c>
      <c r="F4" s="24">
        <v>-1.8962502000000003E-2</v>
      </c>
      <c r="G4" s="24">
        <v>-1.3081849000000001E-2</v>
      </c>
      <c r="H4" s="24">
        <v>-3.0982435000000003E-2</v>
      </c>
      <c r="I4" s="24">
        <v>5.497694E-3</v>
      </c>
      <c r="J4" s="24">
        <v>5.9839489999999997E-3</v>
      </c>
      <c r="K4" s="24">
        <v>-1.5742898000000002E-2</v>
      </c>
      <c r="L4" s="24">
        <v>-2.9718280000000001E-3</v>
      </c>
      <c r="M4" s="24">
        <v>-3.2213748E-2</v>
      </c>
      <c r="N4" s="24">
        <v>-3.7190378000000003E-2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42020</v>
      </c>
      <c r="B5" s="24">
        <v>2.3372769999999998E-2</v>
      </c>
      <c r="C5" s="24">
        <v>2.1042942999999998E-2</v>
      </c>
      <c r="D5" s="24">
        <v>-3.4702540000000004E-2</v>
      </c>
      <c r="E5" s="24">
        <v>-1.4941275E-2</v>
      </c>
      <c r="F5" s="24">
        <v>-9.6069573999999994E-3</v>
      </c>
      <c r="G5" s="24">
        <v>5.2405595999999999E-3</v>
      </c>
      <c r="H5" s="24">
        <v>-1.9834638000000002E-2</v>
      </c>
      <c r="I5" s="24">
        <v>-2.9315709999999998E-2</v>
      </c>
      <c r="J5" s="24">
        <v>-1.9547044999999999E-2</v>
      </c>
      <c r="K5" s="24">
        <v>-2.6211261999999999E-2</v>
      </c>
      <c r="L5" s="24">
        <v>-2.5025845000000001E-2</v>
      </c>
      <c r="M5" s="24">
        <v>-3.3697366999999999E-2</v>
      </c>
      <c r="N5" s="24">
        <v>-4.6561600000000002E-2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42053</v>
      </c>
      <c r="B6" s="24">
        <v>-1.7927288999999999E-2</v>
      </c>
      <c r="C6" s="24">
        <v>5.2419304999999999E-2</v>
      </c>
      <c r="D6" s="24">
        <v>2.9346943E-2</v>
      </c>
      <c r="E6" s="24">
        <v>5.2004336999999998E-2</v>
      </c>
      <c r="F6" s="24">
        <v>6.9664955000000001E-2</v>
      </c>
      <c r="G6" s="24">
        <v>1.0732889000000001E-2</v>
      </c>
      <c r="H6" s="24">
        <v>6.7453503999999997E-2</v>
      </c>
      <c r="I6" s="24">
        <v>6.2884330000000002E-2</v>
      </c>
      <c r="J6" s="24">
        <v>4.2156459999999993E-2</v>
      </c>
      <c r="K6" s="24">
        <v>7.3409440000000006E-2</v>
      </c>
      <c r="L6" s="24">
        <v>6.1094639999999999E-2</v>
      </c>
      <c r="M6" s="24">
        <v>9.3961950000000002E-2</v>
      </c>
      <c r="N6" s="24">
        <v>0.10668659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42081</v>
      </c>
      <c r="B7" s="24">
        <v>1.4003396E-2</v>
      </c>
      <c r="C7" s="24">
        <v>-8.5145234999999995E-4</v>
      </c>
      <c r="D7" s="24">
        <v>-1.9600809E-2</v>
      </c>
      <c r="E7" s="24">
        <v>2.8149723999999997E-2</v>
      </c>
      <c r="F7" s="24">
        <v>5.1525116000000003E-2</v>
      </c>
      <c r="G7" s="24">
        <v>1.7293691999999999E-2</v>
      </c>
      <c r="H7" s="24">
        <v>-1.8430769999999999E-2</v>
      </c>
      <c r="I7" s="24">
        <v>7.0921179999999997E-3</v>
      </c>
      <c r="J7" s="24">
        <v>1.5704631999999999E-3</v>
      </c>
      <c r="K7" s="24">
        <v>-4.9391985000000003E-3</v>
      </c>
      <c r="L7" s="24">
        <v>3.5185933000000003E-2</v>
      </c>
      <c r="M7" s="24">
        <v>-5.9032439999999995E-4</v>
      </c>
      <c r="N7" s="24">
        <v>-1.6293287E-2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42111</v>
      </c>
      <c r="B8" s="24">
        <v>1.8495679000000001E-2</v>
      </c>
      <c r="C8" s="24">
        <v>-8.0953836000000005E-3</v>
      </c>
      <c r="D8" s="24">
        <v>5.4525613999999993E-2</v>
      </c>
      <c r="E8" s="24">
        <v>-1.8697858000000001E-2</v>
      </c>
      <c r="F8" s="24">
        <v>1.3328075E-2</v>
      </c>
      <c r="G8" s="24">
        <v>3.2209992E-2</v>
      </c>
      <c r="H8" s="24">
        <v>1.072967E-2</v>
      </c>
      <c r="I8" s="24">
        <v>-1.5453099999999999E-2</v>
      </c>
      <c r="J8" s="24">
        <v>-7.5553060000000003E-3</v>
      </c>
      <c r="K8" s="24">
        <v>1.8327593999999999E-2</v>
      </c>
      <c r="L8" s="24">
        <v>-8.8837146999999998E-3</v>
      </c>
      <c r="M8" s="24">
        <v>-9.4506739999999992E-3</v>
      </c>
      <c r="N8" s="24">
        <v>2.4844765999999997E-2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42142</v>
      </c>
      <c r="B9" s="24">
        <v>-4.4794140000000003E-2</v>
      </c>
      <c r="C9" s="24">
        <v>-2.1477938000000001E-3</v>
      </c>
      <c r="D9" s="24">
        <v>-1.0341286999999999E-2</v>
      </c>
      <c r="E9" s="24">
        <v>3.6406874999999998E-2</v>
      </c>
      <c r="F9" s="24">
        <v>2.5145054E-2</v>
      </c>
      <c r="G9" s="24">
        <v>3.4094213999999998E-2</v>
      </c>
      <c r="H9" s="24">
        <v>4.7239899999999994E-2</v>
      </c>
      <c r="I9" s="24">
        <v>3.8203954999999998E-2</v>
      </c>
      <c r="J9" s="24">
        <v>2.4765609999999997E-2</v>
      </c>
      <c r="K9" s="24">
        <v>3.4870625000000002E-2</v>
      </c>
      <c r="L9" s="24">
        <v>5.1831602999999997E-2</v>
      </c>
      <c r="M9" s="24">
        <v>3.0709504999999998E-2</v>
      </c>
      <c r="N9" s="24">
        <v>7.0033669999999992E-2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42173</v>
      </c>
      <c r="B10" s="24">
        <v>-6.5906285999999994E-2</v>
      </c>
      <c r="C10" s="24">
        <v>-3.9603948999999999E-2</v>
      </c>
      <c r="D10" s="24">
        <v>-3.1347930000000003E-2</v>
      </c>
      <c r="E10" s="24">
        <v>-3.9067565999999998E-2</v>
      </c>
      <c r="F10" s="24">
        <v>-3.0943393999999999E-2</v>
      </c>
      <c r="G10" s="24">
        <v>-3.2411276999999995E-2</v>
      </c>
      <c r="H10" s="24">
        <v>-1.9766808E-2</v>
      </c>
      <c r="I10" s="24">
        <v>5.7241916999999998E-3</v>
      </c>
      <c r="J10" s="24">
        <v>-1.5016794E-3</v>
      </c>
      <c r="K10" s="24">
        <v>-3.115946E-2</v>
      </c>
      <c r="L10" s="24">
        <v>-1.9636929000000001E-2</v>
      </c>
      <c r="M10" s="24">
        <v>-1.0124325999999999E-2</v>
      </c>
      <c r="N10" s="24">
        <v>-2.6431740000000002E-2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42202</v>
      </c>
      <c r="B11" s="24">
        <v>-5.1518917000000004E-2</v>
      </c>
      <c r="C11" s="24">
        <v>-3.4070669999999997E-2</v>
      </c>
      <c r="D11" s="24">
        <v>-6.1510800000000004E-2</v>
      </c>
      <c r="E11" s="24">
        <v>3.1039715000000002E-3</v>
      </c>
      <c r="F11" s="24">
        <v>1.6003727999999998E-2</v>
      </c>
      <c r="G11" s="24">
        <v>1.3535619E-2</v>
      </c>
      <c r="H11" s="24">
        <v>-1.1258066000000001E-2</v>
      </c>
      <c r="I11" s="24">
        <v>2.8572679E-2</v>
      </c>
      <c r="J11" s="24">
        <v>3.4694672E-3</v>
      </c>
      <c r="K11" s="24">
        <v>1.3875961000000001E-2</v>
      </c>
      <c r="L11" s="24">
        <v>1.3309002E-2</v>
      </c>
      <c r="M11" s="24">
        <v>-2.0779788E-2</v>
      </c>
      <c r="N11" s="24">
        <v>1.4328718000000001E-2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42234</v>
      </c>
      <c r="B12" s="24">
        <v>-1.6436815E-2</v>
      </c>
      <c r="C12" s="24">
        <v>-6.3688220000000004E-2</v>
      </c>
      <c r="D12" s="24">
        <v>-3.3204555999999996E-2</v>
      </c>
      <c r="E12" s="24">
        <v>-4.712409E-2</v>
      </c>
      <c r="F12" s="24">
        <v>-9.2449783999999993E-3</v>
      </c>
      <c r="G12" s="24">
        <v>-2.4504066000000001E-2</v>
      </c>
      <c r="H12" s="24">
        <v>-2.9819011999999999E-2</v>
      </c>
      <c r="I12" s="24">
        <v>-2.4033785000000002E-2</v>
      </c>
      <c r="J12" s="24">
        <v>-1.1765837999999999E-2</v>
      </c>
      <c r="K12" s="24">
        <v>-1.1627913E-2</v>
      </c>
      <c r="L12" s="24">
        <v>-2.8301895000000001E-2</v>
      </c>
      <c r="M12" s="24">
        <v>-2.2551715E-2</v>
      </c>
      <c r="N12" s="24">
        <v>1.9454956000000002E-3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42265</v>
      </c>
      <c r="B13" s="24">
        <v>-2.7156055000000002E-2</v>
      </c>
      <c r="C13" s="24">
        <v>-5.5329980000000001E-2</v>
      </c>
      <c r="D13" s="24">
        <v>-4.7923326000000002E-2</v>
      </c>
      <c r="E13" s="24">
        <v>-6.3272715000000007E-2</v>
      </c>
      <c r="F13" s="24">
        <v>-0.10497664999999999</v>
      </c>
      <c r="G13" s="24">
        <v>-5.4425774000000003E-2</v>
      </c>
      <c r="H13" s="24">
        <v>-7.3545575000000002E-2</v>
      </c>
      <c r="I13" s="24">
        <v>-4.7356844000000002E-2</v>
      </c>
      <c r="J13" s="24">
        <v>-6.4275502999999998E-2</v>
      </c>
      <c r="K13" s="24">
        <v>-6.4895687000000007E-2</v>
      </c>
      <c r="L13" s="24">
        <v>-7.4174759999999992E-2</v>
      </c>
      <c r="M13" s="24">
        <v>-4.8988579999999997E-2</v>
      </c>
      <c r="N13" s="24">
        <v>-5.7605146999999995E-2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42293</v>
      </c>
      <c r="B14" s="24">
        <v>8.8527679999999997E-2</v>
      </c>
      <c r="C14" s="24">
        <v>5.1585080000000005E-2</v>
      </c>
      <c r="D14" s="24">
        <v>3.8171172000000003E-2</v>
      </c>
      <c r="E14" s="24">
        <v>1.8633485000000002E-2</v>
      </c>
      <c r="F14" s="24">
        <v>6.0816646000000002E-2</v>
      </c>
      <c r="G14" s="24">
        <v>1.6445279E-2</v>
      </c>
      <c r="H14" s="24">
        <v>4.5023679999999996E-2</v>
      </c>
      <c r="I14" s="24">
        <v>2.6293397E-2</v>
      </c>
      <c r="J14" s="24">
        <v>4.0010214000000002E-2</v>
      </c>
      <c r="K14" s="24">
        <v>4.6672105999999998E-2</v>
      </c>
      <c r="L14" s="24">
        <v>4.3624162999999994E-2</v>
      </c>
      <c r="M14" s="24">
        <v>7.9760549999999993E-3</v>
      </c>
      <c r="N14" s="24">
        <v>4.8763750000000002E-2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42326</v>
      </c>
      <c r="B15" s="24">
        <v>-2.3558557000000001E-2</v>
      </c>
      <c r="C15" s="24">
        <v>-4.2922853999999996E-2</v>
      </c>
      <c r="D15" s="24">
        <v>-6.1414185000000003E-2</v>
      </c>
      <c r="E15" s="24">
        <v>1.7530560000000001E-2</v>
      </c>
      <c r="F15" s="24">
        <v>2.8665066000000003E-2</v>
      </c>
      <c r="G15" s="24">
        <v>-2.8935909999999999E-2</v>
      </c>
      <c r="H15" s="24">
        <v>-2.4376452E-2</v>
      </c>
      <c r="I15" s="24">
        <v>5.0961850000000003E-2</v>
      </c>
      <c r="J15" s="24">
        <v>2.6860833000000001E-2</v>
      </c>
      <c r="K15" s="24">
        <v>-1.822418E-2</v>
      </c>
      <c r="L15" s="24">
        <v>-4.0192603999999995E-3</v>
      </c>
      <c r="M15" s="24">
        <v>-1.1539756999999999E-2</v>
      </c>
      <c r="N15" s="24">
        <v>-7.2036686000000003E-2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42356</v>
      </c>
      <c r="B16" s="24">
        <v>5.8585762999999999E-2</v>
      </c>
      <c r="C16" s="24">
        <v>-1.0677992999999998E-2</v>
      </c>
      <c r="D16" s="24">
        <v>-6.8876450000000006E-2</v>
      </c>
      <c r="E16" s="24">
        <v>-2.2846459999999999E-2</v>
      </c>
      <c r="F16" s="24">
        <v>-3.7022292999999998E-2</v>
      </c>
      <c r="G16" s="24">
        <v>-2.2428691000000001E-2</v>
      </c>
      <c r="H16" s="24">
        <v>-6.7983627000000005E-2</v>
      </c>
      <c r="I16" s="24">
        <v>-3.0429184000000001E-2</v>
      </c>
      <c r="J16" s="24">
        <v>-3.5920321999999998E-2</v>
      </c>
      <c r="K16" s="24">
        <v>-4.9763019999999998E-2</v>
      </c>
      <c r="L16" s="24">
        <v>-4.9636839999999995E-2</v>
      </c>
      <c r="M16" s="24">
        <v>-5.0366936000000001E-2</v>
      </c>
      <c r="N16" s="24">
        <v>-3.2462955000000002E-2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42384</v>
      </c>
      <c r="B17" s="24">
        <v>-4.2671384999999999E-2</v>
      </c>
      <c r="C17" s="24">
        <v>-9.8553710000000003E-2</v>
      </c>
      <c r="D17" s="24">
        <v>-0.11106605</v>
      </c>
      <c r="E17" s="24">
        <v>-9.4289059999999994E-2</v>
      </c>
      <c r="F17" s="24">
        <v>-6.9338319999999995E-2</v>
      </c>
      <c r="G17" s="24">
        <v>-6.2602400000000002E-2</v>
      </c>
      <c r="H17" s="24">
        <v>-7.7959239999999999E-2</v>
      </c>
      <c r="I17" s="24">
        <v>-8.1853809999999999E-2</v>
      </c>
      <c r="J17" s="24">
        <v>-6.1047672999999997E-2</v>
      </c>
      <c r="K17" s="24">
        <v>-7.7709379999999995E-2</v>
      </c>
      <c r="L17" s="24">
        <v>-6.0072184000000001E-2</v>
      </c>
      <c r="M17" s="24">
        <v>-8.0674170000000003E-2</v>
      </c>
      <c r="N17" s="24">
        <v>-8.9891319999999997E-2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42418</v>
      </c>
      <c r="B18" s="24">
        <v>2.9138565000000002E-2</v>
      </c>
      <c r="C18" s="24">
        <v>8.6769219999999994E-2</v>
      </c>
      <c r="D18" s="24">
        <v>0.13547718</v>
      </c>
      <c r="E18" s="24">
        <v>1.4388442E-2</v>
      </c>
      <c r="F18" s="24">
        <v>-2.6398242000000002E-2</v>
      </c>
      <c r="G18" s="24">
        <v>-3.4964084999999998E-4</v>
      </c>
      <c r="H18" s="24">
        <v>4.2068960000000002E-2</v>
      </c>
      <c r="I18" s="24">
        <v>4.8592089999999998E-3</v>
      </c>
      <c r="J18" s="24">
        <v>2.2789001E-2</v>
      </c>
      <c r="K18" s="24">
        <v>3.0303001E-2</v>
      </c>
      <c r="L18" s="24">
        <v>2.4545549999999999E-2</v>
      </c>
      <c r="M18" s="24">
        <v>6.3097476999999999E-2</v>
      </c>
      <c r="N18" s="24">
        <v>-9.4855250000000002E-2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42447</v>
      </c>
      <c r="B19" s="24">
        <v>0.11280322</v>
      </c>
      <c r="C19" s="24">
        <v>0.12287653000000001</v>
      </c>
      <c r="D19" s="24">
        <v>0.1007427</v>
      </c>
      <c r="E19" s="24">
        <v>6.5915704000000006E-2</v>
      </c>
      <c r="F19" s="24">
        <v>5.2389619999999998E-2</v>
      </c>
      <c r="G19" s="24">
        <v>3.7425636999999998E-2</v>
      </c>
      <c r="H19" s="24">
        <v>5.1621436999999999E-2</v>
      </c>
      <c r="I19" s="24">
        <v>6.2743544999999998E-2</v>
      </c>
      <c r="J19" s="24">
        <v>6.9444537000000001E-2</v>
      </c>
      <c r="K19" s="24">
        <v>7.2870970000000007E-2</v>
      </c>
      <c r="L19" s="24">
        <v>9.2723960000000008E-2</v>
      </c>
      <c r="M19" s="24">
        <v>5.8273434999999998E-2</v>
      </c>
      <c r="N19" s="24">
        <v>0.10657190999999999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42478</v>
      </c>
      <c r="B20" s="24">
        <v>6.9183945999999996E-2</v>
      </c>
      <c r="C20" s="24">
        <v>1.5128612999999999E-2</v>
      </c>
      <c r="D20" s="24">
        <v>3.1210542000000001E-2</v>
      </c>
      <c r="E20" s="24">
        <v>2.1135092000000001E-2</v>
      </c>
      <c r="F20" s="24">
        <v>3.6681175000000003E-2</v>
      </c>
      <c r="G20" s="24">
        <v>3.5738350000000002E-2</v>
      </c>
      <c r="H20" s="24">
        <v>1.5103816999999999E-2</v>
      </c>
      <c r="I20" s="24">
        <v>3.5950422000000003E-2</v>
      </c>
      <c r="J20" s="24">
        <v>2.3775339999999999E-2</v>
      </c>
      <c r="K20" s="24">
        <v>9.4107389999999996E-3</v>
      </c>
      <c r="L20" s="24">
        <v>1.2180328000000001E-2</v>
      </c>
      <c r="M20" s="24">
        <v>3.0591369E-2</v>
      </c>
      <c r="N20" s="24">
        <v>-8.0257060000000005E-3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42508</v>
      </c>
      <c r="B21" s="24">
        <v>-1.9909917999999999E-2</v>
      </c>
      <c r="C21" s="24">
        <v>-3.4773885999999997E-2</v>
      </c>
      <c r="D21" s="24">
        <v>-1.0224937999999999E-2</v>
      </c>
      <c r="E21" s="24">
        <v>-2.8746665000000001E-2</v>
      </c>
      <c r="F21" s="24">
        <v>-2.106148E-2</v>
      </c>
      <c r="G21" s="24">
        <v>-2.5390565E-2</v>
      </c>
      <c r="H21" s="24">
        <v>-8.059442E-3</v>
      </c>
      <c r="I21" s="24">
        <v>-4.8278389999999997E-2</v>
      </c>
      <c r="J21" s="24">
        <v>-2.0690143000000001E-2</v>
      </c>
      <c r="K21" s="24">
        <v>-3.2428025999999999E-2</v>
      </c>
      <c r="L21" s="24">
        <v>-3.4496605E-2</v>
      </c>
      <c r="M21" s="24">
        <v>-5.1780996000000003E-2</v>
      </c>
      <c r="N21" s="24">
        <v>-4.6925544999999999E-2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42538</v>
      </c>
      <c r="B22" s="24">
        <v>3.7726759999999998E-2</v>
      </c>
      <c r="C22" s="24">
        <v>-1.6469358999999999E-2</v>
      </c>
      <c r="D22" s="24">
        <v>1.5702486000000002E-2</v>
      </c>
      <c r="E22" s="24">
        <v>-1.6179919000000001E-2</v>
      </c>
      <c r="F22" s="24">
        <v>-1.6351104000000002E-2</v>
      </c>
      <c r="G22" s="24">
        <v>1.670003E-3</v>
      </c>
      <c r="H22" s="24">
        <v>-2.4999976E-2</v>
      </c>
      <c r="I22" s="24">
        <v>8.6591244000000008E-3</v>
      </c>
      <c r="J22" s="24">
        <v>1.3120054999999999E-2</v>
      </c>
      <c r="K22" s="24">
        <v>-9.6355677000000001E-3</v>
      </c>
      <c r="L22" s="24">
        <v>-2.5758146999999999E-2</v>
      </c>
      <c r="M22" s="24">
        <v>-1.6347825999999999E-2</v>
      </c>
      <c r="N22" s="24">
        <v>-1.0186732E-2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42569</v>
      </c>
      <c r="B23" s="24">
        <v>4.5322895000000002E-2</v>
      </c>
      <c r="C23" s="24">
        <v>8.6885089999999998E-2</v>
      </c>
      <c r="D23" s="24">
        <v>4.0746209999999998E-2</v>
      </c>
      <c r="E23" s="24">
        <v>1.6493200999999999E-2</v>
      </c>
      <c r="F23" s="24">
        <v>5.0263046999999998E-2</v>
      </c>
      <c r="G23" s="24">
        <v>2.2513390000000001E-2</v>
      </c>
      <c r="H23" s="24">
        <v>2.2048830000000002E-2</v>
      </c>
      <c r="I23" s="24">
        <v>5.6812882000000002E-2</v>
      </c>
      <c r="J23" s="24">
        <v>4.7884940000000001E-2</v>
      </c>
      <c r="K23" s="24">
        <v>8.8602304000000003E-3</v>
      </c>
      <c r="L23" s="24">
        <v>1.9217491E-2</v>
      </c>
      <c r="M23" s="24">
        <v>1.6063808999999998E-2</v>
      </c>
      <c r="N23" s="24">
        <v>-2.7078570000000003E-2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42600</v>
      </c>
      <c r="B24" s="24">
        <v>6.5477489999999999E-2</v>
      </c>
      <c r="C24" s="24">
        <v>2.5390625E-2</v>
      </c>
      <c r="D24" s="24">
        <v>2.6004790999999999E-2</v>
      </c>
      <c r="E24" s="24">
        <v>8.0840700000000001E-2</v>
      </c>
      <c r="F24" s="24">
        <v>3.5264492000000001E-2</v>
      </c>
      <c r="G24" s="24">
        <v>3.7495731999999997E-2</v>
      </c>
      <c r="H24" s="24">
        <v>2.8277635999999998E-2</v>
      </c>
      <c r="I24" s="24">
        <v>4.220724E-2</v>
      </c>
      <c r="J24" s="24">
        <v>1.1324882999999999E-2</v>
      </c>
      <c r="K24" s="24">
        <v>4.5591354000000001E-2</v>
      </c>
      <c r="L24" s="24">
        <v>5.4329394999999996E-2</v>
      </c>
      <c r="M24" s="24">
        <v>5.1374793000000002E-2</v>
      </c>
      <c r="N24" s="24">
        <v>2.3572087000000002E-2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42629</v>
      </c>
      <c r="B25" s="24">
        <v>-2.6700556E-2</v>
      </c>
      <c r="C25" s="24">
        <v>-5.7618976000000002E-2</v>
      </c>
      <c r="D25" s="24">
        <v>-4.3394804000000002E-2</v>
      </c>
      <c r="E25" s="24">
        <v>-4.5624494999999994E-2</v>
      </c>
      <c r="F25" s="24">
        <v>-1.9464730999999999E-2</v>
      </c>
      <c r="G25" s="24">
        <v>-3.0009687E-2</v>
      </c>
      <c r="H25" s="24">
        <v>-3.125E-2</v>
      </c>
      <c r="I25" s="24">
        <v>2.5055407999999999E-3</v>
      </c>
      <c r="J25" s="24">
        <v>-2.0140470000000001E-2</v>
      </c>
      <c r="K25" s="24">
        <v>-3.5787702000000005E-2</v>
      </c>
      <c r="L25" s="24">
        <v>-2.7777790000000004E-2</v>
      </c>
      <c r="M25" s="24">
        <v>-2.1335125E-2</v>
      </c>
      <c r="N25" s="24">
        <v>-4.3401240000000001E-2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42661</v>
      </c>
      <c r="B26" s="24">
        <v>-5.6825640000000004E-2</v>
      </c>
      <c r="C26" s="24">
        <v>5.6088924000000005E-2</v>
      </c>
      <c r="D26" s="24">
        <v>3.3319950000000001E-2</v>
      </c>
      <c r="E26" s="24">
        <v>1.4498352999999999E-2</v>
      </c>
      <c r="F26" s="24">
        <v>2.7295231999999999E-2</v>
      </c>
      <c r="G26" s="24">
        <v>-1.0312676E-2</v>
      </c>
      <c r="H26" s="24">
        <v>-1.9354880000000001E-2</v>
      </c>
      <c r="I26" s="24">
        <v>4.859805E-3</v>
      </c>
      <c r="J26" s="24">
        <v>1.5935898000000001E-3</v>
      </c>
      <c r="K26" s="24">
        <v>2.2184252999999998E-2</v>
      </c>
      <c r="L26" s="24">
        <v>1.4906882999999999E-2</v>
      </c>
      <c r="M26" s="24">
        <v>1.4064312000000002E-3</v>
      </c>
      <c r="N26" s="24">
        <v>3.1481504E-2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42692</v>
      </c>
      <c r="B27" s="24">
        <v>-3.808868E-2</v>
      </c>
      <c r="C27" s="24">
        <v>-4.1626750000000004E-2</v>
      </c>
      <c r="D27" s="24">
        <v>-1.0878026000000001E-2</v>
      </c>
      <c r="E27" s="24">
        <v>-3.9783657E-2</v>
      </c>
      <c r="F27" s="24">
        <v>-5.837381E-3</v>
      </c>
      <c r="G27" s="24">
        <v>-3.7647069000000005E-2</v>
      </c>
      <c r="H27" s="24">
        <v>-2.3684204E-2</v>
      </c>
      <c r="I27" s="24">
        <v>-4.5816898000000002E-3</v>
      </c>
      <c r="J27" s="24">
        <v>2.2413492E-2</v>
      </c>
      <c r="K27" s="24">
        <v>-3.3806323999999999E-2</v>
      </c>
      <c r="L27" s="24">
        <v>-4.3655633999999999E-2</v>
      </c>
      <c r="M27" s="24">
        <v>-4.1081486E-2</v>
      </c>
      <c r="N27" s="24">
        <v>-6.328547000000001E-2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42720</v>
      </c>
      <c r="B28" s="24">
        <v>-2.5437891000000001E-2</v>
      </c>
      <c r="C28" s="24">
        <v>2.6959537999999998E-2</v>
      </c>
      <c r="D28" s="24">
        <v>4.4383407000000007E-2</v>
      </c>
      <c r="E28" s="24">
        <v>5.1086070000000004E-2</v>
      </c>
      <c r="F28" s="24">
        <v>1.4780283E-2</v>
      </c>
      <c r="G28" s="24">
        <v>1.7464160999999999E-2</v>
      </c>
      <c r="H28" s="24">
        <v>4.5822143999999995E-2</v>
      </c>
      <c r="I28" s="24">
        <v>2.2459387999999997E-2</v>
      </c>
      <c r="J28" s="24">
        <v>3.6013364999999999E-2</v>
      </c>
      <c r="K28" s="24">
        <v>5.2267910000000001E-2</v>
      </c>
      <c r="L28" s="24">
        <v>2.3037553000000002E-2</v>
      </c>
      <c r="M28" s="24">
        <v>4.1743040000000002E-2</v>
      </c>
      <c r="N28" s="24">
        <v>0.14518439999999999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42753</v>
      </c>
      <c r="B29" s="24">
        <v>7.1740390000000001E-2</v>
      </c>
      <c r="C29" s="24">
        <v>5.8185099999999997E-2</v>
      </c>
      <c r="D29" s="24">
        <v>1.4549731999999999E-2</v>
      </c>
      <c r="E29" s="24">
        <v>4.0541169999999994E-2</v>
      </c>
      <c r="F29" s="24">
        <v>1.5564084000000001E-2</v>
      </c>
      <c r="G29" s="24">
        <v>3.9783240000000004E-2</v>
      </c>
      <c r="H29" s="24">
        <v>2.0053386999999999E-2</v>
      </c>
      <c r="I29" s="24">
        <v>2.8762579999999999E-2</v>
      </c>
      <c r="J29" s="24">
        <v>7.5986385000000002E-3</v>
      </c>
      <c r="K29" s="24">
        <v>3.1609058000000002E-2</v>
      </c>
      <c r="L29" s="24">
        <v>3.8228869999999998E-2</v>
      </c>
      <c r="M29" s="24">
        <v>3.1107068000000002E-2</v>
      </c>
      <c r="N29" s="24">
        <v>3.3718944000000001E-2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42783</v>
      </c>
      <c r="B30" s="24">
        <v>1.2835741000000001E-2</v>
      </c>
      <c r="C30" s="24">
        <v>4.9056530000000001E-2</v>
      </c>
      <c r="D30" s="24">
        <v>4.0059924000000004E-2</v>
      </c>
      <c r="E30" s="24">
        <v>1.3245106E-2</v>
      </c>
      <c r="F30" s="24">
        <v>1.749146E-2</v>
      </c>
      <c r="G30" s="24">
        <v>2.5768042000000001E-2</v>
      </c>
      <c r="H30" s="24">
        <v>2.3054838000000001E-2</v>
      </c>
      <c r="I30" s="24">
        <v>5.5022716999999999E-2</v>
      </c>
      <c r="J30" s="24">
        <v>3.6780595999999999E-2</v>
      </c>
      <c r="K30" s="24">
        <v>-7.9876184000000005E-4</v>
      </c>
      <c r="L30" s="24">
        <v>4.7599672999999995E-2</v>
      </c>
      <c r="M30" s="24">
        <v>5.1824092999999995E-2</v>
      </c>
      <c r="N30" s="24">
        <v>-2.9003203000000002E-2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42811</v>
      </c>
      <c r="B31" s="24">
        <v>-1.7366827000000001E-2</v>
      </c>
      <c r="C31" s="24">
        <v>1.1240959E-2</v>
      </c>
      <c r="D31" s="24">
        <v>-3.8516997999999997E-2</v>
      </c>
      <c r="E31" s="24">
        <v>3.1590343E-2</v>
      </c>
      <c r="F31" s="24">
        <v>1.2502550999999999E-2</v>
      </c>
      <c r="G31" s="24">
        <v>3.4138559999999998E-2</v>
      </c>
      <c r="H31" s="24">
        <v>2.2222160999999997E-2</v>
      </c>
      <c r="I31" s="24">
        <v>1.6594648E-2</v>
      </c>
      <c r="J31" s="24">
        <v>1.2646675000000001E-2</v>
      </c>
      <c r="K31" s="24">
        <v>4.3565154000000002E-2</v>
      </c>
      <c r="L31" s="24">
        <v>4.4271827000000007E-2</v>
      </c>
      <c r="M31" s="24">
        <v>2.3014545000000001E-2</v>
      </c>
      <c r="N31" s="24">
        <v>6.8573833000000001E-2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42843</v>
      </c>
      <c r="B32" s="24">
        <v>1.7912626000000001E-2</v>
      </c>
      <c r="C32" s="24">
        <v>-1.0226727E-2</v>
      </c>
      <c r="D32" s="24">
        <v>3.3695698E-3</v>
      </c>
      <c r="E32" s="24">
        <v>-5.6318045000000004E-3</v>
      </c>
      <c r="F32" s="24">
        <v>-1.620686E-2</v>
      </c>
      <c r="G32" s="24">
        <v>-3.4257174000000001E-3</v>
      </c>
      <c r="H32" s="24">
        <v>-3.6742089999999999E-3</v>
      </c>
      <c r="I32" s="24">
        <v>-3.1133889999999998E-3</v>
      </c>
      <c r="J32" s="24">
        <v>-1.3331652000000001E-2</v>
      </c>
      <c r="K32" s="24">
        <v>-4.9789548000000001E-3</v>
      </c>
      <c r="L32" s="24">
        <v>-2.7890799999999998E-3</v>
      </c>
      <c r="M32" s="24">
        <v>-1.4258504E-2</v>
      </c>
      <c r="N32" s="24">
        <v>-2.9133856E-2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42873</v>
      </c>
      <c r="B33" s="24">
        <v>4.4580698000000005E-3</v>
      </c>
      <c r="C33" s="24">
        <v>-3.4141958E-2</v>
      </c>
      <c r="D33" s="24">
        <v>-3.6940277000000001E-2</v>
      </c>
      <c r="E33" s="24">
        <v>8.4247700000000009E-2</v>
      </c>
      <c r="F33" s="24">
        <v>3.1967044E-2</v>
      </c>
      <c r="G33" s="24">
        <v>7.2812557E-2</v>
      </c>
      <c r="H33" s="24">
        <v>5.9618830000000005E-2</v>
      </c>
      <c r="I33" s="24">
        <v>4.5551420000000002E-2</v>
      </c>
      <c r="J33" s="24">
        <v>1.240015E-2</v>
      </c>
      <c r="K33" s="24">
        <v>0.115473385</v>
      </c>
      <c r="L33" s="24">
        <v>8.2230089999999992E-2</v>
      </c>
      <c r="M33" s="24">
        <v>6.9752454999999991E-2</v>
      </c>
      <c r="N33" s="24">
        <v>0.13787508000000001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42902</v>
      </c>
      <c r="B34" s="24">
        <v>8.3158129999999997E-2</v>
      </c>
      <c r="C34" s="24">
        <v>3.0697703E-2</v>
      </c>
      <c r="D34" s="24">
        <v>2.8671025999999999E-2</v>
      </c>
      <c r="E34" s="24">
        <v>1.9588708999999999E-2</v>
      </c>
      <c r="F34" s="24">
        <v>3.0406713000000002E-2</v>
      </c>
      <c r="G34" s="24">
        <v>1.3399362999999999E-2</v>
      </c>
      <c r="H34" s="24">
        <v>-7.2506070000000001E-3</v>
      </c>
      <c r="I34" s="24">
        <v>9.2409850000000002E-3</v>
      </c>
      <c r="J34" s="24">
        <v>2.9788852000000001E-2</v>
      </c>
      <c r="K34" s="24">
        <v>1.3112545E-2</v>
      </c>
      <c r="L34" s="24">
        <v>1.1026859E-2</v>
      </c>
      <c r="M34" s="24">
        <v>2.7644277000000002E-2</v>
      </c>
      <c r="N34" s="24">
        <v>5.702019E-3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42934</v>
      </c>
      <c r="B35" s="24">
        <v>2.9440284000000001E-2</v>
      </c>
      <c r="C35" s="24">
        <v>2.6137948000000001E-2</v>
      </c>
      <c r="D35" s="24">
        <v>4.5843243999999998E-2</v>
      </c>
      <c r="E35" s="24">
        <v>6.0908793999999997E-3</v>
      </c>
      <c r="F35" s="24">
        <v>-6.1166286000000005E-4</v>
      </c>
      <c r="G35" s="24">
        <v>1.7857909000000002E-2</v>
      </c>
      <c r="H35" s="24">
        <v>9.2877150000000002E-3</v>
      </c>
      <c r="I35" s="24">
        <v>3.6120176000000004E-2</v>
      </c>
      <c r="J35" s="24">
        <v>1.2446403999999999E-2</v>
      </c>
      <c r="K35" s="24">
        <v>1.7289162E-2</v>
      </c>
      <c r="L35" s="24">
        <v>2.8820275999999999E-2</v>
      </c>
      <c r="M35" s="24">
        <v>2.6599287999999999E-2</v>
      </c>
      <c r="N35" s="24">
        <v>4.670477E-2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42965</v>
      </c>
      <c r="B36" s="24">
        <v>1.3657688999999999E-2</v>
      </c>
      <c r="C36" s="24">
        <v>1.6179800000000001E-2</v>
      </c>
      <c r="D36" s="24">
        <v>-9.803951E-3</v>
      </c>
      <c r="E36" s="24">
        <v>-5.8403609999999996E-3</v>
      </c>
      <c r="F36" s="24">
        <v>1.1329888999999999E-2</v>
      </c>
      <c r="G36" s="24">
        <v>-2.192092E-2</v>
      </c>
      <c r="H36" s="24">
        <v>-1.775682E-2</v>
      </c>
      <c r="I36" s="24">
        <v>-1.3343632000000001E-2</v>
      </c>
      <c r="J36" s="24">
        <v>-1.2008429000000001E-2</v>
      </c>
      <c r="K36" s="24">
        <v>1.3623237999999998E-3</v>
      </c>
      <c r="L36" s="24">
        <v>2.0456076E-2</v>
      </c>
      <c r="M36" s="24">
        <v>-1.9807755999999999E-2</v>
      </c>
      <c r="N36" s="24">
        <v>3.1713247E-2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42996</v>
      </c>
      <c r="B37" s="24">
        <v>-2.463156E-2</v>
      </c>
      <c r="C37" s="24">
        <v>9.7302200000000012E-3</v>
      </c>
      <c r="D37" s="24">
        <v>4.4737816E-2</v>
      </c>
      <c r="E37" s="24">
        <v>4.7650100000000001E-2</v>
      </c>
      <c r="F37" s="24">
        <v>1.4692307E-2</v>
      </c>
      <c r="G37" s="24">
        <v>2.5951027999999998E-2</v>
      </c>
      <c r="H37" s="24">
        <v>4.0674925000000001E-2</v>
      </c>
      <c r="I37" s="24">
        <v>3.2849908000000004E-2</v>
      </c>
      <c r="J37" s="24">
        <v>3.3979653999999998E-2</v>
      </c>
      <c r="K37" s="24">
        <v>4.0476203000000002E-2</v>
      </c>
      <c r="L37" s="24">
        <v>3.1547785000000002E-2</v>
      </c>
      <c r="M37" s="24">
        <v>5.3491829999999997E-2</v>
      </c>
      <c r="N37" s="24">
        <v>4.4437049999999999E-2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43026</v>
      </c>
      <c r="B38" s="24">
        <v>2.8707027E-2</v>
      </c>
      <c r="C38" s="24">
        <v>1.0512471000000001E-2</v>
      </c>
      <c r="D38" s="24">
        <v>2.7729034E-2</v>
      </c>
      <c r="E38" s="24">
        <v>2.4922251999999999E-2</v>
      </c>
      <c r="F38" s="24">
        <v>4.1085960000000005E-2</v>
      </c>
      <c r="G38" s="24">
        <v>9.7728970000000009E-3</v>
      </c>
      <c r="H38" s="24">
        <v>1.6502619E-2</v>
      </c>
      <c r="I38" s="24">
        <v>2.2741318E-2</v>
      </c>
      <c r="J38" s="24">
        <v>2.4026869999999999E-2</v>
      </c>
      <c r="K38" s="24">
        <v>1.8633485000000002E-2</v>
      </c>
      <c r="L38" s="24">
        <v>1.5928625999999998E-2</v>
      </c>
      <c r="M38" s="24">
        <v>1.2694001E-2</v>
      </c>
      <c r="N38" s="24">
        <v>-1.3435721000000001E-2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43056</v>
      </c>
      <c r="B39" s="24">
        <v>-5.7729780000000001E-2</v>
      </c>
      <c r="C39" s="24">
        <v>-1.9072413E-2</v>
      </c>
      <c r="D39" s="24">
        <v>-7.8552364999999996E-3</v>
      </c>
      <c r="E39" s="24">
        <v>-5.7751536000000001E-3</v>
      </c>
      <c r="F39" s="24">
        <v>2.034068E-2</v>
      </c>
      <c r="G39" s="24">
        <v>-2.1064639999999999E-2</v>
      </c>
      <c r="H39" s="24">
        <v>-1.9082962999999998E-2</v>
      </c>
      <c r="I39" s="24">
        <v>3.4193158000000001E-2</v>
      </c>
      <c r="J39" s="24">
        <v>8.3684919999999999E-3</v>
      </c>
      <c r="K39" s="24">
        <v>-1.4120698000000001E-2</v>
      </c>
      <c r="L39" s="24">
        <v>-2.3518324E-2</v>
      </c>
      <c r="M39" s="24">
        <v>-4.4568299999999998E-2</v>
      </c>
      <c r="N39" s="24">
        <v>-1.5888453E-2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43087</v>
      </c>
      <c r="B40" s="24">
        <v>6.8169594E-2</v>
      </c>
      <c r="C40" s="24">
        <v>2.96067E-2</v>
      </c>
      <c r="D40" s="24">
        <v>4.8192740000000001E-3</v>
      </c>
      <c r="E40" s="24">
        <v>2.5374531999999998E-2</v>
      </c>
      <c r="F40" s="24">
        <v>3.2884598000000001E-2</v>
      </c>
      <c r="G40" s="24">
        <v>2.9950500000000001E-2</v>
      </c>
      <c r="H40" s="24">
        <v>3.6875724999999998E-2</v>
      </c>
      <c r="I40" s="24">
        <v>3.2604097999999998E-2</v>
      </c>
      <c r="J40" s="24">
        <v>4.5373080000000003E-2</v>
      </c>
      <c r="K40" s="24">
        <v>1.9856809999999999E-2</v>
      </c>
      <c r="L40" s="24">
        <v>2.5690436000000001E-2</v>
      </c>
      <c r="M40" s="24">
        <v>-4.0816070000000001E-3</v>
      </c>
      <c r="N40" s="24">
        <v>1.6144991000000001E-2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43118</v>
      </c>
      <c r="B41" s="24">
        <v>2.5583148000000003E-2</v>
      </c>
      <c r="C41" s="24">
        <v>3.8255214999999995E-2</v>
      </c>
      <c r="D41" s="24">
        <v>4.8892379999999999E-2</v>
      </c>
      <c r="E41" s="24">
        <v>4.1680454999999998E-2</v>
      </c>
      <c r="F41" s="24">
        <v>5.3365349999999999E-2</v>
      </c>
      <c r="G41" s="24">
        <v>3.4726262000000001E-2</v>
      </c>
      <c r="H41" s="24">
        <v>6.2550069999999999E-2</v>
      </c>
      <c r="I41" s="24">
        <v>4.5259714000000006E-2</v>
      </c>
      <c r="J41" s="24">
        <v>4.0790439999999997E-2</v>
      </c>
      <c r="K41" s="24">
        <v>5.4904580000000001E-2</v>
      </c>
      <c r="L41" s="24">
        <v>5.1943659999999996E-2</v>
      </c>
      <c r="M41" s="24">
        <v>6.5891504000000004E-2</v>
      </c>
      <c r="N41" s="24">
        <v>9.1592549999999995E-2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43147</v>
      </c>
      <c r="B42" s="24">
        <v>-5.3864120000000001E-3</v>
      </c>
      <c r="C42" s="24">
        <v>-2.6683629E-2</v>
      </c>
      <c r="D42" s="24">
        <v>-6.4836206000000007E-2</v>
      </c>
      <c r="E42" s="24">
        <v>-4.5050199999999999E-2</v>
      </c>
      <c r="F42" s="24">
        <v>-2.8850733999999999E-2</v>
      </c>
      <c r="G42" s="24">
        <v>-1.9099592999999998E-2</v>
      </c>
      <c r="H42" s="24">
        <v>-4.3501672999999998E-2</v>
      </c>
      <c r="I42" s="24">
        <v>-5.1863789999999996E-3</v>
      </c>
      <c r="J42" s="24">
        <v>-2.1602153999999998E-2</v>
      </c>
      <c r="K42" s="24">
        <v>-2.4279176999999999E-2</v>
      </c>
      <c r="L42" s="24">
        <v>-3.3522843999999996E-2</v>
      </c>
      <c r="M42" s="24">
        <v>-3.1900048E-2</v>
      </c>
      <c r="N42" s="24">
        <v>-1.9713282999999998E-2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43175</v>
      </c>
      <c r="B43" s="24">
        <v>2.7286052999999998E-2</v>
      </c>
      <c r="C43" s="24">
        <v>-9.1383460000000003E-3</v>
      </c>
      <c r="D43" s="24">
        <v>-2.1223903000000002E-2</v>
      </c>
      <c r="E43" s="24">
        <v>-1.953119E-2</v>
      </c>
      <c r="F43" s="24">
        <v>-1.4772713E-2</v>
      </c>
      <c r="G43" s="24">
        <v>-3.0041753999999997E-2</v>
      </c>
      <c r="H43" s="24">
        <v>-2.1336257000000001E-2</v>
      </c>
      <c r="I43" s="24">
        <v>3.6736129999999999E-2</v>
      </c>
      <c r="J43" s="24">
        <v>8.0070495999999998E-3</v>
      </c>
      <c r="K43" s="24">
        <v>-8.3982349999999987E-3</v>
      </c>
      <c r="L43" s="24">
        <v>3.4066439999999999E-3</v>
      </c>
      <c r="M43" s="24">
        <v>-1.2320935999999999E-2</v>
      </c>
      <c r="N43" s="24">
        <v>-7.9219340000000003E-3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43208</v>
      </c>
      <c r="B44" s="24">
        <v>-8.1104039999999999E-4</v>
      </c>
      <c r="C44" s="24">
        <v>-5.7092905000000003E-3</v>
      </c>
      <c r="D44" s="24">
        <v>2.5659559999999998E-2</v>
      </c>
      <c r="E44" s="24">
        <v>2.2372006999999999E-2</v>
      </c>
      <c r="F44" s="24">
        <v>5.7671070000000005E-3</v>
      </c>
      <c r="G44" s="24">
        <v>-5.4487585999999999E-3</v>
      </c>
      <c r="H44" s="24">
        <v>4.733217E-2</v>
      </c>
      <c r="I44" s="24">
        <v>-2.5169790000000001E-2</v>
      </c>
      <c r="J44" s="24">
        <v>-1.3894975E-2</v>
      </c>
      <c r="K44" s="24">
        <v>3.0426620999999997E-2</v>
      </c>
      <c r="L44" s="24">
        <v>1.9753098E-2</v>
      </c>
      <c r="M44" s="24">
        <v>-2.0307539999999999E-2</v>
      </c>
      <c r="N44" s="24">
        <v>4.8832893000000002E-2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43238</v>
      </c>
      <c r="B45" s="24">
        <v>-2.9017866E-2</v>
      </c>
      <c r="C45" s="24">
        <v>2.6502609999999997E-3</v>
      </c>
      <c r="D45" s="24">
        <v>2.6779413000000002E-2</v>
      </c>
      <c r="E45" s="24">
        <v>-1.4388502000000001E-2</v>
      </c>
      <c r="F45" s="24">
        <v>-4.9149989999999993E-4</v>
      </c>
      <c r="G45" s="24">
        <v>-8.6504817000000005E-3</v>
      </c>
      <c r="H45" s="24">
        <v>1.1777638999999999E-2</v>
      </c>
      <c r="I45" s="24">
        <v>6.128311E-3</v>
      </c>
      <c r="J45" s="24">
        <v>3.4763812999999998E-3</v>
      </c>
      <c r="K45" s="24">
        <v>-4.566133E-3</v>
      </c>
      <c r="L45" s="24">
        <v>-3.2990336000000002E-2</v>
      </c>
      <c r="M45" s="24">
        <v>7.9952479999999999E-3</v>
      </c>
      <c r="N45" s="24">
        <v>-6.3543262000000003E-2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43269</v>
      </c>
      <c r="B46" s="24">
        <v>5.2664638000000007E-2</v>
      </c>
      <c r="C46" s="24">
        <v>-8.8107585999999997E-4</v>
      </c>
      <c r="D46" s="24">
        <v>-1.098144E-2</v>
      </c>
      <c r="E46" s="24">
        <v>-2.8588830999999999E-2</v>
      </c>
      <c r="F46" s="24">
        <v>-1.8521487999999999E-2</v>
      </c>
      <c r="G46" s="24">
        <v>-3.2867967999999997E-2</v>
      </c>
      <c r="H46" s="24">
        <v>-3.1402289999999999E-2</v>
      </c>
      <c r="I46" s="24">
        <v>5.6242466000000005E-2</v>
      </c>
      <c r="J46" s="24">
        <v>2.3856639999999998E-2</v>
      </c>
      <c r="K46" s="24">
        <v>-2.3853242E-2</v>
      </c>
      <c r="L46" s="24">
        <v>-8.1377029999999996E-3</v>
      </c>
      <c r="M46" s="24">
        <v>-4.2009410000000004E-2</v>
      </c>
      <c r="N46" s="24">
        <v>-5.5972457000000003E-2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43299</v>
      </c>
      <c r="B47" s="24">
        <v>-2.8386414000000002E-2</v>
      </c>
      <c r="C47" s="24">
        <v>2.1357417E-2</v>
      </c>
      <c r="D47" s="24">
        <v>1.0037898999999999E-2</v>
      </c>
      <c r="E47" s="24">
        <v>-5.3549409999999993E-3</v>
      </c>
      <c r="F47" s="24">
        <v>-2.3810445999999999E-2</v>
      </c>
      <c r="G47" s="24">
        <v>3.5558342999999999E-2</v>
      </c>
      <c r="H47" s="24">
        <v>-8.8333490000000008E-3</v>
      </c>
      <c r="I47" s="24">
        <v>1.9433379000000001E-2</v>
      </c>
      <c r="J47" s="24">
        <v>1.6271352999999999E-2</v>
      </c>
      <c r="K47" s="24">
        <v>2.9798745999999997E-3</v>
      </c>
      <c r="L47" s="24">
        <v>1.3376951E-2</v>
      </c>
      <c r="M47" s="24">
        <v>6.0439109999999996E-5</v>
      </c>
      <c r="N47" s="24">
        <v>-3.9868354999999999E-3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43329</v>
      </c>
      <c r="B48" s="24">
        <v>-9.3497040000000003E-3</v>
      </c>
      <c r="C48" s="24">
        <v>1.2323976E-2</v>
      </c>
      <c r="D48" s="24">
        <v>2.4238825000000002E-3</v>
      </c>
      <c r="E48" s="24">
        <v>-5.1579657000000001E-2</v>
      </c>
      <c r="F48" s="24">
        <v>-1.3965547E-2</v>
      </c>
      <c r="G48" s="24">
        <v>1.2205957999999999E-2</v>
      </c>
      <c r="H48" s="24">
        <v>-3.2621264000000004E-2</v>
      </c>
      <c r="I48" s="24">
        <v>-3.889799E-4</v>
      </c>
      <c r="J48" s="24">
        <v>1.4231800999999999E-2</v>
      </c>
      <c r="K48" s="24">
        <v>-3.4757674000000002E-2</v>
      </c>
      <c r="L48" s="24">
        <v>-4.1139307E-2</v>
      </c>
      <c r="M48" s="24">
        <v>-1.2836455999999999E-3</v>
      </c>
      <c r="N48" s="24">
        <v>-8.1025659999999999E-2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43361</v>
      </c>
      <c r="B49" s="24">
        <v>2.0763397000000003E-2</v>
      </c>
      <c r="C49" s="24">
        <v>-3.7826119999999998E-2</v>
      </c>
      <c r="D49" s="24">
        <v>-4.8359632000000005E-3</v>
      </c>
      <c r="E49" s="24">
        <v>1.7335176000000001E-2</v>
      </c>
      <c r="F49" s="24">
        <v>4.1091084E-2</v>
      </c>
      <c r="G49" s="24">
        <v>2.382362E-2</v>
      </c>
      <c r="H49" s="24">
        <v>-1.193583E-3</v>
      </c>
      <c r="I49" s="24">
        <v>1.6568421999999999E-2</v>
      </c>
      <c r="J49" s="24">
        <v>2.0521998E-2</v>
      </c>
      <c r="K49" s="24">
        <v>2.3785949000000001E-2</v>
      </c>
      <c r="L49" s="24">
        <v>1.6502142E-3</v>
      </c>
      <c r="M49" s="24">
        <v>3.1812309999999996E-2</v>
      </c>
      <c r="N49" s="24">
        <v>5.9895873000000002E-2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43391</v>
      </c>
      <c r="B50" s="24">
        <v>-5.7119369999999996E-2</v>
      </c>
      <c r="C50" s="24">
        <v>-6.4166306999999992E-2</v>
      </c>
      <c r="D50" s="24">
        <v>-5.9354362000000001E-2</v>
      </c>
      <c r="E50" s="24">
        <v>-7.4173093000000009E-2</v>
      </c>
      <c r="F50" s="24">
        <v>-5.0554275999999995E-2</v>
      </c>
      <c r="G50" s="24">
        <v>-6.4923943999999997E-2</v>
      </c>
      <c r="H50" s="24">
        <v>-4.5712590000000004E-2</v>
      </c>
      <c r="I50" s="24">
        <v>-5.1134586000000003E-2</v>
      </c>
      <c r="J50" s="24">
        <v>-4.5574307000000001E-2</v>
      </c>
      <c r="K50" s="24">
        <v>-6.7763804999999996E-2</v>
      </c>
      <c r="L50" s="24">
        <v>-6.8204284000000004E-2</v>
      </c>
      <c r="M50" s="24">
        <v>-6.5711617E-2</v>
      </c>
      <c r="N50" s="24">
        <v>-0.11723412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43420</v>
      </c>
      <c r="B51" s="24">
        <v>4.7504900000000003E-2</v>
      </c>
      <c r="C51" s="24">
        <v>1.4968634000000001E-2</v>
      </c>
      <c r="D51" s="24">
        <v>-1.2915134E-2</v>
      </c>
      <c r="E51" s="24">
        <v>-1.5517830999999999E-2</v>
      </c>
      <c r="F51" s="24">
        <v>-3.2372177000000002E-2</v>
      </c>
      <c r="G51" s="24">
        <v>1.1059879999999999E-2</v>
      </c>
      <c r="H51" s="24">
        <v>-7.2010755999999997E-3</v>
      </c>
      <c r="I51" s="24">
        <v>-3.2798229999999998E-2</v>
      </c>
      <c r="J51" s="24">
        <v>-9.6598269999999993E-3</v>
      </c>
      <c r="K51" s="24">
        <v>-1.5576303E-2</v>
      </c>
      <c r="L51" s="24">
        <v>1.1315465E-2</v>
      </c>
      <c r="M51" s="24">
        <v>-2.2333324000000002E-2</v>
      </c>
      <c r="N51" s="24">
        <v>3.1808615000000003E-3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43452</v>
      </c>
      <c r="B52" s="24">
        <v>-1.8862068999999999E-2</v>
      </c>
      <c r="C52" s="24">
        <v>-4.6391010000000003E-2</v>
      </c>
      <c r="D52" s="24">
        <v>-7.0677279999999995E-2</v>
      </c>
      <c r="E52" s="24">
        <v>-6.4516125000000007E-2</v>
      </c>
      <c r="F52" s="24">
        <v>-3.6828697000000001E-2</v>
      </c>
      <c r="G52" s="24">
        <v>-4.4971110000000002E-2</v>
      </c>
      <c r="H52" s="24">
        <v>-6.0635567000000001E-2</v>
      </c>
      <c r="I52" s="24">
        <v>-5.4208993999999996E-2</v>
      </c>
      <c r="J52" s="24">
        <v>-6.8132876999999994E-2</v>
      </c>
      <c r="K52" s="24">
        <v>-5.8630109999999999E-2</v>
      </c>
      <c r="L52" s="24">
        <v>-5.7370243000000001E-2</v>
      </c>
      <c r="M52" s="24">
        <v>-4.1364249999999998E-2</v>
      </c>
      <c r="N52" s="24">
        <v>-9.2995166999999997E-3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43483</v>
      </c>
      <c r="B53" s="24">
        <v>4.0146710000000002E-2</v>
      </c>
      <c r="C53" s="24">
        <v>6.6321253999999996E-2</v>
      </c>
      <c r="D53" s="24">
        <v>8.0572605000000005E-2</v>
      </c>
      <c r="E53" s="24">
        <v>4.5846343000000005E-2</v>
      </c>
      <c r="F53" s="24">
        <v>3.5768985999999996E-2</v>
      </c>
      <c r="G53" s="24">
        <v>6.1724424000000007E-2</v>
      </c>
      <c r="H53" s="24">
        <v>6.2092660000000001E-2</v>
      </c>
      <c r="I53" s="24">
        <v>4.6170710000000004E-2</v>
      </c>
      <c r="J53" s="24">
        <v>5.0843119999999999E-2</v>
      </c>
      <c r="K53" s="24">
        <v>2.4015069999999999E-2</v>
      </c>
      <c r="L53" s="24">
        <v>2.3481130000000003E-2</v>
      </c>
      <c r="M53" s="24">
        <v>5.2313090000000007E-2</v>
      </c>
      <c r="N53" s="24">
        <v>4.6596409999999998E-2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43511</v>
      </c>
      <c r="B54" s="24">
        <v>3.2786965000000001E-2</v>
      </c>
      <c r="C54" s="24">
        <v>2.429545E-2</v>
      </c>
      <c r="D54" s="24">
        <v>3.7471652000000001E-2</v>
      </c>
      <c r="E54" s="24">
        <v>3.7467479999999997E-4</v>
      </c>
      <c r="F54" s="24">
        <v>6.2788725000000002E-3</v>
      </c>
      <c r="G54" s="24">
        <v>1.7980336999999999E-2</v>
      </c>
      <c r="H54" s="24">
        <v>4.0697694E-2</v>
      </c>
      <c r="I54" s="24">
        <v>4.0484070000000004E-2</v>
      </c>
      <c r="J54" s="24">
        <v>4.0944219999999996E-2</v>
      </c>
      <c r="K54" s="24">
        <v>4.9835086000000001E-2</v>
      </c>
      <c r="L54" s="24">
        <v>7.0284009999999994E-2</v>
      </c>
      <c r="M54" s="24">
        <v>2.5363563999999998E-2</v>
      </c>
      <c r="N54" s="24">
        <v>2.4777412000000002E-2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43542</v>
      </c>
      <c r="B55" s="24">
        <v>2.1699785999999999E-2</v>
      </c>
      <c r="C55" s="24">
        <v>2.0872831000000001E-2</v>
      </c>
      <c r="D55" s="24">
        <v>2.0065665E-2</v>
      </c>
      <c r="E55" s="24">
        <v>3.3707857000000001E-2</v>
      </c>
      <c r="F55" s="24">
        <v>-5.5062769999999995E-4</v>
      </c>
      <c r="G55" s="24">
        <v>4.0329694999999999E-2</v>
      </c>
      <c r="H55" s="24">
        <v>4.2830466999999997E-2</v>
      </c>
      <c r="I55" s="24">
        <v>3.9747715000000003E-2</v>
      </c>
      <c r="J55" s="24">
        <v>2.2344111999999999E-2</v>
      </c>
      <c r="K55" s="24">
        <v>5.1308990000000006E-2</v>
      </c>
      <c r="L55" s="24">
        <v>3.164339E-2</v>
      </c>
      <c r="M55" s="24">
        <v>1.9459128000000003E-2</v>
      </c>
      <c r="N55" s="24">
        <v>5.3645610000000003E-2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43573</v>
      </c>
      <c r="B56" s="24">
        <v>1.8879056000000002E-2</v>
      </c>
      <c r="C56" s="24">
        <v>1.8587351000000002E-2</v>
      </c>
      <c r="D56" s="24">
        <v>2.5035740000000001E-2</v>
      </c>
      <c r="E56" s="24">
        <v>3.5144925E-2</v>
      </c>
      <c r="F56" s="24">
        <v>1.6342282E-2</v>
      </c>
      <c r="G56" s="24">
        <v>1.3016343E-2</v>
      </c>
      <c r="H56" s="24">
        <v>6.2501430000000005E-3</v>
      </c>
      <c r="I56" s="24">
        <v>5.009806E-2</v>
      </c>
      <c r="J56" s="24">
        <v>2.7237654E-2</v>
      </c>
      <c r="K56" s="24">
        <v>2.1912335999999998E-2</v>
      </c>
      <c r="L56" s="24">
        <v>3.2321929999999999E-2</v>
      </c>
      <c r="M56" s="24">
        <v>5.758655E-2</v>
      </c>
      <c r="N56" s="24">
        <v>1.6852020999999998E-2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43602</v>
      </c>
      <c r="B57" s="24">
        <v>-4.8252939999999999E-3</v>
      </c>
      <c r="C57" s="24">
        <v>-2.2810220000000003E-2</v>
      </c>
      <c r="D57" s="24">
        <v>-2.0237267E-2</v>
      </c>
      <c r="E57" s="24">
        <v>-1.8200933999999998E-2</v>
      </c>
      <c r="F57" s="24">
        <v>-2.9990969999999999E-2</v>
      </c>
      <c r="G57" s="24">
        <v>6.1452390000000003E-3</v>
      </c>
      <c r="H57" s="24">
        <v>-3.3422111999999997E-2</v>
      </c>
      <c r="I57" s="24">
        <v>-2.3213625000000002E-2</v>
      </c>
      <c r="J57" s="24">
        <v>-1.4412761000000001E-2</v>
      </c>
      <c r="K57" s="24">
        <v>-2.8265118999999998E-2</v>
      </c>
      <c r="L57" s="24">
        <v>-2.3642181999999998E-2</v>
      </c>
      <c r="M57" s="24">
        <v>-7.0663809999999994E-2</v>
      </c>
      <c r="N57" s="24">
        <v>-4.4428769999999999E-2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43634</v>
      </c>
      <c r="B58" s="24">
        <v>-4.1757822000000003E-3</v>
      </c>
      <c r="C58" s="24">
        <v>4.8535229999999999E-2</v>
      </c>
      <c r="D58" s="24">
        <v>1.4835715000000001E-2</v>
      </c>
      <c r="E58" s="24">
        <v>4.3317080000000001E-3</v>
      </c>
      <c r="F58" s="24">
        <v>1.4717816999999999E-2</v>
      </c>
      <c r="G58" s="24">
        <v>4.6049236999999993E-2</v>
      </c>
      <c r="H58" s="24">
        <v>3.0653477000000002E-3</v>
      </c>
      <c r="I58" s="24">
        <v>1.8411278999999999E-2</v>
      </c>
      <c r="J58" s="24">
        <v>2.2949934000000002E-2</v>
      </c>
      <c r="K58" s="24">
        <v>2.9592394999999997E-2</v>
      </c>
      <c r="L58" s="24">
        <v>1.3545393999999999E-2</v>
      </c>
      <c r="M58" s="24">
        <v>1.5030502999999999E-2</v>
      </c>
      <c r="N58" s="24">
        <v>2.9835105000000001E-2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43664</v>
      </c>
      <c r="B59" s="24">
        <v>9.9644070000000001E-2</v>
      </c>
      <c r="C59" s="24">
        <v>3.1803726999999997E-2</v>
      </c>
      <c r="D59" s="24">
        <v>2.5849820000000003E-2</v>
      </c>
      <c r="E59" s="24">
        <v>1.09410286E-3</v>
      </c>
      <c r="F59" s="24">
        <v>1.0001778999999999E-2</v>
      </c>
      <c r="G59" s="24">
        <v>2.2481083999999998E-2</v>
      </c>
      <c r="H59" s="24">
        <v>6.2578917000000005E-3</v>
      </c>
      <c r="I59" s="24">
        <v>3.4520506999999999E-2</v>
      </c>
      <c r="J59" s="24">
        <v>2.6966929999999997E-2</v>
      </c>
      <c r="K59" s="24">
        <v>1.6971706999999999E-2</v>
      </c>
      <c r="L59" s="24">
        <v>3.6056876000000002E-2</v>
      </c>
      <c r="M59" s="24">
        <v>1.0709524E-2</v>
      </c>
      <c r="N59" s="24">
        <v>5.4875850000000004E-2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43693</v>
      </c>
      <c r="B60" s="24">
        <v>-6.2747182999999998E-2</v>
      </c>
      <c r="C60" s="24">
        <v>-6.5169515999999997E-2</v>
      </c>
      <c r="D60" s="24">
        <v>-4.3148099999999995E-2</v>
      </c>
      <c r="E60" s="24">
        <v>-6.7395266999999995E-2</v>
      </c>
      <c r="F60" s="24">
        <v>-2.0539105000000002E-2</v>
      </c>
      <c r="G60" s="24">
        <v>-2.0927190000000002E-2</v>
      </c>
      <c r="H60" s="24">
        <v>-7.3383092999999996E-2</v>
      </c>
      <c r="I60" s="24">
        <v>-3.606695E-2</v>
      </c>
      <c r="J60" s="24">
        <v>-3.3396840000000004E-2</v>
      </c>
      <c r="K60" s="24">
        <v>-5.9882220000000007E-2</v>
      </c>
      <c r="L60" s="24">
        <v>-4.5338450000000002E-2</v>
      </c>
      <c r="M60" s="24">
        <v>-8.2450389999999998E-2</v>
      </c>
      <c r="N60" s="24">
        <v>-9.806680999999999E-2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43726</v>
      </c>
      <c r="B61" s="24">
        <v>-7.0017576000000002E-3</v>
      </c>
      <c r="C61" s="24">
        <v>5.7936907000000003E-2</v>
      </c>
      <c r="D61" s="24">
        <v>4.7258376999999997E-2</v>
      </c>
      <c r="E61" s="24">
        <v>6.6015600000000008E-2</v>
      </c>
      <c r="F61" s="24">
        <v>6.0850023999999996E-2</v>
      </c>
      <c r="G61" s="24">
        <v>1.5422106E-2</v>
      </c>
      <c r="H61" s="24">
        <v>5.7718160000000004E-2</v>
      </c>
      <c r="I61" s="24">
        <v>3.7955641999999998E-2</v>
      </c>
      <c r="J61" s="24">
        <v>4.2409540000000003E-2</v>
      </c>
      <c r="K61" s="24">
        <v>5.4994820000000007E-2</v>
      </c>
      <c r="L61" s="24">
        <v>5.9197306999999998E-2</v>
      </c>
      <c r="M61" s="24">
        <v>8.4446069999999998E-2</v>
      </c>
      <c r="N61" s="24">
        <v>8.0280539999999997E-2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43756</v>
      </c>
      <c r="B62" s="24">
        <v>3.9408921999999999E-2</v>
      </c>
      <c r="C62" s="24">
        <v>-6.2332749999999999E-3</v>
      </c>
      <c r="D62" s="24">
        <v>-1.5156746E-2</v>
      </c>
      <c r="E62" s="24">
        <v>2.9314756000000001E-2</v>
      </c>
      <c r="F62" s="24">
        <v>1.2530923000000001E-2</v>
      </c>
      <c r="G62" s="24">
        <v>1.5987158000000002E-3</v>
      </c>
      <c r="H62" s="24">
        <v>1.5228390999999999E-2</v>
      </c>
      <c r="I62" s="24">
        <v>-2.3034811000000001E-3</v>
      </c>
      <c r="J62" s="24">
        <v>-5.8047769999999997E-3</v>
      </c>
      <c r="K62" s="24">
        <v>1.2207269999999999E-2</v>
      </c>
      <c r="L62" s="24">
        <v>1.2946009999999999E-2</v>
      </c>
      <c r="M62" s="24">
        <v>2.6955127999999998E-2</v>
      </c>
      <c r="N62" s="24">
        <v>2.4531006999999997E-2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43787</v>
      </c>
      <c r="B63" s="24">
        <v>-1.1708975E-2</v>
      </c>
      <c r="C63" s="24">
        <v>1.8817186E-2</v>
      </c>
      <c r="D63" s="24">
        <v>4.0923356999999994E-2</v>
      </c>
      <c r="E63" s="24">
        <v>3.2751917999999998E-2</v>
      </c>
      <c r="F63" s="24">
        <v>4.3053864999999997E-2</v>
      </c>
      <c r="G63" s="24">
        <v>3.3785582000000002E-2</v>
      </c>
      <c r="H63" s="24">
        <v>2.3125052E-2</v>
      </c>
      <c r="I63" s="24">
        <v>5.9366703E-2</v>
      </c>
      <c r="J63" s="24">
        <v>4.7152399999999997E-2</v>
      </c>
      <c r="K63" s="24">
        <v>4.2372823000000004E-2</v>
      </c>
      <c r="L63" s="24">
        <v>2.4314165000000002E-2</v>
      </c>
      <c r="M63" s="24">
        <v>3.2080411999999996E-2</v>
      </c>
      <c r="N63" s="24">
        <v>3.6619782000000003E-2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43817</v>
      </c>
      <c r="B64" s="24">
        <v>7.1728586999999996E-2</v>
      </c>
      <c r="C64" s="24">
        <v>1.4609814E-2</v>
      </c>
      <c r="D64" s="24">
        <v>5.8573484000000002E-3</v>
      </c>
      <c r="E64" s="24">
        <v>8.6177590000000009E-3</v>
      </c>
      <c r="F64" s="24">
        <v>1.3228535999999999E-2</v>
      </c>
      <c r="G64" s="24">
        <v>2.9593349000000001E-2</v>
      </c>
      <c r="H64" s="24">
        <v>4.5478462999999997E-2</v>
      </c>
      <c r="I64" s="24">
        <v>3.1910180000000003E-2</v>
      </c>
      <c r="J64" s="24">
        <v>2.4261235999999999E-2</v>
      </c>
      <c r="K64" s="24">
        <v>9.3369483999999996E-3</v>
      </c>
      <c r="L64" s="24">
        <v>2.1831393000000001E-2</v>
      </c>
      <c r="M64" s="24">
        <v>5.4498909999999998E-2</v>
      </c>
      <c r="N64" s="24">
        <v>7.6464415000000001E-3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43847</v>
      </c>
      <c r="B65" s="24">
        <v>4.7491073999999994E-2</v>
      </c>
      <c r="C65" s="24">
        <v>3.978777E-2</v>
      </c>
      <c r="D65" s="24">
        <v>3.5206437E-2</v>
      </c>
      <c r="E65" s="24">
        <v>2.0164013000000001E-2</v>
      </c>
      <c r="F65" s="24">
        <v>-3.003955E-3</v>
      </c>
      <c r="G65" s="24">
        <v>3.9490223000000005E-2</v>
      </c>
      <c r="H65" s="24">
        <v>1.3376951E-2</v>
      </c>
      <c r="I65" s="24">
        <v>6.8301796999999997E-2</v>
      </c>
      <c r="J65" s="24">
        <v>4.3758990000000005E-2</v>
      </c>
      <c r="K65" s="24">
        <v>2.3284674000000002E-2</v>
      </c>
      <c r="L65" s="24">
        <v>2.0933031999999997E-2</v>
      </c>
      <c r="M65" s="24">
        <v>1.1456132000000001E-2</v>
      </c>
      <c r="N65" s="24">
        <v>1.7651080999999999E-2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43879</v>
      </c>
      <c r="B66" s="24">
        <v>-2.2497891999999999E-2</v>
      </c>
      <c r="C66" s="24">
        <v>-2.2959232E-2</v>
      </c>
      <c r="D66" s="24">
        <v>-1.9620657000000001E-3</v>
      </c>
      <c r="E66" s="24">
        <v>-2.1440565999999998E-2</v>
      </c>
      <c r="F66" s="24">
        <v>-3.6156654000000003E-2</v>
      </c>
      <c r="G66" s="24">
        <v>7.6941250000000004E-3</v>
      </c>
      <c r="H66" s="24">
        <v>-3.9014399999999998E-2</v>
      </c>
      <c r="I66" s="24">
        <v>5.0810219999999996E-2</v>
      </c>
      <c r="J66" s="24">
        <v>1.4399767000000001E-2</v>
      </c>
      <c r="K66" s="24">
        <v>-2.3361683000000001E-2</v>
      </c>
      <c r="L66" s="24">
        <v>1.4644861000000001E-3</v>
      </c>
      <c r="M66" s="24">
        <v>5.9616566000000003E-4</v>
      </c>
      <c r="N66" s="24">
        <v>1.0006665999999999E-2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43908</v>
      </c>
      <c r="B67" s="24">
        <v>-0.28598403999999999</v>
      </c>
      <c r="C67" s="24">
        <v>-0.40295906000000004</v>
      </c>
      <c r="D67" s="24">
        <v>-0.38990826000000001</v>
      </c>
      <c r="E67" s="24">
        <v>-0.38274554999999999</v>
      </c>
      <c r="F67" s="24">
        <v>-0.22924624999999998</v>
      </c>
      <c r="G67" s="24">
        <v>-0.25172990000000001</v>
      </c>
      <c r="H67" s="24">
        <v>-0.38217334999999997</v>
      </c>
      <c r="I67" s="24">
        <v>-0.24764622</v>
      </c>
      <c r="J67" s="24">
        <v>-0.28726279999999998</v>
      </c>
      <c r="K67" s="24">
        <v>-0.37775700000000001</v>
      </c>
      <c r="L67" s="24">
        <v>-0.34396014999999996</v>
      </c>
      <c r="M67" s="24">
        <v>-0.33958893000000001</v>
      </c>
      <c r="N67" s="24">
        <v>-0.39233820000000003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43938</v>
      </c>
      <c r="B68" s="24">
        <v>0.20577609999999999</v>
      </c>
      <c r="C68" s="24">
        <v>0.22667635</v>
      </c>
      <c r="D68" s="24">
        <v>0.25563895999999997</v>
      </c>
      <c r="E68" s="24">
        <v>0.27787018000000002</v>
      </c>
      <c r="F68" s="24">
        <v>0.14511036999999999</v>
      </c>
      <c r="G68" s="24">
        <v>0.18207909</v>
      </c>
      <c r="H68" s="24">
        <v>0.22776688</v>
      </c>
      <c r="I68" s="24">
        <v>0.22167646000000002</v>
      </c>
      <c r="J68" s="24">
        <v>0.20167041999999999</v>
      </c>
      <c r="K68" s="24">
        <v>0.20419370000000001</v>
      </c>
      <c r="L68" s="24">
        <v>0.23718238999999999</v>
      </c>
      <c r="M68" s="24">
        <v>0.20117270999999998</v>
      </c>
      <c r="N68" s="24">
        <v>0.11576091999999999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43969</v>
      </c>
      <c r="B69" s="24">
        <v>3.2730222000000003E-2</v>
      </c>
      <c r="C69" s="24">
        <v>3.3868073999999998E-2</v>
      </c>
      <c r="D69" s="24">
        <v>5.2609085999999999E-2</v>
      </c>
      <c r="E69" s="24">
        <v>4.3836712999999999E-2</v>
      </c>
      <c r="F69" s="24">
        <v>4.2896509999999999E-2</v>
      </c>
      <c r="G69" s="24">
        <v>9.9810360000000004E-3</v>
      </c>
      <c r="H69" s="24">
        <v>1.7303824000000002E-2</v>
      </c>
      <c r="I69" s="24">
        <v>5.6389093000000001E-2</v>
      </c>
      <c r="J69" s="24">
        <v>2.9165505999999997E-2</v>
      </c>
      <c r="K69" s="24">
        <v>1.036489E-2</v>
      </c>
      <c r="L69" s="24">
        <v>4.7927976000000004E-2</v>
      </c>
      <c r="M69" s="24">
        <v>4.8817159999999998E-2</v>
      </c>
      <c r="N69" s="24">
        <v>2.3380399E-2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44000</v>
      </c>
      <c r="B70" s="24">
        <v>8.1499210000000002E-2</v>
      </c>
      <c r="C70" s="24">
        <v>0.12272274</v>
      </c>
      <c r="D70" s="24">
        <v>5.9727550000000004E-2</v>
      </c>
      <c r="E70" s="24">
        <v>0.13352881999999999</v>
      </c>
      <c r="F70" s="24">
        <v>7.0780634999999995E-2</v>
      </c>
      <c r="G70" s="24">
        <v>6.3761949999999998E-2</v>
      </c>
      <c r="H70" s="24">
        <v>4.2866109999999999E-2</v>
      </c>
      <c r="I70" s="24">
        <v>7.4088810000000005E-2</v>
      </c>
      <c r="J70" s="24">
        <v>5.6881310000000004E-2</v>
      </c>
      <c r="K70" s="24">
        <v>0.12424469</v>
      </c>
      <c r="L70" s="24">
        <v>0.12085926000000001</v>
      </c>
      <c r="M70" s="24">
        <v>0.10227335</v>
      </c>
      <c r="N70" s="24">
        <v>0.15234017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44029</v>
      </c>
      <c r="B71" s="24">
        <v>5.9556484E-2</v>
      </c>
      <c r="C71" s="24">
        <v>3.4805178999999999E-2</v>
      </c>
      <c r="D71" s="24">
        <v>4.1053414000000003E-2</v>
      </c>
      <c r="E71" s="24">
        <v>6.8939924E-2</v>
      </c>
      <c r="F71" s="24">
        <v>-2.4866462E-3</v>
      </c>
      <c r="G71" s="24">
        <v>4.4143914999999999E-2</v>
      </c>
      <c r="H71" s="24">
        <v>2.4258852000000001E-2</v>
      </c>
      <c r="I71" s="24">
        <v>6.3804150000000004E-2</v>
      </c>
      <c r="J71" s="24">
        <v>3.6449193999999997E-2</v>
      </c>
      <c r="K71" s="24">
        <v>5.8045505999999997E-2</v>
      </c>
      <c r="L71" s="24">
        <v>6.0493827E-2</v>
      </c>
      <c r="M71" s="24">
        <v>0.11404360000000001</v>
      </c>
      <c r="N71" s="24">
        <v>7.80468E-2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44061</v>
      </c>
      <c r="B72" s="24">
        <v>3.5108924E-2</v>
      </c>
      <c r="C72" s="24">
        <v>4.7188759999999996E-2</v>
      </c>
      <c r="D72" s="24">
        <v>6.3988089999999997E-2</v>
      </c>
      <c r="E72" s="24">
        <v>3.952837E-2</v>
      </c>
      <c r="F72" s="24">
        <v>3.7927389999999998E-2</v>
      </c>
      <c r="G72" s="24">
        <v>2.2971750000000003E-2</v>
      </c>
      <c r="H72" s="24">
        <v>1.5789509E-2</v>
      </c>
      <c r="I72" s="24">
        <v>7.1505666000000009E-2</v>
      </c>
      <c r="J72" s="24">
        <v>5.2592396999999999E-2</v>
      </c>
      <c r="K72" s="24">
        <v>1.5277743E-2</v>
      </c>
      <c r="L72" s="24">
        <v>3.317809E-2</v>
      </c>
      <c r="M72" s="24">
        <v>4.2117596E-2</v>
      </c>
      <c r="N72" s="24">
        <v>6.1943530000000005E-3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44092</v>
      </c>
      <c r="B73" s="24">
        <v>-2.2055150000000003E-2</v>
      </c>
      <c r="C73" s="24">
        <v>-3.4995258000000001E-2</v>
      </c>
      <c r="D73" s="24">
        <v>-3.111893E-2</v>
      </c>
      <c r="E73" s="24">
        <v>9.6731186000000007E-3</v>
      </c>
      <c r="F73" s="24">
        <v>1.6640901999999999E-2</v>
      </c>
      <c r="G73" s="24">
        <v>1.9350170999999999E-2</v>
      </c>
      <c r="H73" s="24">
        <v>-3.3678769999999997E-2</v>
      </c>
      <c r="I73" s="24">
        <v>-3.9932370000000002E-2</v>
      </c>
      <c r="J73" s="24">
        <v>-1.9639730000000001E-2</v>
      </c>
      <c r="K73" s="24">
        <v>-3.7620068000000003E-3</v>
      </c>
      <c r="L73" s="24">
        <v>-8.7324380000000004E-3</v>
      </c>
      <c r="M73" s="24">
        <v>1.9085049999999999E-2</v>
      </c>
      <c r="N73" s="24">
        <v>-2.7702928000000002E-2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44120</v>
      </c>
      <c r="B74" s="24">
        <v>4.9034715E-2</v>
      </c>
      <c r="C74" s="24">
        <v>3.0799865999999999E-2</v>
      </c>
      <c r="D74" s="24">
        <v>1.7683268000000002E-2</v>
      </c>
      <c r="E74" s="24">
        <v>-2.1803737E-2</v>
      </c>
      <c r="F74" s="24">
        <v>-6.0748460000000001E-3</v>
      </c>
      <c r="G74" s="24">
        <v>-2.9294609999999999E-2</v>
      </c>
      <c r="H74" s="24">
        <v>-1.6851782999999999E-2</v>
      </c>
      <c r="I74" s="24">
        <v>8.2657220000000003E-2</v>
      </c>
      <c r="J74" s="24">
        <v>5.0325154999999996E-2</v>
      </c>
      <c r="K74" s="24">
        <v>-1.3044953E-2</v>
      </c>
      <c r="L74" s="24">
        <v>3.4668922000000005E-2</v>
      </c>
      <c r="M74" s="24">
        <v>-3.8557649999999997E-3</v>
      </c>
      <c r="N74" s="24">
        <v>-2.0182014000000002E-2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44153</v>
      </c>
      <c r="B75" s="24">
        <v>5.4234505000000002E-2</v>
      </c>
      <c r="C75" s="24">
        <v>8.8674660000000002E-2</v>
      </c>
      <c r="D75" s="24">
        <v>4.1489363000000001E-2</v>
      </c>
      <c r="E75" s="24">
        <v>1.2495756E-2</v>
      </c>
      <c r="F75" s="24">
        <v>7.9796195E-2</v>
      </c>
      <c r="G75" s="24">
        <v>3.2351494000000001E-2</v>
      </c>
      <c r="H75" s="24">
        <v>0.10479164000000001</v>
      </c>
      <c r="I75" s="24">
        <v>5.5456159999999997E-3</v>
      </c>
      <c r="J75" s="24">
        <v>2.5886059000000003E-2</v>
      </c>
      <c r="K75" s="24">
        <v>0.11721730000000001</v>
      </c>
      <c r="L75" s="24">
        <v>5.0261019999999997E-2</v>
      </c>
      <c r="M75" s="24">
        <v>7.4094534000000004E-2</v>
      </c>
      <c r="N75" s="24">
        <v>0.12318253500000001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44183</v>
      </c>
      <c r="B76" s="24">
        <v>2.3424983E-2</v>
      </c>
      <c r="C76" s="24">
        <v>7.098639000000001E-2</v>
      </c>
      <c r="D76" s="24">
        <v>6.801915E-2</v>
      </c>
      <c r="E76" s="24">
        <v>8.2176920000000001E-2</v>
      </c>
      <c r="F76" s="24">
        <v>5.0799610000000002E-2</v>
      </c>
      <c r="G76" s="24">
        <v>3.6790370000000003E-2</v>
      </c>
      <c r="H76" s="24">
        <v>4.7835710000000004E-2</v>
      </c>
      <c r="I76" s="24">
        <v>6.876707E-2</v>
      </c>
      <c r="J76" s="24">
        <v>4.064214E-2</v>
      </c>
      <c r="K76" s="24">
        <v>4.2182089999999998E-2</v>
      </c>
      <c r="L76" s="24">
        <v>8.0665829999999994E-2</v>
      </c>
      <c r="M76" s="24">
        <v>3.8862705000000004E-2</v>
      </c>
      <c r="N76" s="24">
        <v>6.1554789999999998E-2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44211</v>
      </c>
      <c r="B77" s="24">
        <v>1.465869E-2</v>
      </c>
      <c r="C77" s="24">
        <v>1.9174694999999999E-2</v>
      </c>
      <c r="D77" s="24">
        <v>2.7437090000000001E-2</v>
      </c>
      <c r="E77" s="24">
        <v>-6.2422155999999999E-3</v>
      </c>
      <c r="F77" s="24">
        <v>3.2296895999999999E-2</v>
      </c>
      <c r="G77" s="24">
        <v>1.8280267999999999E-2</v>
      </c>
      <c r="H77" s="24">
        <v>3.9823054999999996E-2</v>
      </c>
      <c r="I77" s="24">
        <v>7.6329709999999997E-3</v>
      </c>
      <c r="J77" s="24">
        <v>1.7660855999999999E-2</v>
      </c>
      <c r="K77" s="24">
        <v>4.8032999999999999E-3</v>
      </c>
      <c r="L77" s="24">
        <v>3.8601637000000001E-2</v>
      </c>
      <c r="M77" s="24">
        <v>2.1467686E-2</v>
      </c>
      <c r="N77" s="24">
        <v>1.707673E-3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44245</v>
      </c>
      <c r="B78" s="24">
        <v>-2.4078249999999999E-2</v>
      </c>
      <c r="C78" s="24">
        <v>3.3537865E-2</v>
      </c>
      <c r="D78" s="24">
        <v>2.7332782999999999E-2</v>
      </c>
      <c r="E78" s="24">
        <v>2.3555278999999998E-2</v>
      </c>
      <c r="F78" s="24">
        <v>3.1722902999999997E-2</v>
      </c>
      <c r="G78" s="24">
        <v>-7.9787373999999998E-3</v>
      </c>
      <c r="H78" s="24">
        <v>1.4729977E-2</v>
      </c>
      <c r="I78" s="24">
        <v>6.6087364999999995E-2</v>
      </c>
      <c r="J78" s="24">
        <v>3.9978622999999998E-2</v>
      </c>
      <c r="K78" s="24">
        <v>2.210927E-2</v>
      </c>
      <c r="L78" s="24">
        <v>6.3814880000000004E-2</v>
      </c>
      <c r="M78" s="24">
        <v>4.5210239999999999E-2</v>
      </c>
      <c r="N78" s="24">
        <v>2.8980613000000002E-2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44273</v>
      </c>
      <c r="B79" s="24">
        <v>-1.4340818E-2</v>
      </c>
      <c r="C79" s="24">
        <v>-1.8994808000000002E-2</v>
      </c>
      <c r="D79" s="24">
        <v>5.1681876000000002E-2</v>
      </c>
      <c r="E79" s="24">
        <v>2.5467873000000002E-2</v>
      </c>
      <c r="F79" s="24">
        <v>-1.0155141000000001E-2</v>
      </c>
      <c r="G79" s="24">
        <v>-1.6309202000000002E-2</v>
      </c>
      <c r="H79" s="24">
        <v>1.7096758E-2</v>
      </c>
      <c r="I79" s="24">
        <v>-6.1449109999999994E-2</v>
      </c>
      <c r="J79" s="24">
        <v>1.9451379999999999E-3</v>
      </c>
      <c r="K79" s="24">
        <v>2.3384928999999999E-2</v>
      </c>
      <c r="L79" s="24">
        <v>-2.1533728000000002E-2</v>
      </c>
      <c r="M79" s="24">
        <v>4.3020844000000003E-2</v>
      </c>
      <c r="N79" s="24">
        <v>3.7110685999999997E-2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44302</v>
      </c>
      <c r="B80" s="24">
        <v>8.9174509999999998E-3</v>
      </c>
      <c r="C80" s="24">
        <v>5.9298039999999996E-2</v>
      </c>
      <c r="D80" s="24">
        <v>2.8787493999999997E-2</v>
      </c>
      <c r="E80" s="24">
        <v>5.8946730000000003E-2</v>
      </c>
      <c r="F80" s="24">
        <v>-3.134787E-3</v>
      </c>
      <c r="G80" s="24">
        <v>6.2684535999999999E-2</v>
      </c>
      <c r="H80" s="24">
        <v>4.0596246999999995E-2</v>
      </c>
      <c r="I80" s="24">
        <v>9.7403049999999991E-2</v>
      </c>
      <c r="J80" s="24">
        <v>6.9349527000000008E-2</v>
      </c>
      <c r="K80" s="24">
        <v>5.8554769999999999E-2</v>
      </c>
      <c r="L80" s="24">
        <v>9.0276239999999994E-2</v>
      </c>
      <c r="M80" s="24">
        <v>8.3389399999999989E-2</v>
      </c>
      <c r="N80" s="24">
        <v>3.5143852000000003E-2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44334</v>
      </c>
      <c r="B81" s="24">
        <v>-2.7446089999999999E-2</v>
      </c>
      <c r="C81" s="24">
        <v>4.1888951999999998E-3</v>
      </c>
      <c r="D81" s="24">
        <v>5.2854656999999999E-2</v>
      </c>
      <c r="E81" s="24">
        <v>1.1303425000000001E-3</v>
      </c>
      <c r="F81" s="24">
        <v>-3.8164615999999998E-2</v>
      </c>
      <c r="G81" s="24">
        <v>1.5174149999999999E-2</v>
      </c>
      <c r="H81" s="24">
        <v>3.0783296000000002E-2</v>
      </c>
      <c r="I81" s="24">
        <v>-5.7863829999999998E-2</v>
      </c>
      <c r="J81" s="24">
        <v>-1.2749851000000001E-2</v>
      </c>
      <c r="K81" s="24">
        <v>2.8332472000000001E-2</v>
      </c>
      <c r="L81" s="24">
        <v>-5.7672259999999994E-3</v>
      </c>
      <c r="M81" s="24">
        <v>-2.0691752E-3</v>
      </c>
      <c r="N81" s="24">
        <v>1.6666532000000001E-2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44365</v>
      </c>
      <c r="B82" s="24">
        <v>-3.6157727000000001E-2</v>
      </c>
      <c r="C82" s="24">
        <v>9.572506E-5</v>
      </c>
      <c r="D82" s="24">
        <v>-4.1089057999999998E-3</v>
      </c>
      <c r="E82" s="24">
        <v>-1.3148248E-2</v>
      </c>
      <c r="F82" s="24">
        <v>6.7412852999999993E-3</v>
      </c>
      <c r="G82" s="24">
        <v>4.2244314999999998E-2</v>
      </c>
      <c r="H82" s="24">
        <v>-2.6100338000000001E-2</v>
      </c>
      <c r="I82" s="24">
        <v>6.3341856000000002E-2</v>
      </c>
      <c r="J82" s="24">
        <v>1.0574102E-2</v>
      </c>
      <c r="K82" s="24">
        <v>9.5784663999999992E-3</v>
      </c>
      <c r="L82" s="24">
        <v>-5.2642820000000003E-3</v>
      </c>
      <c r="M82" s="24">
        <v>-3.1240165E-2</v>
      </c>
      <c r="N82" s="24">
        <v>-5.6297779999999993E-3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44393</v>
      </c>
      <c r="B83" s="24">
        <v>2.5538325000000001E-2</v>
      </c>
      <c r="C83" s="24">
        <v>-1.5763164E-2</v>
      </c>
      <c r="D83" s="24">
        <v>-1.4645994000000001E-2</v>
      </c>
      <c r="E83" s="24">
        <v>-2.0360349999999998E-3</v>
      </c>
      <c r="F83" s="24">
        <v>-4.4608116000000004E-4</v>
      </c>
      <c r="G83" s="24">
        <v>1.049161E-2</v>
      </c>
      <c r="H83" s="24">
        <v>-2.4698376999999997E-3</v>
      </c>
      <c r="I83" s="24">
        <v>4.4894100000000006E-2</v>
      </c>
      <c r="J83" s="24">
        <v>3.9573908000000005E-2</v>
      </c>
      <c r="K83" s="24">
        <v>-2.2338985999999998E-2</v>
      </c>
      <c r="L83" s="24">
        <v>3.354311E-3</v>
      </c>
      <c r="M83" s="24">
        <v>2.6719213000000002E-2</v>
      </c>
      <c r="N83" s="24">
        <v>-2.6266991999999999E-2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44426</v>
      </c>
      <c r="B84" s="24">
        <v>-2.3600219999999998E-2</v>
      </c>
      <c r="C84" s="24">
        <v>-4.2968988000000007E-3</v>
      </c>
      <c r="D84" s="24">
        <v>1.5414238E-2</v>
      </c>
      <c r="E84" s="24">
        <v>1.6613245000000002E-2</v>
      </c>
      <c r="F84" s="24">
        <v>4.4631957999999999E-4</v>
      </c>
      <c r="G84" s="24">
        <v>3.7255763999999997E-2</v>
      </c>
      <c r="H84" s="24">
        <v>2.3212671000000001E-2</v>
      </c>
      <c r="I84" s="24">
        <v>1.2891412E-2</v>
      </c>
      <c r="J84" s="24">
        <v>1.8175960000000001E-2</v>
      </c>
      <c r="K84" s="24">
        <v>3.4139751999999995E-2</v>
      </c>
      <c r="L84" s="24">
        <v>5.6414604E-2</v>
      </c>
      <c r="M84" s="24">
        <v>1.0238886000000001E-2</v>
      </c>
      <c r="N84" s="24">
        <v>5.2047014000000003E-2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44456</v>
      </c>
      <c r="B85" s="24">
        <v>5.5342555000000002E-2</v>
      </c>
      <c r="C85" s="24">
        <v>-1.9615293000000002E-3</v>
      </c>
      <c r="D85" s="24">
        <v>-3.5240053999999999E-3</v>
      </c>
      <c r="E85" s="24">
        <v>-2.4082599999999999E-2</v>
      </c>
      <c r="F85" s="24">
        <v>9.1895939999999995E-2</v>
      </c>
      <c r="G85" s="24">
        <v>-5.0049067000000003E-2</v>
      </c>
      <c r="H85" s="24">
        <v>-2.1173655999999999E-2</v>
      </c>
      <c r="I85" s="24">
        <v>3.2080770000000002E-2</v>
      </c>
      <c r="J85" s="24">
        <v>8.3066225000000011E-3</v>
      </c>
      <c r="K85" s="24">
        <v>-1.2477218999999999E-2</v>
      </c>
      <c r="L85" s="24">
        <v>4.1337013000000006E-2</v>
      </c>
      <c r="M85" s="24">
        <v>-7.1790814000000005E-3</v>
      </c>
      <c r="N85" s="24">
        <v>-2.8959334E-2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44487</v>
      </c>
      <c r="B86" s="24">
        <v>-1.2004435000000001E-2</v>
      </c>
      <c r="C86" s="24">
        <v>2.319181E-2</v>
      </c>
      <c r="D86" s="24">
        <v>6.2296033000000001E-2</v>
      </c>
      <c r="E86" s="24">
        <v>-1.7332554E-2</v>
      </c>
      <c r="F86" s="24">
        <v>-6.4415159999999999E-2</v>
      </c>
      <c r="G86" s="24">
        <v>4.5454502000000004E-3</v>
      </c>
      <c r="H86" s="24">
        <v>3.646481E-2</v>
      </c>
      <c r="I86" s="24">
        <v>-2.0282269E-3</v>
      </c>
      <c r="J86" s="24">
        <v>1.3117433000000001E-2</v>
      </c>
      <c r="K86" s="24">
        <v>1.1318684000000001E-2</v>
      </c>
      <c r="L86" s="24">
        <v>-2.7920245999999999E-2</v>
      </c>
      <c r="M86" s="24">
        <v>1.2761354E-3</v>
      </c>
      <c r="N86" s="24">
        <v>1.9882082999999998E-2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44518</v>
      </c>
      <c r="B87" s="24">
        <v>-2.3661077000000003E-2</v>
      </c>
      <c r="C87" s="24">
        <v>-1.8824399000000002E-2</v>
      </c>
      <c r="D87" s="24">
        <v>1.4852761999999999E-2</v>
      </c>
      <c r="E87" s="24">
        <v>2.3617387E-2</v>
      </c>
      <c r="F87" s="24">
        <v>1.5574932E-2</v>
      </c>
      <c r="G87" s="24">
        <v>4.9568057000000006E-2</v>
      </c>
      <c r="H87" s="24">
        <v>-5.6649446000000001E-3</v>
      </c>
      <c r="I87" s="24">
        <v>7.8089355999999999E-2</v>
      </c>
      <c r="J87" s="24">
        <v>5.0403595000000002E-2</v>
      </c>
      <c r="K87" s="24">
        <v>4.4247865999999997E-2</v>
      </c>
      <c r="L87" s="24">
        <v>3.4974575000000001E-2</v>
      </c>
      <c r="M87" s="24">
        <v>2.8037429999999999E-2</v>
      </c>
      <c r="N87" s="24">
        <v>2.3149489999999998E-2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44547</v>
      </c>
      <c r="B88" s="24">
        <v>-5.844241E-2</v>
      </c>
      <c r="C88" s="24">
        <v>-3.2510935999999997E-2</v>
      </c>
      <c r="D88" s="24">
        <v>-5.9646425000000003E-2</v>
      </c>
      <c r="E88" s="24">
        <v>-6.2053323000000001E-2</v>
      </c>
      <c r="F88" s="24">
        <v>-2.3901582000000001E-2</v>
      </c>
      <c r="G88" s="24">
        <v>3.7233830000000002E-3</v>
      </c>
      <c r="H88" s="24">
        <v>-1.8686533000000002E-2</v>
      </c>
      <c r="I88" s="24">
        <v>-4.191661E-2</v>
      </c>
      <c r="J88" s="24">
        <v>-1.7507017E-2</v>
      </c>
      <c r="K88" s="24">
        <v>-4.8668265000000002E-2</v>
      </c>
      <c r="L88" s="24">
        <v>-9.8032769999999991E-2</v>
      </c>
      <c r="M88" s="24">
        <v>-6.6415367000000003E-2</v>
      </c>
      <c r="N88" s="24">
        <v>-4.5546349999999999E-2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44579</v>
      </c>
      <c r="B89" s="24">
        <v>3.9994716999999999E-3</v>
      </c>
      <c r="C89" s="24">
        <v>1.4647126E-2</v>
      </c>
      <c r="D89" s="24">
        <v>6.1429739999999997E-2</v>
      </c>
      <c r="E89" s="24">
        <v>2.7329683E-2</v>
      </c>
      <c r="F89" s="24">
        <v>-1.5473901999999999E-2</v>
      </c>
      <c r="G89" s="24">
        <v>-9.3713400000000006E-3</v>
      </c>
      <c r="H89" s="24">
        <v>8.0062870000000008E-2</v>
      </c>
      <c r="I89" s="24">
        <v>-3.6064803999999999E-2</v>
      </c>
      <c r="J89" s="24">
        <v>-7.3499084000000006E-3</v>
      </c>
      <c r="K89" s="24">
        <v>4.2811035999999997E-2</v>
      </c>
      <c r="L89" s="24">
        <v>1.1764765E-2</v>
      </c>
      <c r="M89" s="24">
        <v>-9.5443130000000004E-3</v>
      </c>
      <c r="N89" s="24">
        <v>4.7453283999999998E-2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44610</v>
      </c>
      <c r="B90" s="24">
        <v>-5.7861447000000003E-2</v>
      </c>
      <c r="C90" s="24">
        <v>-8.6812972999999998E-3</v>
      </c>
      <c r="D90" s="24">
        <v>-3.3290624999999997E-2</v>
      </c>
      <c r="E90" s="24">
        <v>-4.6163200000000001E-2</v>
      </c>
      <c r="F90" s="24">
        <v>-3.8385928E-2</v>
      </c>
      <c r="G90" s="24">
        <v>-4.8088309999999995E-2</v>
      </c>
      <c r="H90" s="24">
        <v>-3.7791132999999998E-3</v>
      </c>
      <c r="I90" s="24">
        <v>-7.8369912999999999E-2</v>
      </c>
      <c r="J90" s="24">
        <v>-4.8763330000000001E-2</v>
      </c>
      <c r="K90" s="24">
        <v>-3.1500159999999999E-2</v>
      </c>
      <c r="L90" s="24">
        <v>-6.5822244000000002E-2</v>
      </c>
      <c r="M90" s="24">
        <v>-8.7808189999999994E-2</v>
      </c>
      <c r="N90" s="24">
        <v>-2.9598296E-2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44638</v>
      </c>
      <c r="B91" s="24">
        <v>5.8241487000000002E-2</v>
      </c>
      <c r="C91" s="24">
        <v>7.1309446999999998E-2</v>
      </c>
      <c r="D91" s="24">
        <v>5.3774834000000001E-2</v>
      </c>
      <c r="E91" s="24">
        <v>-7.3397455E-2</v>
      </c>
      <c r="F91" s="24">
        <v>-2.1373570000000001E-2</v>
      </c>
      <c r="G91" s="24">
        <v>1.3871670000000001E-2</v>
      </c>
      <c r="H91" s="24">
        <v>-2.7137458E-2</v>
      </c>
      <c r="I91" s="24">
        <v>2.9223084E-2</v>
      </c>
      <c r="J91" s="24">
        <v>2.6842833E-2</v>
      </c>
      <c r="K91" s="24">
        <v>-6.1583519999999996E-2</v>
      </c>
      <c r="L91" s="24">
        <v>-4.4898868000000001E-2</v>
      </c>
      <c r="M91" s="24">
        <v>1.1874675999999999E-2</v>
      </c>
      <c r="N91" s="24">
        <v>-0.10488642000000001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44669</v>
      </c>
      <c r="B92" s="24">
        <v>-7.3734339999999995E-2</v>
      </c>
      <c r="C92" s="24">
        <v>2.413392E-2</v>
      </c>
      <c r="D92" s="24">
        <v>-1.7596482999999998E-3</v>
      </c>
      <c r="E92" s="24">
        <v>-6.2262177000000002E-2</v>
      </c>
      <c r="F92" s="24">
        <v>-7.3390063999999991E-2</v>
      </c>
      <c r="G92" s="24">
        <v>2.4504661999999997E-3</v>
      </c>
      <c r="H92" s="24">
        <v>1.7996311000000001E-2</v>
      </c>
      <c r="I92" s="24">
        <v>-3.5222650000000001E-2</v>
      </c>
      <c r="J92" s="24">
        <v>-1.4734983E-2</v>
      </c>
      <c r="K92" s="24">
        <v>-2.5284051999999998E-2</v>
      </c>
      <c r="L92" s="24">
        <v>-6.0740049999999997E-2</v>
      </c>
      <c r="M92" s="24">
        <v>-5.3682860000000006E-2</v>
      </c>
      <c r="N92" s="24">
        <v>1.0083436999999999E-2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44699</v>
      </c>
      <c r="B93" s="24">
        <v>-0.11597795</v>
      </c>
      <c r="C93" s="24">
        <v>-0.10604328</v>
      </c>
      <c r="D93" s="24">
        <v>-9.5693769999999997E-2</v>
      </c>
      <c r="E93" s="24">
        <v>-5.7174500000000003E-2</v>
      </c>
      <c r="F93" s="24">
        <v>-3.1369149999999998E-2</v>
      </c>
      <c r="G93" s="24">
        <v>-0.11000204</v>
      </c>
      <c r="H93" s="24">
        <v>-6.7766610000000005E-2</v>
      </c>
      <c r="I93" s="24">
        <v>-0.14039384999999999</v>
      </c>
      <c r="J93" s="24">
        <v>-0.10528124</v>
      </c>
      <c r="K93" s="24">
        <v>-5.6251819999999994E-2</v>
      </c>
      <c r="L93" s="24">
        <v>-8.8701725000000009E-2</v>
      </c>
      <c r="M93" s="24">
        <v>-9.4986859999999992E-2</v>
      </c>
      <c r="N93" s="24">
        <v>-6.9190979999999999E-2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44729</v>
      </c>
      <c r="B94" s="24">
        <v>-5.4959955000000005E-2</v>
      </c>
      <c r="C94" s="24">
        <v>-8.663665999999999E-2</v>
      </c>
      <c r="D94" s="24">
        <v>-6.5488634000000004E-2</v>
      </c>
      <c r="E94" s="24">
        <v>-4.5309663E-2</v>
      </c>
      <c r="F94" s="24">
        <v>-5.9414682000000003E-2</v>
      </c>
      <c r="G94" s="24">
        <v>-7.745682999999999E-2</v>
      </c>
      <c r="H94" s="24">
        <v>-6.0817537000000005E-2</v>
      </c>
      <c r="I94" s="24">
        <v>-5.6502047E-2</v>
      </c>
      <c r="J94" s="24">
        <v>-6.2326135999999997E-2</v>
      </c>
      <c r="K94" s="24">
        <v>-5.5712039999999997E-2</v>
      </c>
      <c r="L94" s="24">
        <v>-5.9350849999999997E-2</v>
      </c>
      <c r="M94" s="24">
        <v>-6.9749236000000006E-2</v>
      </c>
      <c r="N94" s="24">
        <v>-6.9554329999999998E-2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44760</v>
      </c>
      <c r="B95" s="24">
        <v>4.2495370000000005E-2</v>
      </c>
      <c r="C95" s="24">
        <v>1.2013434999999999E-2</v>
      </c>
      <c r="D95" s="24">
        <v>-1.2608886E-2</v>
      </c>
      <c r="E95" s="24">
        <v>-6.2103930000000002E-2</v>
      </c>
      <c r="F95" s="24">
        <v>1.5366912E-2</v>
      </c>
      <c r="G95" s="24">
        <v>4.0506244000000004E-2</v>
      </c>
      <c r="H95" s="24">
        <v>2.3988485E-3</v>
      </c>
      <c r="I95" s="24">
        <v>5.5528044999999998E-2</v>
      </c>
      <c r="J95" s="24">
        <v>4.3978690000000001E-2</v>
      </c>
      <c r="K95" s="24">
        <v>-4.0404200000000003E-3</v>
      </c>
      <c r="L95" s="24">
        <v>1.6105412999999999E-2</v>
      </c>
      <c r="M95" s="24">
        <v>-8.0618860000000007E-3</v>
      </c>
      <c r="N95" s="24">
        <v>-6.4317884000000006E-2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44791</v>
      </c>
      <c r="B96" s="24">
        <v>8.8654159999999996E-2</v>
      </c>
      <c r="C96" s="24">
        <v>8.7844259999999993E-2</v>
      </c>
      <c r="D96" s="24">
        <v>9.3949560000000001E-2</v>
      </c>
      <c r="E96" s="24">
        <v>5.3603529999999996E-2</v>
      </c>
      <c r="F96" s="24">
        <v>7.0942163000000003E-2</v>
      </c>
      <c r="G96" s="24">
        <v>4.7445297000000004E-2</v>
      </c>
      <c r="H96" s="24">
        <v>5.7093980000000003E-2</v>
      </c>
      <c r="I96" s="24">
        <v>0.13780236000000001</v>
      </c>
      <c r="J96" s="24">
        <v>0.12027752</v>
      </c>
      <c r="K96" s="24">
        <v>7.9783679999999996E-2</v>
      </c>
      <c r="L96" s="24">
        <v>7.8386070000000002E-2</v>
      </c>
      <c r="M96" s="24">
        <v>7.1521399999999999E-2</v>
      </c>
      <c r="N96" s="24">
        <v>8.8879219999999995E-2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44820</v>
      </c>
      <c r="B97" s="24">
        <v>-6.5637054E-2</v>
      </c>
      <c r="C97" s="24">
        <v>-7.2893915000000004E-2</v>
      </c>
      <c r="D97" s="24">
        <v>-6.7259550000000001E-2</v>
      </c>
      <c r="E97" s="24">
        <v>-7.6100825999999996E-2</v>
      </c>
      <c r="F97" s="24">
        <v>-8.797031000000001E-2</v>
      </c>
      <c r="G97" s="24">
        <v>-6.8525020000000006E-2</v>
      </c>
      <c r="H97" s="24">
        <v>-8.2470890000000005E-2</v>
      </c>
      <c r="I97" s="24">
        <v>-0.12135565</v>
      </c>
      <c r="J97" s="24">
        <v>-9.5196489999999995E-2</v>
      </c>
      <c r="K97" s="24">
        <v>-8.0463349999999989E-2</v>
      </c>
      <c r="L97" s="24">
        <v>-0.10502397999999999</v>
      </c>
      <c r="M97" s="24">
        <v>-0.10406548</v>
      </c>
      <c r="N97" s="24">
        <v>-4.5034226999999996E-2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44852</v>
      </c>
      <c r="B98" s="24">
        <v>-0.11004787000000001</v>
      </c>
      <c r="C98" s="24">
        <v>-5.5084763000000002E-2</v>
      </c>
      <c r="D98" s="24">
        <v>-5.9296846E-2</v>
      </c>
      <c r="E98" s="24">
        <v>-2.0360947000000001E-2</v>
      </c>
      <c r="F98" s="24">
        <v>-5.5200519999999996E-2</v>
      </c>
      <c r="G98" s="24">
        <v>-3.6907731999999999E-2</v>
      </c>
      <c r="H98" s="24">
        <v>-4.5823097E-2</v>
      </c>
      <c r="I98" s="24">
        <v>-5.9990050000000003E-2</v>
      </c>
      <c r="J98" s="24">
        <v>-3.7426054E-2</v>
      </c>
      <c r="K98" s="24">
        <v>-1.9748031999999999E-2</v>
      </c>
      <c r="L98" s="24">
        <v>-6.3601074000000007E-2</v>
      </c>
      <c r="M98" s="24">
        <v>-1.5238761999999999E-2</v>
      </c>
      <c r="N98" s="24">
        <v>-3.5368442999999999E-2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44883</v>
      </c>
      <c r="B99" s="24">
        <v>0.13856315999999999</v>
      </c>
      <c r="C99" s="24">
        <v>0.13403092999999999</v>
      </c>
      <c r="D99" s="24">
        <v>9.4076749999999987E-2</v>
      </c>
      <c r="E99" s="24">
        <v>0.17760980000000001</v>
      </c>
      <c r="F99" s="24">
        <v>0.11193121</v>
      </c>
      <c r="G99" s="24">
        <v>9.0108759999999996E-2</v>
      </c>
      <c r="H99" s="24">
        <v>0.11821211</v>
      </c>
      <c r="I99" s="24">
        <v>4.9138070000000006E-2</v>
      </c>
      <c r="J99" s="24">
        <v>6.709242E-2</v>
      </c>
      <c r="K99" s="24">
        <v>0.14102113999999999</v>
      </c>
      <c r="L99" s="24">
        <v>0.20727039999999999</v>
      </c>
      <c r="M99" s="24">
        <v>0.1224209</v>
      </c>
      <c r="N99" s="24">
        <v>0.19074642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44911</v>
      </c>
      <c r="B100" s="24">
        <v>5.1435349999999998E-2</v>
      </c>
      <c r="C100" s="24">
        <v>-5.9937834999999997E-3</v>
      </c>
      <c r="D100" s="24">
        <v>-4.7701178000000004E-2</v>
      </c>
      <c r="E100" s="24">
        <v>-1.2905419E-2</v>
      </c>
      <c r="F100" s="24">
        <v>7.9505444000000005E-3</v>
      </c>
      <c r="G100" s="24">
        <v>-7.1258544999999998E-3</v>
      </c>
      <c r="H100" s="24">
        <v>1.9657134999999999E-2</v>
      </c>
      <c r="I100" s="24">
        <v>-3.7111163000000003E-2</v>
      </c>
      <c r="J100" s="24">
        <v>-2.7721703E-2</v>
      </c>
      <c r="K100" s="24">
        <v>2.6904345E-3</v>
      </c>
      <c r="L100" s="24">
        <v>2.4892092000000001E-3</v>
      </c>
      <c r="M100" s="24">
        <v>2.6358366000000001E-3</v>
      </c>
      <c r="N100" s="24">
        <v>-9.8924636999999996E-3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44944</v>
      </c>
      <c r="B101" s="24">
        <v>5.0461530000000004E-2</v>
      </c>
      <c r="C101" s="24">
        <v>7.4290990000000001E-2</v>
      </c>
      <c r="D101" s="24">
        <v>6.600868700000001E-2</v>
      </c>
      <c r="E101" s="24">
        <v>0.12601625</v>
      </c>
      <c r="F101" s="24">
        <v>4.9129250000000006E-2</v>
      </c>
      <c r="G101" s="24">
        <v>7.7990530000000002E-2</v>
      </c>
      <c r="H101" s="24">
        <v>7.2344660000000005E-2</v>
      </c>
      <c r="I101" s="24">
        <v>1.5698074999999999E-2</v>
      </c>
      <c r="J101" s="24">
        <v>2.1447061999999999E-2</v>
      </c>
      <c r="K101" s="24">
        <v>0.10877513999999999</v>
      </c>
      <c r="L101" s="24">
        <v>0.10259807999999999</v>
      </c>
      <c r="M101" s="24">
        <v>8.4818599999999994E-2</v>
      </c>
      <c r="N101" s="24">
        <v>0.10747838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44974</v>
      </c>
      <c r="B102" s="24">
        <v>-4.1007400000000003E-3</v>
      </c>
      <c r="C102" s="24">
        <v>-7.1249010000000003E-3</v>
      </c>
      <c r="D102" s="24">
        <v>1.2442112E-2</v>
      </c>
      <c r="E102" s="24">
        <v>1.6245483999999998E-2</v>
      </c>
      <c r="F102" s="24">
        <v>-3.6693809999999998E-3</v>
      </c>
      <c r="G102" s="24">
        <v>-3.3289193999999998E-3</v>
      </c>
      <c r="H102" s="24">
        <v>6.1330795000000002E-3</v>
      </c>
      <c r="I102" s="24">
        <v>8.3777190000000001E-2</v>
      </c>
      <c r="J102" s="24">
        <v>4.028201E-2</v>
      </c>
      <c r="K102" s="24">
        <v>3.1876922000000002E-2</v>
      </c>
      <c r="L102" s="24">
        <v>1.5628815000000001E-2</v>
      </c>
      <c r="M102" s="24">
        <v>1.4164329E-2</v>
      </c>
      <c r="N102" s="24">
        <v>4.5469999999999997E-2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45002</v>
      </c>
      <c r="B103" s="24">
        <v>-4.2352914999999998E-2</v>
      </c>
      <c r="C103" s="24">
        <v>-7.2604536999999997E-2</v>
      </c>
      <c r="D103" s="24">
        <v>-7.5164375000000005E-2</v>
      </c>
      <c r="E103" s="24">
        <v>-6.0745954999999997E-2</v>
      </c>
      <c r="F103" s="24">
        <v>-2.2974431999999999E-2</v>
      </c>
      <c r="G103" s="24">
        <v>-5.1658869999999996E-2</v>
      </c>
      <c r="H103" s="24">
        <v>-7.2538909999999998E-2</v>
      </c>
      <c r="I103" s="24">
        <v>1.3946056E-2</v>
      </c>
      <c r="J103" s="24">
        <v>-3.8706958E-2</v>
      </c>
      <c r="K103" s="24">
        <v>-6.3914720000000008E-2</v>
      </c>
      <c r="L103" s="24">
        <v>-6.4867439999999998E-2</v>
      </c>
      <c r="M103" s="24">
        <v>-8.6033460000000006E-2</v>
      </c>
      <c r="N103" s="24">
        <v>-8.8283E-2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45034</v>
      </c>
      <c r="B104" s="24">
        <v>1.2592196E-2</v>
      </c>
      <c r="C104" s="24">
        <v>7.1916223000000001E-2</v>
      </c>
      <c r="D104" s="24">
        <v>0.10012351999999999</v>
      </c>
      <c r="E104" s="24">
        <v>0.10438728</v>
      </c>
      <c r="F104" s="24">
        <v>5.8337810000000004E-2</v>
      </c>
      <c r="G104" s="24">
        <v>0.11152851</v>
      </c>
      <c r="H104" s="24">
        <v>0.10778831999999999</v>
      </c>
      <c r="I104" s="24">
        <v>4.5821667000000003E-2</v>
      </c>
      <c r="J104" s="24">
        <v>6.2104106000000006E-2</v>
      </c>
      <c r="K104" s="24">
        <v>0.12062586</v>
      </c>
      <c r="L104" s="24">
        <v>7.4430345999999994E-2</v>
      </c>
      <c r="M104" s="24">
        <v>0.12102688</v>
      </c>
      <c r="N104" s="24">
        <v>0.12815952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45064</v>
      </c>
      <c r="B105" s="24">
        <v>2.0725845999999999E-2</v>
      </c>
      <c r="C105" s="24">
        <v>-3.0997872000000003E-2</v>
      </c>
      <c r="D105" s="24">
        <v>-2.4719000000000001E-2</v>
      </c>
      <c r="E105" s="24">
        <v>-4.1096209999999999E-3</v>
      </c>
      <c r="F105" s="24">
        <v>3.2225250999999996E-2</v>
      </c>
      <c r="G105" s="24">
        <v>1.1195539999999999E-2</v>
      </c>
      <c r="H105" s="24">
        <v>-1.8095553E-2</v>
      </c>
      <c r="I105" s="24">
        <v>5.7736992999999993E-2</v>
      </c>
      <c r="J105" s="24">
        <v>1.2119531999999999E-2</v>
      </c>
      <c r="K105" s="24">
        <v>-1.6247748999999999E-2</v>
      </c>
      <c r="L105" s="24">
        <v>6.8331957E-3</v>
      </c>
      <c r="M105" s="24">
        <v>-2.0992397999999999E-2</v>
      </c>
      <c r="N105" s="24">
        <v>-2.461344E-2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45093</v>
      </c>
      <c r="B106" s="24">
        <v>-2.2402942000000002E-2</v>
      </c>
      <c r="C106" s="24">
        <v>4.1672944999999996E-2</v>
      </c>
      <c r="D106" s="24">
        <v>1.0422826000000001E-2</v>
      </c>
      <c r="E106" s="24">
        <v>2.1452427E-2</v>
      </c>
      <c r="F106" s="24">
        <v>4.4125319999999996E-2</v>
      </c>
      <c r="G106" s="24">
        <v>-7.4529650000000006E-3</v>
      </c>
      <c r="H106" s="24">
        <v>1.5421867000000001E-2</v>
      </c>
      <c r="I106" s="24">
        <v>9.0906380000000009E-2</v>
      </c>
      <c r="J106" s="24">
        <v>5.2163123999999998E-2</v>
      </c>
      <c r="K106" s="24">
        <v>1.0220051000000001E-2</v>
      </c>
      <c r="L106" s="24">
        <v>1.9249677999999999E-2</v>
      </c>
      <c r="M106" s="24">
        <v>5.5694580000000004E-4</v>
      </c>
      <c r="N106" s="24">
        <v>4.2104483000000005E-2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45125</v>
      </c>
      <c r="B107" s="24">
        <v>2.2308588000000001E-2</v>
      </c>
      <c r="C107" s="24">
        <v>-1.714468E-3</v>
      </c>
      <c r="D107" s="24">
        <v>2.4474619999999999E-2</v>
      </c>
      <c r="E107" s="24">
        <v>1.4873743E-2</v>
      </c>
      <c r="F107" s="24">
        <v>3.3280850000000002E-3</v>
      </c>
      <c r="G107" s="24">
        <v>2.2810339999999998E-2</v>
      </c>
      <c r="H107" s="24">
        <v>-5.1562786000000005E-3</v>
      </c>
      <c r="I107" s="24">
        <v>4.9845933999999995E-2</v>
      </c>
      <c r="J107" s="24">
        <v>3.3518434E-2</v>
      </c>
      <c r="K107" s="24">
        <v>2.5594115000000001E-2</v>
      </c>
      <c r="L107" s="24">
        <v>5.0847410000000003E-2</v>
      </c>
      <c r="M107" s="24">
        <v>2.6996969999999999E-2</v>
      </c>
      <c r="N107" s="24">
        <v>5.3117036999999999E-2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45156</v>
      </c>
      <c r="B108" s="24">
        <v>-9.0290309999999999E-2</v>
      </c>
      <c r="C108" s="24">
        <v>-7.8574599999999994E-2</v>
      </c>
      <c r="D108" s="24">
        <v>-5.1995573000000003E-2</v>
      </c>
      <c r="E108" s="24">
        <v>-6.4758005000000007E-2</v>
      </c>
      <c r="F108" s="24">
        <v>-6.3023270000000006E-2</v>
      </c>
      <c r="G108" s="24">
        <v>-5.1546334999999999E-2</v>
      </c>
      <c r="H108" s="24">
        <v>-4.0548799999999996E-2</v>
      </c>
      <c r="I108" s="24">
        <v>-7.157665299999999E-2</v>
      </c>
      <c r="J108" s="24">
        <v>-3.8948475999999996E-2</v>
      </c>
      <c r="K108" s="24">
        <v>-5.6786355999999996E-2</v>
      </c>
      <c r="L108" s="24">
        <v>-9.4564730000000013E-2</v>
      </c>
      <c r="M108" s="24">
        <v>-0.1130082</v>
      </c>
      <c r="N108" s="24">
        <v>-6.1310824999999999E-2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45187</v>
      </c>
      <c r="B109" s="24">
        <v>-2.0466565999999999E-2</v>
      </c>
      <c r="C109" s="24">
        <v>3.3084870000000002E-2</v>
      </c>
      <c r="D109" s="24">
        <v>4.2691945999999995E-2</v>
      </c>
      <c r="E109" s="24">
        <v>-1.1297405E-2</v>
      </c>
      <c r="F109" s="24">
        <v>6.4396500000000009E-2</v>
      </c>
      <c r="G109" s="24">
        <v>2.2182465000000003E-3</v>
      </c>
      <c r="H109" s="24">
        <v>2.7327656999999998E-2</v>
      </c>
      <c r="I109" s="24">
        <v>3.6482692000000004E-2</v>
      </c>
      <c r="J109" s="24">
        <v>1.9963503E-2</v>
      </c>
      <c r="K109" s="24">
        <v>-7.2894095999999995E-3</v>
      </c>
      <c r="L109" s="24">
        <v>-4.7096132999999998E-2</v>
      </c>
      <c r="M109" s="24">
        <v>5.6523084999999997E-3</v>
      </c>
      <c r="N109" s="24">
        <v>9.0090035999999991E-3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45217</v>
      </c>
      <c r="B110" s="24">
        <v>-3.3250927999999999E-2</v>
      </c>
      <c r="C110" s="24">
        <v>-4.2399645E-2</v>
      </c>
      <c r="D110" s="24">
        <v>-6.1700286999999993E-2</v>
      </c>
      <c r="E110" s="24">
        <v>-6.1186850000000001E-2</v>
      </c>
      <c r="F110" s="24">
        <v>-6.6360474000000003E-2</v>
      </c>
      <c r="G110" s="24">
        <v>-4.4931354999999999E-2</v>
      </c>
      <c r="H110" s="24">
        <v>-2.5363505000000001E-2</v>
      </c>
      <c r="I110" s="24">
        <v>-1.9667625000000001E-2</v>
      </c>
      <c r="J110" s="24">
        <v>-3.0250490000000001E-2</v>
      </c>
      <c r="K110" s="24">
        <v>-6.2007008000000002E-2</v>
      </c>
      <c r="L110" s="24">
        <v>-5.2368699999999997E-2</v>
      </c>
      <c r="M110" s="24">
        <v>-1.1696875000000001E-2</v>
      </c>
      <c r="N110" s="24">
        <v>-4.1773024000000006E-2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45247</v>
      </c>
      <c r="B111" s="24">
        <v>2.9979110000000003E-2</v>
      </c>
      <c r="C111" s="24">
        <v>4.6161055999999999E-2</v>
      </c>
      <c r="D111" s="24">
        <v>4.454553E-2</v>
      </c>
      <c r="E111" s="24">
        <v>9.8939900000000011E-2</v>
      </c>
      <c r="F111" s="24">
        <v>5.7675959999999998E-2</v>
      </c>
      <c r="G111" s="24">
        <v>3.1749724999999999E-2</v>
      </c>
      <c r="H111" s="24">
        <v>1.8724202999999998E-2</v>
      </c>
      <c r="I111" s="24">
        <v>6.2388180000000001E-2</v>
      </c>
      <c r="J111" s="24">
        <v>4.783714E-2</v>
      </c>
      <c r="K111" s="24">
        <v>8.1762789999999988E-2</v>
      </c>
      <c r="L111" s="24">
        <v>0.13552225000000001</v>
      </c>
      <c r="M111" s="24">
        <v>8.8533639999999997E-2</v>
      </c>
      <c r="N111" s="24">
        <v>8.3194730000000008E-2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45278</v>
      </c>
      <c r="B112" s="24">
        <v>7.8181386000000005E-2</v>
      </c>
      <c r="C112" s="24">
        <v>8.0594424999999997E-2</v>
      </c>
      <c r="D112" s="24">
        <v>4.7287464000000001E-2</v>
      </c>
      <c r="E112" s="24">
        <v>4.4658780000000002E-2</v>
      </c>
      <c r="F112" s="24">
        <v>1.1227012000000001E-2</v>
      </c>
      <c r="G112" s="24">
        <v>5.5031420000000004E-2</v>
      </c>
      <c r="H112" s="24">
        <v>3.0529736999999998E-2</v>
      </c>
      <c r="I112" s="24">
        <v>5.6595683000000001E-2</v>
      </c>
      <c r="J112" s="24">
        <v>5.123639E-2</v>
      </c>
      <c r="K112" s="24">
        <v>4.5832157000000005E-2</v>
      </c>
      <c r="L112" s="24">
        <v>5.8305619999999996E-2</v>
      </c>
      <c r="M112" s="24">
        <v>0.11522174</v>
      </c>
      <c r="N112" s="24">
        <v>3.5944820000000002E-2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45309</v>
      </c>
      <c r="B113" s="24">
        <v>-8.1361530000000001E-3</v>
      </c>
      <c r="C113" s="24">
        <v>-1.9370316999999998E-2</v>
      </c>
      <c r="D113" s="24">
        <v>1.5515089000000001E-3</v>
      </c>
      <c r="E113" s="24">
        <v>-1.7390429999999998E-2</v>
      </c>
      <c r="F113" s="24">
        <v>5.7200074000000004E-2</v>
      </c>
      <c r="G113" s="24">
        <v>-1.7032623E-3</v>
      </c>
      <c r="H113" s="24">
        <v>-1.1924505E-2</v>
      </c>
      <c r="I113" s="24">
        <v>1.5050173E-2</v>
      </c>
      <c r="J113" s="24">
        <v>9.5767975000000012E-3</v>
      </c>
      <c r="K113" s="24">
        <v>-2.2119224000000003E-2</v>
      </c>
      <c r="L113" s="24">
        <v>-1.3526142000000001E-2</v>
      </c>
      <c r="M113" s="24">
        <v>-5.3409814999999999E-2</v>
      </c>
      <c r="N113" s="24">
        <v>3.3067465000000003E-3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45338</v>
      </c>
      <c r="B114" s="24">
        <v>-1.7230213000000001E-2</v>
      </c>
      <c r="C114" s="24">
        <v>2.9054641999999999E-2</v>
      </c>
      <c r="D114" s="24">
        <v>2.8315187000000002E-2</v>
      </c>
      <c r="E114" s="24">
        <v>2.7149320000000001E-2</v>
      </c>
      <c r="F114" s="24">
        <v>2.8905987999999997E-2</v>
      </c>
      <c r="G114" s="24">
        <v>-4.6918391999999998E-3</v>
      </c>
      <c r="H114" s="24">
        <v>2.2848130000000001E-2</v>
      </c>
      <c r="I114" s="24">
        <v>4.2567609999999999E-2</v>
      </c>
      <c r="J114" s="24">
        <v>4.8311710000000001E-2</v>
      </c>
      <c r="K114" s="24">
        <v>3.1126379999999999E-2</v>
      </c>
      <c r="L114" s="24">
        <v>8.5668330000000015E-2</v>
      </c>
      <c r="M114" s="24">
        <v>5.126095E-2</v>
      </c>
      <c r="N114" s="24">
        <v>2.9631853E-2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45369</v>
      </c>
      <c r="B115" s="24">
        <v>-1.4245033000000001E-2</v>
      </c>
      <c r="C115" s="24">
        <v>1.4749289E-2</v>
      </c>
      <c r="D115" s="24">
        <v>2.8353332999999998E-2</v>
      </c>
      <c r="E115" s="24">
        <v>5.0152419999999996E-2</v>
      </c>
      <c r="F115" s="24">
        <v>4.4654845999999998E-2</v>
      </c>
      <c r="G115" s="24">
        <v>2.1855593E-2</v>
      </c>
      <c r="H115" s="24">
        <v>1.9889832E-2</v>
      </c>
      <c r="I115" s="24">
        <v>1.7380356999999999E-2</v>
      </c>
      <c r="J115" s="24">
        <v>2.9938102000000001E-2</v>
      </c>
      <c r="K115" s="24">
        <v>5.525708E-2</v>
      </c>
      <c r="L115" s="24">
        <v>1.650095E-2</v>
      </c>
      <c r="M115" s="24">
        <v>4.6936153999999994E-2</v>
      </c>
      <c r="N115" s="24">
        <v>7.8488230000000006E-2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45400</v>
      </c>
      <c r="B116" s="24">
        <v>-2.1787464999999999E-2</v>
      </c>
      <c r="C116" s="24">
        <v>-3.2392085000000001E-2</v>
      </c>
      <c r="D116" s="24">
        <v>-2.3064733E-2</v>
      </c>
      <c r="E116" s="24">
        <v>-3.0655025999999998E-2</v>
      </c>
      <c r="F116" s="24">
        <v>-5.3220153000000006E-2</v>
      </c>
      <c r="G116" s="24">
        <v>-5.2631560000000001E-2</v>
      </c>
      <c r="H116" s="24">
        <v>0</v>
      </c>
      <c r="I116" s="24">
        <v>-3.2161474000000002E-2</v>
      </c>
      <c r="J116" s="24">
        <v>-2.6010990000000001E-2</v>
      </c>
      <c r="K116" s="24">
        <v>-3.490907E-2</v>
      </c>
      <c r="L116" s="24">
        <v>-1.7481804E-2</v>
      </c>
      <c r="M116" s="24">
        <v>-4.3835639999999995E-2</v>
      </c>
      <c r="N116" s="24">
        <v>-2.6954174000000001E-2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45429</v>
      </c>
      <c r="B117" s="24">
        <v>4.2954564000000001E-2</v>
      </c>
      <c r="C117" s="24">
        <v>8.3261850000000012E-2</v>
      </c>
      <c r="D117" s="24">
        <v>4.721844E-2</v>
      </c>
      <c r="E117" s="24">
        <v>7.9227566999999999E-2</v>
      </c>
      <c r="F117" s="24">
        <v>2.7507899999999998E-2</v>
      </c>
      <c r="G117" s="24">
        <v>8.3886740000000001E-2</v>
      </c>
      <c r="H117" s="24">
        <v>0.10231018</v>
      </c>
      <c r="I117" s="24">
        <v>6.6956399999999999E-2</v>
      </c>
      <c r="J117" s="24">
        <v>5.9917569999999996E-2</v>
      </c>
      <c r="K117" s="24">
        <v>6.1291100000000001E-2</v>
      </c>
      <c r="L117" s="24">
        <v>9.5530620000000011E-2</v>
      </c>
      <c r="M117" s="24">
        <v>7.0851803000000005E-2</v>
      </c>
      <c r="N117" s="24">
        <v>8.9750770000000007E-2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45461</v>
      </c>
      <c r="B118" s="24">
        <v>1.0297537000000001E-2</v>
      </c>
      <c r="C118" s="24">
        <v>-1.3231217999999999E-2</v>
      </c>
      <c r="D118" s="24">
        <v>-4.4680413999999995E-2</v>
      </c>
      <c r="E118" s="24">
        <v>-4.2654753000000004E-2</v>
      </c>
      <c r="F118" s="24">
        <v>-2.2869348999999997E-2</v>
      </c>
      <c r="G118" s="24">
        <v>2.7648926000000001E-2</v>
      </c>
      <c r="H118" s="24">
        <v>-2.7038812999999998E-2</v>
      </c>
      <c r="I118" s="24">
        <v>7.4043750000000005E-2</v>
      </c>
      <c r="J118" s="24">
        <v>3.5961747000000002E-2</v>
      </c>
      <c r="K118" s="24">
        <v>-6.4440010000000006E-2</v>
      </c>
      <c r="L118" s="24">
        <v>3.8510559999999998E-3</v>
      </c>
      <c r="M118" s="24">
        <v>3.7549734000000001E-3</v>
      </c>
      <c r="N118" s="24">
        <v>-6.0414733999999998E-2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45491</v>
      </c>
      <c r="B119" s="24">
        <v>9.1284512999999998E-3</v>
      </c>
      <c r="C119" s="24">
        <v>2.7834654E-2</v>
      </c>
      <c r="D119" s="24">
        <v>5.2847742999999996E-2</v>
      </c>
      <c r="E119" s="24">
        <v>2.9382586000000002E-2</v>
      </c>
      <c r="F119" s="24">
        <v>5.6105613999999998E-2</v>
      </c>
      <c r="G119" s="24">
        <v>6.6950320000000001E-3</v>
      </c>
      <c r="H119" s="24">
        <v>1.5687346000000001E-2</v>
      </c>
      <c r="I119" s="24">
        <v>-1.0201037E-2</v>
      </c>
      <c r="J119" s="24">
        <v>1.0857700999999999E-2</v>
      </c>
      <c r="K119" s="24">
        <v>6.4716340000000004E-3</v>
      </c>
      <c r="L119" s="24">
        <v>-2.2984028E-2</v>
      </c>
      <c r="M119" s="24">
        <v>6.4023733000000008E-3</v>
      </c>
      <c r="N119" s="24">
        <v>4.4635414999999998E-2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45520</v>
      </c>
      <c r="B120" s="24">
        <v>3.6398887999999997E-2</v>
      </c>
      <c r="C120" s="24">
        <v>-6.3719749999999993E-3</v>
      </c>
      <c r="D120" s="24">
        <v>2.1326423000000001E-2</v>
      </c>
      <c r="E120" s="24">
        <v>7.0557594000000001E-3</v>
      </c>
      <c r="F120" s="24">
        <v>-1.4630674999999999E-2</v>
      </c>
      <c r="G120" s="24">
        <v>2.2974610000000003E-2</v>
      </c>
      <c r="H120" s="24">
        <v>2.4712204999999998E-2</v>
      </c>
      <c r="I120" s="24">
        <v>-9.3015430000000007E-3</v>
      </c>
      <c r="J120" s="24">
        <v>2.9855966999999999E-3</v>
      </c>
      <c r="K120" s="24">
        <v>-2.0576715000000002E-3</v>
      </c>
      <c r="L120" s="24">
        <v>-6.9776179999999997E-3</v>
      </c>
      <c r="M120" s="24">
        <v>-1.4925361E-2</v>
      </c>
      <c r="N120" s="24">
        <v>-1.2473464E-2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45553</v>
      </c>
      <c r="B121" s="24">
        <v>2.2028327E-2</v>
      </c>
      <c r="C121" s="24">
        <v>4.8096180000000002E-2</v>
      </c>
      <c r="D121" s="24">
        <v>3.1067014E-2</v>
      </c>
      <c r="E121" s="24">
        <v>3.7579655999999996E-2</v>
      </c>
      <c r="F121" s="24">
        <v>2.8824806000000004E-4</v>
      </c>
      <c r="G121" s="24">
        <v>7.8802109999999998E-3</v>
      </c>
      <c r="H121" s="24">
        <v>1.3702393E-2</v>
      </c>
      <c r="I121" s="24">
        <v>-7.5573920000000004E-3</v>
      </c>
      <c r="J121" s="24">
        <v>1.279068E-2</v>
      </c>
      <c r="K121" s="24">
        <v>1.0309338999999999E-2</v>
      </c>
      <c r="L121" s="24">
        <v>-1.5860260000000001E-2</v>
      </c>
      <c r="M121" s="24">
        <v>3.2041788000000002E-2</v>
      </c>
      <c r="N121" s="24">
        <v>2.9561996E-2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45583</v>
      </c>
      <c r="B122" s="24">
        <v>6.0999392999999994E-4</v>
      </c>
      <c r="C122" s="24">
        <v>1.5678762999999998E-2</v>
      </c>
      <c r="D122" s="24">
        <v>3.8281083E-2</v>
      </c>
      <c r="E122" s="24">
        <v>2.394104E-2</v>
      </c>
      <c r="F122" s="24">
        <v>1.0664343999999999E-2</v>
      </c>
      <c r="G122" s="24">
        <v>6.8413020000000005E-3</v>
      </c>
      <c r="H122" s="24">
        <v>5.4061413000000005E-4</v>
      </c>
      <c r="I122" s="24">
        <v>5.0320029999999995E-2</v>
      </c>
      <c r="J122" s="24">
        <v>4.4505954E-2</v>
      </c>
      <c r="K122" s="24">
        <v>1.2755394000000001E-3</v>
      </c>
      <c r="L122" s="24">
        <v>-9.5879435999999992E-3</v>
      </c>
      <c r="M122" s="24">
        <v>-8.4235669999999999E-3</v>
      </c>
      <c r="N122" s="50">
        <v>2.2970437999999999E-2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0.20577609999999999</v>
      </c>
      <c r="C126" s="24" cm="1">
        <f t="array" ref="C126">MAX(_xlfn._xlws.FILTER(C1:C122, ISNUMBER(C1:C122)))</f>
        <v>0.22667635</v>
      </c>
      <c r="D126" s="24" cm="1">
        <f t="array" ref="D126">MAX(_xlfn._xlws.FILTER(D1:D122, ISNUMBER(D1:D122)))</f>
        <v>0.25563895999999997</v>
      </c>
      <c r="E126" s="24" cm="1">
        <f t="array" ref="E126">MAX(_xlfn._xlws.FILTER(E1:E122, ISNUMBER(E1:E122)))</f>
        <v>0.27787018000000002</v>
      </c>
      <c r="F126" s="24" cm="1">
        <f t="array" ref="F126">MAX(_xlfn._xlws.FILTER(F1:F122, ISNUMBER(F1:F122)))</f>
        <v>0.14511036999999999</v>
      </c>
      <c r="G126" s="24" cm="1">
        <f t="array" ref="G126">MAX(_xlfn._xlws.FILTER(G1:G122, ISNUMBER(G1:G122)))</f>
        <v>0.18207909</v>
      </c>
      <c r="H126" s="24" cm="1">
        <f t="array" ref="H126">MAX(_xlfn._xlws.FILTER(H1:H122, ISNUMBER(H1:H122)))</f>
        <v>0.22776688</v>
      </c>
      <c r="I126" s="24" cm="1">
        <f t="array" ref="I126">MAX(_xlfn._xlws.FILTER(I1:I122, ISNUMBER(I1:I122)))</f>
        <v>0.22167646000000002</v>
      </c>
      <c r="J126" s="24" cm="1">
        <f t="array" ref="J126">MAX(_xlfn._xlws.FILTER(J1:J122, ISNUMBER(J1:J122)))</f>
        <v>0.20167041999999999</v>
      </c>
      <c r="K126" s="24" cm="1">
        <f t="array" ref="K126">MAX(_xlfn._xlws.FILTER(K1:K122, ISNUMBER(K1:K122)))</f>
        <v>0.20419370000000001</v>
      </c>
      <c r="L126" s="24" cm="1">
        <f t="array" ref="L126">MAX(_xlfn._xlws.FILTER(L1:L122, ISNUMBER(L1:L122)))</f>
        <v>0.23718238999999999</v>
      </c>
      <c r="M126" s="24" cm="1">
        <f t="array" ref="M126">MAX(_xlfn._xlws.FILTER(M1:M122, ISNUMBER(M1:M122)))</f>
        <v>0.20117270999999998</v>
      </c>
      <c r="N126" s="24" cm="1">
        <f t="array" ref="N126">MAX(_xlfn._xlws.FILTER(N1:N122, ISNUMBER(N1:N122)))</f>
        <v>0.19074642</v>
      </c>
    </row>
    <row r="127" spans="1:26" x14ac:dyDescent="0.35">
      <c r="A127" t="s">
        <v>85</v>
      </c>
      <c r="B127" s="24" cm="1">
        <f t="array" ref="B127">MIN(_xlfn._xlws.FILTER(B2:B122, ISNUMBER(B2:B122)))</f>
        <v>-0.28598403999999999</v>
      </c>
      <c r="C127" s="24" cm="1">
        <f t="array" ref="C127">MIN(_xlfn._xlws.FILTER(C2:C122, ISNUMBER(C2:C122)))</f>
        <v>-0.40295906000000004</v>
      </c>
      <c r="D127" s="24" cm="1">
        <f t="array" ref="D127">MIN(_xlfn._xlws.FILTER(D2:D122, ISNUMBER(D2:D122)))</f>
        <v>-0.38990826000000001</v>
      </c>
      <c r="E127" s="24" cm="1">
        <f t="array" ref="E127">MIN(_xlfn._xlws.FILTER(E2:E122, ISNUMBER(E2:E122)))</f>
        <v>-0.38274554999999999</v>
      </c>
      <c r="F127" s="24" cm="1">
        <f t="array" ref="F127">MIN(_xlfn._xlws.FILTER(F2:F122, ISNUMBER(F2:F122)))</f>
        <v>-0.22924624999999998</v>
      </c>
      <c r="G127" s="24" cm="1">
        <f t="array" ref="G127">MIN(_xlfn._xlws.FILTER(G2:G122, ISNUMBER(G2:G122)))</f>
        <v>-0.25172990000000001</v>
      </c>
      <c r="H127" s="24" cm="1">
        <f t="array" ref="H127">MIN(_xlfn._xlws.FILTER(H2:H122, ISNUMBER(H2:H122)))</f>
        <v>-0.38217334999999997</v>
      </c>
      <c r="I127" s="24" cm="1">
        <f t="array" ref="I127">MIN(_xlfn._xlws.FILTER(I2:I122, ISNUMBER(I2:I122)))</f>
        <v>-0.24764622</v>
      </c>
      <c r="J127" s="24" cm="1">
        <f t="array" ref="J127">MIN(_xlfn._xlws.FILTER(J2:J122, ISNUMBER(J2:J122)))</f>
        <v>-0.28726279999999998</v>
      </c>
      <c r="K127" s="24" cm="1">
        <f t="array" ref="K127">MIN(_xlfn._xlws.FILTER(K2:K122, ISNUMBER(K2:K122)))</f>
        <v>-0.37775700000000001</v>
      </c>
      <c r="L127" s="24" cm="1">
        <f t="array" ref="L127">MIN(_xlfn._xlws.FILTER(L2:L122, ISNUMBER(L2:L122)))</f>
        <v>-0.34396014999999996</v>
      </c>
      <c r="M127" s="24" cm="1">
        <f t="array" ref="M127">MIN(_xlfn._xlws.FILTER(M2:M122, ISNUMBER(M2:M122)))</f>
        <v>-0.33958893000000001</v>
      </c>
      <c r="N127" s="24" cm="1">
        <f t="array" ref="N127">MIN(_xlfn._xlws.FILTER(N2:N122, ISNUMBER(N2:N122)))</f>
        <v>-0.39233820000000003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14</v>
      </c>
      <c r="D129">
        <f>COUNTIF(D2:D122, "&lt;"&amp;Assumption!$E$50)</f>
        <v>18</v>
      </c>
      <c r="E129">
        <f>COUNTIF(E2:E122, "&lt;"&amp;Assumption!$E$50)</f>
        <v>17</v>
      </c>
      <c r="F129">
        <f>COUNTIF(F2:F122, "&lt;"&amp;Assumption!$E$50)</f>
        <v>13</v>
      </c>
      <c r="G129">
        <f>COUNTIF(G2:G122, "&lt;"&amp;Assumption!$E$50)</f>
        <v>12</v>
      </c>
      <c r="H129">
        <f>COUNTIF(H2:H122, "&lt;"&amp;Assumption!$E$50)</f>
        <v>11</v>
      </c>
      <c r="I129">
        <f>COUNTIF(I2:I122, "&lt;"&amp;Assumption!$E$50)</f>
        <v>13</v>
      </c>
      <c r="J129">
        <f>COUNTIF(J2:J122, "&lt;"&amp;Assumption!$E$50)</f>
        <v>8</v>
      </c>
      <c r="K129">
        <f>COUNTIF(K2:K122, "&lt;"&amp;Assumption!$E$50)</f>
        <v>15</v>
      </c>
      <c r="L129">
        <f>COUNTIF(L2:L122, "&lt;"&amp;Assumption!$E$50)</f>
        <v>16</v>
      </c>
      <c r="M129">
        <f>COUNTIF(M2:M122, "&lt;"&amp;Assumption!$E$50)</f>
        <v>17</v>
      </c>
      <c r="N129">
        <f>COUNTIF(N2:N122, "&lt;"&amp;Assumption!$E$50)</f>
        <v>19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0.12396694214876033</v>
      </c>
      <c r="C132" s="9">
        <f t="shared" si="2"/>
        <v>0.11570247933884298</v>
      </c>
      <c r="D132" s="9">
        <f t="shared" si="2"/>
        <v>0.1487603305785124</v>
      </c>
      <c r="E132" s="9">
        <f t="shared" si="2"/>
        <v>0.14049586776859505</v>
      </c>
      <c r="F132" s="9">
        <f t="shared" si="2"/>
        <v>0.10743801652892562</v>
      </c>
      <c r="G132" s="9">
        <f t="shared" si="2"/>
        <v>9.9173553719008267E-2</v>
      </c>
      <c r="H132" s="9">
        <f t="shared" si="2"/>
        <v>9.0909090909090912E-2</v>
      </c>
      <c r="I132" s="9">
        <f t="shared" si="2"/>
        <v>0.10743801652892562</v>
      </c>
      <c r="J132" s="9">
        <f t="shared" si="2"/>
        <v>6.6115702479338845E-2</v>
      </c>
      <c r="K132" s="9">
        <f t="shared" ref="K132:N132" si="3">K129/K130</f>
        <v>0.12396694214876033</v>
      </c>
      <c r="L132" s="9">
        <f t="shared" si="3"/>
        <v>0.13223140495867769</v>
      </c>
      <c r="M132" s="9">
        <f t="shared" si="3"/>
        <v>0.14049586776859505</v>
      </c>
      <c r="N132" s="9">
        <f t="shared" si="3"/>
        <v>0.15702479338842976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0.47499999999999998</v>
      </c>
      <c r="C134" s="9" cm="1">
        <f t="array" ref="C134">_xlfn.PERCENTRANK.EXC(_xlfn._xlws.FILTER(C2:C122, ISNUMBER(C2:C122)),C122)</f>
        <v>0.55700000000000005</v>
      </c>
      <c r="D134" s="9" cm="1">
        <f t="array" ref="D134">_xlfn.PERCENTRANK.EXC(_xlfn._xlws.FILTER(D2:D122, ISNUMBER(D2:D122)),D122)</f>
        <v>0.71299999999999997</v>
      </c>
      <c r="E134" s="9" cm="1">
        <f t="array" ref="E134">_xlfn.PERCENTRANK.EXC(_xlfn._xlws.FILTER(E2:E122, ISNUMBER(E2:E122)),E122)</f>
        <v>0.65500000000000003</v>
      </c>
      <c r="F134" s="9" cm="1">
        <f t="array" ref="F134">_xlfn.PERCENTRANK.EXC(_xlfn._xlws.FILTER(F2:F122, ISNUMBER(F2:F122)),F122)</f>
        <v>0.50800000000000001</v>
      </c>
      <c r="G134" s="9" cm="1">
        <f t="array" ref="G134">_xlfn.PERCENTRANK.EXC(_xlfn._xlws.FILTER(G2:G122, ISNUMBER(G2:G122)),G122)</f>
        <v>0.442</v>
      </c>
      <c r="H134" s="9" cm="1">
        <f t="array" ref="H134">_xlfn.PERCENTRANK.EXC(_xlfn._xlws.FILTER(H2:H122, ISNUMBER(H2:H122)),H122)</f>
        <v>0.45</v>
      </c>
      <c r="I134" s="9" cm="1">
        <f t="array" ref="I134">_xlfn.PERCENTRANK.EXC(_xlfn._xlws.FILTER(I2:I122, ISNUMBER(I2:I122)),I122)</f>
        <v>0.745</v>
      </c>
      <c r="J134" s="9" cm="1">
        <f t="array" ref="J134">_xlfn.PERCENTRANK.EXC(_xlfn._xlws.FILTER(J2:J122, ISNUMBER(J2:J122)),J122)</f>
        <v>0.82699999999999996</v>
      </c>
      <c r="K134" s="9" cm="1">
        <f t="array" ref="K134">_xlfn.PERCENTRANK.EXC(_xlfn._xlws.FILTER(K2:K122, ISNUMBER(K2:K122)),K122)</f>
        <v>0.42599999999999999</v>
      </c>
      <c r="L134" s="9" cm="1">
        <f t="array" ref="L134">_xlfn.PERCENTRANK.EXC(_xlfn._xlws.FILTER(L2:L122, ISNUMBER(L2:L122)),L122)</f>
        <v>0.31900000000000001</v>
      </c>
      <c r="M134" s="9" cm="1">
        <f t="array" ref="M134">_xlfn.PERCENTRANK.EXC(_xlfn._xlws.FILTER(M2:M122, ISNUMBER(M2:M122)),M122)</f>
        <v>0.36799999999999999</v>
      </c>
      <c r="N134" s="9" cm="1">
        <f t="array" ref="N134">_xlfn.PERCENTRANK.EXC(_xlfn._xlws.FILTER(N2:N122, ISNUMBER(N2:N122)),N122)</f>
        <v>0.56499999999999995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0.41599999999999998</v>
      </c>
      <c r="C136" s="9" cm="1">
        <f t="array" ref="C136">_xlfn.PERCENTRANK.EXC(_xlfn._xlws.FILTER(C4:C125, ISNUMBER(C4:C125)),C113)</f>
        <v>0.25800000000000001</v>
      </c>
      <c r="D136" s="9" cm="1">
        <f t="array" ref="D136">_xlfn.PERCENTRANK.EXC(_xlfn._xlws.FILTER(D4:D125, ISNUMBER(D4:D125)),D113)</f>
        <v>0.41599999999999998</v>
      </c>
      <c r="E136" s="9" cm="1">
        <f t="array" ref="E136">_xlfn.PERCENTRANK.EXC(_xlfn._xlws.FILTER(E4:E125, ISNUMBER(E4:E125)),E113)</f>
        <v>0.3</v>
      </c>
      <c r="F136" s="9" cm="1">
        <f t="array" ref="F136">_xlfn.PERCENTRANK.EXC(_xlfn._xlws.FILTER(F4:F125, ISNUMBER(F4:F125)),F113)</f>
        <v>0.89100000000000001</v>
      </c>
      <c r="G136" s="9" cm="1">
        <f t="array" ref="G136">_xlfn.PERCENTRANK.EXC(_xlfn._xlws.FILTER(G4:G125, ISNUMBER(G4:G125)),G113)</f>
        <v>0.35</v>
      </c>
      <c r="H136" s="9" cm="1">
        <f t="array" ref="H136">_xlfn.PERCENTRANK.EXC(_xlfn._xlws.FILTER(H4:H125, ISNUMBER(H4:H125)),H113)</f>
        <v>0.34100000000000003</v>
      </c>
      <c r="I136" s="9" cm="1">
        <f t="array" ref="I136">_xlfn.PERCENTRANK.EXC(_xlfn._xlws.FILTER(I4:I125, ISNUMBER(I4:I125)),I113)</f>
        <v>0.441</v>
      </c>
      <c r="J136" s="9" cm="1">
        <f t="array" ref="J136">_xlfn.PERCENTRANK.EXC(_xlfn._xlws.FILTER(J4:J125, ISNUMBER(J4:J125)),J113)</f>
        <v>0.39100000000000001</v>
      </c>
      <c r="K136" s="9" cm="1">
        <f t="array" ref="K136">_xlfn.PERCENTRANK.EXC(_xlfn._xlws.FILTER(K4:K125, ISNUMBER(K4:K125)),K113)</f>
        <v>0.25800000000000001</v>
      </c>
      <c r="L136" s="9" cm="1">
        <f t="array" ref="L136">_xlfn.PERCENTRANK.EXC(_xlfn._xlws.FILTER(L4:L125, ISNUMBER(L4:L125)),L113)</f>
        <v>0.308</v>
      </c>
      <c r="M136" s="9" cm="1">
        <f t="array" ref="M136">_xlfn.PERCENTRANK.EXC(_xlfn._xlws.FILTER(M4:M125, ISNUMBER(M4:M125)),M113)</f>
        <v>0.11600000000000001</v>
      </c>
      <c r="N136" s="9" cm="1">
        <f t="array" ref="N136">_xlfn.PERCENTRANK.EXC(_xlfn._xlws.FILTER(N4:N125, ISNUMBER(N4:N125)),N113)</f>
        <v>0.45800000000000002</v>
      </c>
    </row>
    <row r="138" spans="1:17" x14ac:dyDescent="0.35">
      <c r="A138" t="s">
        <v>829</v>
      </c>
      <c r="B138">
        <f t="shared" ref="B138:J138" si="4">STDEV(B40:B122)</f>
        <v>6.0517133017119584E-2</v>
      </c>
      <c r="C138">
        <f t="shared" si="4"/>
        <v>6.899657150821166E-2</v>
      </c>
      <c r="D138">
        <f t="shared" si="4"/>
        <v>6.7788736759719317E-2</v>
      </c>
      <c r="E138">
        <f t="shared" si="4"/>
        <v>7.2422720857015857E-2</v>
      </c>
      <c r="F138">
        <f t="shared" si="4"/>
        <v>5.0511752080629475E-2</v>
      </c>
      <c r="G138">
        <f t="shared" si="4"/>
        <v>5.1981017552112742E-2</v>
      </c>
      <c r="H138">
        <f t="shared" si="4"/>
        <v>6.463825752032612E-2</v>
      </c>
      <c r="I138">
        <f t="shared" si="4"/>
        <v>6.2924666734285234E-2</v>
      </c>
      <c r="J138">
        <f t="shared" si="4"/>
        <v>5.4457060223356134E-2</v>
      </c>
      <c r="K138">
        <f t="shared" ref="K138:N138" si="5">STDEV(K40:K122)</f>
        <v>6.7021548889844851E-2</v>
      </c>
      <c r="L138">
        <f t="shared" si="5"/>
        <v>7.2063486243064176E-2</v>
      </c>
      <c r="M138">
        <f t="shared" si="5"/>
        <v>6.87389356231589E-2</v>
      </c>
      <c r="N138">
        <f t="shared" si="5"/>
        <v>7.4090109093754991E-2</v>
      </c>
    </row>
    <row r="139" spans="1:17" x14ac:dyDescent="0.35">
      <c r="A139" t="s">
        <v>830</v>
      </c>
      <c r="B139" s="74">
        <f t="shared" ref="B139:J139" si="6">B138*SQRT(12)</f>
        <v>0.20963749822811029</v>
      </c>
      <c r="C139" s="74">
        <f t="shared" si="6"/>
        <v>0.23901113480056357</v>
      </c>
      <c r="D139" s="74">
        <f t="shared" si="6"/>
        <v>0.23482707249749174</v>
      </c>
      <c r="E139" s="74">
        <f t="shared" si="6"/>
        <v>0.25087966429345937</v>
      </c>
      <c r="F139" s="74">
        <f t="shared" si="6"/>
        <v>0.1749778419659464</v>
      </c>
      <c r="G139" s="74">
        <f t="shared" si="6"/>
        <v>0.18006752685877772</v>
      </c>
      <c r="H139" s="74">
        <f t="shared" si="6"/>
        <v>0.22391349227585181</v>
      </c>
      <c r="I139" s="74">
        <f t="shared" si="6"/>
        <v>0.21797743966624242</v>
      </c>
      <c r="J139" s="74">
        <f t="shared" si="6"/>
        <v>0.18864479027538195</v>
      </c>
      <c r="K139" s="74">
        <f t="shared" ref="K139:N139" si="7">K138*SQRT(12)</f>
        <v>0.23216945575834552</v>
      </c>
      <c r="L139" s="74">
        <f t="shared" si="7"/>
        <v>0.24963523908705595</v>
      </c>
      <c r="M139" s="74">
        <f t="shared" si="7"/>
        <v>0.23811865791503486</v>
      </c>
      <c r="N139" s="74">
        <f t="shared" si="7"/>
        <v>0.25665566657740907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41929</v>
      </c>
      <c r="B2" s="7" cm="1">
        <f t="array" ref="B2:B122">_xll.FDS(B1,"P_PRICE_RETURNS_PR('52W',2,-10AY,0,AM)")</f>
        <v>0.83924529999999997</v>
      </c>
      <c r="C2" s="7" cm="1">
        <f t="array" ref="C2:C122">_xll.FDS(C1,"P_PRICE_RETURNS_PR('52W',2,-10AY,0,AM)")</f>
        <v>-4.8434733999999997</v>
      </c>
      <c r="D2" s="7" cm="1">
        <f t="array" ref="D2:D122">_xll.FDS(D1,"P_PRICE_RETURNS_PR('52W',2,-10AY,0,AM)")</f>
        <v>2.4404526</v>
      </c>
      <c r="E2" s="7" cm="1">
        <f t="array" ref="E2:E122">_xll.FDS(E1,"P_PRICE_RETURNS_PR('52W',2,-10AY,0,AM)")</f>
        <v>-7.5269459999999997</v>
      </c>
      <c r="F2" s="7" cm="1">
        <f t="array" ref="F2:F122">_xll.FDS(F1,"P_PRICE_RETURNS_PR('52W',2,-10AY,0,AM)")</f>
        <v>-8.0672560000000004</v>
      </c>
      <c r="G2" s="7" cm="1">
        <f t="array" ref="G2:G122">_xll.FDS(G1,"P_PRICE_RETURNS_PR('52W',2,-10AY,0,AM)")</f>
        <v>-0.80767869999999997</v>
      </c>
      <c r="H2" s="7" cm="1">
        <f t="array" ref="H2:H122">_xll.FDS(H1,"P_PRICE_RETURNS_PR('52W',2,-10AY,0,AM)")</f>
        <v>-2.7335227</v>
      </c>
      <c r="I2" s="7" cm="1">
        <f t="array" ref="I2:I122">_xll.FDS(I1,"P_PRICE_RETURNS_PR('52W',2,-10AY,0,AM)")</f>
        <v>16.737652000000001</v>
      </c>
      <c r="J2" s="7" cm="1">
        <f t="array" ref="J2:J122">_xll.FDS(J1,"P_PRICE_RETURNS_PR('52W',2,-10AY,0,AM)")</f>
        <v>10.917616000000001</v>
      </c>
      <c r="K2" s="158" cm="1">
        <f t="array" ref="K2:K122">_xll.FDS(K1,"P_PRICE_RETURNS_PR('52W',2,-10AY,0,AM)")</f>
        <v>-9.1897070000000003</v>
      </c>
      <c r="L2" s="158" cm="1">
        <f t="array" ref="L2:L122">_xll.FDS(L1,"P_PRICE_RETURNS_PR('52W',2,-10AY,0,AM)")</f>
        <v>-5.97865</v>
      </c>
      <c r="M2" s="158" cm="1">
        <f t="array" ref="M2:M122">_xll.FDS(M1,"P_PRICE_RETURNS_PR('52W',2,-10AY,0,AM)")</f>
        <v>-6.4638970000000002</v>
      </c>
      <c r="N2" s="158" cm="1">
        <f t="array" ref="N2:N122">_xll.FDS(N1,"P_PRICE_RETURNS_PR('52W',2,-10AY,0,AM)")</f>
        <v>-7.6397896000000003</v>
      </c>
    </row>
    <row r="3" spans="1:14" x14ac:dyDescent="0.35">
      <c r="A3" s="2">
        <v>41961</v>
      </c>
      <c r="B3" s="40">
        <v>7.9269530000000001</v>
      </c>
      <c r="C3" s="40">
        <v>-2.2429168000000002</v>
      </c>
      <c r="D3" s="40">
        <v>4.5354960000000002</v>
      </c>
      <c r="E3" s="40">
        <v>-7.4160395000000001</v>
      </c>
      <c r="F3" s="40">
        <v>-2.3157477000000002</v>
      </c>
      <c r="G3" s="40">
        <v>4.0068029999999997</v>
      </c>
      <c r="H3" s="40">
        <v>-0.26568770000000003</v>
      </c>
      <c r="I3" s="40">
        <v>26.543330999999998</v>
      </c>
      <c r="J3" s="40">
        <v>16.789282</v>
      </c>
      <c r="K3" s="47">
        <v>-4.8941970000000001</v>
      </c>
      <c r="L3" s="47">
        <v>-0.63887240000000001</v>
      </c>
      <c r="M3" s="47">
        <v>1.9783735</v>
      </c>
      <c r="N3" s="47">
        <v>-2.6109754999999999</v>
      </c>
    </row>
    <row r="4" spans="1:14" x14ac:dyDescent="0.35">
      <c r="A4" s="2">
        <v>41991</v>
      </c>
      <c r="B4" s="40">
        <v>13.260268999999999</v>
      </c>
      <c r="C4" s="40">
        <v>-1.3623654999999999</v>
      </c>
      <c r="D4" s="40">
        <v>1.9524455000000001</v>
      </c>
      <c r="E4" s="40">
        <v>-5.7915153999999998</v>
      </c>
      <c r="F4" s="40">
        <v>-2.3065983999999999</v>
      </c>
      <c r="G4" s="40">
        <v>4.3897985999999998</v>
      </c>
      <c r="H4" s="40">
        <v>-3.2941042999999999</v>
      </c>
      <c r="I4" s="40">
        <v>22.807670000000002</v>
      </c>
      <c r="J4" s="40">
        <v>16.013871999999999</v>
      </c>
      <c r="K4" s="47">
        <v>-5.0677595000000002</v>
      </c>
      <c r="L4" s="47">
        <v>0.17645358999999999</v>
      </c>
      <c r="M4" s="47">
        <v>-1.8914222999999999</v>
      </c>
      <c r="N4" s="47">
        <v>-4.0139855999999998</v>
      </c>
    </row>
    <row r="5" spans="1:14" x14ac:dyDescent="0.35">
      <c r="A5" s="2">
        <v>42020</v>
      </c>
      <c r="B5" s="40">
        <v>7.8964590000000001</v>
      </c>
      <c r="C5" s="40">
        <v>-1.919049</v>
      </c>
      <c r="D5" s="40">
        <v>-3.1264842000000002</v>
      </c>
      <c r="E5" s="40">
        <v>-10.803318000000001</v>
      </c>
      <c r="F5" s="40">
        <v>-4.4525623000000003</v>
      </c>
      <c r="G5" s="40">
        <v>0.52561760000000002</v>
      </c>
      <c r="H5" s="40">
        <v>-8.8002680000000009</v>
      </c>
      <c r="I5" s="40">
        <v>15.821398</v>
      </c>
      <c r="J5" s="40">
        <v>11.466682</v>
      </c>
      <c r="K5" s="47">
        <v>-10.725754999999999</v>
      </c>
      <c r="L5" s="47">
        <v>-7.3286294999999999</v>
      </c>
      <c r="M5" s="47">
        <v>-10.660702000000001</v>
      </c>
      <c r="N5" s="47">
        <v>-15.640985499999999</v>
      </c>
    </row>
    <row r="6" spans="1:14" x14ac:dyDescent="0.35">
      <c r="A6" s="2">
        <v>42053</v>
      </c>
      <c r="B6" s="40">
        <v>7.6161146000000004</v>
      </c>
      <c r="C6" s="40">
        <v>-1.4470935</v>
      </c>
      <c r="D6" s="40">
        <v>-1.7197967000000001</v>
      </c>
      <c r="E6" s="40">
        <v>-6.2830744000000003</v>
      </c>
      <c r="F6" s="40">
        <v>5.6310415000000003</v>
      </c>
      <c r="G6" s="40">
        <v>0.17073153999999999</v>
      </c>
      <c r="H6" s="40">
        <v>-3.8464070000000001</v>
      </c>
      <c r="I6" s="40">
        <v>20.553982000000001</v>
      </c>
      <c r="J6" s="40">
        <v>16.279198000000001</v>
      </c>
      <c r="K6" s="47">
        <v>-5.0448599999999999</v>
      </c>
      <c r="L6" s="47">
        <v>-1.1152207999999999</v>
      </c>
      <c r="M6" s="47">
        <v>-0.23877619999999999</v>
      </c>
      <c r="N6" s="47">
        <v>-9.8313389999999998</v>
      </c>
    </row>
    <row r="7" spans="1:14" x14ac:dyDescent="0.35">
      <c r="A7" s="2">
        <v>42081</v>
      </c>
      <c r="B7" s="40">
        <v>-0.38468838</v>
      </c>
      <c r="C7" s="40">
        <v>-2.5453389</v>
      </c>
      <c r="D7" s="40">
        <v>-4.204631</v>
      </c>
      <c r="E7" s="40">
        <v>-0.66911580000000004</v>
      </c>
      <c r="F7" s="40">
        <v>15.855359999999999</v>
      </c>
      <c r="G7" s="40">
        <v>1.0326028</v>
      </c>
      <c r="H7" s="40">
        <v>-2.6230931000000002</v>
      </c>
      <c r="I7" s="40">
        <v>20.536173000000002</v>
      </c>
      <c r="J7" s="40">
        <v>14.339363000000001</v>
      </c>
      <c r="K7" s="47">
        <v>-6.7549523999999996</v>
      </c>
      <c r="L7" s="47">
        <v>3.6677360000000001</v>
      </c>
      <c r="M7" s="47">
        <v>-4.7631620000000003</v>
      </c>
      <c r="N7" s="47">
        <v>-14.528698</v>
      </c>
    </row>
    <row r="8" spans="1:14" x14ac:dyDescent="0.35">
      <c r="A8" s="2">
        <v>42111</v>
      </c>
      <c r="B8" s="40">
        <v>2.8755665000000001</v>
      </c>
      <c r="C8" s="40">
        <v>-7.7564060000000001</v>
      </c>
      <c r="D8" s="40">
        <v>-1.0395049999999999</v>
      </c>
      <c r="E8" s="40">
        <v>-3.3433855000000001</v>
      </c>
      <c r="F8" s="40">
        <v>17.084454999999998</v>
      </c>
      <c r="G8" s="40">
        <v>2.6987432999999998</v>
      </c>
      <c r="H8" s="40">
        <v>-3.5561143999999998</v>
      </c>
      <c r="I8" s="40">
        <v>24.346851000000001</v>
      </c>
      <c r="J8" s="40">
        <v>13.744937999999999</v>
      </c>
      <c r="K8" s="47">
        <v>-7.0225239999999998</v>
      </c>
      <c r="L8" s="47">
        <v>2.7065396000000002</v>
      </c>
      <c r="M8" s="47">
        <v>-3.2470107000000001</v>
      </c>
      <c r="N8" s="47">
        <v>-14.816504500000001</v>
      </c>
    </row>
    <row r="9" spans="1:14" x14ac:dyDescent="0.35">
      <c r="A9" s="2">
        <v>42142</v>
      </c>
      <c r="B9" s="40">
        <v>-4.0285053</v>
      </c>
      <c r="C9" s="40">
        <v>-8.9187200000000004</v>
      </c>
      <c r="D9" s="40">
        <v>-3.7348210000000002</v>
      </c>
      <c r="E9" s="40">
        <v>-0.78394412999999996</v>
      </c>
      <c r="F9" s="40">
        <v>20.351517000000001</v>
      </c>
      <c r="G9" s="40">
        <v>3.8063764999999998</v>
      </c>
      <c r="H9" s="40">
        <v>-3.4356296</v>
      </c>
      <c r="I9" s="40">
        <v>26.874865</v>
      </c>
      <c r="J9" s="40">
        <v>15.532970000000001</v>
      </c>
      <c r="K9" s="47">
        <v>-4.3790936</v>
      </c>
      <c r="L9" s="47">
        <v>8.4970470000000002</v>
      </c>
      <c r="M9" s="47">
        <v>-3.8105726</v>
      </c>
      <c r="N9" s="47">
        <v>-3.4826994</v>
      </c>
    </row>
    <row r="10" spans="1:14" x14ac:dyDescent="0.35">
      <c r="A10" s="2">
        <v>42173</v>
      </c>
      <c r="B10" s="40">
        <v>-10.477881999999999</v>
      </c>
      <c r="C10" s="40">
        <v>-11.432468</v>
      </c>
      <c r="D10" s="40">
        <v>-10.456568000000001</v>
      </c>
      <c r="E10" s="40">
        <v>-7.1791590000000003</v>
      </c>
      <c r="F10" s="40">
        <v>8.6378939999999993</v>
      </c>
      <c r="G10" s="40">
        <v>0.2712965</v>
      </c>
      <c r="H10" s="40">
        <v>-5.6465269999999999</v>
      </c>
      <c r="I10" s="40">
        <v>20.381772999999999</v>
      </c>
      <c r="J10" s="40">
        <v>10.536538999999999</v>
      </c>
      <c r="K10" s="47">
        <v>-9.1613000000000007</v>
      </c>
      <c r="L10" s="47">
        <v>2.6127815000000001</v>
      </c>
      <c r="M10" s="47">
        <v>-3.6983191999999998</v>
      </c>
      <c r="N10" s="47">
        <v>-13.067066000000001</v>
      </c>
    </row>
    <row r="11" spans="1:14" x14ac:dyDescent="0.35">
      <c r="A11" s="2">
        <v>42202</v>
      </c>
      <c r="B11" s="40">
        <v>-12.934321000000001</v>
      </c>
      <c r="C11" s="40">
        <v>-15.814852999999999</v>
      </c>
      <c r="D11" s="40">
        <v>-17.852228</v>
      </c>
      <c r="E11" s="40">
        <v>-3.6401211999999998</v>
      </c>
      <c r="F11" s="40">
        <v>8.8080879999999997</v>
      </c>
      <c r="G11" s="40">
        <v>3.8117049999999999</v>
      </c>
      <c r="H11" s="40">
        <v>-5.9348879999999999</v>
      </c>
      <c r="I11" s="40">
        <v>21.337664</v>
      </c>
      <c r="J11" s="40">
        <v>10.699725000000001</v>
      </c>
      <c r="K11" s="47">
        <v>-1.9997418</v>
      </c>
      <c r="L11" s="47">
        <v>10.036289</v>
      </c>
      <c r="M11" s="47">
        <v>-1.6176641</v>
      </c>
      <c r="N11" s="47">
        <v>-4.063618</v>
      </c>
    </row>
    <row r="12" spans="1:14" x14ac:dyDescent="0.35">
      <c r="A12" s="2">
        <v>42234</v>
      </c>
      <c r="B12" s="40">
        <v>-12.175649999999999</v>
      </c>
      <c r="C12" s="40">
        <v>-22.409445000000002</v>
      </c>
      <c r="D12" s="40">
        <v>-20.555251999999999</v>
      </c>
      <c r="E12" s="40">
        <v>-2.9241860000000002</v>
      </c>
      <c r="F12" s="40">
        <v>8.2509630000000005</v>
      </c>
      <c r="G12" s="40">
        <v>2.9734492000000001</v>
      </c>
      <c r="H12" s="40">
        <v>-7.5355052999999996</v>
      </c>
      <c r="I12" s="40">
        <v>14.161180999999999</v>
      </c>
      <c r="J12" s="40">
        <v>8.4826709999999999</v>
      </c>
      <c r="K12" s="47">
        <v>-0.37285089999999999</v>
      </c>
      <c r="L12" s="47">
        <v>8.3400010000000009</v>
      </c>
      <c r="M12" s="47">
        <v>-3.7241100999999999</v>
      </c>
      <c r="N12" s="47">
        <v>1.2889385</v>
      </c>
    </row>
    <row r="13" spans="1:14" x14ac:dyDescent="0.35">
      <c r="A13" s="2">
        <v>42265</v>
      </c>
      <c r="B13" s="40">
        <v>-12.4033985</v>
      </c>
      <c r="C13" s="40">
        <v>-22.365396</v>
      </c>
      <c r="D13" s="40">
        <v>-24.991465000000002</v>
      </c>
      <c r="E13" s="40">
        <v>-10.495037</v>
      </c>
      <c r="F13" s="40">
        <v>-1.3049482999999999</v>
      </c>
      <c r="G13" s="40">
        <v>-3.097248</v>
      </c>
      <c r="H13" s="40">
        <v>-13.404733</v>
      </c>
      <c r="I13" s="40">
        <v>6.4448714000000002</v>
      </c>
      <c r="J13" s="40">
        <v>-0.73338150000000002</v>
      </c>
      <c r="K13" s="47">
        <v>-8.2082510000000006</v>
      </c>
      <c r="L13" s="47">
        <v>-2.3271440999999999</v>
      </c>
      <c r="M13" s="47">
        <v>-8.1725709999999996</v>
      </c>
      <c r="N13" s="47">
        <v>-7.6764345</v>
      </c>
    </row>
    <row r="14" spans="1:14" x14ac:dyDescent="0.35">
      <c r="A14" s="2">
        <v>42293</v>
      </c>
      <c r="B14" s="40">
        <v>-2.4872540999999999</v>
      </c>
      <c r="C14" s="40">
        <v>-13.66046</v>
      </c>
      <c r="D14" s="40">
        <v>-11.991156</v>
      </c>
      <c r="E14" s="40">
        <v>4.6057342999999999</v>
      </c>
      <c r="F14" s="40">
        <v>13.350034000000001</v>
      </c>
      <c r="G14" s="40">
        <v>9.4003680000000003</v>
      </c>
      <c r="H14" s="40">
        <v>1.6426563000000001</v>
      </c>
      <c r="I14" s="40">
        <v>19.064830000000001</v>
      </c>
      <c r="J14" s="40">
        <v>11.335730999999999</v>
      </c>
      <c r="K14" s="47">
        <v>10.109425</v>
      </c>
      <c r="L14" s="47">
        <v>14.191604</v>
      </c>
      <c r="M14" s="47">
        <v>4.5543670000000001</v>
      </c>
      <c r="N14" s="47">
        <v>13.138235</v>
      </c>
    </row>
    <row r="15" spans="1:14" x14ac:dyDescent="0.35">
      <c r="A15" s="2">
        <v>42326</v>
      </c>
      <c r="B15" s="40">
        <v>-11.666166</v>
      </c>
      <c r="C15" s="40">
        <v>-19.873493</v>
      </c>
      <c r="D15" s="40">
        <v>-21.753746</v>
      </c>
      <c r="E15" s="40">
        <v>0.6423354</v>
      </c>
      <c r="F15" s="40">
        <v>8.1571940000000005</v>
      </c>
      <c r="G15" s="40">
        <v>-2.7824282999999999</v>
      </c>
      <c r="H15" s="40">
        <v>-6.4422607000000003</v>
      </c>
      <c r="I15" s="40">
        <v>10.782396</v>
      </c>
      <c r="J15" s="40">
        <v>3.6028147000000001</v>
      </c>
      <c r="K15" s="47">
        <v>0.64741373000000002</v>
      </c>
      <c r="L15" s="47">
        <v>3.4018039999999998</v>
      </c>
      <c r="M15" s="47">
        <v>-6.2868000000000004</v>
      </c>
      <c r="N15" s="47">
        <v>-0.54891705999999996</v>
      </c>
    </row>
    <row r="16" spans="1:14" x14ac:dyDescent="0.35">
      <c r="A16" s="2">
        <v>42356</v>
      </c>
      <c r="B16" s="40">
        <v>-5.4308709999999998</v>
      </c>
      <c r="C16" s="40">
        <v>-13.179069500000001</v>
      </c>
      <c r="D16" s="40">
        <v>-22.816880000000001</v>
      </c>
      <c r="E16" s="40">
        <v>-5.5753110000000001</v>
      </c>
      <c r="F16" s="40">
        <v>6.1661362999999998</v>
      </c>
      <c r="G16" s="40">
        <v>-3.7031472000000001</v>
      </c>
      <c r="H16" s="40">
        <v>-10.0146885</v>
      </c>
      <c r="I16" s="40">
        <v>6.8241120000000004</v>
      </c>
      <c r="J16" s="40">
        <v>-0.71275233999999998</v>
      </c>
      <c r="K16" s="47">
        <v>-2.8313994</v>
      </c>
      <c r="L16" s="47">
        <v>-1.4378249999999999</v>
      </c>
      <c r="M16" s="47">
        <v>-8.0446240000000007</v>
      </c>
      <c r="N16" s="47">
        <v>-6.0611962999999998E-2</v>
      </c>
    </row>
    <row r="17" spans="1:14" x14ac:dyDescent="0.35">
      <c r="A17" s="2">
        <v>42384</v>
      </c>
      <c r="B17" s="40">
        <v>-11.685556</v>
      </c>
      <c r="C17" s="40">
        <v>-22.480297</v>
      </c>
      <c r="D17" s="40">
        <v>-27.594691999999998</v>
      </c>
      <c r="E17" s="40">
        <v>-11.127215</v>
      </c>
      <c r="F17" s="40">
        <v>0.65076350000000005</v>
      </c>
      <c r="G17" s="40">
        <v>-11.074763000000001</v>
      </c>
      <c r="H17" s="40">
        <v>-13.99728</v>
      </c>
      <c r="I17" s="40">
        <v>2.2286057000000001</v>
      </c>
      <c r="J17" s="40">
        <v>-3.6683620000000001</v>
      </c>
      <c r="K17" s="47">
        <v>-6.1715783999999996</v>
      </c>
      <c r="L17" s="47">
        <v>-3.3403575000000001</v>
      </c>
      <c r="M17" s="47">
        <v>-11.108625</v>
      </c>
      <c r="N17" s="47">
        <v>-2.0261049999999998</v>
      </c>
    </row>
    <row r="18" spans="1:14" x14ac:dyDescent="0.35">
      <c r="A18" s="2">
        <v>42418</v>
      </c>
      <c r="B18" s="40">
        <v>-7.2942140000000002</v>
      </c>
      <c r="C18" s="40">
        <v>-20.846748000000002</v>
      </c>
      <c r="D18" s="40">
        <v>-21.594370000000001</v>
      </c>
      <c r="E18" s="40">
        <v>-16.285658000000002</v>
      </c>
      <c r="F18" s="40">
        <v>-9.1962220000000006</v>
      </c>
      <c r="G18" s="40">
        <v>-11.186767</v>
      </c>
      <c r="H18" s="40">
        <v>-17.363900000000001</v>
      </c>
      <c r="I18" s="40">
        <v>-4.4738474000000004</v>
      </c>
      <c r="J18" s="40">
        <v>-6.6824254999999999</v>
      </c>
      <c r="K18" s="47">
        <v>-11.665857000000001</v>
      </c>
      <c r="L18" s="47">
        <v>-8.2536520000000007</v>
      </c>
      <c r="M18" s="47">
        <v>-14.983290999999999</v>
      </c>
      <c r="N18" s="47">
        <v>-21.975560000000002</v>
      </c>
    </row>
    <row r="19" spans="1:14" x14ac:dyDescent="0.35">
      <c r="A19" s="2">
        <v>42447</v>
      </c>
      <c r="B19" s="40">
        <v>1.738596</v>
      </c>
      <c r="C19" s="40">
        <v>-11.044926</v>
      </c>
      <c r="D19" s="40">
        <v>-11.970115</v>
      </c>
      <c r="E19" s="40">
        <v>-13.210660000000001</v>
      </c>
      <c r="F19" s="40">
        <v>-9.1215724999999992</v>
      </c>
      <c r="G19" s="40">
        <v>-9.4291739999999997</v>
      </c>
      <c r="H19" s="40">
        <v>-11.466354000000001</v>
      </c>
      <c r="I19" s="40">
        <v>0.80487730000000002</v>
      </c>
      <c r="J19" s="40">
        <v>-0.35851001999999998</v>
      </c>
      <c r="K19" s="47">
        <v>-4.7584590000000002</v>
      </c>
      <c r="L19" s="47">
        <v>-3.1541765000000002</v>
      </c>
      <c r="M19" s="47">
        <v>-9.9759340000000005</v>
      </c>
      <c r="N19" s="47">
        <v>-12.230289000000001</v>
      </c>
    </row>
    <row r="20" spans="1:14" x14ac:dyDescent="0.35">
      <c r="A20" s="2">
        <v>42478</v>
      </c>
      <c r="B20" s="40">
        <v>6.8019031999999999</v>
      </c>
      <c r="C20" s="40">
        <v>-8.9621779999999998</v>
      </c>
      <c r="D20" s="40">
        <v>-13.916421</v>
      </c>
      <c r="E20" s="40">
        <v>-9.687716</v>
      </c>
      <c r="F20" s="40">
        <v>-7.0271910000000002</v>
      </c>
      <c r="G20" s="40">
        <v>-9.1195819999999994</v>
      </c>
      <c r="H20" s="40">
        <v>-11.083209999999999</v>
      </c>
      <c r="I20" s="40">
        <v>6.0679316999999999</v>
      </c>
      <c r="J20" s="40">
        <v>2.7870773999999998</v>
      </c>
      <c r="K20" s="47">
        <v>-5.5924177000000004</v>
      </c>
      <c r="L20" s="47">
        <v>-1.0959327000000001</v>
      </c>
      <c r="M20" s="47">
        <v>-6.3367899999999997</v>
      </c>
      <c r="N20" s="47">
        <v>-15.045381000000001</v>
      </c>
    </row>
    <row r="21" spans="1:14" x14ac:dyDescent="0.35">
      <c r="A21" s="2">
        <v>42508</v>
      </c>
      <c r="B21" s="40">
        <v>9.5842120000000008</v>
      </c>
      <c r="C21" s="40">
        <v>-11.938786500000001</v>
      </c>
      <c r="D21" s="40">
        <v>-13.906294000000001</v>
      </c>
      <c r="E21" s="40">
        <v>-15.365176999999999</v>
      </c>
      <c r="F21" s="40">
        <v>-11.217767</v>
      </c>
      <c r="G21" s="40">
        <v>-14.347351</v>
      </c>
      <c r="H21" s="40">
        <v>-15.778452</v>
      </c>
      <c r="I21" s="40">
        <v>-2.7675152000000001</v>
      </c>
      <c r="J21" s="40">
        <v>-1.7722785000000001</v>
      </c>
      <c r="K21" s="47">
        <v>-11.731839000000001</v>
      </c>
      <c r="L21" s="47">
        <v>-9.2134060000000009</v>
      </c>
      <c r="M21" s="47">
        <v>-13.832914000000001</v>
      </c>
      <c r="N21" s="47">
        <v>-24.331284</v>
      </c>
    </row>
    <row r="22" spans="1:14" x14ac:dyDescent="0.35">
      <c r="A22" s="2">
        <v>42538</v>
      </c>
      <c r="B22" s="40">
        <v>20.758914999999998</v>
      </c>
      <c r="C22" s="40">
        <v>-9.4929640000000006</v>
      </c>
      <c r="D22" s="40">
        <v>-9.4640199999999997</v>
      </c>
      <c r="E22" s="40">
        <v>-11.597597</v>
      </c>
      <c r="F22" s="40">
        <v>-9.8106150000000003</v>
      </c>
      <c r="G22" s="40">
        <v>-10.841232</v>
      </c>
      <c r="H22" s="40">
        <v>-15.396922999999999</v>
      </c>
      <c r="I22" s="40">
        <v>-1.0625899000000001</v>
      </c>
      <c r="J22" s="40">
        <v>0.70261954999999998</v>
      </c>
      <c r="K22" s="47">
        <v>-8.8160570000000007</v>
      </c>
      <c r="L22" s="47">
        <v>-8.5358619999999998</v>
      </c>
      <c r="M22" s="47">
        <v>-13.97242</v>
      </c>
      <c r="N22" s="47">
        <v>-21.443718000000001</v>
      </c>
    </row>
    <row r="23" spans="1:14" x14ac:dyDescent="0.35">
      <c r="A23" s="2">
        <v>42569</v>
      </c>
      <c r="B23" s="40">
        <v>34.172130000000003</v>
      </c>
      <c r="C23" s="40">
        <v>1.4753342</v>
      </c>
      <c r="D23" s="40">
        <v>0.11188984</v>
      </c>
      <c r="E23" s="40">
        <v>-12.192743999999999</v>
      </c>
      <c r="F23" s="40">
        <v>-6.8420649999999998</v>
      </c>
      <c r="G23" s="40">
        <v>-10.544986</v>
      </c>
      <c r="H23" s="40">
        <v>-13.406122</v>
      </c>
      <c r="I23" s="40">
        <v>0.19359588999999999</v>
      </c>
      <c r="J23" s="40">
        <v>4.0775775999999997</v>
      </c>
      <c r="K23" s="47">
        <v>-10.217237000000001</v>
      </c>
      <c r="L23" s="47">
        <v>-9.2542059999999999</v>
      </c>
      <c r="M23" s="47">
        <v>-11.152958999999999</v>
      </c>
      <c r="N23" s="47">
        <v>-26.209194</v>
      </c>
    </row>
    <row r="24" spans="1:14" x14ac:dyDescent="0.35">
      <c r="A24" s="2">
        <v>42600</v>
      </c>
      <c r="B24" s="40">
        <v>45.346404999999997</v>
      </c>
      <c r="C24" s="40">
        <v>11.1294985</v>
      </c>
      <c r="D24" s="40">
        <v>6.2430380000000003</v>
      </c>
      <c r="E24" s="40">
        <v>-0.40082931999999999</v>
      </c>
      <c r="F24" s="40">
        <v>-2.6569604999999998</v>
      </c>
      <c r="G24" s="40">
        <v>-4.8594713</v>
      </c>
      <c r="H24" s="40">
        <v>-8.2206840000000003</v>
      </c>
      <c r="I24" s="40">
        <v>6.9939612999999996</v>
      </c>
      <c r="J24" s="40">
        <v>6.5094113</v>
      </c>
      <c r="K24" s="47">
        <v>-5.0194859999999997</v>
      </c>
      <c r="L24" s="47">
        <v>-1.5373588</v>
      </c>
      <c r="M24" s="47">
        <v>-4.4332560000000001</v>
      </c>
      <c r="N24" s="47">
        <v>-24.616444000000001</v>
      </c>
    </row>
    <row r="25" spans="1:14" x14ac:dyDescent="0.35">
      <c r="A25" s="2">
        <v>42629</v>
      </c>
      <c r="B25" s="40">
        <v>46.312080000000002</v>
      </c>
      <c r="C25" s="40">
        <v>9.1591950000000004</v>
      </c>
      <c r="D25" s="40">
        <v>5.3344845999999997</v>
      </c>
      <c r="E25" s="40">
        <v>-1.6178786999999999</v>
      </c>
      <c r="F25" s="40">
        <v>3.1483053999999999</v>
      </c>
      <c r="G25" s="40">
        <v>-3.7422537999999999</v>
      </c>
      <c r="H25" s="40">
        <v>-6.2521990000000001</v>
      </c>
      <c r="I25" s="40">
        <v>11.038100999999999</v>
      </c>
      <c r="J25" s="40">
        <v>9.4735150000000008</v>
      </c>
      <c r="K25" s="47">
        <v>-4.1632594999999997</v>
      </c>
      <c r="L25" s="47">
        <v>0.98258257000000004</v>
      </c>
      <c r="M25" s="47">
        <v>-4.0771540000000002</v>
      </c>
      <c r="N25" s="47">
        <v>-25.625664</v>
      </c>
    </row>
    <row r="26" spans="1:14" x14ac:dyDescent="0.35">
      <c r="A26" s="2">
        <v>42661</v>
      </c>
      <c r="B26" s="40">
        <v>25.996983</v>
      </c>
      <c r="C26" s="40">
        <v>11.335003</v>
      </c>
      <c r="D26" s="40">
        <v>6.2495589999999996</v>
      </c>
      <c r="E26" s="40">
        <v>1.0637163999999999</v>
      </c>
      <c r="F26" s="40">
        <v>3.2734513000000001</v>
      </c>
      <c r="G26" s="40">
        <v>-4.9720407</v>
      </c>
      <c r="H26" s="40">
        <v>-9.9428540000000005</v>
      </c>
      <c r="I26" s="40">
        <v>10.242677</v>
      </c>
      <c r="J26" s="40">
        <v>7.4132204000000002</v>
      </c>
      <c r="K26" s="47">
        <v>-4.3542623999999996</v>
      </c>
      <c r="L26" s="47">
        <v>0.55185556000000002</v>
      </c>
      <c r="M26" s="47">
        <v>-2.2953570000000001</v>
      </c>
      <c r="N26" s="47">
        <v>-24.741202999999999</v>
      </c>
    </row>
    <row r="27" spans="1:14" x14ac:dyDescent="0.35">
      <c r="A27" s="2">
        <v>42692</v>
      </c>
      <c r="B27" s="40">
        <v>24.122059</v>
      </c>
      <c r="C27" s="40">
        <v>11.485779000000001</v>
      </c>
      <c r="D27" s="40">
        <v>11.970340999999999</v>
      </c>
      <c r="E27" s="40">
        <v>-4.6288786000000002</v>
      </c>
      <c r="F27" s="40">
        <v>-0.19043684</v>
      </c>
      <c r="G27" s="40">
        <v>-5.8245125</v>
      </c>
      <c r="H27" s="40">
        <v>-9.8789510000000007</v>
      </c>
      <c r="I27" s="40">
        <v>4.4163345999999999</v>
      </c>
      <c r="J27" s="40">
        <v>6.9480060000000003</v>
      </c>
      <c r="K27" s="47">
        <v>-5.8722972999999996</v>
      </c>
      <c r="L27" s="47">
        <v>-3.4497439999999999</v>
      </c>
      <c r="M27" s="47">
        <v>-5.2154119999999997</v>
      </c>
      <c r="N27" s="47">
        <v>-24.031459999999999</v>
      </c>
    </row>
    <row r="28" spans="1:14" x14ac:dyDescent="0.35">
      <c r="A28" s="2">
        <v>42720</v>
      </c>
      <c r="B28" s="40">
        <v>13.190007</v>
      </c>
      <c r="C28" s="40">
        <v>14.982498</v>
      </c>
      <c r="D28" s="40">
        <v>22.752618999999999</v>
      </c>
      <c r="E28" s="40">
        <v>1.0761023000000001</v>
      </c>
      <c r="F28" s="40">
        <v>2.8404950000000002</v>
      </c>
      <c r="G28" s="40">
        <v>-4.4248104000000001</v>
      </c>
      <c r="H28" s="40">
        <v>-1.5744864999999999</v>
      </c>
      <c r="I28" s="40">
        <v>6.4336180000000001</v>
      </c>
      <c r="J28" s="40">
        <v>11.17239</v>
      </c>
      <c r="K28" s="47">
        <v>1.2059689</v>
      </c>
      <c r="L28" s="47">
        <v>0.97496510000000003</v>
      </c>
      <c r="M28" s="47">
        <v>0.75768230000000003</v>
      </c>
      <c r="N28" s="47">
        <v>-12.321388000000001</v>
      </c>
    </row>
    <row r="29" spans="1:14" x14ac:dyDescent="0.35">
      <c r="A29" s="2">
        <v>42753</v>
      </c>
      <c r="B29" s="40">
        <v>27.926624</v>
      </c>
      <c r="C29" s="40">
        <v>35.849144000000003</v>
      </c>
      <c r="D29" s="40">
        <v>43.337395000000001</v>
      </c>
      <c r="E29" s="40">
        <v>17.858791</v>
      </c>
      <c r="F29" s="40">
        <v>14.773989</v>
      </c>
      <c r="G29" s="40">
        <v>8.7245229999999996</v>
      </c>
      <c r="H29" s="40">
        <v>11.875057</v>
      </c>
      <c r="I29" s="40">
        <v>23.378159</v>
      </c>
      <c r="J29" s="40">
        <v>23.330127999999998</v>
      </c>
      <c r="K29" s="47">
        <v>16.589428000000002</v>
      </c>
      <c r="L29" s="47">
        <v>14.803219</v>
      </c>
      <c r="M29" s="47">
        <v>16.621016999999998</v>
      </c>
      <c r="N29" s="47">
        <v>2.1294116999999999</v>
      </c>
    </row>
    <row r="30" spans="1:14" x14ac:dyDescent="0.35">
      <c r="A30" s="2">
        <v>42783</v>
      </c>
      <c r="B30" s="40">
        <v>25.510764999999999</v>
      </c>
      <c r="C30" s="40">
        <v>31.582021999999998</v>
      </c>
      <c r="D30" s="40">
        <v>31.231451</v>
      </c>
      <c r="E30" s="40">
        <v>17.873466000000001</v>
      </c>
      <c r="F30" s="40">
        <v>19.947970000000002</v>
      </c>
      <c r="G30" s="40">
        <v>11.098862</v>
      </c>
      <c r="H30" s="40">
        <v>9.2552780000000006</v>
      </c>
      <c r="I30" s="40">
        <v>28.058682999999998</v>
      </c>
      <c r="J30" s="40">
        <v>24.505222</v>
      </c>
      <c r="K30" s="47">
        <v>12.379289</v>
      </c>
      <c r="L30" s="47">
        <v>16.661894</v>
      </c>
      <c r="M30" s="47">
        <v>15.342843999999999</v>
      </c>
      <c r="N30" s="47">
        <v>6.9940566999999998</v>
      </c>
    </row>
    <row r="31" spans="1:14" x14ac:dyDescent="0.35">
      <c r="A31" s="2">
        <v>42811</v>
      </c>
      <c r="B31" s="40">
        <v>11.342250999999999</v>
      </c>
      <c r="C31" s="40">
        <v>17.446135999999999</v>
      </c>
      <c r="D31" s="40">
        <v>13.532781999999999</v>
      </c>
      <c r="E31" s="40">
        <v>14.113498</v>
      </c>
      <c r="F31" s="40">
        <v>14.999998</v>
      </c>
      <c r="G31" s="40">
        <v>10.726333</v>
      </c>
      <c r="H31" s="40">
        <v>6.36158</v>
      </c>
      <c r="I31" s="40">
        <v>24.105633000000001</v>
      </c>
      <c r="J31" s="40">
        <v>18.840205999999998</v>
      </c>
      <c r="K31" s="47">
        <v>10.342598000000001</v>
      </c>
      <c r="L31" s="47">
        <v>12.363982</v>
      </c>
      <c r="M31" s="47">
        <v>11.540043000000001</v>
      </c>
      <c r="N31" s="47">
        <v>5.2064656999999999</v>
      </c>
    </row>
    <row r="32" spans="1:14" x14ac:dyDescent="0.35">
      <c r="A32" s="2">
        <v>42843</v>
      </c>
      <c r="B32" s="40">
        <v>5.8417915999999996</v>
      </c>
      <c r="C32" s="40">
        <v>15.147840499999999</v>
      </c>
      <c r="D32" s="40">
        <v>11.585772</v>
      </c>
      <c r="E32" s="40">
        <v>10.948288</v>
      </c>
      <c r="F32" s="40">
        <v>9.5143319999999996</v>
      </c>
      <c r="G32" s="40">
        <v>7.0064425000000004</v>
      </c>
      <c r="H32" s="40">
        <v>4.7882319999999998</v>
      </c>
      <c r="I32" s="40">
        <v>19.239735</v>
      </c>
      <c r="J32" s="40">
        <v>14.087009</v>
      </c>
      <c r="K32" s="47">
        <v>8.4135650000000002</v>
      </c>
      <c r="L32" s="47">
        <v>10.522413</v>
      </c>
      <c r="M32" s="47">
        <v>6.6859602999999996</v>
      </c>
      <c r="N32" s="47">
        <v>3.5462498999999998</v>
      </c>
    </row>
    <row r="33" spans="1:14" x14ac:dyDescent="0.35">
      <c r="A33" s="2">
        <v>42873</v>
      </c>
      <c r="B33" s="40">
        <v>8.4733370000000008</v>
      </c>
      <c r="C33" s="40">
        <v>15.223253</v>
      </c>
      <c r="D33" s="40">
        <v>8.5739370000000008</v>
      </c>
      <c r="E33" s="40">
        <v>23.855877</v>
      </c>
      <c r="F33" s="40">
        <v>15.446662999999999</v>
      </c>
      <c r="G33" s="40">
        <v>17.788589999999999</v>
      </c>
      <c r="H33" s="40">
        <v>11.937761</v>
      </c>
      <c r="I33" s="40">
        <v>30.995536999999999</v>
      </c>
      <c r="J33" s="40">
        <v>17.941928999999998</v>
      </c>
      <c r="K33" s="47">
        <v>24.985481</v>
      </c>
      <c r="L33" s="47">
        <v>23.884284999999998</v>
      </c>
      <c r="M33" s="47">
        <v>20.359933999999999</v>
      </c>
      <c r="N33" s="47">
        <v>23.623812000000001</v>
      </c>
    </row>
    <row r="34" spans="1:14" x14ac:dyDescent="0.35">
      <c r="A34" s="2">
        <v>42902</v>
      </c>
      <c r="B34" s="40">
        <v>12.827586999999999</v>
      </c>
      <c r="C34" s="40">
        <v>21.768485999999999</v>
      </c>
      <c r="D34" s="40">
        <v>10.862278999999999</v>
      </c>
      <c r="E34" s="40">
        <v>29.606605999999999</v>
      </c>
      <c r="F34" s="40">
        <v>20.723175000000001</v>
      </c>
      <c r="G34" s="40">
        <v>20.656442999999999</v>
      </c>
      <c r="H34" s="40">
        <v>16.438652000000001</v>
      </c>
      <c r="I34" s="40">
        <v>29.538440000000001</v>
      </c>
      <c r="J34" s="40">
        <v>19.43853</v>
      </c>
      <c r="K34" s="47">
        <v>29.555225</v>
      </c>
      <c r="L34" s="47">
        <v>28.891635999999998</v>
      </c>
      <c r="M34" s="47">
        <v>27.272964000000002</v>
      </c>
      <c r="N34" s="47">
        <v>29.839753999999999</v>
      </c>
    </row>
    <row r="35" spans="1:14" x14ac:dyDescent="0.35">
      <c r="A35" s="2">
        <v>42934</v>
      </c>
      <c r="B35" s="40">
        <v>11.50198</v>
      </c>
      <c r="C35" s="40">
        <v>14.000201000000001</v>
      </c>
      <c r="D35" s="40">
        <v>10.498737999999999</v>
      </c>
      <c r="E35" s="40">
        <v>27.045334</v>
      </c>
      <c r="F35" s="40">
        <v>15.076363000000001</v>
      </c>
      <c r="G35" s="40">
        <v>18.62527</v>
      </c>
      <c r="H35" s="40">
        <v>12.552452000000001</v>
      </c>
      <c r="I35" s="40">
        <v>28.504694000000001</v>
      </c>
      <c r="J35" s="40">
        <v>15.828109</v>
      </c>
      <c r="K35" s="47">
        <v>28.924537999999998</v>
      </c>
      <c r="L35" s="47">
        <v>29.773129000000001</v>
      </c>
      <c r="M35" s="47">
        <v>27.046596999999998</v>
      </c>
      <c r="N35" s="47">
        <v>35.133994999999999</v>
      </c>
    </row>
    <row r="36" spans="1:14" x14ac:dyDescent="0.35">
      <c r="A36" s="2">
        <v>42965</v>
      </c>
      <c r="B36" s="40">
        <v>6.0790540000000002</v>
      </c>
      <c r="C36" s="40">
        <v>12.976158</v>
      </c>
      <c r="D36" s="40">
        <v>6.6421986000000004</v>
      </c>
      <c r="E36" s="40">
        <v>16.856574999999999</v>
      </c>
      <c r="F36" s="40">
        <v>12.415874499999999</v>
      </c>
      <c r="G36" s="40">
        <v>11.8316765</v>
      </c>
      <c r="H36" s="40">
        <v>7.5136539999999998</v>
      </c>
      <c r="I36" s="40">
        <v>21.655249999999999</v>
      </c>
      <c r="J36" s="40">
        <v>13.155723</v>
      </c>
      <c r="K36" s="47">
        <v>23.470973999999998</v>
      </c>
      <c r="L36" s="47">
        <v>25.603794000000001</v>
      </c>
      <c r="M36" s="47">
        <v>18.445004000000001</v>
      </c>
      <c r="N36" s="47">
        <v>36.208796999999997</v>
      </c>
    </row>
    <row r="37" spans="1:14" x14ac:dyDescent="0.35">
      <c r="A37" s="2">
        <v>42996</v>
      </c>
      <c r="B37" s="40">
        <v>6.3045499999999999</v>
      </c>
      <c r="C37" s="40">
        <v>21.050225999999999</v>
      </c>
      <c r="D37" s="40">
        <v>16.467213000000001</v>
      </c>
      <c r="E37" s="40">
        <v>28.277397000000001</v>
      </c>
      <c r="F37" s="40">
        <v>16.331900000000001</v>
      </c>
      <c r="G37" s="40">
        <v>18.283484999999999</v>
      </c>
      <c r="H37" s="40">
        <v>15.496027</v>
      </c>
      <c r="I37" s="40">
        <v>25.337564</v>
      </c>
      <c r="J37" s="40">
        <v>19.405591999999999</v>
      </c>
      <c r="K37" s="47">
        <v>33.236862000000002</v>
      </c>
      <c r="L37" s="47">
        <v>33.268210000000003</v>
      </c>
      <c r="M37" s="47">
        <v>27.501094999999999</v>
      </c>
      <c r="N37" s="47">
        <v>48.715972999999998</v>
      </c>
    </row>
    <row r="38" spans="1:14" x14ac:dyDescent="0.35">
      <c r="A38" s="2">
        <v>43026</v>
      </c>
      <c r="B38" s="40">
        <v>15.944874</v>
      </c>
      <c r="C38" s="40">
        <v>15.826214</v>
      </c>
      <c r="D38" s="40">
        <v>15.837049499999999</v>
      </c>
      <c r="E38" s="40">
        <v>29.595410999999999</v>
      </c>
      <c r="F38" s="40">
        <v>17.893578000000002</v>
      </c>
      <c r="G38" s="40">
        <v>20.68404</v>
      </c>
      <c r="H38" s="40">
        <v>19.719159999999999</v>
      </c>
      <c r="I38" s="40">
        <v>27.567958999999998</v>
      </c>
      <c r="J38" s="40">
        <v>22.080003999999999</v>
      </c>
      <c r="K38" s="47">
        <v>32.774044000000004</v>
      </c>
      <c r="L38" s="47">
        <v>33.402380000000001</v>
      </c>
      <c r="M38" s="47">
        <v>28.938245999999999</v>
      </c>
      <c r="N38" s="47">
        <v>42.239939999999997</v>
      </c>
    </row>
    <row r="39" spans="1:14" x14ac:dyDescent="0.35">
      <c r="A39" s="2">
        <v>43056</v>
      </c>
      <c r="B39" s="40">
        <v>14.290535</v>
      </c>
      <c r="C39" s="40">
        <v>17.554341999999998</v>
      </c>
      <c r="D39" s="40">
        <v>16.373873</v>
      </c>
      <c r="E39" s="40">
        <v>32.955300000000001</v>
      </c>
      <c r="F39" s="40">
        <v>19.188010999999999</v>
      </c>
      <c r="G39" s="40">
        <v>21.490514999999998</v>
      </c>
      <c r="H39" s="40">
        <v>19.000350000000001</v>
      </c>
      <c r="I39" s="40">
        <v>32.041943000000003</v>
      </c>
      <c r="J39" s="40">
        <v>20.133554</v>
      </c>
      <c r="K39" s="47">
        <v>34.146476999999997</v>
      </c>
      <c r="L39" s="47">
        <v>35.230614000000003</v>
      </c>
      <c r="M39" s="47">
        <v>28.140937999999998</v>
      </c>
      <c r="N39" s="47">
        <v>45.736156000000001</v>
      </c>
    </row>
    <row r="40" spans="1:14" x14ac:dyDescent="0.35">
      <c r="A40" s="2">
        <v>43087</v>
      </c>
      <c r="B40" s="40">
        <v>24.486637000000002</v>
      </c>
      <c r="C40" s="40">
        <v>18.857647</v>
      </c>
      <c r="D40" s="40">
        <v>11.789417</v>
      </c>
      <c r="E40" s="40">
        <v>30.902946</v>
      </c>
      <c r="F40" s="40">
        <v>23.156594999999999</v>
      </c>
      <c r="G40" s="40">
        <v>24.270105000000001</v>
      </c>
      <c r="H40" s="40">
        <v>19.25441</v>
      </c>
      <c r="I40" s="40">
        <v>33.852184000000001</v>
      </c>
      <c r="J40" s="40">
        <v>21.490742000000001</v>
      </c>
      <c r="K40" s="47">
        <v>31.306314</v>
      </c>
      <c r="L40" s="47">
        <v>36.564599999999999</v>
      </c>
      <c r="M40" s="47">
        <v>22.818231999999998</v>
      </c>
      <c r="N40" s="47">
        <v>32.598568</v>
      </c>
    </row>
    <row r="41" spans="1:14" x14ac:dyDescent="0.35">
      <c r="A41" s="2">
        <v>43118</v>
      </c>
      <c r="B41" s="40">
        <v>19.125319000000001</v>
      </c>
      <c r="C41" s="40">
        <v>16.619087</v>
      </c>
      <c r="D41" s="40">
        <v>15.573502</v>
      </c>
      <c r="E41" s="40">
        <v>31.046284</v>
      </c>
      <c r="F41" s="40">
        <v>27.740728000000001</v>
      </c>
      <c r="G41" s="40">
        <v>23.665714000000001</v>
      </c>
      <c r="H41" s="40">
        <v>24.222708000000001</v>
      </c>
      <c r="I41" s="40">
        <v>35.998629999999999</v>
      </c>
      <c r="J41" s="40">
        <v>25.492823000000001</v>
      </c>
      <c r="K41" s="47">
        <v>34.271442</v>
      </c>
      <c r="L41" s="47">
        <v>38.368583999999998</v>
      </c>
      <c r="M41" s="47">
        <v>26.961493999999998</v>
      </c>
      <c r="N41" s="47">
        <v>40.022216999999998</v>
      </c>
    </row>
    <row r="42" spans="1:14" x14ac:dyDescent="0.35">
      <c r="A42" s="2">
        <v>43147</v>
      </c>
      <c r="B42" s="40">
        <v>15.894151000000001</v>
      </c>
      <c r="C42" s="40">
        <v>8.0051179999999995</v>
      </c>
      <c r="D42" s="40">
        <v>3.6932706999999998</v>
      </c>
      <c r="E42" s="40">
        <v>23.059929</v>
      </c>
      <c r="F42" s="40">
        <v>21.851275999999999</v>
      </c>
      <c r="G42" s="40">
        <v>18.256509999999999</v>
      </c>
      <c r="H42" s="40">
        <v>15.814947999999999</v>
      </c>
      <c r="I42" s="40">
        <v>28.792942</v>
      </c>
      <c r="J42" s="40">
        <v>18.612814</v>
      </c>
      <c r="K42" s="47">
        <v>29.562653000000001</v>
      </c>
      <c r="L42" s="47">
        <v>29.565833999999999</v>
      </c>
      <c r="M42" s="47">
        <v>16.028058999999999</v>
      </c>
      <c r="N42" s="47">
        <v>40.240893999999997</v>
      </c>
    </row>
    <row r="43" spans="1:14" x14ac:dyDescent="0.35">
      <c r="A43" s="2">
        <v>43175</v>
      </c>
      <c r="B43" s="40">
        <v>23.003053999999999</v>
      </c>
      <c r="C43" s="40">
        <v>6.2077520000000002</v>
      </c>
      <c r="D43" s="40">
        <v>5.1563499999999998</v>
      </c>
      <c r="E43" s="40">
        <v>17.056633000000001</v>
      </c>
      <c r="F43" s="40">
        <v>19.028711000000001</v>
      </c>
      <c r="G43" s="40">
        <v>11.05566</v>
      </c>
      <c r="H43" s="40">
        <v>11.670923</v>
      </c>
      <c r="I43" s="40">
        <v>30.732631999999999</v>
      </c>
      <c r="J43" s="40">
        <v>17.677475000000001</v>
      </c>
      <c r="K43" s="47">
        <v>24.492000000000001</v>
      </c>
      <c r="L43" s="47">
        <v>22.749638000000001</v>
      </c>
      <c r="M43" s="47">
        <v>12.890768</v>
      </c>
      <c r="N43" s="47">
        <v>30.625105000000001</v>
      </c>
    </row>
    <row r="44" spans="1:14" x14ac:dyDescent="0.35">
      <c r="A44" s="2">
        <v>43208</v>
      </c>
      <c r="B44" s="40">
        <v>20.048438999999998</v>
      </c>
      <c r="C44" s="40">
        <v>6.5027356000000003</v>
      </c>
      <c r="D44" s="40">
        <v>8.1363199999999996</v>
      </c>
      <c r="E44" s="40">
        <v>20.692146000000001</v>
      </c>
      <c r="F44" s="40">
        <v>21.288181000000002</v>
      </c>
      <c r="G44" s="40">
        <v>10.692156000000001</v>
      </c>
      <c r="H44" s="40">
        <v>16.88466</v>
      </c>
      <c r="I44" s="40">
        <v>27.884542</v>
      </c>
      <c r="J44" s="40">
        <v>17.816220999999999</v>
      </c>
      <c r="K44" s="47">
        <v>29.020499999999998</v>
      </c>
      <c r="L44" s="47">
        <v>25.431059999999999</v>
      </c>
      <c r="M44" s="47">
        <v>12.126923</v>
      </c>
      <c r="N44" s="47">
        <v>41.781820000000003</v>
      </c>
    </row>
    <row r="45" spans="1:14" x14ac:dyDescent="0.35">
      <c r="A45" s="2">
        <v>43238</v>
      </c>
      <c r="B45" s="40">
        <v>16.047550000000001</v>
      </c>
      <c r="C45" s="40">
        <v>10.559726</v>
      </c>
      <c r="D45" s="40">
        <v>15.291035000000001</v>
      </c>
      <c r="E45" s="40">
        <v>9.712529</v>
      </c>
      <c r="F45" s="40">
        <v>17.473293000000002</v>
      </c>
      <c r="G45" s="40">
        <v>2.2868395000000001</v>
      </c>
      <c r="H45" s="40">
        <v>11.607360999999999</v>
      </c>
      <c r="I45" s="40">
        <v>23.062574000000001</v>
      </c>
      <c r="J45" s="40">
        <v>16.777742</v>
      </c>
      <c r="K45" s="47">
        <v>15.136218</v>
      </c>
      <c r="L45" s="47">
        <v>12.076961499999999</v>
      </c>
      <c r="M45" s="47">
        <v>5.6537867000000004</v>
      </c>
      <c r="N45" s="47">
        <v>16.684639000000001</v>
      </c>
    </row>
    <row r="46" spans="1:14" x14ac:dyDescent="0.35">
      <c r="A46" s="2">
        <v>43269</v>
      </c>
      <c r="B46" s="40">
        <v>12.780523000000001</v>
      </c>
      <c r="C46" s="40">
        <v>7.1723699999999999</v>
      </c>
      <c r="D46" s="40">
        <v>10.846876999999999</v>
      </c>
      <c r="E46" s="40">
        <v>4.5284032999999999</v>
      </c>
      <c r="F46" s="40">
        <v>11.8951435</v>
      </c>
      <c r="G46" s="40">
        <v>-2.3831129999999998</v>
      </c>
      <c r="H46" s="40">
        <v>8.8921790000000005</v>
      </c>
      <c r="I46" s="40">
        <v>28.79374</v>
      </c>
      <c r="J46" s="40">
        <v>16.105032000000001</v>
      </c>
      <c r="K46" s="47">
        <v>10.935211000000001</v>
      </c>
      <c r="L46" s="47">
        <v>9.9524860000000004</v>
      </c>
      <c r="M46" s="47">
        <v>-1.5074133999999999</v>
      </c>
      <c r="N46" s="47">
        <v>9.5289710000000003</v>
      </c>
    </row>
    <row r="47" spans="1:14" x14ac:dyDescent="0.35">
      <c r="A47" s="2">
        <v>43299</v>
      </c>
      <c r="B47" s="40">
        <v>6.4453125</v>
      </c>
      <c r="C47" s="40">
        <v>6.6730856999999997</v>
      </c>
      <c r="D47" s="40">
        <v>7.0519447</v>
      </c>
      <c r="E47" s="40">
        <v>3.3392189999999999</v>
      </c>
      <c r="F47" s="40">
        <v>9.2977290000000004</v>
      </c>
      <c r="G47" s="40">
        <v>-0.68556665999999999</v>
      </c>
      <c r="H47" s="40">
        <v>6.9370865999999998</v>
      </c>
      <c r="I47" s="40">
        <v>26.719498000000002</v>
      </c>
      <c r="J47" s="40">
        <v>16.543662999999999</v>
      </c>
      <c r="K47" s="47">
        <v>9.3747849999999993</v>
      </c>
      <c r="L47" s="47">
        <v>8.3020209999999999</v>
      </c>
      <c r="M47" s="47">
        <v>-4.0535690000000004</v>
      </c>
      <c r="N47" s="47">
        <v>4.2245270000000001</v>
      </c>
    </row>
    <row r="48" spans="1:14" x14ac:dyDescent="0.35">
      <c r="A48" s="2">
        <v>43329</v>
      </c>
      <c r="B48" s="40">
        <v>5.3826213000000003</v>
      </c>
      <c r="C48" s="40">
        <v>6.7878603999999996</v>
      </c>
      <c r="D48" s="40">
        <v>8.5729959999999998</v>
      </c>
      <c r="E48" s="40">
        <v>-0.86516740000000003</v>
      </c>
      <c r="F48" s="40">
        <v>7.0357560000000001</v>
      </c>
      <c r="G48" s="40">
        <v>2.4774910000000001</v>
      </c>
      <c r="H48" s="40">
        <v>5.0339700000000001</v>
      </c>
      <c r="I48" s="40">
        <v>28.292477000000002</v>
      </c>
      <c r="J48" s="40">
        <v>19.451962999999999</v>
      </c>
      <c r="K48" s="47">
        <v>5.6811449999999999</v>
      </c>
      <c r="L48" s="47">
        <v>1.7982959999999999</v>
      </c>
      <c r="M48" s="47">
        <v>-1.9781648999999999</v>
      </c>
      <c r="N48" s="47">
        <v>-6.4140139999999999</v>
      </c>
    </row>
    <row r="49" spans="1:14" x14ac:dyDescent="0.35">
      <c r="A49" s="2">
        <v>43361</v>
      </c>
      <c r="B49" s="40">
        <v>8.8709349999999993</v>
      </c>
      <c r="C49" s="40">
        <v>1.2632847</v>
      </c>
      <c r="D49" s="40">
        <v>3.2314777000000001</v>
      </c>
      <c r="E49" s="40">
        <v>-4.2678536999999999</v>
      </c>
      <c r="F49" s="40">
        <v>9.3363999999999994</v>
      </c>
      <c r="G49" s="40">
        <v>2.5665521999999998</v>
      </c>
      <c r="H49" s="40">
        <v>1.0815859000000001</v>
      </c>
      <c r="I49" s="40">
        <v>26.359521999999998</v>
      </c>
      <c r="J49" s="40">
        <v>18.081844</v>
      </c>
      <c r="K49" s="47">
        <v>3.7383318000000001</v>
      </c>
      <c r="L49" s="47">
        <v>-1.1846304000000001</v>
      </c>
      <c r="M49" s="47">
        <v>-4.2521057000000004</v>
      </c>
      <c r="N49" s="47">
        <v>-5.7903824000000004</v>
      </c>
    </row>
    <row r="50" spans="1:14" x14ac:dyDescent="0.35">
      <c r="A50" s="2">
        <v>43391</v>
      </c>
      <c r="B50" s="40">
        <v>-0.21230578</v>
      </c>
      <c r="C50" s="40">
        <v>-6.2202573000000001</v>
      </c>
      <c r="D50" s="40">
        <v>-5.5157126999999999</v>
      </c>
      <c r="E50" s="40">
        <v>-13.523793</v>
      </c>
      <c r="F50" s="40">
        <v>-0.28779506999999999</v>
      </c>
      <c r="G50" s="40">
        <v>-5.0206900000000001</v>
      </c>
      <c r="H50" s="40">
        <v>-5.1051197000000004</v>
      </c>
      <c r="I50" s="40">
        <v>17.232168000000001</v>
      </c>
      <c r="J50" s="40">
        <v>10.056018999999999</v>
      </c>
      <c r="K50" s="47">
        <v>-5.0604285999999998</v>
      </c>
      <c r="L50" s="47">
        <v>-9.3679070000000007</v>
      </c>
      <c r="M50" s="47">
        <v>-11.665165</v>
      </c>
      <c r="N50" s="47">
        <v>-15.702367000000001</v>
      </c>
    </row>
    <row r="51" spans="1:14" x14ac:dyDescent="0.35">
      <c r="A51" s="2">
        <v>43420</v>
      </c>
      <c r="B51" s="40">
        <v>10.682285</v>
      </c>
      <c r="C51" s="40">
        <v>-3.8158774000000002</v>
      </c>
      <c r="D51" s="40">
        <v>-5.9004126000000001</v>
      </c>
      <c r="E51" s="40">
        <v>-14.788002000000001</v>
      </c>
      <c r="F51" s="40">
        <v>-5.9040840000000001</v>
      </c>
      <c r="G51" s="40">
        <v>-1.3877212999999999</v>
      </c>
      <c r="H51" s="40">
        <v>-3.8719296000000001</v>
      </c>
      <c r="I51" s="40">
        <v>9.2196940000000005</v>
      </c>
      <c r="J51" s="40">
        <v>7.7707290000000002</v>
      </c>
      <c r="K51" s="47">
        <v>-5.6000889999999997</v>
      </c>
      <c r="L51" s="47">
        <v>-6.7040563000000004</v>
      </c>
      <c r="M51" s="47">
        <v>-10.933738999999999</v>
      </c>
      <c r="N51" s="47">
        <v>-14.491522</v>
      </c>
    </row>
    <row r="52" spans="1:14" x14ac:dyDescent="0.35">
      <c r="A52" s="2">
        <v>43452</v>
      </c>
      <c r="B52" s="40">
        <v>1.893723</v>
      </c>
      <c r="C52" s="40">
        <v>-10.12814</v>
      </c>
      <c r="D52" s="40">
        <v>-13.060409</v>
      </c>
      <c r="E52" s="40">
        <v>-21.877945</v>
      </c>
      <c r="F52" s="40">
        <v>-11.821413</v>
      </c>
      <c r="G52" s="40">
        <v>-9.0396640000000001</v>
      </c>
      <c r="H52" s="40">
        <v>-12.987995</v>
      </c>
      <c r="I52" s="40">
        <v>0.4207611</v>
      </c>
      <c r="J52" s="40">
        <v>-3.6478043000000002</v>
      </c>
      <c r="K52" s="47">
        <v>-12.496257</v>
      </c>
      <c r="L52" s="47">
        <v>-13.736052000000001</v>
      </c>
      <c r="M52" s="47">
        <v>-12.993235</v>
      </c>
      <c r="N52" s="47">
        <v>-16.220648000000001</v>
      </c>
    </row>
    <row r="53" spans="1:14" x14ac:dyDescent="0.35">
      <c r="A53" s="2">
        <v>43483</v>
      </c>
      <c r="B53" s="40">
        <v>3.3406376999999998</v>
      </c>
      <c r="C53" s="40">
        <v>-7.6987386000000004</v>
      </c>
      <c r="D53" s="40">
        <v>-10.434514</v>
      </c>
      <c r="E53" s="40">
        <v>-21.56551</v>
      </c>
      <c r="F53" s="40">
        <v>-13.294422000000001</v>
      </c>
      <c r="G53" s="40">
        <v>-6.6663265000000003</v>
      </c>
      <c r="H53" s="40">
        <v>-13.025451</v>
      </c>
      <c r="I53" s="40">
        <v>0.50828457000000005</v>
      </c>
      <c r="J53" s="40">
        <v>-2.7171789999999998</v>
      </c>
      <c r="K53" s="47">
        <v>-15.058522999999999</v>
      </c>
      <c r="L53" s="47">
        <v>-16.070097000000001</v>
      </c>
      <c r="M53" s="47">
        <v>-14.101611999999999</v>
      </c>
      <c r="N53" s="47">
        <v>-19.67408</v>
      </c>
    </row>
    <row r="54" spans="1:14" x14ac:dyDescent="0.35">
      <c r="A54" s="2">
        <v>43511</v>
      </c>
      <c r="B54" s="40">
        <v>7.3292016999999996</v>
      </c>
      <c r="C54" s="40">
        <v>-3.6608398000000002</v>
      </c>
      <c r="D54" s="40">
        <v>-1.0908008</v>
      </c>
      <c r="E54" s="40">
        <v>-17.686160000000001</v>
      </c>
      <c r="F54" s="40">
        <v>-8.7808309999999992</v>
      </c>
      <c r="G54" s="40">
        <v>-3.3263623999999998</v>
      </c>
      <c r="H54" s="40">
        <v>-5.4488300000000001</v>
      </c>
      <c r="I54" s="40">
        <v>4.6530246999999996</v>
      </c>
      <c r="J54" s="40">
        <v>3.5321832</v>
      </c>
      <c r="K54" s="47">
        <v>-8.435613</v>
      </c>
      <c r="L54" s="47">
        <v>-7.1129265000000004</v>
      </c>
      <c r="M54" s="47">
        <v>-8.9685020000000009</v>
      </c>
      <c r="N54" s="47">
        <v>-15.668732</v>
      </c>
    </row>
    <row r="55" spans="1:14" x14ac:dyDescent="0.35">
      <c r="A55" s="2">
        <v>43542</v>
      </c>
      <c r="B55" s="40">
        <v>6.7233442999999999</v>
      </c>
      <c r="C55" s="40">
        <v>7.7748300000000006E-2</v>
      </c>
      <c r="D55" s="40">
        <v>3.5556912000000001</v>
      </c>
      <c r="E55" s="40">
        <v>-13.373011999999999</v>
      </c>
      <c r="F55" s="40">
        <v>-8.8611009999999997</v>
      </c>
      <c r="G55" s="40">
        <v>3.8892983999999999</v>
      </c>
      <c r="H55" s="40">
        <v>0.83533524999999997</v>
      </c>
      <c r="I55" s="40">
        <v>5.4278373999999996</v>
      </c>
      <c r="J55" s="40">
        <v>4.9739719999999998</v>
      </c>
      <c r="K55" s="47">
        <v>-3.1034350000000002</v>
      </c>
      <c r="L55" s="47">
        <v>-4.4398426999999998</v>
      </c>
      <c r="M55" s="47">
        <v>-6.0932754999999998</v>
      </c>
      <c r="N55" s="47">
        <v>-10.817247</v>
      </c>
    </row>
    <row r="56" spans="1:14" x14ac:dyDescent="0.35">
      <c r="A56" s="2">
        <v>43573</v>
      </c>
      <c r="B56" s="40">
        <v>8.8264469999999999</v>
      </c>
      <c r="C56" s="40">
        <v>2.5232673000000001</v>
      </c>
      <c r="D56" s="40">
        <v>3.4927130000000002</v>
      </c>
      <c r="E56" s="40">
        <v>-12.290746</v>
      </c>
      <c r="F56" s="40">
        <v>-7.9028130000000001</v>
      </c>
      <c r="G56" s="40">
        <v>5.8181405000000002</v>
      </c>
      <c r="H56" s="40">
        <v>-3.1199574000000001</v>
      </c>
      <c r="I56" s="40">
        <v>13.568056</v>
      </c>
      <c r="J56" s="40">
        <v>9.3526600000000002</v>
      </c>
      <c r="K56" s="47">
        <v>-3.9040685000000002</v>
      </c>
      <c r="L56" s="47">
        <v>-3.2620369999999999</v>
      </c>
      <c r="M56" s="47">
        <v>1.3731122</v>
      </c>
      <c r="N56" s="47">
        <v>-13.536607999999999</v>
      </c>
    </row>
    <row r="57" spans="1:14" x14ac:dyDescent="0.35">
      <c r="A57" s="2">
        <v>43602</v>
      </c>
      <c r="B57" s="40">
        <v>12.359774</v>
      </c>
      <c r="C57" s="40">
        <v>-0.77948569999999995</v>
      </c>
      <c r="D57" s="40">
        <v>-1.8525301999999999</v>
      </c>
      <c r="E57" s="40">
        <v>-12.974083</v>
      </c>
      <c r="F57" s="40">
        <v>-10.840183</v>
      </c>
      <c r="G57" s="40">
        <v>7.2103619999999999</v>
      </c>
      <c r="H57" s="40">
        <v>-7.79739</v>
      </c>
      <c r="I57" s="40">
        <v>9.6861840000000008</v>
      </c>
      <c r="J57" s="40">
        <v>7.1347117000000004</v>
      </c>
      <c r="K57" s="47">
        <v>-6.363696</v>
      </c>
      <c r="L57" s="47">
        <v>-2.4794817</v>
      </c>
      <c r="M57" s="47">
        <v>-6.3725176000000001</v>
      </c>
      <c r="N57" s="47">
        <v>-12.9154625</v>
      </c>
    </row>
    <row r="58" spans="1:14" x14ac:dyDescent="0.35">
      <c r="A58" s="2">
        <v>43634</v>
      </c>
      <c r="B58" s="40">
        <v>5.5152416000000004</v>
      </c>
      <c r="C58" s="40">
        <v>4.8619029999999999</v>
      </c>
      <c r="D58" s="40">
        <v>1.3315916000000001</v>
      </c>
      <c r="E58" s="40">
        <v>-9.6690950000000004</v>
      </c>
      <c r="F58" s="40">
        <v>-7.5940075</v>
      </c>
      <c r="G58" s="40">
        <v>16.161024000000001</v>
      </c>
      <c r="H58" s="40">
        <v>-4.1544676000000003</v>
      </c>
      <c r="I58" s="40">
        <v>6.3070297000000002</v>
      </c>
      <c r="J58" s="40">
        <v>7.3081016999999999</v>
      </c>
      <c r="K58" s="47">
        <v>-1.0557532000000001</v>
      </c>
      <c r="L58" s="47">
        <v>-0.19162893</v>
      </c>
      <c r="M58" s="47">
        <v>-0.97269415999999997</v>
      </c>
      <c r="N58" s="47">
        <v>-3.7522435000000001</v>
      </c>
    </row>
    <row r="59" spans="1:14" x14ac:dyDescent="0.35">
      <c r="A59" s="2">
        <v>43664</v>
      </c>
      <c r="B59" s="40">
        <v>19.419098000000002</v>
      </c>
      <c r="C59" s="40">
        <v>5.9344052999999999</v>
      </c>
      <c r="D59" s="40">
        <v>2.9179096000000002</v>
      </c>
      <c r="E59" s="40">
        <v>-9.0834080000000004</v>
      </c>
      <c r="F59" s="40">
        <v>-4.3933390000000001</v>
      </c>
      <c r="G59" s="40">
        <v>14.6941185</v>
      </c>
      <c r="H59" s="40">
        <v>-2.6951491999999999</v>
      </c>
      <c r="I59" s="40">
        <v>7.8803299999999998</v>
      </c>
      <c r="J59" s="40">
        <v>8.4374540000000007</v>
      </c>
      <c r="K59" s="47">
        <v>0.32454729999999998</v>
      </c>
      <c r="L59" s="47">
        <v>2.0421385999999999</v>
      </c>
      <c r="M59" s="47">
        <v>8.1801414000000003E-2</v>
      </c>
      <c r="N59" s="47">
        <v>1.9358276999999999</v>
      </c>
    </row>
    <row r="60" spans="1:14" x14ac:dyDescent="0.35">
      <c r="A60" s="2">
        <v>43693</v>
      </c>
      <c r="B60" s="40">
        <v>14.179587</v>
      </c>
      <c r="C60" s="40">
        <v>-0.83835124999999999</v>
      </c>
      <c r="D60" s="40">
        <v>-0.45426487999999998</v>
      </c>
      <c r="E60" s="40">
        <v>-9.8950859999999992</v>
      </c>
      <c r="F60" s="40">
        <v>-4.7141549999999999</v>
      </c>
      <c r="G60" s="40">
        <v>11.431384</v>
      </c>
      <c r="H60" s="40">
        <v>-6.3761415000000001</v>
      </c>
      <c r="I60" s="40">
        <v>4.0530204999999997</v>
      </c>
      <c r="J60" s="40">
        <v>3.7090182</v>
      </c>
      <c r="K60" s="47">
        <v>-1.4402508999999999</v>
      </c>
      <c r="L60" s="47">
        <v>1.6623616000000001</v>
      </c>
      <c r="M60" s="47">
        <v>-6.6115139999999997</v>
      </c>
      <c r="N60" s="47">
        <v>-0.1401782</v>
      </c>
    </row>
    <row r="61" spans="1:14" x14ac:dyDescent="0.35">
      <c r="A61" s="2">
        <v>43726</v>
      </c>
      <c r="B61" s="40">
        <v>9.9090690000000006</v>
      </c>
      <c r="C61" s="40">
        <v>7.5614333</v>
      </c>
      <c r="D61" s="40">
        <v>3.3816457</v>
      </c>
      <c r="E61" s="40">
        <v>-6.3216029999999996</v>
      </c>
      <c r="F61" s="40">
        <v>-3.2282948</v>
      </c>
      <c r="G61" s="40">
        <v>10.029387</v>
      </c>
      <c r="H61" s="40">
        <v>-1.2978016999999999</v>
      </c>
      <c r="I61" s="40">
        <v>6.2185407000000001</v>
      </c>
      <c r="J61" s="40">
        <v>5.5616855999999997</v>
      </c>
      <c r="K61" s="47">
        <v>0.69185494999999997</v>
      </c>
      <c r="L61" s="47">
        <v>7.4321390000000003</v>
      </c>
      <c r="M61" s="47">
        <v>-3.3616006</v>
      </c>
      <c r="N61" s="47">
        <v>1.9697188999999999</v>
      </c>
    </row>
    <row r="62" spans="1:14" x14ac:dyDescent="0.35">
      <c r="A62" s="2">
        <v>43756</v>
      </c>
      <c r="B62" s="40">
        <v>21.161116</v>
      </c>
      <c r="C62" s="40">
        <v>14.220046999999999</v>
      </c>
      <c r="D62" s="40">
        <v>8.2391850000000009</v>
      </c>
      <c r="E62" s="40">
        <v>4.1496515</v>
      </c>
      <c r="F62" s="40">
        <v>3.2016277</v>
      </c>
      <c r="G62" s="40">
        <v>17.857037999999999</v>
      </c>
      <c r="H62" s="40">
        <v>5.0053476999999997</v>
      </c>
      <c r="I62" s="40">
        <v>11.684823</v>
      </c>
      <c r="J62" s="40">
        <v>9.9602810000000002</v>
      </c>
      <c r="K62" s="47">
        <v>9.3296050000000008</v>
      </c>
      <c r="L62" s="47">
        <v>16.788435</v>
      </c>
      <c r="M62" s="47">
        <v>6.2234043999999997</v>
      </c>
      <c r="N62" s="47">
        <v>18.34525</v>
      </c>
    </row>
    <row r="63" spans="1:14" x14ac:dyDescent="0.35">
      <c r="A63" s="2">
        <v>43787</v>
      </c>
      <c r="B63" s="40">
        <v>14.312053000000001</v>
      </c>
      <c r="C63" s="40">
        <v>14.653147000000001</v>
      </c>
      <c r="D63" s="40">
        <v>14.142871</v>
      </c>
      <c r="E63" s="40">
        <v>9.2561719999999994</v>
      </c>
      <c r="F63" s="40">
        <v>11.246133</v>
      </c>
      <c r="G63" s="40">
        <v>20.506119000000002</v>
      </c>
      <c r="H63" s="40">
        <v>8.2128409999999992</v>
      </c>
      <c r="I63" s="40">
        <v>22.327304999999999</v>
      </c>
      <c r="J63" s="40">
        <v>16.268301000000001</v>
      </c>
      <c r="K63" s="47">
        <v>15.765404999999999</v>
      </c>
      <c r="L63" s="47">
        <v>18.289555</v>
      </c>
      <c r="M63" s="47">
        <v>12.135458</v>
      </c>
      <c r="N63" s="47">
        <v>22.290040000000001</v>
      </c>
    </row>
    <row r="64" spans="1:14" x14ac:dyDescent="0.35">
      <c r="A64" s="2">
        <v>43817</v>
      </c>
      <c r="B64" s="40">
        <v>24.866724000000001</v>
      </c>
      <c r="C64" s="40">
        <v>21.98732</v>
      </c>
      <c r="D64" s="40">
        <v>23.543144000000002</v>
      </c>
      <c r="E64" s="40">
        <v>17.797543000000001</v>
      </c>
      <c r="F64" s="40">
        <v>17.027723000000002</v>
      </c>
      <c r="G64" s="40">
        <v>29.914712999999999</v>
      </c>
      <c r="H64" s="40">
        <v>20.436966000000002</v>
      </c>
      <c r="I64" s="40">
        <v>33.46584</v>
      </c>
      <c r="J64" s="40">
        <v>27.796257000000001</v>
      </c>
      <c r="K64" s="47">
        <v>24.12368</v>
      </c>
      <c r="L64" s="47">
        <v>28.228484999999999</v>
      </c>
      <c r="M64" s="47">
        <v>23.348951</v>
      </c>
      <c r="N64" s="47">
        <v>24.381805</v>
      </c>
    </row>
    <row r="65" spans="1:14" x14ac:dyDescent="0.35">
      <c r="A65" s="2">
        <v>43847</v>
      </c>
      <c r="B65" s="40">
        <v>25.592005</v>
      </c>
      <c r="C65" s="40">
        <v>19.416094000000001</v>
      </c>
      <c r="D65" s="40">
        <v>19.122886999999999</v>
      </c>
      <c r="E65" s="40">
        <v>17.367422000000001</v>
      </c>
      <c r="F65" s="40">
        <v>14.143551</v>
      </c>
      <c r="G65" s="40">
        <v>28.347946</v>
      </c>
      <c r="H65" s="40">
        <v>15.961539999999999</v>
      </c>
      <c r="I65" s="40">
        <v>37.638534999999997</v>
      </c>
      <c r="J65" s="40">
        <v>28.624248999999999</v>
      </c>
      <c r="K65" s="47">
        <v>25.320983999999999</v>
      </c>
      <c r="L65" s="47">
        <v>29.560576999999999</v>
      </c>
      <c r="M65" s="47">
        <v>20.021034</v>
      </c>
      <c r="N65" s="47">
        <v>21.176386000000001</v>
      </c>
    </row>
    <row r="66" spans="1:14" x14ac:dyDescent="0.35">
      <c r="A66" s="2">
        <v>43879</v>
      </c>
      <c r="B66" s="40">
        <v>19.017112999999998</v>
      </c>
      <c r="C66" s="40">
        <v>13.464176</v>
      </c>
      <c r="D66" s="40">
        <v>13.857735</v>
      </c>
      <c r="E66" s="40">
        <v>12.399101</v>
      </c>
      <c r="F66" s="40">
        <v>7.8965069999999997</v>
      </c>
      <c r="G66" s="40">
        <v>25.908863</v>
      </c>
      <c r="H66" s="40">
        <v>6.1110616000000002</v>
      </c>
      <c r="I66" s="40">
        <v>37.64181</v>
      </c>
      <c r="J66" s="40">
        <v>23.697865</v>
      </c>
      <c r="K66" s="47">
        <v>15.387165</v>
      </c>
      <c r="L66" s="47">
        <v>19.684649</v>
      </c>
      <c r="M66" s="47">
        <v>15.696037</v>
      </c>
      <c r="N66" s="47">
        <v>19.198619999999998</v>
      </c>
    </row>
    <row r="67" spans="1:14" x14ac:dyDescent="0.35">
      <c r="A67" s="2">
        <v>43908</v>
      </c>
      <c r="B67" s="40">
        <v>-16.824770000000001</v>
      </c>
      <c r="C67" s="40">
        <v>-33.642322999999998</v>
      </c>
      <c r="D67" s="40">
        <v>-31.902754000000002</v>
      </c>
      <c r="E67" s="40">
        <v>-32.883507000000002</v>
      </c>
      <c r="F67" s="40">
        <v>-16.792546999999999</v>
      </c>
      <c r="G67" s="40">
        <v>-9.438485</v>
      </c>
      <c r="H67" s="40">
        <v>-37.134326999999999</v>
      </c>
      <c r="I67" s="40">
        <v>-0.40339230999999998</v>
      </c>
      <c r="J67" s="40">
        <v>-13.762826</v>
      </c>
      <c r="K67" s="47">
        <v>-31.705278</v>
      </c>
      <c r="L67" s="47">
        <v>-23.890464999999999</v>
      </c>
      <c r="M67" s="47">
        <v>-25.051480999999999</v>
      </c>
      <c r="N67" s="47">
        <v>-31.255405</v>
      </c>
    </row>
    <row r="68" spans="1:14" x14ac:dyDescent="0.35">
      <c r="A68" s="2">
        <v>43938</v>
      </c>
      <c r="B68" s="40">
        <v>-2.3778320000000002</v>
      </c>
      <c r="C68" s="40">
        <v>-20.013003999999999</v>
      </c>
      <c r="D68" s="40">
        <v>-16.524607</v>
      </c>
      <c r="E68" s="40">
        <v>-17.290485</v>
      </c>
      <c r="F68" s="40">
        <v>-6.1146735999999997</v>
      </c>
      <c r="G68" s="40">
        <v>5.6458354000000002</v>
      </c>
      <c r="H68" s="40">
        <v>-23.566305</v>
      </c>
      <c r="I68" s="40">
        <v>16.01857</v>
      </c>
      <c r="J68" s="40">
        <v>1.0795474</v>
      </c>
      <c r="K68" s="47">
        <v>-19.731976</v>
      </c>
      <c r="L68" s="47">
        <v>-8.611637</v>
      </c>
      <c r="M68" s="47">
        <v>-14.797693000000001</v>
      </c>
      <c r="N68" s="47">
        <v>-25.149280000000001</v>
      </c>
    </row>
    <row r="69" spans="1:14" x14ac:dyDescent="0.35">
      <c r="A69" s="2">
        <v>43969</v>
      </c>
      <c r="B69" s="40">
        <v>2.1470069999999999</v>
      </c>
      <c r="C69" s="40">
        <v>-15.450870500000001</v>
      </c>
      <c r="D69" s="40">
        <v>-10.380703</v>
      </c>
      <c r="E69" s="40">
        <v>-11.910361</v>
      </c>
      <c r="F69" s="40">
        <v>0.79407689999999997</v>
      </c>
      <c r="G69" s="40">
        <v>6.0782312999999997</v>
      </c>
      <c r="H69" s="40">
        <v>-19.269556000000001</v>
      </c>
      <c r="I69" s="40">
        <v>25.312733000000001</v>
      </c>
      <c r="J69" s="40">
        <v>5.3413987000000001</v>
      </c>
      <c r="K69" s="47">
        <v>-16.324116</v>
      </c>
      <c r="L69" s="47">
        <v>-2.1006048000000002</v>
      </c>
      <c r="M69" s="47">
        <v>-3.9318203999999999</v>
      </c>
      <c r="N69" s="47">
        <v>-19.215869999999999</v>
      </c>
    </row>
    <row r="70" spans="1:14" x14ac:dyDescent="0.35">
      <c r="A70" s="2">
        <v>44000</v>
      </c>
      <c r="B70" s="40">
        <v>10.935152</v>
      </c>
      <c r="C70" s="40">
        <v>-9.4687219999999996</v>
      </c>
      <c r="D70" s="40">
        <v>-6.4163503999999998</v>
      </c>
      <c r="E70" s="40">
        <v>-0.57854055999999998</v>
      </c>
      <c r="F70" s="40">
        <v>6.3629150000000001</v>
      </c>
      <c r="G70" s="40">
        <v>7.8744529999999999</v>
      </c>
      <c r="H70" s="40">
        <v>-16.066234999999999</v>
      </c>
      <c r="I70" s="40">
        <v>32.163679999999999</v>
      </c>
      <c r="J70" s="40">
        <v>8.8356019999999997</v>
      </c>
      <c r="K70" s="47">
        <v>-8.6316469999999992</v>
      </c>
      <c r="L70" s="47">
        <v>8.2649589999999993</v>
      </c>
      <c r="M70" s="47">
        <v>4.3253303000000001</v>
      </c>
      <c r="N70" s="47">
        <v>-9.6061049999999994</v>
      </c>
    </row>
    <row r="71" spans="1:14" x14ac:dyDescent="0.35">
      <c r="A71" s="2">
        <v>44029</v>
      </c>
      <c r="B71" s="40">
        <v>8.7086919999999992</v>
      </c>
      <c r="C71" s="40">
        <v>-8.7230679999999996</v>
      </c>
      <c r="D71" s="40">
        <v>-4.7004403999999997</v>
      </c>
      <c r="E71" s="40">
        <v>5.9664010000000003</v>
      </c>
      <c r="F71" s="40">
        <v>4.7787547000000004</v>
      </c>
      <c r="G71" s="40">
        <v>11.2801075</v>
      </c>
      <c r="H71" s="40">
        <v>-14.137566</v>
      </c>
      <c r="I71" s="40">
        <v>36.060333</v>
      </c>
      <c r="J71" s="40">
        <v>10.242604999999999</v>
      </c>
      <c r="K71" s="47">
        <v>-4.6919227000000001</v>
      </c>
      <c r="L71" s="47">
        <v>11.530745</v>
      </c>
      <c r="M71" s="47">
        <v>14.498578999999999</v>
      </c>
      <c r="N71" s="47">
        <v>-6.7685310000000003</v>
      </c>
    </row>
    <row r="72" spans="1:14" x14ac:dyDescent="0.35">
      <c r="A72" s="2">
        <v>44061</v>
      </c>
      <c r="B72" s="40">
        <v>18.051220000000001</v>
      </c>
      <c r="C72" s="40">
        <v>1.7073512</v>
      </c>
      <c r="D72" s="40">
        <v>5.6042193999999999</v>
      </c>
      <c r="E72" s="40">
        <v>18.330658</v>
      </c>
      <c r="F72" s="40">
        <v>11.318314000000001</v>
      </c>
      <c r="G72" s="40">
        <v>15.099202999999999</v>
      </c>
      <c r="H72" s="40">
        <v>-6.3429174000000001</v>
      </c>
      <c r="I72" s="40">
        <v>51.071404000000001</v>
      </c>
      <c r="J72" s="40">
        <v>19.611930000000001</v>
      </c>
      <c r="K72" s="47">
        <v>2.6582599</v>
      </c>
      <c r="L72" s="47">
        <v>19.932853999999999</v>
      </c>
      <c r="M72" s="47">
        <v>30.602896000000001</v>
      </c>
      <c r="N72" s="47">
        <v>3.0582666000000001</v>
      </c>
    </row>
    <row r="73" spans="1:14" x14ac:dyDescent="0.35">
      <c r="A73" s="2">
        <v>44092</v>
      </c>
      <c r="B73" s="40">
        <v>16.261624999999999</v>
      </c>
      <c r="C73" s="40">
        <v>-7.2269144000000001</v>
      </c>
      <c r="D73" s="40">
        <v>-2.2992550999999999</v>
      </c>
      <c r="E73" s="40">
        <v>12.076497</v>
      </c>
      <c r="F73" s="40">
        <v>6.6793202999999997</v>
      </c>
      <c r="G73" s="40">
        <v>15.544451</v>
      </c>
      <c r="H73" s="40">
        <v>-14.435779999999999</v>
      </c>
      <c r="I73" s="40">
        <v>39.735042999999997</v>
      </c>
      <c r="J73" s="40">
        <v>12.492048</v>
      </c>
      <c r="K73" s="47">
        <v>-3.0591726000000001</v>
      </c>
      <c r="L73" s="47">
        <v>12.241173</v>
      </c>
      <c r="M73" s="47">
        <v>22.731280999999999</v>
      </c>
      <c r="N73" s="47">
        <v>-7.2433113999999996</v>
      </c>
    </row>
    <row r="74" spans="1:14" x14ac:dyDescent="0.35">
      <c r="A74" s="2">
        <v>44120</v>
      </c>
      <c r="B74" s="40">
        <v>18.294703999999999</v>
      </c>
      <c r="C74" s="40">
        <v>-3.7696838000000001</v>
      </c>
      <c r="D74" s="40">
        <v>1.0293007000000001</v>
      </c>
      <c r="E74" s="40">
        <v>7.4669239999999997</v>
      </c>
      <c r="F74" s="40">
        <v>4.2465925000000002</v>
      </c>
      <c r="G74" s="40">
        <v>11.950815</v>
      </c>
      <c r="H74" s="40">
        <v>-16.592162999999999</v>
      </c>
      <c r="I74" s="40">
        <v>50.573993999999999</v>
      </c>
      <c r="J74" s="40">
        <v>18.671821999999999</v>
      </c>
      <c r="K74" s="47">
        <v>-5.4467974000000003</v>
      </c>
      <c r="L74" s="47">
        <v>15.657722</v>
      </c>
      <c r="M74" s="47">
        <v>22.095537</v>
      </c>
      <c r="N74" s="47">
        <v>-10.757250000000001</v>
      </c>
    </row>
    <row r="75" spans="1:14" x14ac:dyDescent="0.35">
      <c r="A75" s="2">
        <v>44153</v>
      </c>
      <c r="B75" s="40">
        <v>25.167679</v>
      </c>
      <c r="C75" s="40">
        <v>2.8285502999999999</v>
      </c>
      <c r="D75" s="40">
        <v>1.0135054999999999</v>
      </c>
      <c r="E75" s="40">
        <v>4.4214130000000003</v>
      </c>
      <c r="F75" s="40">
        <v>8.4078429999999997</v>
      </c>
      <c r="G75" s="40">
        <v>11.825252000000001</v>
      </c>
      <c r="H75" s="40">
        <v>-10.525549</v>
      </c>
      <c r="I75" s="40">
        <v>43.93065</v>
      </c>
      <c r="J75" s="40">
        <v>16.429556000000002</v>
      </c>
      <c r="K75" s="47">
        <v>1.3092874999999999</v>
      </c>
      <c r="L75" s="47">
        <v>17.552364000000001</v>
      </c>
      <c r="M75" s="47">
        <v>23.895358999999999</v>
      </c>
      <c r="N75" s="47">
        <v>-3.8838446000000002</v>
      </c>
    </row>
    <row r="76" spans="1:14" x14ac:dyDescent="0.35">
      <c r="A76" s="2">
        <v>44183</v>
      </c>
      <c r="B76" s="40">
        <v>19.526302000000001</v>
      </c>
      <c r="C76" s="40">
        <v>8.5422039999999999</v>
      </c>
      <c r="D76" s="40">
        <v>7.2561144999999998</v>
      </c>
      <c r="E76" s="40">
        <v>12.036932</v>
      </c>
      <c r="F76" s="40">
        <v>12.427664</v>
      </c>
      <c r="G76" s="40">
        <v>12.606942999999999</v>
      </c>
      <c r="H76" s="40">
        <v>-10.323805</v>
      </c>
      <c r="I76" s="40">
        <v>49.071440000000003</v>
      </c>
      <c r="J76" s="40">
        <v>18.29158</v>
      </c>
      <c r="K76" s="47">
        <v>4.6060204999999996</v>
      </c>
      <c r="L76" s="47">
        <v>24.320720000000001</v>
      </c>
      <c r="M76" s="47">
        <v>22.058223999999999</v>
      </c>
      <c r="N76" s="47">
        <v>1.2582898</v>
      </c>
    </row>
    <row r="77" spans="1:14" x14ac:dyDescent="0.35">
      <c r="A77" s="2">
        <v>44211</v>
      </c>
      <c r="B77" s="40">
        <v>17.366195999999999</v>
      </c>
      <c r="C77" s="40">
        <v>7.4872255000000001</v>
      </c>
      <c r="D77" s="40">
        <v>7.2578550000000002</v>
      </c>
      <c r="E77" s="40">
        <v>9.5774539999999995</v>
      </c>
      <c r="F77" s="40">
        <v>16.564512000000001</v>
      </c>
      <c r="G77" s="40">
        <v>11.896658</v>
      </c>
      <c r="H77" s="40">
        <v>-7.3037330000000003</v>
      </c>
      <c r="I77" s="40">
        <v>42.655647000000002</v>
      </c>
      <c r="J77" s="40">
        <v>16.655182</v>
      </c>
      <c r="K77" s="47">
        <v>3.5334587000000002</v>
      </c>
      <c r="L77" s="47">
        <v>27.292538</v>
      </c>
      <c r="M77" s="47">
        <v>25.663530000000002</v>
      </c>
      <c r="N77" s="47">
        <v>1.4656425</v>
      </c>
    </row>
    <row r="78" spans="1:14" x14ac:dyDescent="0.35">
      <c r="A78" s="2">
        <v>44245</v>
      </c>
      <c r="B78" s="40">
        <v>15.592718</v>
      </c>
      <c r="C78" s="40">
        <v>12.542415</v>
      </c>
      <c r="D78" s="40">
        <v>9.5757480000000008</v>
      </c>
      <c r="E78" s="40">
        <v>14.155245000000001</v>
      </c>
      <c r="F78" s="40">
        <v>24.606586</v>
      </c>
      <c r="G78" s="40">
        <v>8.5936179999999993</v>
      </c>
      <c r="H78" s="40">
        <v>-2.8373837000000002</v>
      </c>
      <c r="I78" s="40">
        <v>42.649853</v>
      </c>
      <c r="J78" s="40">
        <v>18.242062000000001</v>
      </c>
      <c r="K78" s="47">
        <v>7.4990990000000002</v>
      </c>
      <c r="L78" s="47">
        <v>34.346305999999998</v>
      </c>
      <c r="M78" s="47">
        <v>28.762519999999999</v>
      </c>
      <c r="N78" s="47">
        <v>1.5443206</v>
      </c>
    </row>
    <row r="79" spans="1:14" x14ac:dyDescent="0.35">
      <c r="A79" s="2">
        <v>44273</v>
      </c>
      <c r="B79" s="40">
        <v>59.569298000000003</v>
      </c>
      <c r="C79" s="40">
        <v>84.919809999999998</v>
      </c>
      <c r="D79" s="40">
        <v>88.887699999999995</v>
      </c>
      <c r="E79" s="40">
        <v>89.650369999999995</v>
      </c>
      <c r="F79" s="40">
        <v>60.026719999999997</v>
      </c>
      <c r="G79" s="40">
        <v>42.759335</v>
      </c>
      <c r="H79" s="40">
        <v>59.953915000000002</v>
      </c>
      <c r="I79" s="40">
        <v>77.953699999999998</v>
      </c>
      <c r="J79" s="40">
        <v>66.221239999999995</v>
      </c>
      <c r="K79" s="47">
        <v>76.800669999999997</v>
      </c>
      <c r="L79" s="47">
        <v>100.37401</v>
      </c>
      <c r="M79" s="47">
        <v>103.361176</v>
      </c>
      <c r="N79" s="47">
        <v>73.308075000000002</v>
      </c>
    </row>
    <row r="80" spans="1:14" x14ac:dyDescent="0.35">
      <c r="A80" s="2">
        <v>44302</v>
      </c>
      <c r="B80" s="40">
        <v>36.742176000000001</v>
      </c>
      <c r="C80" s="40">
        <v>63.774810000000002</v>
      </c>
      <c r="D80" s="40">
        <v>61.244953000000002</v>
      </c>
      <c r="E80" s="40">
        <v>63.622190000000003</v>
      </c>
      <c r="F80" s="40">
        <v>41.170929999999998</v>
      </c>
      <c r="G80" s="40">
        <v>31.606280999999999</v>
      </c>
      <c r="H80" s="40">
        <v>40.195419999999999</v>
      </c>
      <c r="I80" s="40">
        <v>61.380789999999998</v>
      </c>
      <c r="J80" s="40">
        <v>51.914000000000001</v>
      </c>
      <c r="K80" s="47">
        <v>62.140050000000002</v>
      </c>
      <c r="L80" s="47">
        <v>80.350620000000006</v>
      </c>
      <c r="M80" s="47">
        <v>91.849180000000004</v>
      </c>
      <c r="N80" s="47">
        <v>64.717420000000004</v>
      </c>
    </row>
    <row r="81" spans="1:14" x14ac:dyDescent="0.35">
      <c r="A81" s="2">
        <v>44334</v>
      </c>
      <c r="B81" s="40">
        <v>25.737559999999998</v>
      </c>
      <c r="C81" s="40">
        <v>55.103589999999997</v>
      </c>
      <c r="D81" s="40">
        <v>54.798186999999999</v>
      </c>
      <c r="E81" s="40">
        <v>50.729813</v>
      </c>
      <c r="F81" s="40">
        <v>28.481638</v>
      </c>
      <c r="G81" s="40">
        <v>28.999995999999999</v>
      </c>
      <c r="H81" s="40">
        <v>37.365555000000001</v>
      </c>
      <c r="I81" s="40">
        <v>42.562984</v>
      </c>
      <c r="J81" s="40">
        <v>41.893611999999997</v>
      </c>
      <c r="K81" s="47">
        <v>58.181655999999997</v>
      </c>
      <c r="L81" s="47">
        <v>67.533199999999994</v>
      </c>
      <c r="M81" s="47">
        <v>74.521079999999998</v>
      </c>
      <c r="N81" s="47">
        <v>59.731209999999997</v>
      </c>
    </row>
    <row r="82" spans="1:14" x14ac:dyDescent="0.35">
      <c r="A82" s="2">
        <v>44365</v>
      </c>
      <c r="B82" s="40">
        <v>12.058484999999999</v>
      </c>
      <c r="C82" s="40">
        <v>38.16272</v>
      </c>
      <c r="D82" s="40">
        <v>45.473373000000002</v>
      </c>
      <c r="E82" s="40">
        <v>31.225597</v>
      </c>
      <c r="F82" s="40">
        <v>20.797657000000001</v>
      </c>
      <c r="G82" s="40">
        <v>26.390588999999999</v>
      </c>
      <c r="H82" s="40">
        <v>28.281343</v>
      </c>
      <c r="I82" s="40">
        <v>41.13655</v>
      </c>
      <c r="J82" s="40">
        <v>35.676540000000003</v>
      </c>
      <c r="K82" s="47">
        <v>42.04806</v>
      </c>
      <c r="L82" s="47">
        <v>48.681713000000002</v>
      </c>
      <c r="M82" s="47">
        <v>53.382100000000001</v>
      </c>
      <c r="N82" s="47">
        <v>37.834274000000001</v>
      </c>
    </row>
    <row r="83" spans="1:14" x14ac:dyDescent="0.35">
      <c r="A83" s="2">
        <v>44393</v>
      </c>
      <c r="B83" s="40">
        <v>9.6746920000000003</v>
      </c>
      <c r="C83" s="40">
        <v>32.140743000000001</v>
      </c>
      <c r="D83" s="40">
        <v>38.359259999999999</v>
      </c>
      <c r="E83" s="40">
        <v>23.540474</v>
      </c>
      <c r="F83" s="40">
        <v>21.239066999999999</v>
      </c>
      <c r="G83" s="40">
        <v>22.917843000000001</v>
      </c>
      <c r="H83" s="40">
        <v>25.689803999999999</v>
      </c>
      <c r="I83" s="40">
        <v>38.788246000000001</v>
      </c>
      <c r="J83" s="40">
        <v>36.480094999999999</v>
      </c>
      <c r="K83" s="47">
        <v>31.805205999999998</v>
      </c>
      <c r="L83" s="47">
        <v>41.246234999999999</v>
      </c>
      <c r="M83" s="47">
        <v>43.627693000000001</v>
      </c>
      <c r="N83" s="47">
        <v>25.713920000000002</v>
      </c>
    </row>
    <row r="84" spans="1:14" x14ac:dyDescent="0.35">
      <c r="A84" s="2">
        <v>44426</v>
      </c>
      <c r="B84" s="40">
        <v>2.309072</v>
      </c>
      <c r="C84" s="40">
        <v>24.950146</v>
      </c>
      <c r="D84" s="40">
        <v>31.404198000000001</v>
      </c>
      <c r="E84" s="40">
        <v>19.811762000000002</v>
      </c>
      <c r="F84" s="40">
        <v>16.673672</v>
      </c>
      <c r="G84" s="40">
        <v>24.025010999999999</v>
      </c>
      <c r="H84" s="40">
        <v>25.846755999999999</v>
      </c>
      <c r="I84" s="40">
        <v>31.044436000000001</v>
      </c>
      <c r="J84" s="40">
        <v>31.635999999999999</v>
      </c>
      <c r="K84" s="47">
        <v>33.694519999999997</v>
      </c>
      <c r="L84" s="47">
        <v>43.834449999999997</v>
      </c>
      <c r="M84" s="47">
        <v>37.03501</v>
      </c>
      <c r="N84" s="47">
        <v>30.170572</v>
      </c>
    </row>
    <row r="85" spans="1:14" x14ac:dyDescent="0.35">
      <c r="A85" s="2">
        <v>44456</v>
      </c>
      <c r="B85" s="40">
        <v>8.3876369999999998</v>
      </c>
      <c r="C85" s="40">
        <v>27.704834000000002</v>
      </c>
      <c r="D85" s="40">
        <v>34.034218000000003</v>
      </c>
      <c r="E85" s="40">
        <v>15.083814</v>
      </c>
      <c r="F85" s="40">
        <v>24.762844000000001</v>
      </c>
      <c r="G85" s="40">
        <v>15.203189999999999</v>
      </c>
      <c r="H85" s="40">
        <v>25.931930000000001</v>
      </c>
      <c r="I85" s="40">
        <v>39.075946999999999</v>
      </c>
      <c r="J85" s="40">
        <v>33.836080000000003</v>
      </c>
      <c r="K85" s="47">
        <v>30.685555999999998</v>
      </c>
      <c r="L85" s="47">
        <v>50.076056999999999</v>
      </c>
      <c r="M85" s="47">
        <v>33.798110000000001</v>
      </c>
      <c r="N85" s="47">
        <v>28.577673000000001</v>
      </c>
    </row>
    <row r="86" spans="1:14" x14ac:dyDescent="0.35">
      <c r="A86" s="2">
        <v>44487</v>
      </c>
      <c r="B86" s="40">
        <v>3.9820433</v>
      </c>
      <c r="C86" s="40">
        <v>28.273619</v>
      </c>
      <c r="D86" s="40">
        <v>41.071260000000002</v>
      </c>
      <c r="E86" s="40">
        <v>16.335509999999999</v>
      </c>
      <c r="F86" s="40">
        <v>17.954910000000002</v>
      </c>
      <c r="G86" s="40">
        <v>19.610476999999999</v>
      </c>
      <c r="H86" s="40">
        <v>34.388373999999999</v>
      </c>
      <c r="I86" s="40">
        <v>29.854727</v>
      </c>
      <c r="J86" s="40">
        <v>30.592323</v>
      </c>
      <c r="K86" s="47">
        <v>35.796390000000002</v>
      </c>
      <c r="L86" s="47">
        <v>41.959274000000001</v>
      </c>
      <c r="M86" s="47">
        <v>34.191085999999999</v>
      </c>
      <c r="N86" s="47">
        <v>35.318066000000002</v>
      </c>
    </row>
    <row r="87" spans="1:14" x14ac:dyDescent="0.35">
      <c r="A87" s="2">
        <v>44518</v>
      </c>
      <c r="B87" s="40">
        <v>-3.7010252000000001</v>
      </c>
      <c r="C87" s="40">
        <v>15.607476</v>
      </c>
      <c r="D87" s="40">
        <v>37.463284000000002</v>
      </c>
      <c r="E87" s="40">
        <v>17.613388</v>
      </c>
      <c r="F87" s="40">
        <v>10.939503</v>
      </c>
      <c r="G87" s="40">
        <v>21.605217</v>
      </c>
      <c r="H87" s="40">
        <v>20.952297000000002</v>
      </c>
      <c r="I87" s="40">
        <v>39.222907999999997</v>
      </c>
      <c r="J87" s="40">
        <v>33.713329999999999</v>
      </c>
      <c r="K87" s="47">
        <v>26.927053000000001</v>
      </c>
      <c r="L87" s="47">
        <v>39.893090000000001</v>
      </c>
      <c r="M87" s="47">
        <v>28.436958000000001</v>
      </c>
      <c r="N87" s="47">
        <v>23.266352000000001</v>
      </c>
    </row>
    <row r="88" spans="1:14" x14ac:dyDescent="0.35">
      <c r="A88" s="2">
        <v>44547</v>
      </c>
      <c r="B88" s="40">
        <v>-13.658761999999999</v>
      </c>
      <c r="C88" s="40">
        <v>3.1456232000000002</v>
      </c>
      <c r="D88" s="40">
        <v>19.679535000000001</v>
      </c>
      <c r="E88" s="40">
        <v>1.7158865999999999</v>
      </c>
      <c r="F88" s="40">
        <v>2.7595282000000001</v>
      </c>
      <c r="G88" s="40">
        <v>17.779945000000001</v>
      </c>
      <c r="H88" s="40">
        <v>11.977732</v>
      </c>
      <c r="I88" s="40">
        <v>24.427485999999998</v>
      </c>
      <c r="J88" s="40">
        <v>25.739742</v>
      </c>
      <c r="K88" s="47">
        <v>15.239679000000001</v>
      </c>
      <c r="L88" s="47">
        <v>16.732047999999999</v>
      </c>
      <c r="M88" s="47">
        <v>15.623236</v>
      </c>
      <c r="N88" s="47">
        <v>10.115361</v>
      </c>
    </row>
    <row r="89" spans="1:14" x14ac:dyDescent="0.35">
      <c r="A89" s="2">
        <v>44579</v>
      </c>
      <c r="B89" s="40">
        <v>-12.335051</v>
      </c>
      <c r="C89" s="40">
        <v>3.9715410000000002</v>
      </c>
      <c r="D89" s="40">
        <v>25.03593</v>
      </c>
      <c r="E89" s="40">
        <v>5.3818703000000001</v>
      </c>
      <c r="F89" s="40">
        <v>-1.7160713999999999</v>
      </c>
      <c r="G89" s="40">
        <v>14.529896000000001</v>
      </c>
      <c r="H89" s="40">
        <v>17.657125000000001</v>
      </c>
      <c r="I89" s="40">
        <v>19.392347000000001</v>
      </c>
      <c r="J89" s="40">
        <v>23.139060000000001</v>
      </c>
      <c r="K89" s="47">
        <v>20.245016</v>
      </c>
      <c r="L89" s="47">
        <v>13.743389000000001</v>
      </c>
      <c r="M89" s="47">
        <v>11.916995</v>
      </c>
      <c r="N89" s="47">
        <v>15.891242</v>
      </c>
    </row>
    <row r="90" spans="1:14" x14ac:dyDescent="0.35">
      <c r="A90" s="2">
        <v>44610</v>
      </c>
      <c r="B90" s="40">
        <v>-15.3697195</v>
      </c>
      <c r="C90" s="40">
        <v>-0.27561187999999998</v>
      </c>
      <c r="D90" s="40">
        <v>17.657518</v>
      </c>
      <c r="E90" s="40">
        <v>-1.7961204</v>
      </c>
      <c r="F90" s="40">
        <v>-8.3947769999999995</v>
      </c>
      <c r="G90" s="40">
        <v>9.8991989999999994</v>
      </c>
      <c r="H90" s="40">
        <v>15.511011999999999</v>
      </c>
      <c r="I90" s="40">
        <v>3.2143950000000001</v>
      </c>
      <c r="J90" s="40">
        <v>12.631536000000001</v>
      </c>
      <c r="K90" s="47">
        <v>13.938188999999999</v>
      </c>
      <c r="L90" s="47">
        <v>-0.11744499</v>
      </c>
      <c r="M90" s="47">
        <v>-2.326101</v>
      </c>
      <c r="N90" s="47">
        <v>9.2936630000000005</v>
      </c>
    </row>
    <row r="91" spans="1:14" x14ac:dyDescent="0.35">
      <c r="A91" s="2">
        <v>44638</v>
      </c>
      <c r="B91" s="40">
        <v>-9.1376840000000001</v>
      </c>
      <c r="C91" s="40">
        <v>8.9043030000000005</v>
      </c>
      <c r="D91" s="40">
        <v>17.891656999999999</v>
      </c>
      <c r="E91" s="40">
        <v>-11.263947999999999</v>
      </c>
      <c r="F91" s="40">
        <v>-9.4329889999999992</v>
      </c>
      <c r="G91" s="40">
        <v>13.271046</v>
      </c>
      <c r="H91" s="40">
        <v>10.487366</v>
      </c>
      <c r="I91" s="40">
        <v>13.185810999999999</v>
      </c>
      <c r="J91" s="40">
        <v>15.430355</v>
      </c>
      <c r="K91" s="47">
        <v>4.4782520000000003</v>
      </c>
      <c r="L91" s="47">
        <v>-2.5025784999999998</v>
      </c>
      <c r="M91" s="47">
        <v>-5.2427950000000001</v>
      </c>
      <c r="N91" s="47">
        <v>-5.6703862999999997</v>
      </c>
    </row>
    <row r="92" spans="1:14" x14ac:dyDescent="0.35">
      <c r="A92" s="2">
        <v>44669</v>
      </c>
      <c r="B92" s="40">
        <v>-16.581237999999999</v>
      </c>
      <c r="C92" s="40">
        <v>5.2891374000000004</v>
      </c>
      <c r="D92" s="40">
        <v>14.391171999999999</v>
      </c>
      <c r="E92" s="40">
        <v>-21.420829999999999</v>
      </c>
      <c r="F92" s="40">
        <v>-15.815806</v>
      </c>
      <c r="G92" s="40">
        <v>6.8507195000000003</v>
      </c>
      <c r="H92" s="40">
        <v>8.0877780000000001</v>
      </c>
      <c r="I92" s="40">
        <v>-0.49316286999999998</v>
      </c>
      <c r="J92" s="40">
        <v>6.3539029999999999</v>
      </c>
      <c r="K92" s="47">
        <v>-3.7965477000000001</v>
      </c>
      <c r="L92" s="47">
        <v>-16.007137</v>
      </c>
      <c r="M92" s="47">
        <v>-17.231632000000001</v>
      </c>
      <c r="N92" s="47">
        <v>-7.9540610000000003</v>
      </c>
    </row>
    <row r="93" spans="1:14" x14ac:dyDescent="0.35">
      <c r="A93" s="2">
        <v>44699</v>
      </c>
      <c r="B93" s="40">
        <v>-24.174863999999999</v>
      </c>
      <c r="C93" s="40">
        <v>-6.2687039999999996</v>
      </c>
      <c r="D93" s="40">
        <v>-1.7484128000000001</v>
      </c>
      <c r="E93" s="40">
        <v>-25.997209999999999</v>
      </c>
      <c r="F93" s="40">
        <v>-15.221035000000001</v>
      </c>
      <c r="G93" s="40">
        <v>-6.3245177000000004</v>
      </c>
      <c r="H93" s="40">
        <v>-2.2461533999999999</v>
      </c>
      <c r="I93" s="40">
        <v>-9.2098420000000001</v>
      </c>
      <c r="J93" s="40">
        <v>-3.6142588</v>
      </c>
      <c r="K93" s="47">
        <v>-11.709648</v>
      </c>
      <c r="L93" s="47">
        <v>-23.013453999999999</v>
      </c>
      <c r="M93" s="47">
        <v>-24.938224999999999</v>
      </c>
      <c r="N93" s="47">
        <v>-15.727353000000001</v>
      </c>
    </row>
    <row r="94" spans="1:14" x14ac:dyDescent="0.35">
      <c r="A94" s="2">
        <v>44729</v>
      </c>
      <c r="B94" s="40">
        <v>-26.982514999999999</v>
      </c>
      <c r="C94" s="40">
        <v>-16.51585</v>
      </c>
      <c r="D94" s="40">
        <v>-8.988804</v>
      </c>
      <c r="E94" s="40">
        <v>-29.797476</v>
      </c>
      <c r="F94" s="40">
        <v>-22.599094000000001</v>
      </c>
      <c r="G94" s="40">
        <v>-18.044101999999999</v>
      </c>
      <c r="H94" s="40">
        <v>-8.3620070000000002</v>
      </c>
      <c r="I94" s="40">
        <v>-20.07451</v>
      </c>
      <c r="J94" s="40">
        <v>-11.7698555</v>
      </c>
      <c r="K94" s="47">
        <v>-18.84843</v>
      </c>
      <c r="L94" s="47">
        <v>-28.855001000000001</v>
      </c>
      <c r="M94" s="47">
        <v>-29.330438999999998</v>
      </c>
      <c r="N94" s="47">
        <v>-22.954415999999998</v>
      </c>
    </row>
    <row r="95" spans="1:14" x14ac:dyDescent="0.35">
      <c r="A95" s="2">
        <v>44760</v>
      </c>
      <c r="B95" s="40">
        <v>-24.424744</v>
      </c>
      <c r="C95" s="40">
        <v>-11.981629999999999</v>
      </c>
      <c r="D95" s="40">
        <v>-7.6133490000000004</v>
      </c>
      <c r="E95" s="40">
        <v>-32.718043999999999</v>
      </c>
      <c r="F95" s="40">
        <v>-19.539047</v>
      </c>
      <c r="G95" s="40">
        <v>-14.620208999999999</v>
      </c>
      <c r="H95" s="40">
        <v>-5.2707376000000004</v>
      </c>
      <c r="I95" s="40">
        <v>-18.622499999999999</v>
      </c>
      <c r="J95" s="40">
        <v>-10.188340999999999</v>
      </c>
      <c r="K95" s="47">
        <v>-15.873843000000001</v>
      </c>
      <c r="L95" s="47">
        <v>-26.274246000000002</v>
      </c>
      <c r="M95" s="47">
        <v>-30.363720000000001</v>
      </c>
      <c r="N95" s="47">
        <v>-24.226389999999999</v>
      </c>
    </row>
    <row r="96" spans="1:14" x14ac:dyDescent="0.35">
      <c r="A96" s="2">
        <v>44791</v>
      </c>
      <c r="B96" s="40">
        <v>-15.736037</v>
      </c>
      <c r="C96" s="40">
        <v>-3.8365065999999999</v>
      </c>
      <c r="D96" s="40">
        <v>-0.46787262000000002</v>
      </c>
      <c r="E96" s="40">
        <v>-30.269932000000001</v>
      </c>
      <c r="F96" s="40">
        <v>-13.869417</v>
      </c>
      <c r="G96" s="40">
        <v>-13.781482</v>
      </c>
      <c r="H96" s="40">
        <v>-2.1339834</v>
      </c>
      <c r="I96" s="40">
        <v>-8.5869429999999998</v>
      </c>
      <c r="J96" s="40">
        <v>-1.1821389</v>
      </c>
      <c r="K96" s="47">
        <v>-12.16076</v>
      </c>
      <c r="L96" s="47">
        <v>-24.740881000000002</v>
      </c>
      <c r="M96" s="47">
        <v>-26.139486000000002</v>
      </c>
      <c r="N96" s="47">
        <v>-21.573550000000001</v>
      </c>
    </row>
    <row r="97" spans="1:14" x14ac:dyDescent="0.35">
      <c r="A97" s="2">
        <v>44820</v>
      </c>
      <c r="B97" s="40">
        <v>-25.360292000000001</v>
      </c>
      <c r="C97" s="40">
        <v>-12.325263</v>
      </c>
      <c r="D97" s="40">
        <v>-8.0348970000000008</v>
      </c>
      <c r="E97" s="40">
        <v>-34.979934999999998</v>
      </c>
      <c r="F97" s="40">
        <v>-28.563445999999999</v>
      </c>
      <c r="G97" s="40">
        <v>-16.883707000000001</v>
      </c>
      <c r="H97" s="40">
        <v>-9.7683909999999994</v>
      </c>
      <c r="I97" s="40">
        <v>-23.098648000000001</v>
      </c>
      <c r="J97" s="40">
        <v>-12.186831</v>
      </c>
      <c r="K97" s="47">
        <v>-19.333447</v>
      </c>
      <c r="L97" s="47">
        <v>-36.393833000000001</v>
      </c>
      <c r="M97" s="47">
        <v>-34.721733</v>
      </c>
      <c r="N97" s="47">
        <v>-23.981773</v>
      </c>
    </row>
    <row r="98" spans="1:14" x14ac:dyDescent="0.35">
      <c r="A98" s="2">
        <v>44852</v>
      </c>
      <c r="B98" s="40">
        <v>-32.798999999999999</v>
      </c>
      <c r="C98" s="40">
        <v>-17.504899999999999</v>
      </c>
      <c r="D98" s="40">
        <v>-17.498028000000001</v>
      </c>
      <c r="E98" s="40">
        <v>-34.190117000000001</v>
      </c>
      <c r="F98" s="40">
        <v>-27.349</v>
      </c>
      <c r="G98" s="40">
        <v>-18.947030000000002</v>
      </c>
      <c r="H98" s="40">
        <v>-15.545952</v>
      </c>
      <c r="I98" s="40">
        <v>-26.69698</v>
      </c>
      <c r="J98" s="40">
        <v>-15.749699</v>
      </c>
      <c r="K98" s="47">
        <v>-20.720635999999999</v>
      </c>
      <c r="L98" s="47">
        <v>-37.692802</v>
      </c>
      <c r="M98" s="47">
        <v>-34.446669999999997</v>
      </c>
      <c r="N98" s="47">
        <v>-27.050144</v>
      </c>
    </row>
    <row r="99" spans="1:14" x14ac:dyDescent="0.35">
      <c r="A99" s="2">
        <v>44883</v>
      </c>
      <c r="B99" s="40">
        <v>-21.633178999999998</v>
      </c>
      <c r="C99" s="40">
        <v>-4.653162</v>
      </c>
      <c r="D99" s="40">
        <v>-11.057556</v>
      </c>
      <c r="E99" s="40">
        <v>-24.289715000000001</v>
      </c>
      <c r="F99" s="40">
        <v>-20.45598</v>
      </c>
      <c r="G99" s="40">
        <v>-15.8162775</v>
      </c>
      <c r="H99" s="40">
        <v>-5.0244390000000001</v>
      </c>
      <c r="I99" s="40">
        <v>-28.665482999999998</v>
      </c>
      <c r="J99" s="40">
        <v>-14.411134000000001</v>
      </c>
      <c r="K99" s="47">
        <v>-13.373595</v>
      </c>
      <c r="L99" s="47">
        <v>-27.320307</v>
      </c>
      <c r="M99" s="47">
        <v>-28.428250999999999</v>
      </c>
      <c r="N99" s="47">
        <v>-15.100598</v>
      </c>
    </row>
    <row r="100" spans="1:14" x14ac:dyDescent="0.35">
      <c r="A100" s="2">
        <v>44911</v>
      </c>
      <c r="B100" s="40">
        <v>-14.105468999999999</v>
      </c>
      <c r="C100" s="40">
        <v>-3.16723</v>
      </c>
      <c r="D100" s="40">
        <v>-10.896492</v>
      </c>
      <c r="E100" s="40">
        <v>-21.521239999999999</v>
      </c>
      <c r="F100" s="40">
        <v>-18.862295</v>
      </c>
      <c r="G100" s="40">
        <v>-17.769735000000001</v>
      </c>
      <c r="H100" s="40">
        <v>-2.2646487</v>
      </c>
      <c r="I100" s="40">
        <v>-28.665368999999998</v>
      </c>
      <c r="J100" s="40">
        <v>-16.198634999999999</v>
      </c>
      <c r="K100" s="47">
        <v>-10.338592999999999</v>
      </c>
      <c r="L100" s="47">
        <v>-20.539124000000001</v>
      </c>
      <c r="M100" s="47">
        <v>-24.389011</v>
      </c>
      <c r="N100" s="47">
        <v>-13.165336999999999</v>
      </c>
    </row>
    <row r="101" spans="1:14" x14ac:dyDescent="0.35">
      <c r="A101" s="2">
        <v>44944</v>
      </c>
      <c r="B101" s="40">
        <v>-8.4381470000000007</v>
      </c>
      <c r="C101" s="40">
        <v>3.7185073000000002</v>
      </c>
      <c r="D101" s="40">
        <v>-9.5391510000000004</v>
      </c>
      <c r="E101" s="40">
        <v>-12.668628</v>
      </c>
      <c r="F101" s="40">
        <v>-12.470418</v>
      </c>
      <c r="G101" s="40">
        <v>-9.3824330000000007</v>
      </c>
      <c r="H101" s="40">
        <v>-2.0186126</v>
      </c>
      <c r="I101" s="40">
        <v>-24.457853</v>
      </c>
      <c r="J101" s="40">
        <v>-12.843836</v>
      </c>
      <c r="K101" s="47">
        <v>-2.9215038</v>
      </c>
      <c r="L101" s="47">
        <v>-11.968171999999999</v>
      </c>
      <c r="M101" s="47">
        <v>-15.811413999999999</v>
      </c>
      <c r="N101" s="47">
        <v>-6.8821963999999998</v>
      </c>
    </row>
    <row r="102" spans="1:14" x14ac:dyDescent="0.35">
      <c r="A102" s="2">
        <v>44974</v>
      </c>
      <c r="B102" s="40">
        <v>-4.3736990000000002</v>
      </c>
      <c r="C102" s="40">
        <v>3.0647397000000001</v>
      </c>
      <c r="D102" s="40">
        <v>-6.4002036999999996</v>
      </c>
      <c r="E102" s="40">
        <v>-8.1614730000000009</v>
      </c>
      <c r="F102" s="40">
        <v>-9.4526880000000002</v>
      </c>
      <c r="G102" s="40">
        <v>-5.2196740000000004</v>
      </c>
      <c r="H102" s="40">
        <v>-1.1302589999999999</v>
      </c>
      <c r="I102" s="40">
        <v>-12.180512999999999</v>
      </c>
      <c r="J102" s="40">
        <v>-5.3023043000000003</v>
      </c>
      <c r="K102" s="47">
        <v>3.265965</v>
      </c>
      <c r="L102" s="47">
        <v>-4.926634</v>
      </c>
      <c r="M102" s="47">
        <v>-7.7748537000000004</v>
      </c>
      <c r="N102" s="47">
        <v>0.22763014000000001</v>
      </c>
    </row>
    <row r="103" spans="1:14" x14ac:dyDescent="0.35">
      <c r="A103" s="2">
        <v>45002</v>
      </c>
      <c r="B103" s="40">
        <v>-11.112349999999999</v>
      </c>
      <c r="C103" s="40">
        <v>-8.9392479999999992</v>
      </c>
      <c r="D103" s="40">
        <v>-16.537302</v>
      </c>
      <c r="E103" s="40">
        <v>-5.7494106</v>
      </c>
      <c r="F103" s="40">
        <v>-8.2953089999999996</v>
      </c>
      <c r="G103" s="40">
        <v>-9.8361970000000003</v>
      </c>
      <c r="H103" s="40">
        <v>-4.9203215</v>
      </c>
      <c r="I103" s="40">
        <v>-10.694675999999999</v>
      </c>
      <c r="J103" s="40">
        <v>-9.7954035000000008</v>
      </c>
      <c r="K103" s="47">
        <v>3.0863643000000001</v>
      </c>
      <c r="L103" s="47">
        <v>-4.4253054000000001</v>
      </c>
      <c r="M103" s="47">
        <v>-14.603853000000001</v>
      </c>
      <c r="N103" s="47">
        <v>2.3600219999999998</v>
      </c>
    </row>
    <row r="104" spans="1:14" x14ac:dyDescent="0.35">
      <c r="A104" s="2">
        <v>45034</v>
      </c>
      <c r="B104" s="40">
        <v>-4.2508545</v>
      </c>
      <c r="C104" s="40">
        <v>-5.8778705999999996</v>
      </c>
      <c r="D104" s="40">
        <v>-8.3657029999999999</v>
      </c>
      <c r="E104" s="40">
        <v>11.077045999999999</v>
      </c>
      <c r="F104" s="40">
        <v>3.4127116000000002</v>
      </c>
      <c r="G104" s="40">
        <v>-1.5973329999999999</v>
      </c>
      <c r="H104" s="40">
        <v>2.6592850000000001</v>
      </c>
      <c r="I104" s="40">
        <v>-5.1344450000000004</v>
      </c>
      <c r="J104" s="40">
        <v>-3.8107812000000001</v>
      </c>
      <c r="K104" s="47">
        <v>18.618857999999999</v>
      </c>
      <c r="L104" s="47">
        <v>7.1917770000000001</v>
      </c>
      <c r="M104" s="47">
        <v>0.15168190000000001</v>
      </c>
      <c r="N104" s="47">
        <v>14.126873</v>
      </c>
    </row>
    <row r="105" spans="1:14" x14ac:dyDescent="0.35">
      <c r="A105" s="2">
        <v>45064</v>
      </c>
      <c r="B105" s="40">
        <v>10.555637000000001</v>
      </c>
      <c r="C105" s="40">
        <v>2.0234466000000002</v>
      </c>
      <c r="D105" s="40">
        <v>-1.1737584999999999</v>
      </c>
      <c r="E105" s="40">
        <v>17.328786999999998</v>
      </c>
      <c r="F105" s="40">
        <v>10.202169</v>
      </c>
      <c r="G105" s="40">
        <v>11.802887999999999</v>
      </c>
      <c r="H105" s="40">
        <v>8.1291440000000001</v>
      </c>
      <c r="I105" s="40">
        <v>16.73113</v>
      </c>
      <c r="J105" s="40">
        <v>8.8107109999999995</v>
      </c>
      <c r="K105" s="47">
        <v>23.646937999999999</v>
      </c>
      <c r="L105" s="47">
        <v>18.429110999999999</v>
      </c>
      <c r="M105" s="47">
        <v>8.3401569999999996</v>
      </c>
      <c r="N105" s="47">
        <v>19.592535000000002</v>
      </c>
    </row>
    <row r="106" spans="1:14" x14ac:dyDescent="0.35">
      <c r="A106" s="2">
        <v>45093</v>
      </c>
      <c r="B106" s="40">
        <v>13.760889000000001</v>
      </c>
      <c r="C106" s="40">
        <v>14.323067999999999</v>
      </c>
      <c r="D106" s="40">
        <v>5.6487800000000004</v>
      </c>
      <c r="E106" s="40">
        <v>26.388000000000002</v>
      </c>
      <c r="F106" s="40">
        <v>20.985365000000002</v>
      </c>
      <c r="G106" s="40">
        <v>20.104206000000001</v>
      </c>
      <c r="H106" s="40">
        <v>15.131187000000001</v>
      </c>
      <c r="I106" s="40">
        <v>36.609912999999999</v>
      </c>
      <c r="J106" s="40">
        <v>22.358453999999998</v>
      </c>
      <c r="K106" s="47">
        <v>32.05789</v>
      </c>
      <c r="L106" s="47">
        <v>29.884398000000001</v>
      </c>
      <c r="M106" s="47">
        <v>16.528261000000001</v>
      </c>
      <c r="N106" s="47">
        <v>33.944332000000003</v>
      </c>
    </row>
    <row r="107" spans="1:14" x14ac:dyDescent="0.35">
      <c r="A107" s="2">
        <v>45125</v>
      </c>
      <c r="B107" s="40">
        <v>12.149799</v>
      </c>
      <c r="C107" s="40">
        <v>14.777362999999999</v>
      </c>
      <c r="D107" s="40">
        <v>10.867119000000001</v>
      </c>
      <c r="E107" s="40">
        <v>35.836803000000003</v>
      </c>
      <c r="F107" s="40">
        <v>20.882809000000002</v>
      </c>
      <c r="G107" s="40">
        <v>18.240939999999998</v>
      </c>
      <c r="H107" s="40">
        <v>16.025531999999998</v>
      </c>
      <c r="I107" s="40">
        <v>34.242187999999999</v>
      </c>
      <c r="J107" s="40">
        <v>20.873080999999999</v>
      </c>
      <c r="K107" s="47">
        <v>36.216186999999998</v>
      </c>
      <c r="L107" s="47">
        <v>32.71264</v>
      </c>
      <c r="M107" s="47">
        <v>20.646809999999999</v>
      </c>
      <c r="N107" s="47">
        <v>50.755333</v>
      </c>
    </row>
    <row r="108" spans="1:14" x14ac:dyDescent="0.35">
      <c r="A108" s="2">
        <v>45156</v>
      </c>
      <c r="B108" s="40">
        <v>-6.2845110000000002</v>
      </c>
      <c r="C108" s="40">
        <v>-2.7813137000000001</v>
      </c>
      <c r="D108" s="40">
        <v>-3.9237856999999998</v>
      </c>
      <c r="E108" s="40">
        <v>20.576941999999999</v>
      </c>
      <c r="F108" s="40">
        <v>5.7614445999999999</v>
      </c>
      <c r="G108" s="40">
        <v>7.066262</v>
      </c>
      <c r="H108" s="40">
        <v>5.3083660000000004</v>
      </c>
      <c r="I108" s="40">
        <v>9.5388529999999996</v>
      </c>
      <c r="J108" s="40">
        <v>3.6932825999999999</v>
      </c>
      <c r="K108" s="47">
        <v>18.987691999999999</v>
      </c>
      <c r="L108" s="47">
        <v>11.428272</v>
      </c>
      <c r="M108" s="47">
        <v>-0.13011097999999999</v>
      </c>
      <c r="N108" s="47">
        <v>29.961527</v>
      </c>
    </row>
    <row r="109" spans="1:14" x14ac:dyDescent="0.35">
      <c r="A109" s="2">
        <v>45187</v>
      </c>
      <c r="B109" s="40">
        <v>-1.753962</v>
      </c>
      <c r="C109" s="40">
        <v>8.3318949999999994</v>
      </c>
      <c r="D109" s="40">
        <v>7.401681</v>
      </c>
      <c r="E109" s="40">
        <v>29.034351000000001</v>
      </c>
      <c r="F109" s="40">
        <v>23.430311</v>
      </c>
      <c r="G109" s="40">
        <v>15.19767</v>
      </c>
      <c r="H109" s="40">
        <v>17.910361999999999</v>
      </c>
      <c r="I109" s="40">
        <v>29.216252999999998</v>
      </c>
      <c r="J109" s="40">
        <v>16.890979999999999</v>
      </c>
      <c r="K109" s="47">
        <v>28.456365999999999</v>
      </c>
      <c r="L109" s="47">
        <v>18.640540999999999</v>
      </c>
      <c r="M109" s="47">
        <v>12.100148000000001</v>
      </c>
      <c r="N109" s="47">
        <v>37.316288</v>
      </c>
    </row>
    <row r="110" spans="1:14" x14ac:dyDescent="0.35">
      <c r="A110" s="2">
        <v>45217</v>
      </c>
      <c r="B110" s="40">
        <v>6.7240120000000001</v>
      </c>
      <c r="C110" s="40">
        <v>9.7862010000000001</v>
      </c>
      <c r="D110" s="40">
        <v>7.1272729999999997</v>
      </c>
      <c r="E110" s="40">
        <v>23.656918000000001</v>
      </c>
      <c r="F110" s="40">
        <v>21.972359000000001</v>
      </c>
      <c r="G110" s="40">
        <v>14.237952</v>
      </c>
      <c r="H110" s="40">
        <v>20.438623</v>
      </c>
      <c r="I110" s="40">
        <v>34.759079999999997</v>
      </c>
      <c r="J110" s="40">
        <v>17.762363000000001</v>
      </c>
      <c r="K110" s="47">
        <v>22.918583000000002</v>
      </c>
      <c r="L110" s="47">
        <v>20.063662999999998</v>
      </c>
      <c r="M110" s="47">
        <v>12.503349</v>
      </c>
      <c r="N110" s="47">
        <v>36.404609999999998</v>
      </c>
    </row>
    <row r="111" spans="1:14" x14ac:dyDescent="0.35">
      <c r="A111" s="2">
        <v>45247</v>
      </c>
      <c r="B111" s="40">
        <v>-2.1520674</v>
      </c>
      <c r="C111" s="40">
        <v>1.6367197</v>
      </c>
      <c r="D111" s="40">
        <v>2.2477984000000002</v>
      </c>
      <c r="E111" s="40">
        <v>15.767538</v>
      </c>
      <c r="F111" s="40">
        <v>15.978109</v>
      </c>
      <c r="G111" s="40">
        <v>8.6382980000000007</v>
      </c>
      <c r="H111" s="40">
        <v>10.269558</v>
      </c>
      <c r="I111" s="40">
        <v>36.465823999999998</v>
      </c>
      <c r="J111" s="40">
        <v>16.162417999999999</v>
      </c>
      <c r="K111" s="47">
        <v>16.748094999999999</v>
      </c>
      <c r="L111" s="47">
        <v>13.017821</v>
      </c>
      <c r="M111" s="47">
        <v>9.6104509999999994</v>
      </c>
      <c r="N111" s="47">
        <v>24.770175999999999</v>
      </c>
    </row>
    <row r="112" spans="1:14" x14ac:dyDescent="0.35">
      <c r="A112" s="2">
        <v>45278</v>
      </c>
      <c r="B112" s="40">
        <v>-0.99828243000000005</v>
      </c>
      <c r="C112" s="40">
        <v>10.10195</v>
      </c>
      <c r="D112" s="40">
        <v>12.479221000000001</v>
      </c>
      <c r="E112" s="40">
        <v>22.125589999999999</v>
      </c>
      <c r="F112" s="40">
        <v>16.398</v>
      </c>
      <c r="G112" s="40">
        <v>14.891028</v>
      </c>
      <c r="H112" s="40">
        <v>10.893117999999999</v>
      </c>
      <c r="I112" s="40">
        <v>49.741219999999998</v>
      </c>
      <c r="J112" s="40">
        <v>25.028206000000001</v>
      </c>
      <c r="K112" s="47">
        <v>21.548891000000001</v>
      </c>
      <c r="L112" s="47">
        <v>19.215858000000001</v>
      </c>
      <c r="M112" s="47">
        <v>21.358335</v>
      </c>
      <c r="N112" s="47">
        <v>29.828631999999999</v>
      </c>
    </row>
    <row r="113" spans="1:14" x14ac:dyDescent="0.35">
      <c r="A113" s="2">
        <v>45309</v>
      </c>
      <c r="B113" s="40">
        <v>-6.5208672999999999</v>
      </c>
      <c r="C113" s="40">
        <v>0.50280093999999997</v>
      </c>
      <c r="D113" s="40">
        <v>5.6780577000000001</v>
      </c>
      <c r="E113" s="40">
        <v>6.5719723999999999</v>
      </c>
      <c r="F113" s="40">
        <v>17.293453</v>
      </c>
      <c r="G113" s="40">
        <v>6.3973545999999999</v>
      </c>
      <c r="H113" s="40">
        <v>2.1786927999999999</v>
      </c>
      <c r="I113" s="40">
        <v>49.645699999999998</v>
      </c>
      <c r="J113" s="40">
        <v>23.575258000000002</v>
      </c>
      <c r="K113" s="47">
        <v>7.199681</v>
      </c>
      <c r="L113" s="47">
        <v>6.6602110000000003</v>
      </c>
      <c r="M113" s="47">
        <v>5.8947563000000001</v>
      </c>
      <c r="N113" s="47">
        <v>17.616675999999998</v>
      </c>
    </row>
    <row r="114" spans="1:14" x14ac:dyDescent="0.35">
      <c r="A114" s="2">
        <v>45338</v>
      </c>
      <c r="B114" s="40">
        <v>-7.9157590000000004</v>
      </c>
      <c r="C114" s="40">
        <v>3.5096406999999998</v>
      </c>
      <c r="D114" s="40">
        <v>6.7855477000000004</v>
      </c>
      <c r="E114" s="40">
        <v>8.0994609999999998</v>
      </c>
      <c r="F114" s="40">
        <v>21.085940999999998</v>
      </c>
      <c r="G114" s="40">
        <v>7.3997617</v>
      </c>
      <c r="H114" s="40">
        <v>4.3852450000000003</v>
      </c>
      <c r="I114" s="40">
        <v>42.939877000000003</v>
      </c>
      <c r="J114" s="40">
        <v>24.217987000000001</v>
      </c>
      <c r="K114" s="47">
        <v>7.6664804999999996</v>
      </c>
      <c r="L114" s="47">
        <v>13.934767000000001</v>
      </c>
      <c r="M114" s="47">
        <v>9.9832769999999993</v>
      </c>
      <c r="N114" s="47">
        <v>16.098642000000002</v>
      </c>
    </row>
    <row r="115" spans="1:14" x14ac:dyDescent="0.35">
      <c r="A115" s="2">
        <v>45369</v>
      </c>
      <c r="B115" s="40">
        <v>-5.0457239999999999</v>
      </c>
      <c r="C115" s="40">
        <v>13.976622000000001</v>
      </c>
      <c r="D115" s="40">
        <v>19.348980000000001</v>
      </c>
      <c r="E115" s="40">
        <v>20.433485000000001</v>
      </c>
      <c r="F115" s="40">
        <v>29.51286</v>
      </c>
      <c r="G115" s="40">
        <v>14.4883995</v>
      </c>
      <c r="H115" s="40">
        <v>14.228285</v>
      </c>
      <c r="I115" s="40">
        <v>44.443176000000001</v>
      </c>
      <c r="J115" s="40">
        <v>33.421610000000001</v>
      </c>
      <c r="K115" s="47">
        <v>20.759224</v>
      </c>
      <c r="L115" s="47">
        <v>23.936499000000001</v>
      </c>
      <c r="M115" s="47">
        <v>25.738</v>
      </c>
      <c r="N115" s="47">
        <v>37.023375999999999</v>
      </c>
    </row>
    <row r="116" spans="1:14" x14ac:dyDescent="0.35">
      <c r="A116" s="2">
        <v>45400</v>
      </c>
      <c r="B116" s="40">
        <v>-8.2696199999999997</v>
      </c>
      <c r="C116" s="40">
        <v>2.8855324000000002</v>
      </c>
      <c r="D116" s="40">
        <v>5.9846640000000004</v>
      </c>
      <c r="E116" s="40">
        <v>5.707109</v>
      </c>
      <c r="F116" s="40">
        <v>15.861082</v>
      </c>
      <c r="G116" s="40">
        <v>-2.4202227999999999</v>
      </c>
      <c r="H116" s="40">
        <v>3.1138181999999999</v>
      </c>
      <c r="I116" s="40">
        <v>33.672558000000002</v>
      </c>
      <c r="J116" s="40">
        <v>22.352588999999998</v>
      </c>
      <c r="K116" s="47">
        <v>3.9987086999999999</v>
      </c>
      <c r="L116" s="47">
        <v>13.334346</v>
      </c>
      <c r="M116" s="47">
        <v>7.2464943000000002</v>
      </c>
      <c r="N116" s="47">
        <v>18.183672000000001</v>
      </c>
    </row>
    <row r="117" spans="1:14" x14ac:dyDescent="0.35">
      <c r="A117" s="2">
        <v>45429</v>
      </c>
      <c r="B117" s="40">
        <v>-6.6326559999999999</v>
      </c>
      <c r="C117" s="40">
        <v>14.515435999999999</v>
      </c>
      <c r="D117" s="40">
        <v>13.410197999999999</v>
      </c>
      <c r="E117" s="40">
        <v>15.027475000000001</v>
      </c>
      <c r="F117" s="40">
        <v>15.350543999999999</v>
      </c>
      <c r="G117" s="40">
        <v>4.4852970000000001</v>
      </c>
      <c r="H117" s="40">
        <v>15.028333999999999</v>
      </c>
      <c r="I117" s="40">
        <v>37.34207</v>
      </c>
      <c r="J117" s="40">
        <v>29.365086000000002</v>
      </c>
      <c r="K117" s="47">
        <v>11.907042000000001</v>
      </c>
      <c r="L117" s="47">
        <v>23.927651999999998</v>
      </c>
      <c r="M117" s="47">
        <v>16.819680000000002</v>
      </c>
      <c r="N117" s="47">
        <v>30.897331000000001</v>
      </c>
    </row>
    <row r="118" spans="1:14" x14ac:dyDescent="0.35">
      <c r="A118" s="2">
        <v>45461</v>
      </c>
      <c r="B118" s="40">
        <v>-3.1367897999999999</v>
      </c>
      <c r="C118" s="40">
        <v>8.9549660000000006</v>
      </c>
      <c r="D118" s="40">
        <v>7.59598</v>
      </c>
      <c r="E118" s="40">
        <v>7.3633790000000001</v>
      </c>
      <c r="F118" s="40">
        <v>7.9315186000000004</v>
      </c>
      <c r="G118" s="40">
        <v>8.2934619999999999</v>
      </c>
      <c r="H118" s="40">
        <v>10.917616000000001</v>
      </c>
      <c r="I118" s="40">
        <v>32.753433000000001</v>
      </c>
      <c r="J118" s="40">
        <v>26.157796999999999</v>
      </c>
      <c r="K118" s="47">
        <v>3.9040208000000001</v>
      </c>
      <c r="L118" s="47">
        <v>21.455525999999999</v>
      </c>
      <c r="M118" s="47">
        <v>17.682611000000001</v>
      </c>
      <c r="N118" s="47">
        <v>19.050943</v>
      </c>
    </row>
    <row r="119" spans="1:14" x14ac:dyDescent="0.35">
      <c r="A119" s="2">
        <v>45491</v>
      </c>
      <c r="B119" s="40">
        <v>-4.3855962999999996</v>
      </c>
      <c r="C119" s="40">
        <v>12.180006000000001</v>
      </c>
      <c r="D119" s="40">
        <v>10.575903</v>
      </c>
      <c r="E119" s="40">
        <v>8.8982700000000001</v>
      </c>
      <c r="F119" s="40">
        <v>13.608969</v>
      </c>
      <c r="G119" s="40">
        <v>6.5872073000000002</v>
      </c>
      <c r="H119" s="40">
        <v>13.241517999999999</v>
      </c>
      <c r="I119" s="40">
        <v>25.160467000000001</v>
      </c>
      <c r="J119" s="40">
        <v>23.391687000000001</v>
      </c>
      <c r="K119" s="47">
        <v>1.9667029</v>
      </c>
      <c r="L119" s="47">
        <v>12.922180000000001</v>
      </c>
      <c r="M119" s="47">
        <v>15.322685</v>
      </c>
      <c r="N119" s="47">
        <v>18.092120000000001</v>
      </c>
    </row>
    <row r="120" spans="1:14" x14ac:dyDescent="0.35">
      <c r="A120" s="2">
        <v>45520</v>
      </c>
      <c r="B120" s="40">
        <v>7.4403762999999996</v>
      </c>
      <c r="C120" s="40">
        <v>20.019638</v>
      </c>
      <c r="D120" s="40">
        <v>18.565809999999999</v>
      </c>
      <c r="E120" s="40">
        <v>16.201485000000002</v>
      </c>
      <c r="F120" s="40">
        <v>19.275521999999999</v>
      </c>
      <c r="G120" s="40">
        <v>13.675820999999999</v>
      </c>
      <c r="H120" s="40">
        <v>20.142386999999999</v>
      </c>
      <c r="I120" s="40">
        <v>31.931173000000001</v>
      </c>
      <c r="J120" s="40">
        <v>27.855957</v>
      </c>
      <c r="K120" s="47">
        <v>6.9305060000000003</v>
      </c>
      <c r="L120" s="47">
        <v>21.24213</v>
      </c>
      <c r="M120" s="47">
        <v>26.034092000000001</v>
      </c>
      <c r="N120" s="47">
        <v>23.048400000000001</v>
      </c>
    </row>
    <row r="121" spans="1:14" x14ac:dyDescent="0.35">
      <c r="A121" s="2">
        <v>45553</v>
      </c>
      <c r="B121" s="40">
        <v>13.655663000000001</v>
      </c>
      <c r="C121" s="40">
        <v>22.728156999999999</v>
      </c>
      <c r="D121" s="40">
        <v>17.800056000000001</v>
      </c>
      <c r="E121" s="40">
        <v>23.056995000000001</v>
      </c>
      <c r="F121" s="40">
        <v>12.280559999999999</v>
      </c>
      <c r="G121" s="40">
        <v>15.611338999999999</v>
      </c>
      <c r="H121" s="40">
        <v>19.340038</v>
      </c>
      <c r="I121" s="40">
        <v>27.880991000000002</v>
      </c>
      <c r="J121" s="40">
        <v>27.870083000000001</v>
      </c>
      <c r="K121" s="47">
        <v>9.7957370000000008</v>
      </c>
      <c r="L121" s="47">
        <v>27.905296</v>
      </c>
      <c r="M121" s="47">
        <v>31.435798999999999</v>
      </c>
      <c r="N121" s="47">
        <v>26.766739999999999</v>
      </c>
    </row>
    <row r="122" spans="1:14" x14ac:dyDescent="0.35">
      <c r="A122" s="2">
        <v>45583</v>
      </c>
      <c r="B122">
        <v>17.636526</v>
      </c>
      <c r="C122">
        <v>30.171633</v>
      </c>
      <c r="D122">
        <v>30.352353999999998</v>
      </c>
      <c r="E122">
        <v>34.215331999999997</v>
      </c>
      <c r="F122">
        <v>21.543657</v>
      </c>
      <c r="G122">
        <v>21.878422</v>
      </c>
      <c r="H122">
        <v>22.511875</v>
      </c>
      <c r="I122">
        <v>37.010646999999999</v>
      </c>
      <c r="J122">
        <v>37.72739</v>
      </c>
      <c r="K122" s="47">
        <v>17.203188000000001</v>
      </c>
      <c r="L122" s="47">
        <v>33.679569999999998</v>
      </c>
      <c r="M122" s="47">
        <v>31.871127999999999</v>
      </c>
      <c r="N122" s="47">
        <v>35.331843999999997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-32.798999999999999</v>
      </c>
      <c r="C126" s="40" cm="1">
        <f t="array" ref="C126">MIN(_xlfn._xlws.FILTER(C2:C122, ISNUMBER(C2:C122)))</f>
        <v>-33.642322999999998</v>
      </c>
      <c r="D126" s="40" cm="1">
        <f t="array" ref="D126">MIN(_xlfn._xlws.FILTER(D2:D122, ISNUMBER(D2:D122)))</f>
        <v>-31.902754000000002</v>
      </c>
      <c r="E126" s="40" cm="1">
        <f t="array" ref="E126">MIN(_xlfn._xlws.FILTER(E2:E122, ISNUMBER(E2:E122)))</f>
        <v>-34.979934999999998</v>
      </c>
      <c r="F126" s="40" cm="1">
        <f t="array" ref="F126">MIN(_xlfn._xlws.FILTER(F2:F122, ISNUMBER(F2:F122)))</f>
        <v>-28.563445999999999</v>
      </c>
      <c r="G126" s="40" cm="1">
        <f t="array" ref="G126">MIN(_xlfn._xlws.FILTER(G2:G122, ISNUMBER(G2:G122)))</f>
        <v>-18.947030000000002</v>
      </c>
      <c r="H126" s="40" cm="1">
        <f t="array" ref="H126">MIN(_xlfn._xlws.FILTER(H2:H122, ISNUMBER(H2:H122)))</f>
        <v>-37.134326999999999</v>
      </c>
      <c r="I126" s="40" cm="1">
        <f t="array" ref="I126">MIN(_xlfn._xlws.FILTER(I2:I122, ISNUMBER(I2:I122)))</f>
        <v>-28.665482999999998</v>
      </c>
      <c r="J126" s="40" cm="1">
        <f t="array" ref="J126">MIN(_xlfn._xlws.FILTER(J2:J122, ISNUMBER(J2:J122)))</f>
        <v>-16.198634999999999</v>
      </c>
      <c r="K126" s="40" cm="1">
        <f t="array" ref="K126">MIN(_xlfn._xlws.FILTER(K2:K122, ISNUMBER(K2:K122)))</f>
        <v>-31.705278</v>
      </c>
      <c r="L126" s="40" cm="1">
        <f t="array" ref="L126">MIN(_xlfn._xlws.FILTER(L2:L122, ISNUMBER(L2:L122)))</f>
        <v>-37.692802</v>
      </c>
      <c r="M126" s="40" cm="1">
        <f t="array" ref="M126">MIN(_xlfn._xlws.FILTER(M2:M122, ISNUMBER(M2:M122)))</f>
        <v>-34.721733</v>
      </c>
      <c r="N126" s="40" cm="1">
        <f t="array" ref="N126">MIN(_xlfn._xlws.FILTER(N2:N122, ISNUMBER(N2:N122)))</f>
        <v>-31.255405</v>
      </c>
    </row>
    <row r="127" spans="1:14" x14ac:dyDescent="0.35">
      <c r="A127" s="2" t="s">
        <v>393</v>
      </c>
      <c r="B127" s="42" cm="1">
        <f t="array" ref="B127">MAX(_xlfn._xlws.FILTER(B1:B122, ISNUMBER(B1:B122)))</f>
        <v>59.569298000000003</v>
      </c>
      <c r="C127" s="42" cm="1">
        <f t="array" ref="C127">MAX(_xlfn._xlws.FILTER(C1:C122, ISNUMBER(C1:C122)))</f>
        <v>84.919809999999998</v>
      </c>
      <c r="D127" s="42" cm="1">
        <f t="array" ref="D127">MAX(_xlfn._xlws.FILTER(D1:D122, ISNUMBER(D1:D122)))</f>
        <v>88.887699999999995</v>
      </c>
      <c r="E127" s="42" cm="1">
        <f t="array" ref="E127">MAX(_xlfn._xlws.FILTER(E1:E122, ISNUMBER(E1:E122)))</f>
        <v>89.650369999999995</v>
      </c>
      <c r="F127" s="42" cm="1">
        <f t="array" ref="F127">MAX(_xlfn._xlws.FILTER(F1:F122, ISNUMBER(F1:F122)))</f>
        <v>60.026719999999997</v>
      </c>
      <c r="G127" s="42" cm="1">
        <f t="array" ref="G127">MAX(_xlfn._xlws.FILTER(G1:G122, ISNUMBER(G1:G122)))</f>
        <v>42.759335</v>
      </c>
      <c r="H127" s="42" cm="1">
        <f t="array" ref="H127">MAX(_xlfn._xlws.FILTER(H1:H122, ISNUMBER(H1:H122)))</f>
        <v>59.953915000000002</v>
      </c>
      <c r="I127" s="42" cm="1">
        <f t="array" ref="I127">MAX(_xlfn._xlws.FILTER(I1:I122, ISNUMBER(I1:I122)))</f>
        <v>77.953699999999998</v>
      </c>
      <c r="J127" s="42" cm="1">
        <f t="array" ref="J127">MAX(_xlfn._xlws.FILTER(J1:J122, ISNUMBER(J1:J122)))</f>
        <v>66.221239999999995</v>
      </c>
      <c r="K127" s="42" cm="1">
        <f t="array" ref="K127">MAX(_xlfn._xlws.FILTER(K1:K122, ISNUMBER(K1:K122)))</f>
        <v>76.800669999999997</v>
      </c>
      <c r="L127" s="42" cm="1">
        <f t="array" ref="L127">MAX(_xlfn._xlws.FILTER(L1:L122, ISNUMBER(L1:L122)))</f>
        <v>100.37401</v>
      </c>
      <c r="M127" s="42" cm="1">
        <f t="array" ref="M127">MAX(_xlfn._xlws.FILTER(M1:M122, ISNUMBER(M1:M122)))</f>
        <v>103.361176</v>
      </c>
      <c r="N127" s="42" cm="1">
        <f t="array" ref="N127">MAX(_xlfn._xlws.FILTER(N1:N122, ISNUMBER(N1:N122)))</f>
        <v>73.308075000000002</v>
      </c>
    </row>
    <row r="128" spans="1:14" x14ac:dyDescent="0.35">
      <c r="A128" s="2" t="s">
        <v>394</v>
      </c>
      <c r="B128" s="40" cm="1">
        <f t="array" ref="B128">MEDIAN(_xlfn._xlws.FILTER(B1:B122, ISNUMBER(B1:B122)))</f>
        <v>7.3292016999999996</v>
      </c>
      <c r="C128" s="40" cm="1">
        <f t="array" ref="C128">MEDIAN(_xlfn._xlws.FILTER(C1:C122, ISNUMBER(C1:C122)))</f>
        <v>3.7185073000000002</v>
      </c>
      <c r="D128" s="40" cm="1">
        <f t="array" ref="D128">MEDIAN(_xlfn._xlws.FILTER(D1:D122, ISNUMBER(D1:D122)))</f>
        <v>5.3344845999999997</v>
      </c>
      <c r="E128" s="40" cm="1">
        <f t="array" ref="E128">MEDIAN(_xlfn._xlws.FILTER(E1:E122, ISNUMBER(E1:E122)))</f>
        <v>4.1496515</v>
      </c>
      <c r="F128" s="40" cm="1">
        <f t="array" ref="F128">MEDIAN(_xlfn._xlws.FILTER(F1:F122, ISNUMBER(F1:F122)))</f>
        <v>8.1571940000000005</v>
      </c>
      <c r="G128" s="40" cm="1">
        <f t="array" ref="G128">MEDIAN(_xlfn._xlws.FILTER(G1:G122, ISNUMBER(G1:G122)))</f>
        <v>7.2103619999999999</v>
      </c>
      <c r="H128" s="40" cm="1">
        <f t="array" ref="H128">MEDIAN(_xlfn._xlws.FILTER(H1:H122, ISNUMBER(H1:H122)))</f>
        <v>0.83533524999999997</v>
      </c>
      <c r="I128" s="40" cm="1">
        <f t="array" ref="I128">MEDIAN(_xlfn._xlws.FILTER(I1:I122, ISNUMBER(I1:I122)))</f>
        <v>23.062574000000001</v>
      </c>
      <c r="J128" s="40" cm="1">
        <f t="array" ref="J128">MEDIAN(_xlfn._xlws.FILTER(J1:J122, ISNUMBER(J1:J122)))</f>
        <v>15.430355</v>
      </c>
      <c r="K128" s="40" cm="1">
        <f t="array" ref="K128">MEDIAN(_xlfn._xlws.FILTER(K1:K122, ISNUMBER(K1:K122)))</f>
        <v>3.5334587000000002</v>
      </c>
      <c r="L128" s="40" cm="1">
        <f t="array" ref="L128">MEDIAN(_xlfn._xlws.FILTER(L1:L122, ISNUMBER(L1:L122)))</f>
        <v>9.9524860000000004</v>
      </c>
      <c r="M128" s="40" cm="1">
        <f t="array" ref="M128">MEDIAN(_xlfn._xlws.FILTER(M1:M122, ISNUMBER(M1:M122)))</f>
        <v>1.9783735</v>
      </c>
      <c r="N128" s="40" cm="1">
        <f t="array" ref="N128">MEDIAN(_xlfn._xlws.FILTER(N1:N122, ISNUMBER(N1:N122)))</f>
        <v>1.5443206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20</v>
      </c>
      <c r="C130">
        <f>COUNTIF(C2:C122, "&lt;"&amp;Assumption!$F$50)</f>
        <v>19</v>
      </c>
      <c r="D130">
        <f>COUNTIF(D2:D122, "&lt;"&amp;Assumption!$F$50)</f>
        <v>21</v>
      </c>
      <c r="E130">
        <f>COUNTIF(E2:E122, "&lt;"&amp;Assumption!$F$50)</f>
        <v>30</v>
      </c>
      <c r="F130">
        <f>COUNTIF(F2:F122, "&lt;"&amp;Assumption!$F$50)</f>
        <v>15</v>
      </c>
      <c r="G130">
        <f>COUNTIF(G2:G122, "&lt;"&amp;Assumption!$F$50)</f>
        <v>12</v>
      </c>
      <c r="H130">
        <f>COUNTIF(H2:H122, "&lt;"&amp;Assumption!$F$50)</f>
        <v>21</v>
      </c>
      <c r="I130">
        <f>COUNTIF(I2:I122, "&lt;"&amp;Assumption!$F$50)</f>
        <v>9</v>
      </c>
      <c r="J130">
        <f>COUNTIF(J2:J122, "&lt;"&amp;Assumption!$F$50)</f>
        <v>8</v>
      </c>
      <c r="K130">
        <f>COUNTIF(K2:K122, "&lt;"&amp;Assumption!$F$50)</f>
        <v>17</v>
      </c>
      <c r="L130">
        <f>COUNTIF(L2:L122, "&lt;"&amp;Assumption!$F$50)</f>
        <v>13</v>
      </c>
      <c r="M130">
        <f>COUNTIF(M2:M122, "&lt;"&amp;Assumption!$F$50)</f>
        <v>23</v>
      </c>
      <c r="N130">
        <f>COUNTIF(N2:N122, "&lt;"&amp;Assumption!$F$50)</f>
        <v>35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0.16528925619834711</v>
      </c>
      <c r="C133" s="9">
        <f t="shared" si="2"/>
        <v>0.15702479338842976</v>
      </c>
      <c r="D133" s="9">
        <f t="shared" si="2"/>
        <v>0.17355371900826447</v>
      </c>
      <c r="E133" s="9">
        <f t="shared" si="2"/>
        <v>0.24793388429752067</v>
      </c>
      <c r="F133" s="9">
        <f t="shared" si="2"/>
        <v>0.12396694214876033</v>
      </c>
      <c r="G133" s="9">
        <f t="shared" si="2"/>
        <v>9.9173553719008267E-2</v>
      </c>
      <c r="H133" s="9">
        <f t="shared" si="2"/>
        <v>0.17355371900826447</v>
      </c>
      <c r="I133" s="9">
        <f t="shared" si="2"/>
        <v>7.43801652892562E-2</v>
      </c>
      <c r="J133" s="9">
        <f t="shared" si="2"/>
        <v>6.6115702479338845E-2</v>
      </c>
      <c r="K133" s="9">
        <f t="shared" ref="K133:N133" si="3">K130/K131</f>
        <v>0.14049586776859505</v>
      </c>
      <c r="L133" s="9">
        <f t="shared" si="3"/>
        <v>0.10743801652892562</v>
      </c>
      <c r="M133" s="9">
        <f t="shared" si="3"/>
        <v>0.19008264462809918</v>
      </c>
      <c r="N133" s="9">
        <f t="shared" si="3"/>
        <v>0.28925619834710742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0.50800000000000001</v>
      </c>
      <c r="C136" s="40" cm="1">
        <f t="array" ref="C136">_xlfn.PERCENTRANK.EXC(_xlfn._xlws.FILTER(C2:C122, ISNUMBER(C2:C122)),C120)</f>
        <v>0.86799999999999999</v>
      </c>
      <c r="D136" s="40" cm="1">
        <f t="array" ref="D136">_xlfn.PERCENTRANK.EXC(_xlfn._xlws.FILTER(D2:D122, ISNUMBER(D2:D122)),D120)</f>
        <v>0.84399999999999997</v>
      </c>
      <c r="E136" s="40" cm="1">
        <f t="array" ref="E136">_xlfn.PERCENTRANK.EXC(_xlfn._xlws.FILTER(E2:E122, ISNUMBER(E2:E122)),E120)</f>
        <v>0.70399999999999996</v>
      </c>
      <c r="F136" s="40" cm="1">
        <f t="array" ref="F136">_xlfn.PERCENTRANK.EXC(_xlfn._xlws.FILTER(F2:F122, ISNUMBER(F2:F122)),F120)</f>
        <v>0.81899999999999995</v>
      </c>
      <c r="G136" s="40" cm="1">
        <f t="array" ref="G136">_xlfn.PERCENTRANK.EXC(_xlfn._xlws.FILTER(G2:G122, ISNUMBER(G2:G122)),G120)</f>
        <v>0.68799999999999994</v>
      </c>
      <c r="H136" s="40" cm="1">
        <f t="array" ref="H136">_xlfn.PERCENTRANK.EXC(_xlfn._xlws.FILTER(H2:H122, ISNUMBER(H2:H122)),H120)</f>
        <v>0.88500000000000001</v>
      </c>
      <c r="I136" s="40" cm="1">
        <f t="array" ref="I136">_xlfn.PERCENTRANK.EXC(_xlfn._xlws.FILTER(I2:I122, ISNUMBER(I2:I122)),I120)</f>
        <v>0.71299999999999997</v>
      </c>
      <c r="J136" s="40" cm="1">
        <f t="array" ref="J136">_xlfn.PERCENTRANK.EXC(_xlfn._xlws.FILTER(J2:J122, ISNUMBER(J2:J122)),J120)</f>
        <v>0.877</v>
      </c>
      <c r="K136" s="40" cm="1">
        <f t="array" ref="K136">_xlfn.PERCENTRANK.EXC(_xlfn._xlws.FILTER(K2:K122, ISNUMBER(K2:K122)),K120)</f>
        <v>0.55700000000000005</v>
      </c>
      <c r="L136" s="40" cm="1">
        <f t="array" ref="L136">_xlfn.PERCENTRANK.EXC(_xlfn._xlws.FILTER(L2:L122, ISNUMBER(L2:L122)),L120)</f>
        <v>0.72099999999999997</v>
      </c>
      <c r="M136" s="40" cm="1">
        <f t="array" ref="M136">_xlfn.PERCENTRANK.EXC(_xlfn._xlws.FILTER(M2:M122, ISNUMBER(M2:M122)),M120)</f>
        <v>0.83599999999999997</v>
      </c>
      <c r="N136" s="40" cm="1">
        <f t="array" ref="N136">_xlfn.PERCENTRANK.EXC(_xlfn._xlws.FILTER(N2:N122, ISNUMBER(N2:N122)),N120)</f>
        <v>0.72099999999999997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0.70399999999999996</v>
      </c>
      <c r="C137" s="40" cm="1">
        <f t="array" ref="C137">_xlfn.PERCENTRANK.EXC(_xlfn._xlws.FILTER(C2:C122, ISNUMBER(C2:C122)),C121)</f>
        <v>0.90100000000000002</v>
      </c>
      <c r="D137" s="40" cm="1">
        <f t="array" ref="D137">_xlfn.PERCENTRANK.EXC(_xlfn._xlws.FILTER(D2:D122, ISNUMBER(D2:D122)),D121)</f>
        <v>0.82699999999999996</v>
      </c>
      <c r="E137" s="40" cm="1">
        <f t="array" ref="E137">_xlfn.PERCENTRANK.EXC(_xlfn._xlws.FILTER(E2:E122, ISNUMBER(E2:E122)),E121)</f>
        <v>0.83599999999999997</v>
      </c>
      <c r="F137" s="40" cm="1">
        <f t="array" ref="F137">_xlfn.PERCENTRANK.EXC(_xlfn._xlws.FILTER(F2:F122, ISNUMBER(F2:F122)),F121)</f>
        <v>0.60599999999999998</v>
      </c>
      <c r="G137" s="40" cm="1">
        <f t="array" ref="G137">_xlfn.PERCENTRANK.EXC(_xlfn._xlws.FILTER(G2:G122, ISNUMBER(G2:G122)),G121)</f>
        <v>0.77</v>
      </c>
      <c r="H137" s="40" cm="1">
        <f t="array" ref="H137">_xlfn.PERCENTRANK.EXC(_xlfn._xlws.FILTER(H2:H122, ISNUMBER(H2:H122)),H121)</f>
        <v>0.86799999999999999</v>
      </c>
      <c r="I137" s="40" cm="1">
        <f t="array" ref="I137">_xlfn.PERCENTRANK.EXC(_xlfn._xlws.FILTER(I2:I122, ISNUMBER(I2:I122)),I121)</f>
        <v>0.60599999999999998</v>
      </c>
      <c r="J137" s="40" cm="1">
        <f t="array" ref="J137">_xlfn.PERCENTRANK.EXC(_xlfn._xlws.FILTER(J2:J122, ISNUMBER(J2:J122)),J121)</f>
        <v>0.88500000000000001</v>
      </c>
      <c r="K137" s="40" cm="1">
        <f t="array" ref="K137">_xlfn.PERCENTRANK.EXC(_xlfn._xlws.FILTER(K2:K122, ISNUMBER(K2:K122)),K121)</f>
        <v>0.61399999999999999</v>
      </c>
      <c r="L137" s="40" cm="1">
        <f t="array" ref="L137">_xlfn.PERCENTRANK.EXC(_xlfn._xlws.FILTER(L2:L122, ISNUMBER(L2:L122)),L121)</f>
        <v>0.80300000000000005</v>
      </c>
      <c r="M137" s="40" cm="1">
        <f t="array" ref="M137">_xlfn.PERCENTRANK.EXC(_xlfn._xlws.FILTER(M2:M122, ISNUMBER(M2:M122)),M121)</f>
        <v>0.91800000000000004</v>
      </c>
      <c r="N137" s="40" cm="1">
        <f t="array" ref="N137">_xlfn.PERCENTRANK.EXC(_xlfn._xlws.FILTER(N2:N122, ISNUMBER(N2:N122)),N121)</f>
        <v>0.77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0.79500000000000004</v>
      </c>
      <c r="C138" s="40" cm="1">
        <f t="array" ref="C138">_xlfn.PERCENTRANK.EXC(_xlfn._xlws.FILTER(C2:C122, ISNUMBER(C2:C122)),C122)</f>
        <v>0.93400000000000005</v>
      </c>
      <c r="D138" s="40" cm="1">
        <f t="array" ref="D138">_xlfn.PERCENTRANK.EXC(_xlfn._xlws.FILTER(D2:D122, ISNUMBER(D2:D122)),D122)</f>
        <v>0.90100000000000002</v>
      </c>
      <c r="E138" s="40" cm="1">
        <f t="array" ref="E138">_xlfn.PERCENTRANK.EXC(_xlfn._xlws.FILTER(E2:E122, ISNUMBER(E2:E122)),E122)</f>
        <v>0.95899999999999996</v>
      </c>
      <c r="F138" s="40" cm="1">
        <f t="array" ref="F138">_xlfn.PERCENTRANK.EXC(_xlfn._xlws.FILTER(F2:F122, ISNUMBER(F2:F122)),F122)</f>
        <v>0.90100000000000002</v>
      </c>
      <c r="G138" s="40" cm="1">
        <f t="array" ref="G138">_xlfn.PERCENTRANK.EXC(_xlfn._xlws.FILTER(G2:G122, ISNUMBER(G2:G122)),G122)</f>
        <v>0.90100000000000002</v>
      </c>
      <c r="H138" s="40" cm="1">
        <f t="array" ref="H138">_xlfn.PERCENTRANK.EXC(_xlfn._xlws.FILTER(H2:H122, ISNUMBER(H2:H122)),H122)</f>
        <v>0.91800000000000004</v>
      </c>
      <c r="I138" s="40" cm="1">
        <f t="array" ref="I138">_xlfn.PERCENTRANK.EXC(_xlfn._xlws.FILTER(I2:I122, ISNUMBER(I2:I122)),I122)</f>
        <v>0.81899999999999995</v>
      </c>
      <c r="J138" s="40" cm="1">
        <f t="array" ref="J138">_xlfn.PERCENTRANK.EXC(_xlfn._xlws.FILTER(J2:J122, ISNUMBER(J2:J122)),J122)</f>
        <v>0.96699999999999997</v>
      </c>
      <c r="K138" s="40" cm="1">
        <f t="array" ref="K138">_xlfn.PERCENTRANK.EXC(_xlfn._xlws.FILTER(K2:K122, ISNUMBER(K2:K122)),K122)</f>
        <v>0.72099999999999997</v>
      </c>
      <c r="L138" s="40" cm="1">
        <f t="array" ref="L138">_xlfn.PERCENTRANK.EXC(_xlfn._xlws.FILTER(L2:L122, ISNUMBER(L2:L122)),L122)</f>
        <v>0.88500000000000001</v>
      </c>
      <c r="M138" s="40" cm="1">
        <f t="array" ref="M138">_xlfn.PERCENTRANK.EXC(_xlfn._xlws.FILTER(M2:M122, ISNUMBER(M2:M122)),M122)</f>
        <v>0.92600000000000005</v>
      </c>
      <c r="N138" s="40" cm="1">
        <f t="array" ref="N138">_xlfn.PERCENTRANK.EXC(_xlfn._xlws.FILTER(N2:N122, ISNUMBER(N2:N122)),N122)</f>
        <v>0.86799999999999999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0.66900000000000004</v>
      </c>
      <c r="C140" s="40">
        <f t="shared" si="4"/>
        <v>0.90100000000000013</v>
      </c>
      <c r="D140" s="40">
        <f t="shared" si="4"/>
        <v>0.85733333333333339</v>
      </c>
      <c r="E140" s="40">
        <f t="shared" si="4"/>
        <v>0.83300000000000007</v>
      </c>
      <c r="F140" s="40">
        <f t="shared" si="4"/>
        <v>0.77533333333333321</v>
      </c>
      <c r="G140" s="40">
        <f t="shared" si="4"/>
        <v>0.78633333333333333</v>
      </c>
      <c r="H140" s="40">
        <f t="shared" si="4"/>
        <v>0.89033333333333342</v>
      </c>
      <c r="I140" s="40">
        <f t="shared" si="4"/>
        <v>0.71266666666666667</v>
      </c>
      <c r="J140" s="40">
        <f t="shared" si="4"/>
        <v>0.90966666666666673</v>
      </c>
      <c r="K140" s="40">
        <f t="shared" ref="K140:N140" si="5">AVERAGE(K136:K138)</f>
        <v>0.6306666666666666</v>
      </c>
      <c r="L140" s="40">
        <f t="shared" si="5"/>
        <v>0.80299999999999994</v>
      </c>
      <c r="M140" s="40">
        <f t="shared" si="5"/>
        <v>0.89333333333333342</v>
      </c>
      <c r="N140" s="40">
        <f t="shared" si="5"/>
        <v>0.78633333333333333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2.2473256352981301</v>
      </c>
      <c r="C17">
        <v>1.3179969844239301</v>
      </c>
      <c r="D17">
        <v>2.0689557982431301</v>
      </c>
      <c r="E17">
        <v>2.0881582969700099</v>
      </c>
      <c r="F17">
        <v>4.0763824705400697</v>
      </c>
      <c r="G17">
        <v>2.2808425238276202</v>
      </c>
      <c r="H17">
        <v>2.5350927063705502</v>
      </c>
      <c r="I17">
        <v>9.3523186181100009</v>
      </c>
      <c r="J17">
        <v>17.729435576752199</v>
      </c>
      <c r="K17">
        <v>2.1970597067867201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1.9852261665465201</v>
      </c>
      <c r="C18">
        <v>1.26256164128892</v>
      </c>
      <c r="D18">
        <v>1.9523429653106701</v>
      </c>
      <c r="E18">
        <v>1.98003612030208</v>
      </c>
      <c r="F18">
        <v>3.6778955695063602</v>
      </c>
      <c r="G18">
        <v>2.3686407868237098</v>
      </c>
      <c r="H18">
        <v>2.0353592344840301</v>
      </c>
      <c r="I18">
        <v>10.426078419994299</v>
      </c>
      <c r="J18">
        <v>16.6617704734143</v>
      </c>
      <c r="K18">
        <v>1.8510975044873099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1.8209369089118099</v>
      </c>
      <c r="C19">
        <v>1.41909398824033</v>
      </c>
      <c r="D19">
        <v>2.6588130081685701</v>
      </c>
      <c r="E19">
        <v>2.4494459059837599</v>
      </c>
      <c r="F19">
        <v>4.6161386957606796</v>
      </c>
      <c r="G19">
        <v>2.66234515884581</v>
      </c>
      <c r="H19">
        <v>2.7145545164983602</v>
      </c>
      <c r="I19">
        <v>13.640269815163901</v>
      </c>
      <c r="J19">
        <v>22.276701045882</v>
      </c>
      <c r="K19">
        <v>2.4608174872531499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2.1103784337403799</v>
      </c>
      <c r="C20">
        <v>1.5685033677051301</v>
      </c>
      <c r="D20">
        <v>2.7437140216779898</v>
      </c>
      <c r="E20">
        <v>2.3638684012565601</v>
      </c>
      <c r="F20">
        <v>4.4608955609159597</v>
      </c>
      <c r="G20">
        <v>2.5838872063229701</v>
      </c>
      <c r="H20">
        <v>3.1278508503090099</v>
      </c>
      <c r="I20">
        <v>12.7503134076109</v>
      </c>
      <c r="J20">
        <v>22.968710553754502</v>
      </c>
      <c r="K20">
        <v>2.80266519059803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2.1110661944484499</v>
      </c>
      <c r="C21">
        <v>1.47895581929429</v>
      </c>
      <c r="D21">
        <v>2.6777089727063799</v>
      </c>
      <c r="E21">
        <v>2.6563617282417602</v>
      </c>
      <c r="F21">
        <v>4.5667320288081603</v>
      </c>
      <c r="G21">
        <v>2.8647085842717601</v>
      </c>
      <c r="H21">
        <v>3.0029399050437098</v>
      </c>
      <c r="I21">
        <v>16.325735645340298</v>
      </c>
      <c r="J21">
        <v>24.345268158817699</v>
      </c>
      <c r="K21">
        <v>2.9207046794115401</v>
      </c>
      <c r="L21">
        <v>2.9566812259382398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-9.3828156139095231E-3</v>
      </c>
      <c r="C25" s="48" cm="1">
        <f t="array" ref="C25">(C21/INDEX(C2:C21,MATCH(TRUE,INDEX(ISNUMBER(C2:C21),0),0)))^(1/C23)-1</f>
        <v>1.1174820218081027E-2</v>
      </c>
      <c r="D25" s="48" cm="1">
        <f t="array" ref="D25">(D21/INDEX(D2:D21,MATCH(TRUE,INDEX(ISNUMBER(D2:D21),0),0)))^(1/D23)-1</f>
        <v>4.0814241598043699E-2</v>
      </c>
      <c r="E25" s="48" cm="1">
        <f t="array" ref="E25">(E21/INDEX(E2:E21,MATCH(TRUE,INDEX(ISNUMBER(E2:E21),0),0)))^(1/E23)-1</f>
        <v>2.8283094678403842E-2</v>
      </c>
      <c r="F25" s="48" cm="1">
        <f t="array" ref="F25">(F21/INDEX(F2:F21,MATCH(TRUE,INDEX(ISNUMBER(F2:F21),0),0)))^(1/F23)-1</f>
        <v>2.4111183294471816E-2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3.714974898957335E-3</v>
      </c>
      <c r="I25" s="48" cm="1">
        <f t="array" ref="I25">(I21/INDEX(I2:I21,MATCH(TRUE,INDEX(ISNUMBER(I2:I21),0),0)))^(1/I23)-1</f>
        <v>0.12989456714169711</v>
      </c>
      <c r="J25" s="48" cm="1">
        <f t="array" ref="J25">(J21/INDEX(J2:J21,MATCH(TRUE,INDEX(ISNUMBER(J2:J21),0),0)))^(1/J23)-1</f>
        <v>5.9885244145746919E-2</v>
      </c>
      <c r="K25" s="48" cm="1">
        <f t="array" ref="K25">(K21/INDEX(K2:K21,MATCH(TRUE,INDEX(ISNUMBER(K2:K21),0),0)))^(1/K23)-1</f>
        <v>1.8533351250322294E-2</v>
      </c>
      <c r="L25" s="48" cm="1">
        <f t="array" ref="L25">(L21/INDEX(L2:L21,MATCH(TRUE,INDEX(ISNUMBER(L2:L21),0),0)))^(1/L23)-1</f>
        <v>3.4820198321761975E-2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1.6473107</v>
      </c>
      <c r="E3" cm="1">
        <f t="array" ref="E3">_xll.FDSB(B3,"FG_PRICE_CHANGE(0,-1AY)")</f>
        <v>-3.3852280000000001</v>
      </c>
      <c r="F3" cm="1">
        <f t="array" ref="F3">_xll.FDSB(B3,"FG_PRICE_CHANGE(0,-1AM)")</f>
        <v>2.2568106999999999</v>
      </c>
      <c r="G3" cm="1">
        <f t="array" ref="G3">_xll.FDSB(B3,"FG_PRICE_CHANGE(0,-3AM)")</f>
        <v>2.4700165E-2</v>
      </c>
      <c r="H3" cm="1">
        <f t="array" ref="H3">_xll.FDSB(B3,"FG_PRICE_CHANGE(0,-6AM)")</f>
        <v>-2.5780439999999998</v>
      </c>
      <c r="I3" cm="1">
        <f t="array" ref="I3">_xll.FDS(B3,"STD(FG_PRICE_CHANGE(0,-1AY,AM))")</f>
        <v>2.1709921186752399</v>
      </c>
      <c r="J3" cm="1">
        <f t="array" ref="J3">_xll.FDS(B3,"STD(FG_PRICE_CHANGE(0,-3AY,M))")*SQRT(12)</f>
        <v>12.473274600440492</v>
      </c>
      <c r="L3">
        <f>(1-(_xlfn.PERCENTRANK.EXC($F$3:$F$15,F3)))*100</f>
        <v>50</v>
      </c>
      <c r="M3">
        <f>(1-(_xlfn.PERCENTRANK.EXC($G$3:$G$15,G3)))*100</f>
        <v>35.799999999999997</v>
      </c>
      <c r="N3">
        <f>(1-(_xlfn.PERCENTRANK.EXC($H$3:$H$15,H3)))*100</f>
        <v>50</v>
      </c>
      <c r="O3">
        <f>SUMPRODUCT($L$1:$N$1,L3:N3)</f>
        <v>44.32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25.739999999999995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1.4910908</v>
      </c>
      <c r="E4" cm="1">
        <f t="array" ref="E4">_xll.FDSB(B4,"FG_PRICE_CHANGE(0,-1AY)")</f>
        <v>-5.4126620000000001</v>
      </c>
      <c r="F4" cm="1">
        <f t="array" ref="F4">_xll.FDSB(B4,"FG_PRICE_CHANGE(0,-1AM)")</f>
        <v>0.92447995999999999</v>
      </c>
      <c r="G4" cm="1">
        <f t="array" ref="G4">_xll.FDSB(B4,"FG_PRICE_CHANGE(0,-3AM)")</f>
        <v>0.41005609999999998</v>
      </c>
      <c r="H4" cm="1">
        <f t="array" ref="H4">_xll.FDSB(B4,"FG_PRICE_CHANGE(0,-6AM)")</f>
        <v>-4.0632190000000001</v>
      </c>
      <c r="I4" cm="1">
        <f t="array" ref="I4">_xll.FDS(B4,"STD(FG_PRICE_CHANGE(0,-1AY,AM))")</f>
        <v>1.98131805496393</v>
      </c>
      <c r="J4" cm="1">
        <f t="array" ref="J4">_xll.FDS(B4,"STD(FG_PRICE_CHANGE(0,-3AY,M))")*SQRT(12)</f>
        <v>10.952512833738925</v>
      </c>
      <c r="L4">
        <f t="shared" ref="L4:L15" si="1">(1-(_xlfn.PERCENTRANK.EXC($F$3:$F$15,F4)))*100</f>
        <v>71.500000000000014</v>
      </c>
      <c r="M4">
        <f t="shared" ref="M4:M15" si="2">(1-(_xlfn.PERCENTRANK.EXC($G$3:$G$15,G4)))*100</f>
        <v>28.6</v>
      </c>
      <c r="N4">
        <f t="shared" ref="N4:N15" si="3">(1-(_xlfn.PERCENTRANK.EXC($H$3:$H$15,H4)))*100</f>
        <v>71.500000000000014</v>
      </c>
      <c r="O4">
        <f t="shared" ref="O4:O11" si="4">SUMPRODUCT($L$1:$N$1,L4:N4)</f>
        <v>54.340000000000018</v>
      </c>
      <c r="P4">
        <f t="shared" ref="P4:P15" si="5">100- (_xlfn.PERCENTRANK.EXC($J$3:$J$15,J4)*100)</f>
        <v>21.5</v>
      </c>
      <c r="Q4">
        <f>VLOOKUP(A4,CAD!$A$3:$J$15, 10, FALSE)</f>
        <v>42.8</v>
      </c>
      <c r="S4">
        <f t="shared" si="0"/>
        <v>42.180000000000014</v>
      </c>
      <c r="U4" cm="1">
        <f t="array" ref="U4">_xlfn.PERCENTRANK.EXC(_xlfn._xlws.FILTER(S$3:S$15, ISNUMBER(S$3:S$15)),S4)*100</f>
        <v>21.4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1.3805000000000001</v>
      </c>
      <c r="E5" cm="1">
        <f t="array" ref="E5">_xll.FDSB(B5,"FG_PRICE_CHANGE(0,-1AY)")</f>
        <v>0.82896950000000003</v>
      </c>
      <c r="F5" cm="1">
        <f t="array" ref="F5">_xll.FDSB(B5,"FG_PRICE_CHANGE(0,-1AM)")</f>
        <v>1.5409470000000001</v>
      </c>
      <c r="G5" cm="1">
        <f t="array" ref="G5">_xll.FDSB(B5,"FG_PRICE_CHANGE(0,-3AM)")</f>
        <v>0.85844993999999997</v>
      </c>
      <c r="H5" cm="1">
        <f t="array" ref="H5">_xll.FDSB(B5,"FG_PRICE_CHANGE(0,-6AM)")</f>
        <v>0.35984516</v>
      </c>
      <c r="I5" cm="1">
        <f t="array" ref="I5">_xll.FDS(B5,"STD(FG_PRICE_CHANGE(0,-1AY,AM))")</f>
        <v>1.1737058488630601</v>
      </c>
      <c r="J5" cm="1">
        <f t="array" ref="J5">_xll.FDS(B5,"STD(FG_PRICE_CHANGE(0,-3AY,M))")*SQRT(12)</f>
        <v>6.3538238934881157</v>
      </c>
      <c r="L5">
        <f t="shared" si="1"/>
        <v>57.2</v>
      </c>
      <c r="M5">
        <f t="shared" si="2"/>
        <v>7.1999999999999957</v>
      </c>
      <c r="N5">
        <f t="shared" si="3"/>
        <v>7.1999999999999957</v>
      </c>
      <c r="O5">
        <f t="shared" si="4"/>
        <v>17.2</v>
      </c>
      <c r="P5">
        <f t="shared" si="5"/>
        <v>71.5</v>
      </c>
      <c r="Q5">
        <f>VLOOKUP(A5,CAD!$A$3:$J$15, 10, FALSE)</f>
        <v>35.699999999999996</v>
      </c>
      <c r="S5">
        <f t="shared" si="0"/>
        <v>37.19</v>
      </c>
      <c r="U5" cm="1">
        <f t="array" ref="U5">_xlfn.PERCENTRANK.EXC(_xlfn._xlws.FILTER(S$3:S$15, ISNUMBER(S$3:S$15)),S5)*100</f>
        <v>14.2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0.92102236000000004</v>
      </c>
      <c r="E6" cm="1">
        <f t="array" ref="E6">_xll.FDSB(B6,"FG_PRICE_CHANGE(0,-1AY)")</f>
        <v>-2.938062</v>
      </c>
      <c r="F6" cm="1">
        <f t="array" ref="F6">_xll.FDSB(B6,"FG_PRICE_CHANGE(0,-1AM)")</f>
        <v>2.3992657999999998</v>
      </c>
      <c r="G6" cm="1">
        <f t="array" ref="G6">_xll.FDSB(B6,"FG_PRICE_CHANGE(0,-3AM)")</f>
        <v>0.52958727000000005</v>
      </c>
      <c r="H6" cm="1">
        <f t="array" ref="H6">_xll.FDSB(B6,"FG_PRICE_CHANGE(0,-6AM)")</f>
        <v>-1.8604636000000001</v>
      </c>
      <c r="I6" cm="1">
        <f t="array" ref="I6">_xll.FDS(B6,"STD(FG_PRICE_CHANGE(0,-1AY,AM))")</f>
        <v>1.6926053804747401</v>
      </c>
      <c r="J6" cm="1">
        <f t="array" ref="J6">_xll.FDS(B6,"STD(FG_PRICE_CHANGE(0,-3AY,M))")*SQRT(12)</f>
        <v>7.5230849582827322</v>
      </c>
      <c r="L6">
        <f t="shared" si="1"/>
        <v>28.6</v>
      </c>
      <c r="M6">
        <f t="shared" si="2"/>
        <v>21.499999999999996</v>
      </c>
      <c r="N6">
        <f t="shared" si="3"/>
        <v>42.900000000000006</v>
      </c>
      <c r="O6">
        <f t="shared" si="4"/>
        <v>31.480000000000004</v>
      </c>
      <c r="P6">
        <f t="shared" si="5"/>
        <v>64.300000000000011</v>
      </c>
      <c r="Q6">
        <f>VLOOKUP(A6,CAD!$A$3:$J$15, 10, FALSE)</f>
        <v>78.5</v>
      </c>
      <c r="S6">
        <f t="shared" si="0"/>
        <v>50.730000000000004</v>
      </c>
      <c r="U6" cm="1">
        <f t="array" ref="U6">_xlfn.PERCENTRANK.EXC(_xlfn._xlws.FILTER(S$3:S$15, ISNUMBER(S$3:S$15)),S6)*100</f>
        <v>50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149.60499999999999</v>
      </c>
      <c r="E7" cm="1">
        <f t="array" ref="E7">_xll.FDSB(B7,"FG_PRICE_CHANGE(0,-1AY)")</f>
        <v>-0.113505125</v>
      </c>
      <c r="F7" cm="1">
        <f t="array" ref="F7">_xll.FDSB(B7,"FG_PRICE_CHANGE(0,-1AM)")</f>
        <v>5.3407907000000003</v>
      </c>
      <c r="G7" cm="1">
        <f t="array" ref="G7">_xll.FDSB(B7,"FG_PRICE_CHANGE(0,-3AM)")</f>
        <v>-4.5673490000000001</v>
      </c>
      <c r="H7" cm="1">
        <f t="array" ref="H7">_xll.FDSB(B7,"FG_PRICE_CHANGE(0,-6AM)")</f>
        <v>-3.2465695999999999</v>
      </c>
      <c r="I7" cm="1">
        <f t="array" ref="I7">_xll.FDS(B7,"STD(FG_PRICE_CHANGE(0,-1AY,AM))")</f>
        <v>3.27428417426272</v>
      </c>
      <c r="J7" cm="1">
        <f t="array" ref="J7">_xll.FDS(B7,"STD(FG_PRICE_CHANGE(0,-3AY,M))")*SQRT(12)</f>
        <v>11.700505672378897</v>
      </c>
      <c r="L7">
        <f t="shared" si="1"/>
        <v>7.1999999999999957</v>
      </c>
      <c r="M7">
        <f t="shared" si="2"/>
        <v>92.9</v>
      </c>
      <c r="N7">
        <f t="shared" si="3"/>
        <v>57.2</v>
      </c>
      <c r="O7">
        <f t="shared" si="4"/>
        <v>61.480000000000004</v>
      </c>
      <c r="P7">
        <f t="shared" si="5"/>
        <v>14.299999999999997</v>
      </c>
      <c r="Q7">
        <f>VLOOKUP(A7,CAD!$A$3:$J$15, 10, FALSE)</f>
        <v>64.2</v>
      </c>
      <c r="S7">
        <f t="shared" si="0"/>
        <v>47.870000000000005</v>
      </c>
      <c r="U7" cm="1">
        <f t="array" ref="U7">_xlfn.PERCENTRANK.EXC(_xlfn._xlws.FILTER(S$3:S$15, ISNUMBER(S$3:S$15)),S7)*100</f>
        <v>35.699999999999996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0.86529999999999996</v>
      </c>
      <c r="E8" cm="1">
        <f t="array" ref="E8">_xll.FDSB(B8,"FG_PRICE_CHANGE(0,-1AY)")</f>
        <v>-3.6360621000000002</v>
      </c>
      <c r="F8" cm="1">
        <f t="array" ref="F8">_xll.FDSB(B8,"FG_PRICE_CHANGE(0,-1AM)")</f>
        <v>2.2994637</v>
      </c>
      <c r="G8" cm="1">
        <f t="array" ref="G8">_xll.FDSB(B8,"FG_PRICE_CHANGE(0,-3AM)")</f>
        <v>-2.1319925999999998</v>
      </c>
      <c r="H8" cm="1">
        <f t="array" ref="H8">_xll.FDSB(B8,"FG_PRICE_CHANGE(0,-6AM)")</f>
        <v>-5.1310180000000001</v>
      </c>
      <c r="I8" cm="1">
        <f t="array" ref="I8">_xll.FDS(B8,"STD(FG_PRICE_CHANGE(0,-1AY,AM))")</f>
        <v>1.7650984696341701</v>
      </c>
      <c r="J8" cm="1">
        <f t="array" ref="J8">_xll.FDS(B8,"STD(FG_PRICE_CHANGE(0,-3AY,M))")*SQRT(12)</f>
        <v>8.5104461616916627</v>
      </c>
      <c r="L8">
        <f t="shared" si="1"/>
        <v>42.900000000000006</v>
      </c>
      <c r="M8">
        <f t="shared" si="2"/>
        <v>85.8</v>
      </c>
      <c r="N8">
        <f t="shared" si="3"/>
        <v>92.9</v>
      </c>
      <c r="O8">
        <f t="shared" si="4"/>
        <v>80.06</v>
      </c>
      <c r="P8">
        <f t="shared" si="5"/>
        <v>42.900000000000006</v>
      </c>
      <c r="Q8">
        <f>VLOOKUP(A8,CAD!$A$3:$J$15, 10, FALSE)</f>
        <v>85.7</v>
      </c>
      <c r="S8">
        <f t="shared" si="0"/>
        <v>70.040000000000006</v>
      </c>
      <c r="U8" cm="1">
        <f t="array" ref="U8">_xlfn.PERCENTRANK.EXC(_xlfn._xlws.FILTER(S$3:S$15, ISNUMBER(S$3:S$15)),S8)*100</f>
        <v>92.800000000000011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0.76707700000000001</v>
      </c>
      <c r="E9" cm="1">
        <f t="array" ref="E9">_xll.FDSB(B9,"FG_PRICE_CHANGE(0,-1AY)")</f>
        <v>-6.8308233999999999</v>
      </c>
      <c r="F9" cm="1">
        <f t="array" ref="F9">_xll.FDSB(B9,"FG_PRICE_CHANGE(0,-1AM)")</f>
        <v>1.3423799999999999</v>
      </c>
      <c r="G9" cm="1">
        <f t="array" ref="G9">_xll.FDSB(B9,"FG_PRICE_CHANGE(0,-3AM)")</f>
        <v>-0.44874550000000002</v>
      </c>
      <c r="H9" cm="1">
        <f t="array" ref="H9">_xll.FDSB(B9,"FG_PRICE_CHANGE(0,-6AM)")</f>
        <v>-4.5334279999999998</v>
      </c>
      <c r="I9" cm="1">
        <f t="array" ref="I9">_xll.FDS(B9,"STD(FG_PRICE_CHANGE(0,-1AY,AM))")</f>
        <v>1.68467843110032</v>
      </c>
      <c r="J9" cm="1">
        <f t="array" ref="J9">_xll.FDS(B9,"STD(FG_PRICE_CHANGE(0,-3AY,M))")*SQRT(12)</f>
        <v>8.2808375226256974</v>
      </c>
      <c r="L9">
        <f t="shared" si="1"/>
        <v>64.3</v>
      </c>
      <c r="M9">
        <f t="shared" si="2"/>
        <v>71.500000000000014</v>
      </c>
      <c r="N9">
        <f t="shared" si="3"/>
        <v>78.600000000000009</v>
      </c>
      <c r="O9">
        <f>SUMPRODUCT($L$1:$N$1,L9:N9)</f>
        <v>72.900000000000006</v>
      </c>
      <c r="P9">
        <f t="shared" si="5"/>
        <v>50</v>
      </c>
      <c r="Q9">
        <f>VLOOKUP(A9,CAD!$A$3:$J$15, 10, FALSE)</f>
        <v>28.499999999999996</v>
      </c>
      <c r="S9">
        <f t="shared" si="0"/>
        <v>57.150000000000006</v>
      </c>
      <c r="U9" cm="1">
        <f t="array" ref="U9">_xlfn.PERCENTRANK.EXC(_xlfn._xlws.FILTER(S$3:S$15, ISNUMBER(S$3:S$15)),S9)*100</f>
        <v>57.099999999999994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92.9</v>
      </c>
      <c r="M10">
        <f t="shared" si="2"/>
        <v>57.2</v>
      </c>
      <c r="N10">
        <f t="shared" si="3"/>
        <v>28.6</v>
      </c>
      <c r="O10">
        <f t="shared" si="4"/>
        <v>52.900000000000006</v>
      </c>
      <c r="P10">
        <f t="shared" si="5"/>
        <v>92.9</v>
      </c>
      <c r="Q10">
        <f>VLOOKUP(A10,CAD!$A$3:$J$15, 10, FALSE)</f>
        <v>14.2</v>
      </c>
      <c r="S10">
        <f t="shared" si="0"/>
        <v>57.160000000000011</v>
      </c>
      <c r="U10" cm="1">
        <f t="array" ref="U10">_xlfn.PERCENTRANK.EXC(_xlfn._xlws.FILTER(S$3:S$15, ISNUMBER(S$3:S$15)),S10)*100</f>
        <v>64.2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92.9</v>
      </c>
      <c r="M11">
        <f t="shared" si="2"/>
        <v>57.2</v>
      </c>
      <c r="N11">
        <f t="shared" si="3"/>
        <v>28.6</v>
      </c>
      <c r="O11">
        <f t="shared" si="4"/>
        <v>52.900000000000006</v>
      </c>
      <c r="P11">
        <f t="shared" si="5"/>
        <v>92.9</v>
      </c>
      <c r="Q11">
        <f>VLOOKUP(A11,CAD!$A$3:$J$15, 10, FALSE)</f>
        <v>14.2</v>
      </c>
      <c r="S11">
        <f t="shared" si="0"/>
        <v>57.160000000000011</v>
      </c>
      <c r="U11" cm="1">
        <f t="array" ref="U11">_xlfn.PERCENTRANK.EXC(_xlfn._xlws.FILTER(S$3:S$15, ISNUMBER(S$3:S$15)),S11)*100</f>
        <v>64.2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0.86529999999999996</v>
      </c>
      <c r="E12" cm="1">
        <f t="array" ref="E12">_xll.FDSB(B12,"FG_PRICE_CHANGE(0,-1AY)")</f>
        <v>-3.6360621000000002</v>
      </c>
      <c r="F12" cm="1">
        <f t="array" ref="F12">_xll.FDSB(B12,"FG_PRICE_CHANGE(0,-1AM)")</f>
        <v>2.2994637</v>
      </c>
      <c r="G12" cm="1">
        <f t="array" ref="G12">_xll.FDSB(B12,"FG_PRICE_CHANGE(0,-3AM)")</f>
        <v>-2.1319925999999998</v>
      </c>
      <c r="H12" cm="1">
        <f t="array" ref="H12">_xll.FDSB(B12,"FG_PRICE_CHANGE(0,-6AM)")</f>
        <v>-5.1310180000000001</v>
      </c>
      <c r="I12" cm="1">
        <f t="array" ref="I12">_xll.FDS(B12,"STD(FG_PRICE_CHANGE(0,-1AY,AM))")</f>
        <v>1.7650984696341701</v>
      </c>
      <c r="J12" cm="1">
        <f t="array" ref="J12">_xll.FDS(B12,"STD(FG_PRICE_CHANGE(0,-3AY,M))")*SQRT(12)</f>
        <v>8.5104461616916627</v>
      </c>
      <c r="L12">
        <f t="shared" si="1"/>
        <v>42.900000000000006</v>
      </c>
      <c r="M12">
        <f t="shared" si="2"/>
        <v>85.8</v>
      </c>
      <c r="N12">
        <f t="shared" si="3"/>
        <v>92.9</v>
      </c>
      <c r="O12">
        <f t="shared" ref="O12:O15" si="6">SUMPRODUCT($L$1:$N$1,L12:N12)</f>
        <v>80.06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62.900000000000006</v>
      </c>
      <c r="U12" cm="1">
        <f t="array" ref="U12">_xlfn.PERCENTRANK.EXC(_xlfn._xlws.FILTER(S$3:S$15, ISNUMBER(S$3:S$15)),S12)*100</f>
        <v>78.5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92.9</v>
      </c>
      <c r="M13" s="183">
        <f t="shared" si="2"/>
        <v>57.2</v>
      </c>
      <c r="N13" s="183">
        <f t="shared" si="3"/>
        <v>28.6</v>
      </c>
      <c r="O13" s="183">
        <f t="shared" si="6"/>
        <v>52.900000000000006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68.59</v>
      </c>
      <c r="U13" s="183" cm="1">
        <f t="array" ref="U13">_xlfn.PERCENTRANK.EXC(_xlfn._xlws.FILTER(S$3:S$15, ISNUMBER(S$3:S$15)),S13)*100</f>
        <v>85.7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10.535550000000001</v>
      </c>
      <c r="E14" cm="1">
        <f t="array" ref="E14">_xll.FDSB(B14,"FG_PRICE_CHANGE(0,-1AY)")</f>
        <v>-4.4377269999999998</v>
      </c>
      <c r="F14" cm="1">
        <f t="array" ref="F14">_xll.FDSB(B14,"FG_PRICE_CHANGE(0,-1AM)")</f>
        <v>3.313005</v>
      </c>
      <c r="G14" cm="1">
        <f t="array" ref="G14">_xll.FDSB(B14,"FG_PRICE_CHANGE(0,-3AM)")</f>
        <v>-0.190413</v>
      </c>
      <c r="H14" cm="1">
        <f t="array" ref="H14">_xll.FDSB(B14,"FG_PRICE_CHANGE(0,-6AM)")</f>
        <v>-3.7084280999999999</v>
      </c>
      <c r="I14" cm="1">
        <f t="array" ref="I14">_xll.FDS(B14,"STD(FG_PRICE_CHANGE(0,-1AY,AM))")</f>
        <v>2.7786342429240398</v>
      </c>
      <c r="J14" cm="1">
        <f t="array" ref="J14">_xll.FDS(B14,"STD(FG_PRICE_CHANGE(0,-3AY,M))")*SQRT(12)</f>
        <v>10.727926343788484</v>
      </c>
      <c r="L14">
        <f t="shared" si="1"/>
        <v>14.3</v>
      </c>
      <c r="M14">
        <f t="shared" si="2"/>
        <v>64.3</v>
      </c>
      <c r="N14">
        <f t="shared" si="3"/>
        <v>64.3</v>
      </c>
      <c r="O14">
        <f t="shared" si="6"/>
        <v>54.3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50.010000000000005</v>
      </c>
      <c r="U14" cm="1">
        <f t="array" ref="U14">_xlfn.PERCENTRANK.EXC(_xlfn._xlws.FILTER(S$3:S$15, ISNUMBER(S$3:S$15)),S14)*100</f>
        <v>42.8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1783.3479</v>
      </c>
      <c r="E15" cm="1">
        <f t="array" ref="E15">_xll.FDSB(B15,"FG_PRICE_CHANGE(0,-1AY)")</f>
        <v>-2.938062</v>
      </c>
      <c r="F15" cm="1">
        <f t="array" ref="F15">_xll.FDSB(B15,"FG_PRICE_CHANGE(0,-1AM)")</f>
        <v>2.3992657999999998</v>
      </c>
      <c r="G15" cm="1">
        <f t="array" ref="G15">_xll.FDSB(B15,"FG_PRICE_CHANGE(0,-3AM)")</f>
        <v>0.52958727000000005</v>
      </c>
      <c r="H15" cm="1">
        <f t="array" ref="H15">_xll.FDSB(B15,"FG_PRICE_CHANGE(0,-6AM)")</f>
        <v>-1.8604636000000001</v>
      </c>
      <c r="I15" cm="1">
        <f t="array" ref="I15">_xll.FDS(B15,"STD(FG_PRICE_CHANGE(0,-1AY,AM))")</f>
        <v>1.6926074441135299</v>
      </c>
      <c r="J15" cm="1">
        <f t="array" ref="J15">_xll.FDS(B15,"STD(FG_PRICE_CHANGE(0,-3AY,M))")*SQRT(12)</f>
        <v>7.5230856816040532</v>
      </c>
      <c r="L15">
        <f t="shared" si="1"/>
        <v>28.6</v>
      </c>
      <c r="M15">
        <f t="shared" si="2"/>
        <v>21.499999999999996</v>
      </c>
      <c r="N15">
        <f t="shared" si="3"/>
        <v>42.900000000000006</v>
      </c>
      <c r="O15">
        <f t="shared" si="6"/>
        <v>31.480000000000004</v>
      </c>
      <c r="P15">
        <f t="shared" si="5"/>
        <v>57.2</v>
      </c>
      <c r="Q15">
        <f>VLOOKUP(A15,CAD!$A$3:$J$15, 10, FALSE)</f>
        <v>57.099999999999994</v>
      </c>
      <c r="S15">
        <f t="shared" si="7"/>
        <v>44.320000000000007</v>
      </c>
      <c r="U15" cm="1">
        <f t="array" ref="U15">_xlfn.PERCENTRANK.EXC(_xlfn._xlws.FILTER(S$3:S$15, ISNUMBER(S$3:S$15)),S15)*100</f>
        <v>28.499999999999996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-7.1</v>
      </c>
      <c r="H3" cm="1">
        <f t="array" ref="H3">IFERROR(_xll.FDS($F3,"EE_ACTUAL_ANNUAL(MED,+1)"),0)</f>
        <v>-6.4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0.252467670960909</v>
      </c>
      <c r="H4" cm="1">
        <f t="array" ref="H4">IFERROR(_xll.FDS($F4,"EE_ACTUAL_ANNUAL(MED,+1)"),0)</f>
        <v>-0.95</v>
      </c>
      <c r="J4" cm="1">
        <f t="array" ref="J4">_xlfn.PERCENTRANK.EXC(_xlfn._xlws.FILTER(H$3:H$15, ISNUMBER(H$3:H$15)),H4)*100</f>
        <v>42.8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-1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5.8821421318584202</v>
      </c>
      <c r="H6" cm="1">
        <f t="array" ref="H6">IFERROR(_xll.FDS($F6,"EE_ACTUAL_ANNUAL(MED,+1)"),0)</f>
        <v>7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3.6065819629985301</v>
      </c>
      <c r="H7" cm="1">
        <f t="array" ref="H7">IFERROR(_xll.FDS($F7,"EE_ACTUAL_ANNUAL(MED,+1)"),0)</f>
        <v>4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6.5138108890660602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-3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-3.2679156583067601</v>
      </c>
      <c r="H10" cm="1">
        <f t="array" ref="H10">IFERROR(_xll.FDS($F10,"EE_ACTUAL_ANNUAL(MED,+1)"),0)</f>
        <v>-3.3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-3.2679156583067601</v>
      </c>
      <c r="H11" cm="1">
        <f t="array" ref="H11">IFERROR(_xll.FDS($F11,"EE_ACTUAL_ANNUAL(MED,+1)"),0)</f>
        <v>-3.3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-1.0185177977909401</v>
      </c>
      <c r="H12" cm="1">
        <f t="array" ref="H12">IFERROR(_xll.FDS($F12,"EE_ACTUAL_ANNUAL(MED,+1)"),0)</f>
        <v>-0.3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9.8540850199698795</v>
      </c>
      <c r="H13" cm="1">
        <f t="array" ref="H13">IFERROR(_xll.FDS($F13,"EE_ACTUAL_ANNUAL(MED,+1)"),0)</f>
        <v>9.5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6.54758763985883</v>
      </c>
      <c r="H14" cm="1">
        <f t="array" ref="H14">IFERROR(_xll.FDS($F14,"EE_ACTUAL_ANNUAL(MED,+1)"),0)</f>
        <v>6.3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-1.4231043919640401E-2</v>
      </c>
      <c r="H15" cm="1">
        <f t="array" ref="H15">IFERROR(_xll.FDS($F15,"EE_ACTUAL_ANNUAL(MED,+1)"),0)</f>
        <v>1.4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9.00388709577871</v>
      </c>
      <c r="C17">
        <v>11.7272452683733</v>
      </c>
      <c r="D17">
        <v>11.975727756343399</v>
      </c>
      <c r="E17">
        <v>10.447567210817001</v>
      </c>
      <c r="F17">
        <v>8.35596275667646</v>
      </c>
      <c r="G17">
        <v>14.538819869127099</v>
      </c>
      <c r="H17">
        <v>12.870966472555001</v>
      </c>
      <c r="I17">
        <v>25.0117290637019</v>
      </c>
      <c r="J17">
        <v>18.292929298971799</v>
      </c>
      <c r="K17">
        <v>10.914009645072801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7.5322638854437498</v>
      </c>
      <c r="C18">
        <v>11.0508592022587</v>
      </c>
      <c r="D18">
        <v>11.1869789498459</v>
      </c>
      <c r="E18">
        <v>9.7147154363071397</v>
      </c>
      <c r="F18">
        <v>7.4385992524735203</v>
      </c>
      <c r="G18">
        <v>14.667779515581</v>
      </c>
      <c r="H18">
        <v>11.207712202749599</v>
      </c>
      <c r="I18">
        <v>24.5344428355254</v>
      </c>
      <c r="J18">
        <v>17.2298191699104</v>
      </c>
      <c r="K18">
        <v>8.9422344840982699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6.4440018443672704</v>
      </c>
      <c r="C19">
        <v>12.8471719199911</v>
      </c>
      <c r="D19">
        <v>14.105928515653099</v>
      </c>
      <c r="E19">
        <v>12.199709394090799</v>
      </c>
      <c r="F19">
        <v>9.2207655509659396</v>
      </c>
      <c r="G19">
        <v>16.3837417700753</v>
      </c>
      <c r="H19">
        <v>13.922736684393399</v>
      </c>
      <c r="I19">
        <v>26.6372020899856</v>
      </c>
      <c r="J19">
        <v>20.686284214699299</v>
      </c>
      <c r="K19">
        <v>12.253955548111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7.7689689945967704</v>
      </c>
      <c r="C20">
        <v>14.658060585061</v>
      </c>
      <c r="D20">
        <v>14.0067090394672</v>
      </c>
      <c r="E20">
        <v>11.818711551999799</v>
      </c>
      <c r="F20">
        <v>9.2254454729258004</v>
      </c>
      <c r="G20">
        <v>16.690651733527702</v>
      </c>
      <c r="H20">
        <v>15.858347905759301</v>
      </c>
      <c r="I20">
        <v>24.048321566420601</v>
      </c>
      <c r="J20">
        <v>20.598310597585201</v>
      </c>
      <c r="K20">
        <v>13.153419453009199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35">
      <c r="A21" s="2">
        <v>45289</v>
      </c>
      <c r="B21">
        <v>6.5791075223619204</v>
      </c>
      <c r="C21">
        <v>13.226394097123199</v>
      </c>
      <c r="D21">
        <v>13.1479323697033</v>
      </c>
      <c r="E21">
        <v>11.938792865095699</v>
      </c>
      <c r="F21">
        <v>9.2997686176437302</v>
      </c>
      <c r="G21">
        <v>19.302463641340701</v>
      </c>
      <c r="H21">
        <v>14.7202942014685</v>
      </c>
      <c r="I21">
        <v>25.30628712435</v>
      </c>
      <c r="J21">
        <v>20.344268503591</v>
      </c>
      <c r="K21">
        <v>13.2312741384504</v>
      </c>
      <c r="L21">
        <v>12.750726724682799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6.4440018443672704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9.7147154363071397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8.9422344840982699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11.98362890343655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6.5791075223619204</v>
      </c>
      <c r="C25" s="8">
        <f t="shared" si="2"/>
        <v>13.226394097123199</v>
      </c>
      <c r="D25" s="8">
        <f t="shared" si="2"/>
        <v>13.1479323697033</v>
      </c>
      <c r="E25" s="8">
        <f t="shared" si="2"/>
        <v>11.938792865095699</v>
      </c>
      <c r="F25" s="8">
        <f t="shared" si="2"/>
        <v>9.2997686176437302</v>
      </c>
      <c r="G25" s="8">
        <f t="shared" si="2"/>
        <v>19.302463641340701</v>
      </c>
      <c r="H25" s="8">
        <f t="shared" si="2"/>
        <v>14.7202942014685</v>
      </c>
      <c r="I25" s="8">
        <f t="shared" si="2"/>
        <v>25.30628712435</v>
      </c>
      <c r="J25" s="8">
        <f t="shared" si="2"/>
        <v>20.344268503591</v>
      </c>
      <c r="K25" s="8">
        <f t="shared" si="2"/>
        <v>13.2312741384504</v>
      </c>
      <c r="L25" s="8">
        <f t="shared" si="2"/>
        <v>12.750726724682799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45554</v>
      </c>
      <c r="M1" s="116"/>
    </row>
    <row r="2" spans="1:20" ht="15" thickBot="1" x14ac:dyDescent="0.4">
      <c r="K2" s="12" t="s">
        <v>772</v>
      </c>
      <c r="L2" s="187">
        <f ca="1">EDATE(TODAY(), -4)</f>
        <v>45462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09/2024</v>
      </c>
      <c r="O3" t="str" cm="1">
        <f t="array" aca="1" ref="O3" ca="1">_xll.FDSRC("-","DUMMY","ECON_DATE("&amp;$L$2&amp;",,, 'MM/YYYY')")</f>
        <v>06/2024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46.885586000000004</v>
      </c>
      <c r="N4" cm="1">
        <f t="array" aca="1" ref="N4" ca="1">_xll.FDSRC("-","DUMMY","ECON_EXPR_DATA('FDS_ECON["&amp;H4&amp;"]',"&amp;$N$3&amp;",,Q)")</f>
        <v>45.848022</v>
      </c>
      <c r="O4" cm="1">
        <f t="array" aca="1" ref="O4" ca="1">_xll.FDSRC("-","DUMMY","ECON_EXPR_DATA('FDS_ECON["&amp;H4&amp;"]',"&amp;$O$3&amp;",,Q)")</f>
        <v>45.543390000000002</v>
      </c>
      <c r="P4">
        <f t="shared" ref="P4:P12" ca="1" si="0">IFERROR(N4-O4,$M$20)</f>
        <v>0.30463199999999802</v>
      </c>
      <c r="Q4" cm="1">
        <f t="array" ref="Q4">_xlfn.PERCENTRANK.EXC(_xlfn._xlws.FILTER(M$4:M$16, ISNUMBER(M$4:M$16)),M4)*100</f>
        <v>28.499999999999996</v>
      </c>
      <c r="R4" cm="1">
        <f t="array" aca="1" ref="R4" ca="1">_xlfn.PERCENTRANK.EXC(_xlfn._xlws.FILTER(P$4:P$16, ISNUMBER(P$4:P$16)),P4)*100</f>
        <v>71.399999999999991</v>
      </c>
      <c r="S4">
        <f ca="1">Q4*Assumption!$E$27 + R4*Assumption!$F$27</f>
        <v>45.66</v>
      </c>
      <c r="T4" cm="1">
        <f t="array" aca="1" ref="T4" ca="1">_xlfn.PERCENTRANK.EXC(_xlfn._xlws.FILTER(S$4:S$16, ISNUMBER(S$4:S$16)),S4)*100</f>
        <v>57.099999999999994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46.746516999999997</v>
      </c>
      <c r="N5" cm="1">
        <f t="array" aca="1" ref="N5" ca="1">_xll.FDSRC("-","DUMMY","ECON_EXPR_DATA('FDS_ECON["&amp;H5&amp;"]',"&amp;$N$3&amp;",,Q)")</f>
        <v>47.567889999999998</v>
      </c>
      <c r="O5" cm="1">
        <f t="array" aca="1" ref="O5" ca="1">_xll.FDSRC("-","DUMMY","ECON_EXPR_DATA('FDS_ECON["&amp;H5&amp;"]',"&amp;$O$3&amp;",,Q)")</f>
        <v>48.811332999999998</v>
      </c>
      <c r="P5">
        <f t="shared" ca="1" si="0"/>
        <v>-1.2434429999999992</v>
      </c>
      <c r="Q5" cm="1">
        <f t="array" ref="Q5">_xlfn.PERCENTRANK.EXC(_xlfn._xlws.FILTER(M$4:M$16, ISNUMBER(M$4:M$16)),M5)*100</f>
        <v>21.4</v>
      </c>
      <c r="R5" cm="1">
        <f t="array" aca="1" ref="R5" ca="1">_xlfn.PERCENTRANK.EXC(_xlfn._xlws.FILTER(P$4:P$16, ISNUMBER(P$4:P$16)),P5)*100</f>
        <v>50</v>
      </c>
      <c r="S5">
        <f ca="1">Q5*Assumption!$E$27 + R5*Assumption!$F$27</f>
        <v>32.839999999999996</v>
      </c>
      <c r="T5" cm="1">
        <f t="array" aca="1" ref="T5" ca="1">_xlfn.PERCENTRANK.EXC(_xlfn._xlws.FILTER(S$4:S$16, ISNUMBER(S$4:S$16)),S5)*100</f>
        <v>35.699999999999996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50.366905000000003</v>
      </c>
      <c r="N6" cm="1">
        <f t="array" aca="1" ref="N6" ca="1">_xll.FDSRC("-","DUMMY","ECON_EXPR_DATA('FDS_ECON["&amp;H6&amp;"]',"&amp;$N$3&amp;",,Q)")</f>
        <v>49.193686999999997</v>
      </c>
      <c r="O6" cm="1">
        <f t="array" aca="1" ref="O6" ca="1">_xll.FDSRC("-","DUMMY","ECON_EXPR_DATA('FDS_ECON["&amp;H6&amp;"]',"&amp;$O$3&amp;",,Q)")</f>
        <v>49.331885999999997</v>
      </c>
      <c r="P6">
        <f t="shared" ca="1" si="0"/>
        <v>-0.13819900000000018</v>
      </c>
      <c r="Q6" cm="1">
        <f t="array" ref="Q6">_xlfn.PERCENTRANK.EXC(_xlfn._xlws.FILTER(M$4:M$16, ISNUMBER(M$4:M$16)),M6)*100</f>
        <v>85.7</v>
      </c>
      <c r="R6" cm="1">
        <f t="array" aca="1" ref="R6" ca="1">_xlfn.PERCENTRANK.EXC(_xlfn._xlws.FILTER(P$4:P$16, ISNUMBER(P$4:P$16)),P6)*100</f>
        <v>64.2</v>
      </c>
      <c r="S6">
        <f ca="1">Q6*Assumption!$E$27 + R6*Assumption!$F$27</f>
        <v>77.100000000000009</v>
      </c>
      <c r="T6" cm="1">
        <f t="array" aca="1" ref="T6" ca="1">_xlfn.PERCENTRANK.EXC(_xlfn._xlws.FILTER(S$4:S$16, ISNUMBER(S$4:S$16)),S6)*100</f>
        <v>78.5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40.599674</v>
      </c>
      <c r="N7" cm="1">
        <f t="array" aca="1" ref="N7" ca="1">_xll.FDSRC("-","DUMMY","ECON_EXPR_DATA('FDS_ECON["&amp;H7&amp;"]',"&amp;$N$3&amp;",,Q)")</f>
        <v>42.065910000000002</v>
      </c>
      <c r="O7" cm="1">
        <f t="array" aca="1" ref="O7" ca="1">_xll.FDSRC("-","DUMMY","ECON_EXPR_DATA('FDS_ECON["&amp;H7&amp;"]',"&amp;$O$3&amp;",,Q)")</f>
        <v>43.781999999999996</v>
      </c>
      <c r="P7">
        <f t="shared" ca="1" si="0"/>
        <v>-1.7160899999999941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15.659999999999998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49.730063999999999</v>
      </c>
      <c r="N8" cm="1">
        <f t="array" aca="1" ref="N8" ca="1">_xll.FDSRC("-","DUMMY","ECON_EXPR_DATA('FDS_ECON["&amp;H8&amp;"]',"&amp;$N$3&amp;",,Q)")</f>
        <v>49.560065999999999</v>
      </c>
      <c r="O8" cm="1">
        <f t="array" aca="1" ref="O8" ca="1">_xll.FDSRC("-","DUMMY","ECON_EXPR_DATA('FDS_ECON["&amp;H8&amp;"]',"&amp;$O$3&amp;",,Q)")</f>
        <v>49.991356000000003</v>
      </c>
      <c r="P8">
        <f t="shared" ca="1" si="0"/>
        <v>-0.43129000000000417</v>
      </c>
      <c r="Q8" cm="1">
        <f t="array" ref="Q8">_xlfn.PERCENTRANK.EXC(_xlfn._xlws.FILTER(M$4:M$16, ISNUMBER(M$4:M$16)),M8)*100</f>
        <v>71.399999999999991</v>
      </c>
      <c r="R8" cm="1">
        <f t="array" aca="1" ref="R8" ca="1">_xlfn.PERCENTRANK.EXC(_xlfn._xlws.FILTER(P$4:P$16, ISNUMBER(P$4:P$16)),P8)*100</f>
        <v>57.099999999999994</v>
      </c>
      <c r="S8">
        <f ca="1">Q8*Assumption!$E$27 + R8*Assumption!$F$27</f>
        <v>65.679999999999993</v>
      </c>
      <c r="T8" cm="1">
        <f t="array" aca="1" ref="T8" ca="1">_xlfn.PERCENTRANK.EXC(_xlfn._xlws.FILTER(S$4:S$16, ISNUMBER(S$4:S$16)),S8)*100</f>
        <v>64.2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49.874554000000003</v>
      </c>
      <c r="N9" cm="1">
        <f t="array" aca="1" ref="N9" ca="1">_xll.FDSRC("-","DUMMY","ECON_EXPR_DATA('FDS_ECON["&amp;H9&amp;"]',"&amp;$N$3&amp;",,Q)")</f>
        <v>47.458323999999998</v>
      </c>
      <c r="O9" cm="1">
        <f t="array" aca="1" ref="O9" ca="1">_xll.FDSRC("-","DUMMY","ECON_EXPR_DATA('FDS_ECON["&amp;H9&amp;"]',"&amp;$O$3&amp;",,Q)")</f>
        <v>43.896877000000003</v>
      </c>
      <c r="P9">
        <f t="shared" ca="1" si="0"/>
        <v>3.561446999999994</v>
      </c>
      <c r="Q9" cm="1">
        <f t="array" ref="Q9">_xlfn.PERCENTRANK.EXC(_xlfn._xlws.FILTER(M$4:M$16, ISNUMBER(M$4:M$16)),M9)*100</f>
        <v>78.5</v>
      </c>
      <c r="R9" cm="1">
        <f t="array" aca="1" ref="R9" ca="1">_xlfn.PERCENTRANK.EXC(_xlfn._xlws.FILTER(P$4:P$16, ISNUMBER(P$4:P$16)),P9)*100</f>
        <v>92.800000000000011</v>
      </c>
      <c r="S9">
        <f ca="1">Q9*Assumption!$E$27 + R9*Assumption!$F$27</f>
        <v>84.22</v>
      </c>
      <c r="T9" cm="1">
        <f t="array" aca="1" ref="T9" ca="1">_xlfn.PERCENTRANK.EXC(_xlfn._xlws.FILTER(S$4:S$16, ISNUMBER(S$4:S$16)),S9)*100</f>
        <v>85.7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51.538494</v>
      </c>
      <c r="N10" cm="1">
        <f t="array" aca="1" ref="N10" ca="1">_xll.FDSRC("-","DUMMY","ECON_EXPR_DATA('FDS_ECON["&amp;H10&amp;"]',"&amp;$N$3&amp;",,Q)")</f>
        <v>52.055466000000003</v>
      </c>
      <c r="O10" cm="1">
        <f t="array" aca="1" ref="O10" ca="1">_xll.FDSRC("-","DUMMY","ECON_EXPR_DATA('FDS_ECON["&amp;H10&amp;"]',"&amp;$O$3&amp;",,Q)")</f>
        <v>50.395269999999996</v>
      </c>
      <c r="P10">
        <f t="shared" ca="1" si="0"/>
        <v>1.6601960000000062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47.257956999999998</v>
      </c>
      <c r="N11" cm="1">
        <f t="array" aca="1" ref="N11" ca="1">_xll.FDSRC("-","DUMMY","ECON_EXPR_DATA('FDS_ECON["&amp;H11&amp;"]',"&amp;$N$3&amp;",,Q)")</f>
        <v>48.261749999999999</v>
      </c>
      <c r="O11" cm="1">
        <f t="array" aca="1" ref="O11" ca="1">_xll.FDSRC("-","DUMMY","ECON_EXPR_DATA('FDS_ECON["&amp;H11&amp;"]',"&amp;$O$3&amp;",,Q)")</f>
        <v>50.939391999999998</v>
      </c>
      <c r="P11">
        <f t="shared" ca="1" si="0"/>
        <v>-2.6776419999999987</v>
      </c>
      <c r="Q11" cm="1">
        <f t="array" ref="Q11">_xlfn.PERCENTRANK.EXC(_xlfn._xlws.FILTER(M$4:M$16, ISNUMBER(M$4:M$16)),M11)*100</f>
        <v>35.699999999999996</v>
      </c>
      <c r="R11" cm="1">
        <f t="array" aca="1" ref="R11" ca="1">_xlfn.PERCENTRANK.EXC(_xlfn._xlws.FILTER(P$4:P$16, ISNUMBER(P$4:P$16)),P11)*100</f>
        <v>14.2</v>
      </c>
      <c r="S11">
        <f ca="1">Q11*Assumption!$E$27 + R11*Assumption!$F$27</f>
        <v>27.099999999999998</v>
      </c>
      <c r="T11" cm="1">
        <f t="array" aca="1" ref="T11" ca="1">_xlfn.PERCENTRANK.EXC(_xlfn._xlws.FILTER(S$4:S$16, ISNUMBER(S$4:S$16)),S11)*100</f>
        <v>21.4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47.257956999999998</v>
      </c>
      <c r="N12" cm="1">
        <f t="array" aca="1" ref="N12" ca="1">_xll.FDSRC("-","DUMMY","ECON_EXPR_DATA('FDS_ECON["&amp;H12&amp;"]',"&amp;$N$3&amp;",,Q)")</f>
        <v>48.261749999999999</v>
      </c>
      <c r="O12" cm="1">
        <f t="array" aca="1" ref="O12" ca="1">_xll.FDSRC("-","DUMMY","ECON_EXPR_DATA('FDS_ECON["&amp;H12&amp;"]',"&amp;$O$3&amp;",,Q)")</f>
        <v>50.939391999999998</v>
      </c>
      <c r="P12">
        <f t="shared" ca="1" si="0"/>
        <v>-2.6776419999999987</v>
      </c>
      <c r="Q12" cm="1">
        <f t="array" ref="Q12">_xlfn.PERCENTRANK.EXC(_xlfn._xlws.FILTER(M$4:M$16, ISNUMBER(M$4:M$16)),M12)*100</f>
        <v>35.699999999999996</v>
      </c>
      <c r="R12" cm="1">
        <f t="array" aca="1" ref="R12" ca="1">_xlfn.PERCENTRANK.EXC(_xlfn._xlws.FILTER(P$4:P$16, ISNUMBER(P$4:P$16)),P12)*100</f>
        <v>14.2</v>
      </c>
      <c r="S12">
        <f ca="1">Q12*Assumption!$E$27 + R12*Assumption!$F$27</f>
        <v>27.099999999999998</v>
      </c>
      <c r="T12" cm="1">
        <f t="array" aca="1" ref="T12" ca="1">_xlfn.PERCENTRANK.EXC(_xlfn._xlws.FILTER(S$4:S$16, ISNUMBER(S$4:S$16)),S12)*100</f>
        <v>21.4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44.596164999999999</v>
      </c>
      <c r="N13" cm="1">
        <f t="array" aca="1" ref="N13" ca="1">_xll.FDSRC("-","DUMMY","ECON_EXPR_DATA('FDS_ECON["&amp;H13&amp;"]',"&amp;$N$3&amp;",,Q)")</f>
        <v>44.157119999999999</v>
      </c>
      <c r="O13" cm="1">
        <f t="array" aca="1" ref="O13" ca="1">_xll.FDSRC("-","DUMMY","ECON_EXPR_DATA('FDS_ECON["&amp;H13&amp;"]',"&amp;$O$3&amp;",,Q)")</f>
        <v>45.684513000000003</v>
      </c>
      <c r="P13">
        <f t="shared" ref="P13:P16" ca="1" si="1">IFERROR(N13-O13,$M$20)</f>
        <v>-1.5273930000000036</v>
      </c>
      <c r="Q13" cm="1">
        <f t="array" ref="Q13">_xlfn.PERCENTRANK.EXC(_xlfn._xlws.FILTER(M$4:M$16, ISNUMBER(M$4:M$16)),M13)*100</f>
        <v>14.2</v>
      </c>
      <c r="R13" cm="1">
        <f t="array" aca="1" ref="R13" ca="1">_xlfn.PERCENTRANK.EXC(_xlfn._xlws.FILTER(P$4:P$16, ISNUMBER(P$4:P$16)),P13)*100</f>
        <v>42.8</v>
      </c>
      <c r="S13">
        <f ca="1">Q13*Assumption!$E$27 + R13*Assumption!$F$27</f>
        <v>25.64</v>
      </c>
      <c r="T13" cm="1">
        <f t="array" aca="1" ref="T13" ca="1">_xlfn.PERCENTRANK.EXC(_xlfn._xlws.FILTER(S$4:S$16, ISNUMBER(S$4:S$16)),S13)*100</f>
        <v>14.2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48.150829999999999</v>
      </c>
      <c r="N14" cm="1">
        <f t="array" aca="1" ref="N14" ca="1">_xll.FDSRC("-","DUMMY","ECON_EXPR_DATA('FDS_ECON["&amp;H14&amp;"]',"&amp;$N$3&amp;",,Q)")</f>
        <v>48.353454999999997</v>
      </c>
      <c r="O14" cm="1">
        <f t="array" aca="1" ref="O14" ca="1">_xll.FDSRC("-","DUMMY","ECON_EXPR_DATA('FDS_ECON["&amp;H14&amp;"]',"&amp;$O$3&amp;",,Q)")</f>
        <v>51.493879999999997</v>
      </c>
      <c r="P14">
        <f t="shared" ca="1" si="1"/>
        <v>-3.1404250000000005</v>
      </c>
      <c r="Q14" cm="1">
        <f t="array" ref="Q14">_xlfn.PERCENTRANK.EXC(_xlfn._xlws.FILTER(M$4:M$16, ISNUMBER(M$4:M$16)),M14)*100</f>
        <v>57.099999999999994</v>
      </c>
      <c r="R14" cm="1">
        <f t="array" aca="1" ref="R14" ca="1">_xlfn.PERCENTRANK.EXC(_xlfn._xlws.FILTER(P$4:P$16, ISNUMBER(P$4:P$16)),P14)*100</f>
        <v>7.1</v>
      </c>
      <c r="S14">
        <f ca="1">Q14*Assumption!$E$27 + R14*Assumption!$F$27</f>
        <v>37.099999999999994</v>
      </c>
      <c r="T14" cm="1">
        <f t="array" aca="1" ref="T14" ca="1">_xlfn.PERCENTRANK.EXC(_xlfn._xlws.FILTER(S$4:S$16, ISNUMBER(S$4:S$16)),S14)*100</f>
        <v>42.8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47.520110000000003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-1.5814669999999964</v>
      </c>
      <c r="Q15" cm="1">
        <f t="array" ref="Q15">_xlfn.PERCENTRANK.EXC(_xlfn._xlws.FILTER(M$4:M$16, ISNUMBER(M$4:M$16)),M15)*100</f>
        <v>50</v>
      </c>
      <c r="R15" cm="1">
        <f t="array" aca="1" ref="R15" ca="1">_xlfn.PERCENTRANK.EXC(_xlfn._xlws.FILTER(P$4:P$16, ISNUMBER(P$4:P$16)),P15)*100</f>
        <v>35.699999999999996</v>
      </c>
      <c r="S15">
        <f ca="1">Q15*Assumption!$E$27 + R15*Assumption!$F$27</f>
        <v>44.28</v>
      </c>
      <c r="T15" cm="1">
        <f t="array" aca="1" ref="T15" ca="1">_xlfn.PERCENTRANK.EXC(_xlfn._xlws.FILTER(S$4:S$16, ISNUMBER(S$4:S$16)),S15)*100</f>
        <v>50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48.309246000000002</v>
      </c>
      <c r="N16" cm="1">
        <f t="array" aca="1" ref="N16" ca="1">_xll.FDSRC("-","DUMMY","ECON_EXPR_DATA('FDS_ECON["&amp;H16&amp;"]',"&amp;$N$3&amp;",,Q)")</f>
        <v>48.375774</v>
      </c>
      <c r="O16" cm="1">
        <f t="array" aca="1" ref="O16" ca="1">_xll.FDSRC("-","DUMMY","ECON_EXPR_DATA('FDS_ECON["&amp;H16&amp;"]',"&amp;$O$3&amp;",,Q)")</f>
        <v>46.215786000000001</v>
      </c>
      <c r="P16">
        <f t="shared" ca="1" si="1"/>
        <v>2.1599879999999985</v>
      </c>
      <c r="Q16" cm="1">
        <f t="array" ref="Q16">_xlfn.PERCENTRANK.EXC(_xlfn._xlws.FILTER(M$4:M$16, ISNUMBER(M$4:M$16)),M16)*100</f>
        <v>64.2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72.800000000000011</v>
      </c>
      <c r="T16" cm="1">
        <f t="array" aca="1" ref="T16" ca="1">_xlfn.PERCENTRANK.EXC(_xlfn._xlws.FILTER(S$4:S$16, ISNUMBER(S$4:S$16)),S16)*100</f>
        <v>71.399999999999991</v>
      </c>
    </row>
    <row r="18" spans="8:13" x14ac:dyDescent="0.35">
      <c r="K18" t="str" cm="1">
        <f t="array" aca="1" ref="K18" ca="1">_xll.FDSRC("-","DUMMY","ECON_DATE("&amp;$L$1&amp;",,, 'MM/YYYY')")</f>
        <v>09/2024</v>
      </c>
      <c r="L18" t="str" cm="1">
        <f t="array" aca="1" ref="L18" ca="1">_xll.FDSRC("-","DUMMY","ECON_DATE("&amp;$L$2&amp;",,, 'MM/YYYY')")</f>
        <v>06/2024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47.520110000000003</v>
      </c>
      <c r="K19" cm="1">
        <f t="array" aca="1" ref="K19" ca="1">_xll.FDSRC("-","DUMMY","ECON_EXPR_DATA('FDS_ECON["&amp;H19&amp;"]',"&amp;$K$18&amp;",,Q)")</f>
        <v>48.213496999999997</v>
      </c>
      <c r="L19" cm="1">
        <f t="array" aca="1" ref="L19" ca="1">_xll.FDSRC("-","DUMMY","ECON_EXPR_DATA('FDS_ECON["&amp;H19&amp;"]',"&amp;$L$18&amp;",,Q)")</f>
        <v>49.418635999999999</v>
      </c>
      <c r="M19">
        <f ca="1">K19-L19</f>
        <v>-1.2051390000000026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49.800199999999997</v>
      </c>
      <c r="K20" cm="1">
        <f t="array" aca="1" ref="K20" ca="1">_xll.FDSRC("-","DUMMY","ECON_EXPR_DATA('FDS_ECON["&amp;H20&amp;"]',"&amp;$K$18&amp;",,Q)")</f>
        <v>50.418407000000002</v>
      </c>
      <c r="L20" cm="1">
        <f t="array" aca="1" ref="L20" ca="1">_xll.FDSRC("-","DUMMY","ECON_EXPR_DATA('FDS_ECON["&amp;H20&amp;"]',"&amp;$L$18&amp;",,Q)")</f>
        <v>51.999873999999998</v>
      </c>
      <c r="M20">
        <f ca="1">K20-L20</f>
        <v>-1.5814669999999964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100.8805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100240.49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1535.1679999999999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1808592.3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2892.3519999999999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3012761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890.71199999999999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2393645.5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14832.495000000001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6536884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1294.18875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2311566.5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3356.8069999999998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3319955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299970.2255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61018330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602029.605798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61018330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643.70000000000005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3164981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276.73500000000001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1066475.3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361.53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1042629.44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523.18650000000002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904200.94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377069.5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9332614"><![CDATA[{"FC0000GB^FMA_MCAP(0,,,USD,\"PORTAGG\")":3319955.0,"FC0000SE^FMA_MCAP(0,,,USD,\"PORTAGG\")":1042629.44,"EWN^FREF_MARKET_VALUE_COMPANY(0,,,USD,,0,,\"LEGACY\")":276.735,"SPY^FREF_MARKET_VALUE_COMPANY(0,,,USD,,0,,\"LEGACY\")":602029.605798,"QQQ^FREF_MARKET_VALUE_COMPANY(0,,,USD,,0,,\"LEGACY\")":299970.2255,"FC0000US^FMA_MCAP(0,,,USD,\"PORTAGG\")":61018330.0,"FC0000CH^FMA_MCAP(0,,,USD,\"PORTAGG\")":2311566.5,"FC0000JP^FMA_MCAP(0,,,USD,\"PORTAGG\")":6536884.0,"EWU^FREF_MARKET_VALUE_COMPANY(0,,,USD,,0,,\"LEGACY\")":3356.807,"FC0000FR^FMA_MCAP(0,,,USD,\"PORTAGG\")":3164981.0,"EWG^FREF_MARKET_VALUE_COMPANY(0,,,USD,,0,,\"LEGACY\")":890.712,"FC0000DE^FMA_MCAP(0,,,USD,\"PORTAGG\")":2393645.5,"EWC^FREF_MARKET_VALUE_COMPANY(0,,,USD,,0,,\"LEGACY\")":2892.352,"FC0000CA^FMA_MCAP(0,,,USD,\"PORTAGG\")":3012761.0,"EWA^FREF_MARKET_VALUE_COMPANY(0,,,USD,,0,,\"LEGACY\")":1535.168,"FC0000AU^FMA_MCAP(0,,,USD,\"PORTAGG\")":1808592.3,"ENZL^FREF_MARKET_VALUE_COMPANY(0,,,USD,,0,,\"LEGACY\")":100.8805,"FC0000NZ^FMA_MCAP(0,,,USD,\"PORTAGG\")":100240.49,"NQG00809^FG_COMPANY_NAME":"Nasdaq South Africa","CC_ZA^FG_COMPANY_NAME":"South Africa","NQG00809^FMA_MCAP(0,,,USD,\"PORTAGG\")":null,"FC0000ZA^FG_MCAP_IDX(0,,,USD)":377069.5,"EWI^FREF_MARKET_VALUE_COMPANY(0,,,USD,,0,,\"LEGACY\")":523.1865,"FC0000IT^FMA_MCAP(0,,,USD,\"PORTAGG\")":904200.94,"EWD^FREF_MARKET_VALUE_COMPANY(0,,,USD,,0,,\"LEGACY\")":361.53,"FC0000NL^FMA_MCAP(0,,,USD,\"PORTAGG\")":1066475.3,"EWQ^FREF_MARKET_VALUE_COMPANY(0,,,USD,,0,,\"LEGACY\")":643.7,"EWL^FREF_MARKET_VALUE_COMPANY(0,,,USD,,0,,\"LEGACY\")":1294.18875,"EWJ^FREF_MARKET_VALUE_COMPANY(0,,,USD,,0,,\"LEGACY\")":14832.495,"DUMMY^ECON_EXPR_DATA('FDS_ECON[NTCPMIMFGSA@IT]',,,M)":48.309246,"DUMMY^ECON_EXPR_DATA('FDS_ECON[NTCPMIMFGMESA@US]',,,M)":47.257957,"DUMMY^ECON_EXPR_DATA('FDS_ECON[NTCPMIMFGSA@GB]',,,M)":51.538494,"DUMMY^ECON_EXPR_DATA('FDS_ECON[NTCPMIMFGSA@JP]',,,M)":49.730064,"DUMMY^ECON_EXPR_DATA('FDS_ECON[NTCPMIMFGSA@AU]',,,M)":46.746517,"DUMMY^ECON_EXPR_DATA('FDS_ECON[NTCPMIMFGSA@NL]',,,M)":48.15083,"DUMMY^ECON_EXPR_DATA('FDS_ECON[NTCPMIMFGSA@CA]',,,M)":50.366905,"DUMMY^ECON_EXPR_DATA('FDS_ECON[]',,,M)":null,"DUMMY^ECON_EXPR_DATA('FDS_ECON[NTCPMIMFGSA@DE]',,,M)":40.599674,"DUMMY^ECON_EXPR_DATA('FDS_ECON[NTCPMIMFGSA@FR]',,,M)":44.596165,"DUMMY^ECON_EXPR_DATA('FDS_ECON[NTCPMIMFGSA@NZ]',,,M)":46.885586,"DUMMY^ECON_EXPR_DATA('FDS_ECON[NTCPMIMFGSA@CH]',,,M)":49.874554,"CAGDPY@FR^EE_ACTUAL_ANNUAL(MED,+1)":-0.3,"CAGDPY@AU^EE_ACTUAL_ANNUAL(MED,+1)":-0.95,"USDITL^FG_PRICE_CHANGE(0,-3AM)":0.52958727,"USDANG^FG_PRICE_CHANGE(0,-3AM)":0.0,"USDUSD^FG_PRICE_CHANGE(0,-3AM)":0.0,"USDGBP^FG_PRICE_CHANGE(0,-3AM)":-0.4487455,"USDJPY^FG_PRICE_CHANGE(0,-3AM)":-4.567349,"USDCAD^FG_PRICE_CHANGE(0,-3AM)":0.85844994,"USDNZD^FG_PRICE_CHANGE(0,-3AM)":0.024700165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698442393,1.26256164128892,1.41909398824033,1.56850336770513,1.47895581929429],"ENZL^JULIAN(P_PRICE_RETURNS_PR('52W',2,-10AY,0,AM).DATES)":[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,45429,45461,45491,45520,45553,45583],"EWD^FMA_DIV_YLD(NTMA,-10AY,0,AM,\"PORTAGG\",\"MEANR\")":[4.50271891342975,4.14271359646743,4.15425656112496,4.10853464384359,3.67128737280383,3.59335678983807,3.71477611230126,3.83964527514921,4.02026369754913,3.88469336882092,4.05897257367556,4.45085881548837,4.39694919424729,4.16521830291504,4.39867641082854,4.75612412835376,4.39780050447432,4.31475585889011,4.33022589320129,4.45357640181301,4.61394995042471,4.36659523625678,4.25428395150704,4.28130521897875,4.07661703826407,4.04312774345562,3.83182065589598,3.89951512015294,3.64412621412014,3.63830171573328,3.69664506546369,3.43040551157493,3.52322416659464,3.61571399774354,3.79287067293053,3.69017388335513,3.5681633816885,3.64140213389896,3.67701310647497,3.65624177557271,3.88809065457878,3.88744848062447,4.0524072494578,3.94415889676687,4.12203058095518,4.14062963926887,4.09517429964534,4.12590335616309,4.30088539047595,4.46993840135065,4.63828395360975,4.37893456688104,4.12241564004056,4.07994369957444,3.96434695606085,4.19112178304092,4.18020891877961,4.11286103985558,4.32396071349103,3.89829954785052,3.83881869631345,3.67905207582823,3.566898929835,3.49581828197639,3.42245238362878,4.77783684211974,3.44706885762945,3.28511942619705,3.02542125684348,2.92743620880672,3.01859431328003,2.96301260409355,3.02064307021978,3.01139285411739,3.07896189058863,3.01254192789329,2.98608638530134,2.77572785948058,2.67739968981314,2.83482197651554,2.71030861584302,2.68391072207193,2.74265452311165,2.78291659438823,2.82523628964314,2.93474621408904,2.97097185831082,2.8128042333197,3.06716928082952,3.02451801388326,3.16720703938756,3.42300414990999,3.62136009934989,3.69355956692537,3.46342659253252,3.77338742318244,3.6251836210607,3.6198696990263,3.72742535226228,3.4878447293247,3.52126153867038,3.83499467178376,3.59480364287087,3.75363295868208,3.67101274777751,3.78036970500951,4.00985817859547,3.96341423285851,3.84155889640035,3.70112150308398,2.95228350203,3.05813118590169,3.34199163094894,3.22906026268243,3.31504048028565,3.1966425648794,3.26131655218747,3.18757593084362,3.29288743935171,3.23566240961707,3.22049505107949],"EWQ^FMA_PE(NTMA,-10AY,0,AM,\"PORTAGG\",\"MEANR\")":[12.5489153992832,13.3739452142969,13.6642205665739,14.3101186853963,15.9595539724101,16.5420706782688,16.681820367625,16.2304118300615,15.3773297974517,16.079066522745,15.3308677496785,14.1155153182944,14.6125367310741,15.2278709758064,14.5218531465315,13.4651441857621,13.8843484260046,14.5840893406383,14.735973644746,14.1093168232334,13.4661705103172,13.9280081902963,13.9936144545503,13.6024941273295,13.9861027491849,13.6909639448354,14.5158717167062,14.5177077673905,14.273920010363,14.6149066064755,14.4744740320449,15.1226104411049,14.9809724417214,14.7796352235972,14.5083152258111,14.8685672333167,15.2075955058969,14.8219308118101,15.1032248714443,15.2243997386986,14.6009205691885,14.5360915971499,14.6439213743632,14.9174272652125,14.3617620895396,14.1611141759974,13.6578535341948,13.619201706488,12.8480191887347,12.6135588062794,11.9715870651085,12.5377029770586,13.1933277057201,13.8245518055016,14.117434404387,13.754216614496,11.8650446694304,13.9892381061931,13.4067157089686,14.1035114168212,14.2395568298972,14.8367861292203,14.8549966580941,15.1735496264535,15.1940060593707,10.0410668504494,15.215172755979,16.7251140130911,18.8169585389721,19.7967165820499,19.5751560238271,18.8770569147491,18.2304530185485,19.2308878219211,18.2779272596007,17.8584574443758,17.8954071704208,18.4696750350142,18.3474332753285,17.7070728311959,17.8113680531934,16.8652475701633,16.5582832536201,15.890251834728,15.5470695914309,16.0221252657749,15.372889978845,15.506323464214,14.5092087112448,13.7359546298818,13.1479616983801,12.1306814569865,11.1532990634997,11.3083871732149,11.8049545340267,10.9691052303795,10.8126828946691,11.9351910491536,11.7529192793116,13.0729485571002,13.4427536709171,12.5904090767888,13.7233498987658,13.3676316321282,13.3467837574158,13.199247745158,12.7075956095512,12.8163759373912,12.1711716896328,12.8221344297504,13.4274451265678,13.2288514978096,13.9969962622387,14.6167490769893,14.3260464477612,14.6516384149963,13.6294042861896,13.5895991464202,13.5175251848556,13.5252313898148,13.8092374281818],"QQQ^FMA_PE(LTMA,-10AY,0,AM,\"PORTAGG\",\"MEANR\")":[18.4466686644066,20.1160543310593,20.2529168629619,19.5352133605673,20.4984932391602,20.6485317907084,20.3862357443063,20.3449641196392,20.2105916569216,20.4773335090047,20.2612961048779,19.4882471788593,19.7522977909972,20.3607175236638,19.7733955250887,18.2634328835928,18.1874866214075,18.3033545742248,18.5050568707305,18.3256455259173,18.3845919335176,19.1387921696444,19.5809939177438,19.6943265831601,19.9490616937055,19.838745730403,20.3620809062086,20.9901546355609,21.7629193504294,21.6915977042496,21.5527077831868,21.7432083297054,21.7612940494373,22.1768664416484,21.8326028711533,22.3279227632851,22.7125248833635,22.9879963290216,23.9527752515297,24.9227298177188,23.9657419816844,24.0713317525567,23.6319454716044,23.1904498258411,23.3993304405297,23.3769301927965,23.0169954039989,23.0061895802286,21.9609768799479,20.7013601011065,19.2624852907969,20.0599763864504,20.7601571034967,21.0044256456574,21.3003007033449,21.2139642958417,21.5590473111136,22.0357886945944,21.6334057228909,21.9640445616371,22.4496334654592,23.6725035072462,24.8215737762576,26.60376302663,27.2010385964779,23.0490796148416,24.6469645276378,25.9332210769583,27.4591020070017,28.7410642314601,29.7879017147828,29.5646290983109,32.148184756747,31.9808241782289,34.8551375018492,34.709958128718,35.0426900330094,32.5871903626143,32.9331429957589,31.3615503442701,31.5046646673308,31.8082564478524,30.9287979375528,31.2286982152595,30.9111127191039,32.3291039364443,30.8590137185943,29.5794561188698,26.3630432901878,26.6823319087617,26.3264956574574,24.9792188093461,24.0144631011839,24.2790087330174,26.3495194024071,24.0252426162968,22.8136079627086,23.5883636312744,22.4861961212206,23.6470894279236,25.7287244010023,25.3557604781026,25.6767751850423,26.1094640164448,27.1823747055785,28.1692083769527,25.9443292656583,26.5519877080756,26.2765661818127,27.506501778575,28.9288179693713,29.2564166935522,29.9203922526301,30.1146655033882,29.4871192085995,29.7712000551922,30.2972031115332,30.0244867801335,30.2632673934252,29.9192960429583,30.8208472023143],"DDR3512M-FDS^FG_PRICE(0)":0.86,"PASP-FDS^FG_PRICE(0)":1047.0,"PLATI-FDS^FG_PRICE(0)":1004.0,"W-FDS^FG_PRICE(0)":5.7275,"COPP-FDS^FG_PRICE(0)":4.346,"FC0000US^FG_PRICE(0)":439.21252,"FC0000GR^FG_PRICE(0)":10.243778,"EWI^FG_PRICE(0)":39.19,"SPY^FG_PRICE(0)":584.59,"EWJ^FG_PRICE(0)":70.13,"ENZL^FG_PRICE(0)":49.21,"EWA^FG_COMPANY_NAME":"iShares MSCI Australia ETF","FXI^P_PRICE(0)/P_PRICE_LOW_PR(0,,,,,,\"PRICE\",\"INTRA\",\"52W\")-1":0.5421859,"SPY^FMA_PCT_ABOVE_MAVG(200,0,,,,\"PORTAGG\")":78.4,"URTH^PERCENT_CHANGE(FMA_EPS(+1,0,,,,\"PORTAGG\",\"MEAN\"),FMA_EPS(+1,-3AM,,,,\"PORTAGG\",\"MEAN\"))":-0.541317932584024,"VGK^FG_TOTAL_RETURNC(0,-3AM)":2.4238944,"EWD^P_PRICE(0)/P_PRICE_HIGH_PR(0,,,,,,\"PRICE\",\"INTRA\",\"52W\")":0.9372157,"EWQ^FG_TOTAL_RETURNC(0,-12AM)":17.203188,"SPY^PERCENT_CHANGE(FMA_EPS(+1,0,,,,\"PORTAGG\",\"MEAN\"),FMA_EPS(+1,-1AM,,,,\"PORTAGG\",\"MEAN\"))":-1.39872289427633,"EWU^FG_TOTAL_RETURNC(0,-1AM)":0.054061413,"EWJ^FG_TOTAL_RETURNC(0,-6AM)":5.627322,"EWC^P_PRICE(0)/P_PRICE_LOW_PR(0,,,,,,\"PRICE\",\"INTRA\",\"52W\")-1":0.3384273,"EWA^FMA_PCT_ABOVE_MAVG(200,0,,,,\"PORTAGG\")":67.2413793103448,"EWJ^SIZE(FG_CONSTITUENTS)":199,"EWD^FMA_COS_DOWN(\"EPS\",\"1M\",+1,0,,,\"PORTAGG\",\"MEANR\")":24.0,"EWU^FMA_COS_UP(\"EPS\",\"1M\",+1,0,,,\"PORTAGG\",\"MEANR\")":28.0,"ENZL^SIZE(FG_CONSTITUENTS)":26,"EWI^FMA_RBICS_REV_CURRENT(30, LOC, \"PORTAGG\")":39.9503615126748,"EWG^FG_COMPANY_NAME":"iShares MSCI Germany ETF","REFEUREFI-FDS^FG_YIELD(NOW,,,0)":3.65,"TRYUS10Y-FDS^FG_YIELD_NAME":"US Benchmark Bond - 10 Year","VWO^FG_FCF_YIELD_NTM(0)":5.37472562969362,"EWL^FMA_DIV_YLD(NTMA,NOW,NOW,M,\"PORTAGG\",\"MEANR\")":3.13853234102168,"ENZL^FMA_EVAL_EBIT(LTMA,NOW,NOW,M,\"PORTAGG\",\"MEANR\")":19.7849457837534,"VGK^P_PRICE(0)/P_PRICE_HIGH_PR(0,,,USD,,,\"PRICE\",\"INTRA\",\"52W\")":0.9650388,"VWO^P_PRICE(0)/P_PRICE_HIGH_PR(0,,,USD,,,\"PRICE\",\"INTRA\",\"52W\")":0.96489817,"TRYJP10Y-FDS^FG_YIELD_NAME":"Japan Benchmark Bond - 10 Year","REFCATARG-FDS^(SUBARRAY(NOT_NA(NO_REPEAT_F(FG_YIELD(NOW,-10AY,D))),0,1)-SUBARRAY(NOT_NA(NO_REPEAT_F(FG_YIELD(NOW,-10AY,D))),1,1))*100":-25.0,"QQQ^FMA_DIV_YLD(NTMA,NOW,NOW,M,\"PORTAGG\",\"MEANR\")":0.817343301147441,"DUMMY^ECON_EXPR_DATA('FDS_ECON[NTCPMIMFGSA@EME]',,,M)":49.8002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CPALM-FDS^MAX(FG_PRICE(0,-5AY))":8163.0,"FC0000CA^FG_PRICE(0)":321.74374,"VGK^FG_TOTAL_RETURNC(0,-1AM)":-0.14294386,"EWD^FMA_COS_UP(\"EPS\",\"1M\",+1,0,,,\"PORTAGG\",\"MEANR\")":10.0,"ENZL^FMA_COS_DOWN(\"EPS\",\"1M\",+1,0,,,\"PORTAGG\",\"MEANR\")":7.0,"REFFFUND-FDS^FG_YIELD(NOW,,,0)":5.0,"VWO^FG_TOTAL_RETURNC(0,-6AM)":17.429733,"URTH^FMA_PCT_ABOVE_MAVG(200,0,,,,\"PORTAGG\")":67.8749111584932,"VGK^PERCENT_CHANGE(FMA_EPS(+1,0,,,,\"PORTAGG\",\"MEAN\"),FMA_EPS(+1,-3AM,,,,\"PORTAGG\",\"MEAN\"))":2.00900919227055,"EWD^FG_TOTAL_RETURNC(0,-3AM)":0.8074403,"EWL^FMA_COS_DOWN(\"EPS\",\"1M\",+1,0,,,\"PORTAGG\",\"MEANR\")":31.0,"EWQ^FMA_EVAL_EBITDA(NTMA,0,,,\"PORTAGG\",\"MEANR\")":9.21820259247278,"TRYNZ10Y-FDS^PCTCHG(FG_YIELD(0,,,,\"YTM\"),FG_YIELD(-3AM,,,,\"YTM\"))":2.0108697,"CAGDPY@FR^EE_ACTUAL_ANNUAL(MED,0)":-1.01851779779094,"CAGDPY@AU^EE_ACTUAL_ANNUAL(MED,0)":0.252467670960909,"USDITL^FG_PRICE_CHANGE(0,-1AM)":2.3992658,"USDANG^FG_PRICE_CHANGE(0,-1AM)":0.0,"USDUSD^FG_PRICE_CHANGE(0,-1AM)":0.0,"USDGBP^FG_PRICE_CHANGE(0,-1AM)":1.34238,"USDJPY^FG_PRICE_CHANGE(0,-1AM)":5.3407907,"USDCAD^FG_PRICE_CHANGE(0,-1AM)":1.540947,"USDNZD^FG_PRICE_CHANGE(0,-1AM)":2.2568107,"ENZL^FMA_EPS(NTMA,-20AY,0,CY,,\"PORTAGG\",\"MEANR\")":[null,null,null,null,null,null,2.40890596176463,2.24117429803946,2.40285148565594,2.31210808961864,2.19492193820354,2.04943671601749,2.14962845087329,2.26706810161072,2.29721148308571,2.24732563529813,1.98522616654652,1.82093690891181,2.11037843374038,2.11106619444845],"EWI^FG_TOTAL_RETURNC(-10AY,0,AM)":[-12.1905985,2.889359,-3.7190378,-4.65616,10.668659,-1.6293287,2.4844766,7.003367,-2.643174,1.4328718,0.19454956,-5.7605147,4.876375,-7.2036686,-3.2462955,-8.989132,-9.485525,10.657191,-0.8025706,-4.6925545,-1.0186732,-2.707857,2.3572087,-4.340124,3.1481504,-6.328547,14.51844,3.3718944,-2.9003203,6.8573833,-2.9133856,13.787508,0.5702019,4.670477,3.1713247,4.443705,-1.3435721,-1.5888453,1.6144991,9.159255,-1.9713283,-0.7921934,4.8832893,-6.3543262,-5.5972457,-0.39868355,-8.102566,5.9895873,-11.723412,0.31808615,-0.92995167,4.659641,2.4777412,5.364561,1.6852021,-4.442877,2.9835105,5.487585,-9.806681,8.028054,2.4531007,3.6619782,0.76464415,1.7651081,1.0006666,-39.23382,11.576092,2.3380399,15.234017,7.80468,0.6194353,-2.7702928,-2.0182014,12.3182535,6.155479,0.1707673,2.8980613,3.7110686,3.5143852,1.6666532,-0.5629778,-2.6266992,5.2047014,-2.8959334,1.9882083,2.314949,-4.554635,4.7453284,-2.9598296,-10.488642,1.0083437,-6.919098,-6.955433,-6.4317884,8.887922,-4.5034227,-3.5368443,19.074642,-0.98924637,10.747838,4.547,-8.8283,12.815952,-2.461344,4.2104483,5.3117037,-6.1310825,0.90090036,-4.1773024,8.319473,3.594482,0.33067465,2.9631853,7.848823,-2.6954174,8.975077,-6.0414734,4.4635415,-1.2473464,2.9561996,2.2970438],"EWN^FMA_DIV_YLD(NTMA,-10AY,0,AM,\"PORTAGG\",\"MEANR\")":[3.28453859731829,3.08823863616394,3.10076029850251,3.03387504756435,2.8150581604224,2.62399874575697,2.68143425885452,2.73897185321627,2.9572576748944,2.81667053387157,3.17063000476017,3.52037059982701,3.40588988344419,3.15449632145446,3.33036748949995,3.39180773227307,3.47185898411981,3.2842317030068,3.24504615433977,3.40278679492159,3.39308996002512,3.23888436355764,3.16041703209502,3.23886909330247,3.10793054599624,3.14423825676435,3.00379622822399,2.96719995865503,2.83885988653288,2.76134753583376,2.79728454599274,2.75399925229295,2.74498051575446,2.78908179527486,2.80887260257175,2.80467224811567,2.74633912645847,2.84393306768217,2.79892529998292,2.76753209412414,2.94222146873073,2.91776475521495,2.91369312922462,2.88207533576421,2.87760760679524,2.87952408902988,2.95657348265926,3.03338317416425,3.1729802720224,3.20517021151715,3.4110031748017,3.32413661648342,3.11910751355892,3.04109009885337,2.95777907764433,3.02952373562659,3.03577739167753,2.94370369501343,3.02564573843328,2.74588344882449,2.74729542093556,2.64504967117353,2.59879371045378,2.57451460597795,2.49261329569506,3.82534011135654,2.85046991723686,2.5990131081738,2.38066348820115,2.32407755071529,2.34444772150347,2.3302442272994,2.27226683999229,2.17721055750779,2.0298932107918,1.9660691004843,1.91523353324553,2.00752828836463,1.90607267115916,1.9997980905073,2.01673955129251,2.01996788224273,1.86258310169076,1.85337319923847,1.93470912152366,1.83708554147135,2.00808657309059,2.03817767186872,2.25422523485055,2.24579208747471,2.32213749405768,2.57658700968455,3.56862725578815,3.31484850320089,3.05488063327663,3.76103819988329,3.06477995111388,2.67822199759669,2.74083458646794,2.55537702073432,2.55481963328763,2.76230797304152,2.6610177753424,2.66016527168475,2.65179149014381,2.65972744791185,2.89028366114323,3.00841141725602,3.08323459626219,2.82264304743312,2.67541523915263,2.71462118882857,2.46911006797909,2.60579732460544,2.62691507971787,2.45536170496619,2.45263084813623,2.52352475807088,2.6137755065702,2.71728636470662,2.71889061310877],"SPY^FMA_PE(NTMA,-10AY,0,AM,\"PORTAGG\",\"MEANR\")":[14.4216673069704,15.7243484418968,15.9876166375339,15.9384278995937,16.8617181592275,16.7990530885071,16.6063765210832,16.7690015945212,16.5855101811328,16.6080094788332,16.342064336502,15.2485124762281,15.918646410385,16.3167699047432,15.6839741440287,14.8633281655956,15.5099438140132,15.5167363536305,16.5004635460184,16.5226770167304,16.3100236406347,16.9837643291891,16.9787575123854,16.4848230909905,16.3556927956409,16.6196568958713,17.019118731154,16.9449857393695,17.5894428121593,17.6866127927459,17.2488575878936,17.2146674762137,17.5621413915088,17.6510884307728,17.2345952972235,17.6859722010135,17.908902997272,17.8547288172865,18.4234487710571,18.2979795404326,17.0679000965126,17.0494543503598,16.6373305194782,16.2977817835718,16.515044599858,16.590330175078,16.5737428318053,16.737556466856,15.8570597643033,15.6334845014148,14.5793708465742,15.5176222702284,16.1790743240804,16.4643698437505,16.7520894416395,16.3507663140404,16.6439840460302,17.0625638918312,16.4035626984394,16.9514754074021,16.8908541131602,17.5981506347577,17.9525115338079,18.6496787174377,18.8893040674945,13.8132767038307,19.3537971935241,21.0435094974605,21.8774812172893,22.2801477253467,22.384433610484,21.3800982286284,21.9712399859211,21.6416545514476,21.9627231929015,22.1716312775459,22.1004191918121,21.6749819629352,22.4559945760851,21.0435288319205,20.8289452620484,21.2107752912367,20.7540592804488,20.6995393393467,20.7355455334195,21.3902409985793,20.7463374410497,20.3563525501975,19.0485064695099,19.2567006165011,18.6557461057837,16.5436394606358,15.3323963350194,16.0117922950303,18.0562833143919,16.2716182208118,15.8013156806855,17.1675358583191,16.6779371639211,17.1712358975902,17.981705554743,17.1798075922184,18.2374350182211,18.2384189128232,18.9433851065191,19.5927366750959,18.4424753663026,18.5806452157565,17.8937642365887,18.6315683221803,19.4548493706835,19.5307401776821,20.250964271912,20.6086170742087,19.8741237204745,20.7242492336263,21.1222295932976,21.2027052550355,21.0413209078253,21.0417821131269,21.8779590433116],"EWU^FMA_PE(LTMA,-10AY,0,AM,\"PORTAGG\",\"MEANR\")":[13.4024909452766,13.9706642143549,13.6011842630977,13.6269451519732,14.7502939019348,15.2307560361496,15.4918551181616,15.7136686932075,15.6336906322549,15.799995020816,15.6070244927128,15.0901804977372,15.7571704215956,15.7826198062733,15.2315729108424,14.521775842277,14.9297123568599,15.7212597894704,15.9676354518834,15.9181881508113,15.7986434092372,16.5140841333346,16.9683326325046,16.6543916690216,16.9407043914834,16.2702072317234,16.9360422086708,17.1962414112165,17.2911741921827,17.2626945137543,16.904874254792,16.8508654471438,16.598412962029,16.4491669624544,16.0498766576655,15.846086360393,15.8239672580549,15.1965921933713,15.3178253481361,15.6074496533216,14.7016709983108,13.9431176558217,13.996869884978,14.1322909770927,13.894795443393,13.7930647858222,13.619676469327,13.4047962730083,12.8934060740524,12.7023905463366,11.9578506161675,12.4611106427725,12.8363496045825,12.985311900812,13.02155751431,12.9163043081167,13.0049113864673,13.1035055340732,12.6656607264676,13.0707706915255,13.1217326270897,13.4072764051462,14.0079295983716,14.3299999227271,13.9610631783661,11.8663196065701,13.0264576441048,14.1921807669715,15.0595742089098,15.6530097852605,16.3683971190509,16.8720168284851,16.9894154693096,18.5662402052517,19.5464452889724,20.201081984687,19.5158269285459,18.5687549823287,18.0237165896677,17.3806487260862,16.6866617323505,15.8706815508366,15.0723414770954,14.1471200167231,13.8284618572718,13.0671901693952,12.3609396023281,12.7080443904722,12.6704777267159,12.4488427301555,12.2162264381712,11.7475586049801,11.2036390134675,10.979383977078,10.7649516045574,10.0358030113389,9.4518490405671,9.76481559240277,9.57505625429544,10.3009280680621,10.3355044219622,10.1232139490163,10.4196642452888,10.3325522875448,10.3975613609471,10.4676446595929,10.3239364976275,10.6733627755736,10.5549803381162,10.6898781006149,11.0742049266812,10.9597910728866,11.3516011330464,11.461821917921,11.4870700087221,11.783866163526,11.653024625204,11.8287472073382,11.9714526843419,12.0835878881668,12.2033704610696],"WL-FDS^MAX(FG_PRICE(0,-5AY))":763.4,"NI-FDS^MAX(FG_PRICE(0,-5AY))":48241.0,"BRENT-FDS^MAX(FG_PRICE(0,-5AY))":140.85,"TIOS-FDS^MAX(FG_PRICE(0,-5AY))":219.77,"FC0000GB^FG_PRICE(0)":133.59155,"EWD^FG_PRICE_MAVG(0,,,,200)":40.078625,"QQQ^FG_PRICE_MAVG(0,,,,200)":454.10965,"EWG^FG_PRICE_MAVG(0,,,,200)":31.1265,"EWI^FG_COMPANY_NAME":"iShares MSCI Italy ETF","ENZL^FG_COMPANY_NAME":"iShares MSCI New Zealand ETF","FXI^P_PRICE(0)/P_PRICE_HIGH_PR(0,,,,,,\"PRICE\",\"INTRA\",\"52W\")":0.85786664,"EWJ^FG_TOTAL_RETURNC(0,-12AM)":21.543657,"URTH^PERCENT_CHANGE(FMA_EPS(+1,0,,,,\"PORTAGG\",\"MEAN\"),FMA_EPS(+1,-1AM,,,,\"PORTAGG\",\"MEAN\"))":-1.7312536652537,"EWD^FG_TOTAL_RETURNC(0,-6AM)":9.0489025,"EWQ^P_PRICE(0)/P_PRICE_LOW_PR(0,,,,,,\"PRICE\",\"INTRA\",\"52W\")-1":0.16607249,"EWU^PERCENT_CHANGE(FMA_EPS(+1,0,,,,\"PORTAGG\",\"MEAN\"),FMA_EPS(+1,-3AM,,,,\"PORTAGG\",\"MEAN\"))":0.311238964375326,"EWJ^FG_TOTAL_RETURNC(0,-3AM)":-0.3835261,"EWC^P_PRICE(0)/P_PRICE_HIGH_PR(0,,,,,,\"PRICE\",\"INTRA\",\"52W\")":0.9981007,"ENZL^FG_TOTAL_RETURNC(0,-12AM)":17.636526,"EWJ^FMA_COS_DOWN(\"EPS\",\"1M\",+1,0,,,\"PORTAGG\",\"MEANR\")":73.0,"EWL^SIZE(FG_CONSTITUENTS)":47,"EWD^FMA_RBICS_REV_CURRENT(30, LOC, \"PORTAGG\")":26.7323231015912,"SPY^FG_ROE(0)":18.6311471225532,"TRYCH10Y-FDS^FG_YIELD_NAME":"Treasury - Switzerland Benchmark Bond 10Y","EWC^FG_COMPANY_NAME":"iShares MSCI Canada ETF","REFEUREFI-FDS^PROPER_NAME(0,,,\"SECURITY\",\"NAME\")":"Eurozone Main Refinancing Operations Minimum Bid Rate","TRYFR10Y-FDS^PCTCHG(FG_YIELD(0,,,,\"YTM\"),FG_YIELD(-3AM,,,,\"YTM\"))":-4.8318644,"TRYAU10Y-FDS^PCTCHG(FG_YIELD(0,,,,\"YTM\"),FG_YIELD(-3AM,,,,\"YTM\"))":1.5801979,"TRYUS10Y-FDS^FG_YIELD(0,,,,\"YTM\")":4.0789,"CC_IT^IMF_IFS_RCPI_Q(0)":null,"VWO^FMA_DIV_YLD(NTMA,NOW,NOW,M,\"PORTAGG\",\"MEANR\")":2.98103560166142,"EWI^FMA_PE(LTM,0,,,\"PORTAGG\",\"MEANR\")":11.1780145597982,"EWQ^FMA_EVAL_EBIT(LTMA,NOW,NOW,M,\"PORTAGG\",\"MEANR\")":13.583475036114,"QQQ^FG_FCF_YIELD_NTM(0)":3.53468804937626,"EWL^FMA_PE(NTMA,0,,,\"PORTAGG\",\"MEANR\")":17.3089225155881,"EWG^JULIAN(FMA_DIV_YLD(NTMA,NOW,NOW,M,\"PORTAGG\",\"MEANR\").DATES)":45565,"ENZL^FMA_EVAL_EBITDA(NTMA,0,,,\"PORTAGG\",\"MEANR\")":13.1020375662224,"EWL^FG_COMPANY_NAME":"iShares MSCI Switzerland ETF","EWN^FG_COMPANY_NAME":"iShares MSCI Netherlands ETF","VGK^FG_TOTAL_RETURNC(0,-6AM)":9.738016,"QQQ^FG_TOTAL_RETURNC(0,-6AM)":17.134308,"EWJ^P_PRICE(0)/P_PRICE_LOW_PR(0,,,,,,\"PRICE\",\"INTRA\",\"52W\")-1":0.22604883,"QQQ^FG_TOTAL_RETURNC(0,-12AM)":37.010647,"EWJ^FG_TOTAL_RETURNC(0,-1AM)":1.0664344,"EWC^FG_TOTAL_RETURNC(0,-6AM)":15.164328,"ENZL^P_PRICE(0)/P_PRICE_LOW_PR(0,,,,,,\"PRICE\",\"INTRA\",\"52W\")-1":0.19936335,"EWN^SIZE(FG_CONSTITUENTS)":55,"TRYAU10Y-FDS^PCTCHG(FG_YIELD(0,,,,\"YTM\"),FG_YIELD(-1AM,,,,\"YTM\"))":11.464805,"DUMMY^ECON_EXPR_DATA('FDS_ECON[PMIDMMANHE]',,,M)":47.52011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507267246828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NI-FDS^FG_PRICE(0)/MAX(FG_PRICE(0,-1AY))":0.788719153936545,"QQQ^FG_PRICE_MAVG(0,,,,60)":472.99966,"EWG^FG_PRICE_MAVG(0,,,,60)":32.087,"EWD^FG_COMPANY_NAME":"iShares MSCI Sweden ETF","FXI^FG_TOTAL_RETURNC(0,-6AM)":34.024334,"EWQ^P_PRICE(0)/P_PRICE_HIGH_PR(0,,,,,,\"PRICE\",\"INTRA\",\"52W\")":0.9213615,"EWU^PERCENT_CHANGE(FMA_EPS(+1,0,,,,\"PORTAGG\",\"MEAN\"),FMA_EPS(+1,-1AM,,,,\"PORTAGG\",\"MEAN\"))":-1.85990667071798,"EWJ^FMA_COS_UP(\"EPS\",\"1M\",+1,0,,,\"PORTAGG\",\"MEANR\")":83.0,"ENZL^FMA_COS_UP(\"EPS\",\"1M\",+1,0,,,\"PORTAGG\",\"MEANR\")":4.0,"QQQ^FG_ROE(0)":22.3960593972901,"REFFFUND-FDS^PROPER_NAME(0,,,\"SECURITY\",\"NAME\")":"US Federal Funds Target Rate","TRYFR10Y-FDS^PCTCHG(FG_YIELD(0,,,,\"YTM\"),FG_YIELD(-1AM,,,,\"YTM\"))":-0.34188002,"EWC^FMA_EVAL_EBIT(LTMA,NOW,NOW,M,\"PORTAGG\",\"MEANR\")":16.2949037454837,"CAGDPY@US^EE_ACTUAL_ANNUAL(MED,+1)":-3.3,"CAGDPY@NZ^EE_ACTUAL_ANNUAL(MED,+1)":-6.4,"USDITL^FG_PRICE_CHANGE(0,-1AY)":-2.938062,"USDANG^FG_PRICE_CHANGE(0,-1AY)":0.0,"USDUSD^FG_PRICE_CHANGE(0,-1AY)":0.0,"USDGBP^FG_PRICE_CHANGE(0,-1AY)":-6.8308234,"USDJPY^FG_PRICE_CHANGE(0,-1AY)":-0.113505125,"USDCAD^FG_PRICE_CHANGE(0,-1AY)":0.8289695,"USDNZD^FG_PRICE_CHANGE(0,-1AY)":-3.385228,"EWA^JULIAN(FMA_EPS(NTMA,-20AY,0,CY,,\"PORTAGG\",\"MEANR\").DATES)":[38352,38716,39080,39447,39813,40178,40543,40907,41274,41639,42004,42369,42734,43098,43465,43830,44196,44561,44925,45289],"EWD^FG_TOTAL_RETURNC(-10AY,0,AM)":[-9.130812,7.4396133,-3.2213748,-3.3697367,9.396195,-0.05903244,-0.9450674,3.0709505,-1.0124326,-2.0779788,-2.2551715,-4.898858,0.7976055,-1.1539757,-5.0366936,-8.067417,6.3097477,5.8273435,3.0591369,-5.1780996,-1.6347826,1.6063809,5.1374793,-2.1335125,0.14064312,-4.1081486,4.174304,3.1107068,5.1824093,2.3014545,-1.4258504,6.9752455,2.7644277,2.6599288,-1.9807756,5.349183,1.2694001,-4.45683,-0.4081607,6.5891504,-3.1900048,-1.2320936,-2.030754,0.7995248,-4.200941,0.006043911,-0.12836456,3.181231,-6.5711617,-2.2333324,-4.136425,5.231309,2.5363564,1.9459128,5.758655,-7.066381,1.5030503,1.0709524,-8.245039,8.444607,2.6955128,3.2080412,5.449891,1.1456132,0.059616566,-33.958893,20.117271,4.881716,10.227335,11.40436,4.2117596,1.908505,-0.3855765,7.4094534,3.8862705,2.1467686,4.521024,4.3020844,8.33894,-0.20691752,-3.1240165,2.6719213,1.0238886,-0.71790814,0.12761354,2.803743,-6.6415367,-0.9544313,-8.780819,1.1874676,-5.368286,-9.498686,-6.9749236,-0.8061886,7.15214,-10.406548,-1.5238762,12.24209,0.26358366,8.48186,1.4164329,-8.603346,12.102688,-2.0992398,0.05569458,2.699697,-11.30082,0.56523085,-1.1696875,8.853364,11.522174,-5.3409815,5.126095,4.6936154,-4.383564,7.0851803,0.37549734,0.64023733,-1.4925361,3.2041788,-0.8423567],"EWQ^FMA_DIV_YLD(NTMA,-10AY,0,AM,\"PORTAGG\",\"MEANR\")":[3.87472559405058,3.66289379238836,3.66344136667918,3.5576478375526,3.20915434214895,3.19216760110569,3.14031168721663,3.26910958493134,3.42643716095486,3.25096374377281,3.3795361040612,3.70337981965658,3.55328513884346,3.43700518954896,3.61696756965443,3.97060678912394,3.9065091765626,3.71027810918527,3.68329925890064,3.81837487469196,3.95602012329049,3.80301999935607,3.72896871189953,3.8135661315122,3.70952777022391,3.73156646713705,3.50085564196863,3.46411799465155,3.49149768559694,3.40389905856789,3.44040193220652,3.26119720288567,3.28652961139152,3.35506506266417,3.41113704907119,3.34248411890569,3.2756793287759,3.34166826220579,3.25571036096467,3.21944918481315,3.37624098390326,3.38458889508576,3.34567367045535,3.26335878984565,3.38032141544916,3.38830018381175,3.49083191098522,3.48602466620543,3.68481745150944,3.76640097552337,3.98212777530591,3.87909385699134,3.70692515352674,3.54654274911155,3.47231922740722,3.56739706908919,4.74829586986242,3.53363979480771,3.71485512777689,3.51472953971349,3.51209769512857,3.35951103959018,3.36131461885877,3.28710637167114,3.28936618182736,5.24815541780439,3.78783669805415,3.51075306453063,3.14575110445548,3.05745394474273,3.14460531380974,3.16535073525837,3.20636529595223,2.90262679817076,2.93232988583811,2.92804428855012,2.8615864778622,2.73683567236499,2.67928130619109,2.71737094905075,2.66895724977824,2.73579146302286,2.71627756616248,2.82232915360796,2.84177628648408,2.71744098422207,2.82354043396162,2.78486550413103,2.95092870446708,3.10864171180261,3.13142657054619,3.27003661140935,3.55541693367274,3.45116198911964,3.2653247172387,3.55273026878718,3.59463357110315,3.29777609101965,3.39194409500142,3.09941862011014,3.10114352229097,3.33461664516405,3.09497856981912,3.18383605848939,3.21335049745927,3.27019514650691,3.39435077071076,3.3490333743201,3.51589098624337,3.36473063731709,3.2278157118561,3.29038295422185,3.16782753899124,3.0645736682474,3.13965201185444,3.07611691412072,3.32846386843738,3.34766539704265,3.41056216851208,3.42264902428754,3.4006909258121],"QQQ^FMA_PE(NTMA,-10AY,0,AM,\"PORTAGG\",\"MEANR\")":[16.3570414656842,17.9998480651238,17.8516742420452,16.9330232799213,17.9255563498927,17.9886510030795,17.6946380889642,18.089710941413,18.0420002990791,18.6502740976733,18.3906016216898,17.3818247581529,17.7982614318244,18.6424247427647,18.014363407706,16.6737264004486,16.7348765981438,17.5937306385027,18.1216326157745,17.3863203094486,17.3392188765082,18.4324648296094,18.7680377592317,18.5111857492327,18.4127598414023,18.1118326256507,18.3237547324015,18.6737020095543,20.083947065919,20.1588511394013,19.8634730377054,20.4327921918516,20.3634873398926,20.8223797075666,20.1422685649617,20.5598566840973,20.6582006968146,20.8327306115383,21.3885348638468,21.8296535212286,20.6398029045591,21.1703525274099,20.3977017127256,19.8861687002021,20.8117317496319,20.9694290438767,20.4708595873138,20.5453473068121,19.384432874829,18.624333458586,17.5541969815317,18.6123192003185,19.5287904397589,20.2578514145155,21.0711143290508,20.449279332865,20.8660805570494,21.3022885226095,20.3281675470633,20.3789391069735,20.618400639237,21.6564777383502,22.332387684678,23.7403870464354,24.3505756193948,18.3100210611026,24.3781992837937,26.6840651195468,28.3191487412459,29.3211784363726,29.8295501105363,28.127240863156,30.0153739933693,28.9788366546357,30.2277694837976,29.6062104603546,29.8621495302555,27.3799148007341,29.75107905704,26.2479534972093,27.4331394987041,28.3574741470566,27.4332256295665,27.9876322058947,27.8488151435442,29.7941046302862,28.2106863404625,26.9993646970293,24.4590802992092,24.9321289571217,23.9033206272496,20.653890284332,19.3627279794622,20.6329500884188,24.0474390781726,20.9877914527454,19.9654110636607,21.7048819295859,20.8801569177131,21.8054028083928,23.7861545777974,23.8387716496664,24.7477366159551,25.4277179049513,26.9865524657089,27.7101376156244,23.7756573908297,24.0544477991455,23.2917560044353,24.3996403475218,25.1226911768841,25.1372391345835,25.9128623251912,25.989057458064,24.7668094806927,26.1298822649677,27.3199925117061,26.6780614455792,26.4400552813413,25.6760782366613,26.4329532900295],"EWL^FMA_PE(LTMA,-10AY,0,AM,\"PORTAGG\",\"MEANR\")":[16.4940178057016,17.5777052678182,17.3121792783355,16.0147467139515,17.5894556211817,18.0260149057825,18.1470940788579,18.1129756429318,17.8432491946054,18.2476272129439,18.0232214393374,17.2947333358471,17.527806045658,17.604302317232,17.1161449303724,16.0796320553105,16.6610559266944,16.6321153341155,16.8373934662109,16.8810693887252,16.7788647120966,17.3512372529637,17.8764328842955,17.834477350752,17.8816384589694,17.5888175585835,18.0667534293573,18.4825961914988,19.6449691518581,19.6392922106911,19.3377426788187,19.4603138540057,19.5015116689712,19.4141778212737,19.1062351214455,19.3333008242813,19.803239384735,20.2034023693973,20.757961930396,20.995998176573,21.802982471816,20.9690547696546,20.45979073565,20.1199021906379,19.3633570075244,19.3201524565921,18.8620215004848,18.5369148771029,17.7342230373897,17.6385673064002,16.5707885392989,17.4263598849173,17.9059655420583,18.3116884181736,18.2983741790456,18.1834695847756,18.3624483527361,18.4372366382442,18.1158404315763,18.3709861921922,18.3507862610808,18.943605900806,19.4120702786806,19.993372715883,20.1392776341087,17.4031057345383,18.3343209655167,18.9348394808949,19.4931312978995,20.1681831072573,20.4387780509377,21.0549448244962,20.9094031579738,21.3967619768034,21.5053456525426,21.9739840268714,20.9304374783697,20.4751999189346,20.6496100222041,20.479850882958,20.8663274673924,20.9527683175109,21.290966476008,20.5528427778215,20.4960940311522,21.0154436283399,21.2344872604889,20.7849712084728,18.3973275665361,18.557000925214,18.6846854739522,18.1106747968635,17.3556958663355,17.7684094661169,18.3059658836801,17.5624428838475,17.4885458383242,19.5508362438452,20.0034162188729,21.4288027807276,21.3325768443549,20.3872833746677,20.3837932227506,20.0343155275886,19.5036825296999,19.2155938227319,18.6384229769193,18.719350825159,18.0618414730415,17.8815076588949,18.3548562014593,18.2124169210198,19.0079391164452,19.1806511287741,18.8431965216406,18.9596234391979,18.8976224803009,18.9535447297003,18.7792152927999,18.5858265140194,18.727813176507],"WL-FDS^FG_PRICE(0)/MAX(FG_PRICE(0,-1AY))":0.742205920880272,"CPALM-FDS^FG_PRICE(0)/MAX(FG_PRICE(0,-1AY))":0.943000655164883,"BRENT-FDS^FG_PRICE(0)/MAX(FG_PRICE(0,-1AY))":0.887441860465116,"TIOS-FDS^FG_PRICE(0)/MAX(FG_PRICE(0,-1AY))":0.730854605993341,"EWD^FG_PRICE_MAVG(0,,,,60)":41.044666,"ENZL^FG_FCF_YIELD_NTM(0)":1.99822855454785,"QQQ^FG_TOTAL_RETURNC(0,-3AM)":3.2686472,"VWO^FG_TOTAL_RETURNC(0,-3AM)":8.14234,"TRYUS10Y-FDS^PCTCHG(FG_YIELD(0,,,,\"YTM\"),FG_YIELD(-3AM,,,,\"YTM\"))":-2.7861187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0728,8.94223448409827,12.253955548111,13.1534194530092,13.2312741384504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EWD^FG_PRICE_MAVG(0,,,,30)":41.88233,"VWO^FG_TOTAL_RETURNC(0,-12AM)":27.894997,"EWD^FG_TOTAL_RETURNC(0,-1AM)":-0.8423567,"QQQ^P_PRICE(0)/P_PRICE_LOW_PR(0,,,,,,\"PRICE\",\"INTRA\",\"52W\")-1":0.4443406,"EWL^FMA_COS_UP(\"EPS\",\"1M\",+1,0,,,\"PORTAGG\",\"MEANR\")":11.0,"EWQ^FMA_RBICS_REV_CURRENT(30, LOC, \"PORTAGG\")":11.5124215499026,"TRYDE10Y-FDS^FG_YIELD_NAME":"Germany Benchmark Bond - 10 Year","REFFFUND-FDS^(SUBARRAY(NOT_NA(NO_REPEAT_F(FG_YIELD(NOW,-10AY,D))),0,1)-SUBARRAY(NOT_NA(NO_REPEAT_F(FG_YIELD(NOW,-10AY,D))),1,1))*100":-50.0,"CAGDPY@US^EE_ACTUAL_ANNUAL(MED,0)":-3.26791565830676,"CAGDPY@NZ^EE_ACTUAL_ANNUAL(MED,0)":-7.1,"USDITL^FG_PRICE(0)":1783.3479,"USDANG^FG_PRICE(0)":1.79,"USDUSD^FG_PRICE(0)":1.0,"USDGBP^FG_PRICE(0)":0.767077,"USDJPY^FG_PRICE(0)":149.605,"USDCAD^FG_PRICE(0)":1.3805,"USDNZD^FG_PRICE(0)":1.6473107,"EWI^P_PRICE_RETURNS_PR('52W',2,-10AY,0,AM)":[-7.6397896,-2.6109755,-4.0139856,-15.6409855,-9.831339,-14.528698,-14.8165045,-3.4826994,-13.067066,-4.063618,1.2889385,-7.6764345,13.138235,-0.54891706,-0.060611963,-2.026105,-21.97556,-12.230289,-15.045381,-24.331284,-21.443718,-26.209194,-24.616444,-25.625664,-24.741203,-24.03146,-12.321388,2.1294117,6.9940567,5.2064657,3.5462499,23.623812,29.839754,35.133995,36.208797,48.715973,42.23994,45.736156,32.598568,40.022217,40.240894,30.625105,41.78182,16.684639,9.528971,4.224527,-6.414014,-5.7903824,-15.702367,-14.491522,-16.220648,-19.67408,-15.668732,-10.817247,-13.536608,-12.9154625,-3.7522435,1.9358277,-0.1401782,1.9697189,18.34525,22.29004,24.381805,21.176386,19.19862,-31.255405,-25.14928,-19.21587,-9.606105,-6.768531,3.0582666,-7.2433114,-10.75725,-3.8838446,1.2582898,1.4656425,1.5443206,73.308075,64.71742,59.73121,37.834274,25.71392,30.170572,28.577673,35.318066,23.266352,10.115361,15.891242,9.293663,-5.6703863,-7.954061,-15.727353,-22.954416,-24.22639,-21.57355,-23.981773,-27.050144,-15.100598,-13.165337,-6.8821964,0.22763014,2.360022,14.126873,19.592535,33.944332,50.755333,29.961527,37.316288,36.40461,24.770176,29.828632,17.616676,16.098642,37.023376,18.183672,30.897331,19.050943,18.09212,23.0484,26.76674,35.331844],"EWN^FG_TOTAL_RETURNC(-10AY,0,AM)":[-8.837771,7.7025175,-0.2971828,-2.5025845,6.109464,3.5185933,-0.88837147,5.1831603,-1.9636929,1.3309002,-2.8301895,-7.417476,4.3624163,-0.40192604,-4.963684,-6.0072184,2.454555,9.272396,1.2180328,-3.4496605,-2.5758147,1.9217491,5.4329395,-2.777779,1.4906883,-4.3655634,2.3037553,3.822887,4.7599673,4.4271827,-0.278908,8.223009,1.1026859,2.8820276,2.0456076,3.1547785,1.5928626,-2.3518324,2.5690436,5.194366,-3.3522844,0.3406644,1.9753098,-3.2990336,-0.8137703,1.3376951,-4.1139307,0.16502142,-6.8204284,1.1315465,-5.7370243,2.348113,7.028401,3.164339,3.232193,-2.3642182,1.3545394,3.6056876,-4.533845,5.9197307,1.294601,2.4314165,2.1831393,2.0933032,0.14644861,-34.396015,23.718239,4.7927976,12.085926,6.0493827,3.317809,-0.8732438,3.4668922,5.026102,8.066583,3.8601637,6.381488,-2.1533728,9.027624,-0.5767226,-0.5264282,0.3354311,5.6414604,4.1337013,-2.7920246,3.4974575,-9.803277,1.1764765,-6.5822244,-4.4898868,-6.074005,-8.8701725,-5.935085,1.6105413,7.838607,-10.502398,-6.3601074,20.72704,0.24892092,10.259808,1.5628815,-6.486744,7.4430346,0.68331957,1.9249678,5.084741,-9.456473,-4.7096133,-5.23687,13.552225,5.830562,-1.3526142,8.566833,1.650095,-1.7481804,9.553062,0.3851056,-2.2984028,-0.6977618,-1.586026,-0.95879436],"SPY^FMA_DIV_YLD(NTMA,-10AY,0,AM,\"PORTAGG\",\"MEANR\")":[2.23666301759582,2.07928408186141,2.09189909267638,2.15191508541109,2.10566773466853,2.15652720835578,2.17146331957043,2.13587628031195,2.15055758360269,2.14742936463874,2.2054966951715,2.37530461338098,2.29143583581959,2.26980457390121,2.35456300707597,2.52577322652888,2.45182025901469,2.47519773454617,2.29179874134034,2.29270141173246,2.30651609115288,2.21527882536496,2.20145066959804,2.25397209924511,2.25495504580337,2.22829621377905,2.16622740508032,2.1673892635977,2.11331848463476,2.09887528084817,2.1422831361168,2.13513498799556,2.08657704583377,2.08932907731983,2.13162864726519,2.07112237171038,2.03491244531615,2.01951765321519,1.94610147555024,1.88657141702778,1.96390334886112,1.96977148500469,2.01843802190974,2.03545198735894,2.00876549917431,1.9975387581491,1.98834390657188,1.95974024764434,2.06891448110474,2.09826917852094,2.27471056696999,2.18027973387759,2.10816995418462,2.07964775504558,2.04865490057151,2.09084825743899,2.06019359786743,2.01945631864582,2.10223589044411,2.03135158168335,2.0544980541102,1.98008939104235,1.9555596062152,1.88474253585039,1.87547687769654,2.63953256776555,2.14012063031753,2.05276938552005,1.93286888065765,1.84429244426763,1.75817418511856,1.80022444881224,1.71781404486712,1.67933464494653,1.62184246973384,1.57750185413575,1.53431158493221,1.54431497302986,1.45404539052768,1.48163759911352,1.48156130340755,1.44720080492405,1.43475050816631,1.43173902543602,1.42424954440557,1.36648308499505,1.39732267084764,1.4160912631221,1.5129010373208,1.47777639326334,1.50220100456599,1.69191964353161,1.81982013878109,1.758278960084,1.58789739525958,1.76811469335109,1.84884904484901,1.74709299304894,1.80075889663061,1.77273526997046,1.71910331460107,1.79417116712691,1.70272035979354,1.68118464070195,1.6115774864893,1.56372987545731,1.64277244915552,1.61918673760579,1.68186542723611,1.61439335070115,1.54953473964936,1.54495657941481,1.4962462413253,1.45737284402285,1.50587055819865,1.44163634688864,1.40355546342968,1.39217407474414,1.39493471331998,1.38483729157456,1.32952270493409],"EWU^FMA_PE(NTMA,-10AY,0,AM,\"PORTAGG\",\"MEANR\")":[12.5181958946333,13.4950082559736,13.5767759255815,14.2009914453255,15.5251456423834,15.6114978126605,16.0350693373536,16.120855033741,15.485614844093,15.6018789049891,15.0615006661324,14.4146526173206,15.2865242054251,15.2681498794073,14.7860308826089,14.588535689747,15.296167772572,16.3107524957874,16.4880839124014,15.8302422277685,15.1801328652566,16.1010128421809,16.2557035013487,15.4392493465808,15.2698049617466,14.2591252250582,14.3474304248576,14.3832072354935,14.5152731486049,14.5510663947547,14.1733147972066,14.7263241411216,14.6005985663932,14.6584263863953,14.3598511633145,14.467843416486,14.6082165982934,14.2150545605185,14.527737246319,14.6716770372416,13.7878042820511,13.3941611708345,13.6632943242707,13.9865764791781,13.3701948499989,13.1272608755121,12.7957001057414,12.4769854863975,11.8392145283333,11.7389457056459,11.3304307907696,12.0274366857112,12.4858689884881,12.6996651726729,12.7565639625631,12.3779271375409,12.5376806377407,12.609020269929,11.8193339124949,12.3597238105423,12.3965633180792,12.8237060382928,13.417499135062,13.6196184137121,13.2977320724223,9.72671640075846,13.7065832675887,15.5099385910089,16.0876668698477,16.0101499227995,15.59045508444,14.9364057474918,14.1604141963485,14.8369082750203,14.673108641179,14.4638702564027,14.1877023250203,14.0375817130578,13.6223520514312,13.3133656702942,12.8846650874659,12.3703316061119,12.304629330459,11.7866547588915,12.2535777365638,12.0329542751626,11.9258040252202,12.4430164361001,12.1445724604692,11.614221095733,11.1574560878973,10.2825963044645,9.51289794141898,9.64150815298138,9.81527388820756,9.09089434777854,8.69635760592775,9.55903284068497,9.65458287687338,10.5998507304822,10.6971591774508,9.78222470019044,10.8473286365286,10.4328706634615,10.5002841049589,10.4697321249489,10.1453292029169,10.5545922973628,10.328631676927,10.3720123860373,10.759573406695,10.6969787467172,11.2000865021337,11.2769324815054,11.2718509651298,11.9301569835656,11.4541054261291,11.5912389791272,11.5910903360646,11.638298600627,11.737284527165],"EWJ^FMA_PE(LTMA,-10AY,0,AM,\"PORTAGG\",\"MEANR\")":[14.0298153948272,15.9060560208414,15.491978084427,15.3457663960416,16.4694759908414,16.9642141888611,16.8985551028021,17.0404127211624,16.7615353277859,16.8815462465843,16.8296048670738,15.2866446796941,15.4915291469703,16.157097154581,15.5532237789682,14.3185797866969,13.794974379889,13.8494618941017,13.7351374768231,13.9164624109396,13.6701820351596,14.1688760852166,13.9593034903647,14.1347798618028,14.4505868129787,15.1451267043615,16.6375511216123,16.2930422446136,16.1937095795299,15.9012283865276,15.492556307362,15.6158235232923,15.6225392401355,15.4552293586817,14.9971727437384,14.8217229504204,15.2416312125801,15.6017854248111,16.2590068511594,16.8505866258692,15.0221899402473,14.3822592309669,14.2612596740935,14.3317959024751,14.094598105101,13.9337998357974,13.5574427994852,13.6988984578619,13.2382035140746,12.6288741947664,12.0735978036362,11.9929564206288,12.4088731088842,12.7206546004767,12.7587795397055,12.6663197319676,12.7325647940316,12.8179090343392,12.6469793050229,13.4958403178396,13.7414674208634,14.4855834956448,15.316628917528,15.4731259655148,15.1050367365557,13.5047070751611,14.0759236151163,14.5909584880701,16.7687610427112,17.5290634947933,18.2019497210698,19.903087405705,20.3616848646566,22.0646421872064,23.0413597027681,23.9745360844129,23.1145122092604,21.579626060917,21.1151093285844,20.3572493300671,19.9747304172005,19.4278838447744,18.5700264076796,18.7546230273962,17.8085270171969,17.453891557822,16.3099398812522,15.8761927336791,15.0187526386411,14.6198204040906,14.4111519083262,14.2320010631458,13.8379446744549,13.8145499089238,14.0566919276657,13.580590380231,13.182969146998,13.5168094362407,13.2699025475794,13.1336525130249,13.5613225881075,13.5882856533207,13.7393699187967,14.0713567420388,14.5605494333285,14.5089671276194,14.3650315763521,15.2871228122447,14.7389186098473,15.3482658482506,14.9536929748974,16.1956934444793,16.800960966724,17.0010694581873,16.7722302980433,16.7796996037682,16.5525995575091,16.8689735016571,16.0503746462389,15.3163175342956,15.7180058266687],"WL-FDS^FG_PRICE_CHANGE(0,-1AY)":-23.6182259369102,"NI-FDS^FG_PRICE_CHANGE(0,-1AY)":-9.14997292907418,"CPALM-FDS^FG_PRICE_CHANGE(0,-1AY)":14.5661979304855,"BRENT-FDS^FG_PRICE_CHANGE(0,-1AY)":-9.55440851153482,"TIOS-FDS^FG_PRICE_CHANGE(0,-1AY)":-11.4696244013108,"QQQ^FG_PRICE_MAVG(0,,,,30)":482.68,"EWG^FG_PRICE_MAVG(0,,,,30)":32.907665,"FXI^FG_TOTAL_RETURNC(0,-3AM)":23.68319,"EWJ^P_PRICE(0)/P_PRICE_HIGH_PR(0,,,,,,\"PRICE\",\"INTRA\",\"52W\")":0.9575369,"VGK^PERCENT_CHANGE(FMA_EPS(+1,0,,,,\"PORTAGG\",\"MEAN\"),FMA_EPS(+1,-1AM,,,,\"PORTAGG\",\"MEAN\"))":0.0,"EWQ^FG_TOTAL_RETURNC(0,-6AM)":0.8837223,"EWU^FMA_PCT_ABOVE_MAVG(200,0,,,,\"PORTAGG\")":60.2564102564103,"EWJ^PERCENT_CHANGE(FMA_EPS(+1,0,,,,\"PORTAGG\",\"MEAN\"),FMA_EPS(+1,-3AM,,,,\"PORTAGG\",\"MEAN\"))":7.4685678529611,"EWC^FG_TOTAL_RETURNC(0,-3AM)":9.336805,"ENZL^P_PRICE(0)/P_PRICE_HIGH_PR(0,,,,,,\"PRICE\",\"INTRA\",\"52W\")":0.97619516,"URTH^SIZE(FG_CONSTITUENTS)":1412,"EWN^FMA_COS_DOWN(\"EPS\",\"1M\",+1,0,,,\"PORTAGG\",\"MEANR\")":22.0,"EWU^FG_ROE(0)":13.6114988839825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989718,17.2298191699104,20.6862842146993,20.5983105975852,20.344268503591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4469,9.791837,10.764477,11.358896],"EWD^FG_PRICE(0)":41.2,"QQQ^FG_PRICE(0)":494.47,"EWG^FG_PRICE(0)":33.36,"FXI^FG_TOTAL_RETURNC(0,-1AM)":22.833134,"EWD^PERCENT_CHANGE(FMA_EPS(+1,0,,,,\"PORTAGG\",\"MEAN\"),FMA_EPS(+1,-3AM,,,,\"PORTAGG\",\"MEAN\"))":-2.83221090790628,"EWQ^FG_TOTAL_RETURNC(0,-3AM)":0.95164776,"QQQ^P_PRICE(0)/P_PRICE_HIGH_PR(0,,,,,,\"PRICE\",\"INTRA\",\"52W\")":0.9820266,"URTH^FMA_COS_DOWN(\"EPS\",\"1M\",+1,0,,,\"PORTAGG\",\"MEANR\")":610.0,"EWL^FG_ROE(0)":18.770625129163,"TRYCA10Y-FDS^FG_YIELD_NAME":"Canada Benchmark Bond - 10 Year","REFEUREFI-FDS^(SUBARRAY(NOT_NA(NO_REPEAT_F(FG_YIELD(NOW,-10AY,D))),0,1)-SUBARRAY(NOT_NA(NO_REPEAT_F(FG_YIELD(NOW,-10AY,D))),1,1))*100":-60.0,"REFCATARG-FDS^PROPER_NAME(0,,,\"SECURITY\",\"NAME\")":"Canada Target Rate","TRYUS10Y-FDS^PCTCHG(FG_YIELD(0,,,,\"YTM\"),FG_YIELD(-1AM,,,,\"YTM\"))":9.890074,"TRYGB10Y-FDS^FG_YIELD_NAME":"United Kingdom Benchmark Bond - 10 Year","QQQ^FMA_PE(LTM,0,,,\"PORTAGG\",\"MEANR\")":36.2468813718524,"EWC^FG_FCF_YIELD_NTM(0)":4.66365101367165,"ENZL^FMA_PE(NTMA,0,,,\"PORTAGG\",\"MEANR\")":24.2217974660233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-6.463897,1.9783735,-1.8914223,-10.660702,-0.2387762,-4.763162,-3.2470107,-3.8105726,-3.6983192,-1.6176641,-3.7241101,-8.172571,4.554367,-6.2868,-8.044624,-11.108625,-14.983291,-9.975934,-6.33679,-13.832914,-13.97242,-11.152959,-4.433256,-4.077154,-2.295357,-5.215412,0.7576823,16.621017,15.342844,11.540043,6.6859603,20.359934,27.272964,27.046597,18.445004,27.501095,28.938246,28.140938,22.818232,26.961494,16.028059,12.890768,12.126923,5.6537867,-1.5074134,-4.053569,-1.9781649,-4.2521057,-11.665165,-10.933739,-12.993235,-14.101612,-8.968502,-6.0932755,1.3731122,-6.3725176,-0.97269416,0.081801414,-6.611514,-3.3616006,6.2234044,12.135458,23.348951,20.021034,15.696037,-25.051481,-14.797693,-3.9318204,4.3253303,14.498579,30.602896,22.731281,22.095537,23.895359,22.058224,25.66353,28.76252,103.361176,91.84918,74.52108,53.3821,43.627693,37.03501,33.79811,34.191086,28.436958,15.623236,11.916995,-2.326101,-5.242795,-17.231632,-24.938225,-29.330439,-30.36372,-26.139486,-34.721733,-34.44667,-28.428251,-24.389011,-15.811414,-7.7748537,-14.603853,0.1516819,8.340157,16.528261,20.64681,-0.13011098,12.100148,12.503349,9.610451,21.358335,5.8947563,9.983277,25.738,7.2464943,16.81968,17.682611,15.322685,26.034092,31.435799,31.871128],"EWQ^FG_TOTAL_RETURNC(-10AY,0,AM)":[-10.675383,4.9186945,-1.5742898,-2.6211262,7.340944,-0.49391985,1.8327594,3.4870625,-3.115946,1.3875961,-1.1627913,-6.4895687,4.6672106,-1.822418,-4.976302,-7.770938,3.0303001,7.287097,0.9410739,-3.2428026,-0.96355677,0.88602304,4.5591354,-3.5787702,2.2184253,-3.3806324,5.226791,3.1609058,-0.079876184,4.3565154,-0.49789548,11.5473385,1.3112545,1.7289162,0.13623238,4.0476203,1.8633485,-1.4120698,1.985681,5.490458,-2.4279177,-0.8398235,3.0426621,-0.4566133,-2.3853242,0.29798746,-3.4757674,2.3785949,-6.7763805,-1.5576303,-5.863011,2.401507,4.9835086,5.130899,2.1912336,-2.8265119,2.9592395,1.6971707,-5.988222,5.499482,1.220727,4.2372823,0.93369484,2.3284674,-2.3361683,-37.7757,20.41937,1.036489,12.424469,5.8045506,1.5277743,-0.37620068,-1.3044953,11.72173,4.218209,0.48033,2.210927,2.3384929,5.855477,2.8332472,0.95784664,-2.2338986,3.4139752,-1.2477219,1.1318684,4.4247866,-4.8668265,4.2811036,-3.150016,-6.158352,-2.5284052,-5.625182,-5.571204,-0.404042,7.978368,-8.046335,-1.9748032,14.102114,0.26904345,10.877514,3.1876922,-6.391472,12.062586,-1.6247749,1.0220051,2.5594115,-5.6786356,-0.72894096,-6.2007008,8.176279,4.5832157,-2.2119224,3.112638,5.525708,-3.490907,6.12911,-6.444001,0.6471634,-0.20576715,1.0309339,0.12755394],"QQQ^FMA_DIV_YLD(NTMA,-10AY,0,AM,\"PORTAGG\",\"MEANR\")":[1.32273539493375,1.20771292580135,1.21614396894182,1.2356419380417,1.22694432320452,1.24719601365242,1.27587998522588,1.23385687586566,1.23619548283646,1.20494627732835,1.27896330519033,1.35073501088718,1.31890351116958,1.27537320258251,1.31749459218029,1.39902408568162,1.42378277712552,1.35619406980042,1.31698923386867,1.39635147287947,1.39085088142677,1.31731096725354,1.27597037574183,1.2805825751655,1.27263016391919,1.29414316509085,1.28330983663402,1.25611945277724,1.22228062311592,1.21153958318729,1.22407711765224,1.18816597570602,1.18417111945239,1.1705016148493,1.19792496937399,1.16243030629624,1.1406913341471,1.11039407428718,1.07906830380132,1.03928408122566,1.07551022921951,1.04764985965845,1.08673525098396,1.09757583560406,1.04018742267516,1.03121051046054,1.08343174443854,1.0784307480994,1.14540180133634,1.19460079800683,1.29028669272295,1.23608899103476,1.19597581977355,1.14126971613215,1.10041734651795,1.13461876556907,1.1182359623628,1.08562036995824,1.12853164751718,1.11606923085423,1.10380445986917,1.05706118503713,1.05979997492489,1.00119266047439,0.958579845215396,1.29438311000065,1.04959926262643,0.979145805502963,0.908037915668203,0.857788053524716,0.802072054852074,0.836947940526228,0.776618252785124,0.778944486363475,0.732490448533587,0.771151760637077,0.731494850383926,0.784879343480609,0.717547955641339,0.765263266273545,0.727450259034826,0.699884277428441,0.712179251402963,0.693417691610911,0.701090335335624,0.655356767046996,0.689016134913294,0.719023654944213,0.793258301484199,0.780664270876497,0.812192978017818,0.952252857794447,1.01538265484701,0.971428375868947,0.857918522007776,0.983945423447135,1.05760651256635,1.01802801990833,1.05213877084135,0.999873489740472,0.935291053455646,0.927523300993714,0.891029664112353,0.82837141896789,0.767372577291341,0.734041597449563,0.9196405490139,0.891068497596838,0.937996029447499,0.893474771427901,0.921159503438258,0.907819873415445,0.894317343140776,0.896369093058159,0.931473100199284,0.894421521009514,0.836617671796992,0.844023062323991,0.837492664270831,0.845719651691383,0.819402420782769],"EWL^FMA_PE(NTMA,-10AY,0,AM,\"PORTAGG\",\"MEANR\")":[14.9560518475671,16.1131739742,15.8170251034404,15.0684969938974,17.2324734944352,17.7511728847068,18.0300186729242,17.7896528954111,17.079843833113,17.7916840278546,17.4422754016202,16.4272544897483,16.6347215803529,16.9942165715685,16.5793536674705,15.6865596623357,16.2875773825402,16.4649299305242,16.9046857241127,16.6839023987451,16.2081043403575,16.9922760736844,17.4437443943942,17.0451400333788,16.81994511989,16.4152512498233,16.7363261949343,17.0428851924238,17.5057578485245,17.78664483832,17.1959098640233,17.8483372203613,18.0083303832634,17.901140782051,17.4238704641024,17.682909559415,17.9393732060245,17.6075578838931,17.8266139712804,17.8307879096938,16.906642917335,16.3443899736394,16.1500442553059,16.2786801961972,15.4693394129048,16.060394139477,15.9429735073554,15.9046489984745,15.271439293844,15.4614244484418,14.6842077272576,15.5836518380407,15.8878373452864,16.5566940354911,16.8729257710156,16.7232838614962,17.1760346126428,17.2425924101895,16.7193476877597,17.0462458125477,16.9761737979326,17.4310149737698,17.6976437301445,18.2229273399078,18.4785927254434,13.9790874264111,17.8451703911572,18.8150490075751,19.4679109990599,19.9635500254364,19.5324478393176,19.6375739130683,18.8835549768198,19.0863968398058,18.6406614987365,18.9722161656113,18.7302463070149,18.7133937702893,19.5032024652773,19.0370029902549,19.8191424538971,19.7852021477571,20.1285646599771,18.9321525249499,18.778482694756,19.3723139622992,19.4865517036619,18.8402516365198,18.083867978627,18.3097336506443,18.5222604368916,16.772701621807,15.1852769528944,16.1589367933536,16.7739438563327,15.6646012653244,15.4544358304208,16.7596316392863,16.3163836588258,17.4287427966833,17.3205236610997,16.3645322185771,17.495853576938,17.2214308842303,16.6682321101236,16.6274645193074,16.2027918837834,16.5169557755448,15.8665496222117,16.0999191003485,16.7662432648294,16.8321242776176,17.3797773319926,17.6581957218456,16.7753237056305,17.4190578711884,17.3347660447637,17.4711413673906,17.2956825455633,17.0578582704789,17.3089225155881],"EWG^FMA_PE(LTMA,-10AY,0,AM,\"PORTAGG\",\"MEANR\")":[13.3133070801076,13.8680020639399,14.3274752016473,14.8055038851887,15.8423132580922,16.5473614564742,16.3747459124872,16.1087832820778,15.5763272857302,15.7472214466477,14.956244257343,13.9542066140966,13.9467038416892,14.6122966100539,13.9837175566688,12.434742956048,12.567689872712,12.7545748693998,12.8685244955177,12.7863591338572,12.5866842655909,12.9253578752688,13.3878520722999,13.3211554879037,13.7562155141064,13.6579019858082,14.6056325425582,14.884557675974,14.6594529214376,14.973715831195,14.821316955789,14.7963761191792,14.7663496423781,14.5080249377468,14.2001079247127,14.3941402941889,14.855786893467,15.1453090005387,15.6932122745511,15.6167403998867,14.5329369343567,14.2028946496887,14.1798430341659,14.2225371908143,14.1483895297955,14.1544143569915,13.8665895518683,13.8608589509326,13.3297546101246,12.9794593873438,12.3118236845051,12.8123103489956,13.0500552139688,13.2248956997988,13.3621427418646,13.3042134624328,13.3120369989129,13.4554467928473,13.2410566979382,14.018352951129,14.4062145851497,15.0988201552567,15.4211954136116,15.8273695274935,16.1486247424439,13.2211588586225,14.4485993421041,15.5824533552123,17.3428629406065,18.8263641239288,19.6015106733223,20.5102551425297,20.6238676330243,20.8807451857842,21.6725532749046,21.8645449558947,21.103599339727,20.2033672760209,19.9074888286869,18.9898022192253,18.5298533283605,17.9624111563696,17.2281616641601,16.3896357364526,15.8886880495474,15.2910472400501,14.1632117300609,13.9706290642723,13.2241300498967,12.4841453627943,12.3338210714297,12.0523663321002,11.6165419685536,11.3197144262411,11.2142836119835,10.6291626838286,10.3154368324739,11.1554388294655,10.44949602345,11.4731347965632,11.6298046011716,11.2444887599476,11.4404021546338,11.3561656283206,11.3559360329898,11.2943113373798,11.0964326134096,11.2082511899218,10.8525905853509,11.3990878145322,11.8735039512071,11.7453578869871,12.1864174910534,12.5246561510718,12.4836498464248,12.5758465431534,12.4014150500942,12.5584108423358,12.5636614883757,13.0369319150981,13.7713918104847],"WL-FDS^FG_PRICE_CHANGE(0,-6AM)":-0.404288978730871,"NI-FDS^FG_PRICE_CHANGE(0,-6AM)":-7.85282811641955,"CPALM-FDS^FG_PRICE_CHANGE(0,-6AM)":4.67878787878788,"BRENT-FDS^FG_PRICE_CHANGE(0,-6AM)":0.0,"TIOS-FDS^FG_PRICE_CHANGE(0,-6AM)":-2.39925891616489,"EWQ^FG_COMPANY_NAME":"iShares MSCI France ETF","VWO^P_PRICE(0)/P_PRICE_LOW_PR(0,,,,,,\"PRICE\",\"INTRA\",\"52W\")-1":0.276999,"VGK^FMA_PCT_ABOVE_MAVG(200,0,,,,\"PORTAGG\")":60.0317208564631,"EWL^FG_TOTAL_RETURNC(0,-12AM)":21.878422,"EWJ^PERCENT_CHANGE(FMA_EPS(+1,0,,,,\"PORTAGG\",\"MEAN\"),FMA_EPS(+1,-1AM,,,,\"PORTAGG\",\"MEAN\"))":-4.05134009801606,"EWC^FG_TOTAL_RETURNC(0,-1AM)":3.8281083,"ENZL^FG_TOTAL_RETURNC(0,-6AM)":12.697899,"EWN^FMA_COS_UP(\"EPS\",\"1M\",+1,0,,,\"PORTAGG\",\"MEANR\")":14.0,"SPY^FMA_RBICS_REV_CURRENT(30, LOC, \"PORTAGG\")":12.4668204376818,"TRYNZ10Y-FDS^PCTCHG(FG_YIELD(0,,,,\"YTM\"),FG_YIELD(-1AM,,,,\"YTM\"))":7.368938,"CC_FR^IMF_IFS_RCPI_Q(0)":null,"VWO^JULIAN(FMA_DIV_YLD(NTMA,NOW,NOW,M,\"PORTAGG\",\"MEANR\").DATES)":45534,"EWD^FMA_EVAL_EBITDA(NTMA,0,,,\"PORTAGG\",\"MEANR\")":11.0831536370101,"EWQ^FMA_DIV_YLD(NTMA,NOW,NOW,M,\"PORTAGG\",\"MEANR\")":3.33360249425087,"EWJ^FMA_EVAL_EBIT(LTMA,NOW,NOW,M,\"PORTAGG\",\"MEANR\")":16.8118824423403,"TLT^P_PRICE(0)/P_PRICE_HIGH_PR(0,,,USD,,,\"PRICE\",\"INTRA\",\"52W\")":0.92355376,"UUP^P_PRICE(0)/P_PRICE_HIGH_PR(0,,,USD,,,\"PRICE\",\"INTRA\",\"52W\")":0.9623736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0637019,24.5344428355254,26.6372020899856,24.0483215664206,25.30628712435],"TRYMY10Y-FDS^FG_YIELD(-10AY,0,Y,,\"YTM\")":[4.131911,4.345605,4.195897,3.902544,4.235642,3.300551,2.804181,3.573893,4.131847,3.727505],"TRYAU10Y-FDS^FG_YIELD(-10AY,0,Y,,\"YTM\")":[2.81,2.88,2.76,2.63,2.315,1.375,0.972,1.671,4.051,3.955],"USDSEK^STD(FG_PRICE_CHANGE(0,-3AY,M))":3.09688558121638,"USDCHF^STD(FG_PRICE_CHANGE(0,-3AY,M))":2.45675419118825,"USDUSD^STD(FG_PRICE_CHANGE(0,-3AY,M))":0.0,"USDEUR^STD(FG_PRICE_CHANGE(0,-3AY,M))":2.17172756290048,"USDAUD^STD(FG_PRICE_CHANGE(0,-3AY,M))":3.161718116431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N^P_PRICE_RETURNS_PR('52W',2,-10AY,0,AM)":[-5.97865,-0.6388724,0.17645359,-7.3286295,-1.1152208,3.667736,2.7065396,8.497047,2.6127815,10.036289,8.340001,-2.3271441,14.191604,3.401804,-1.437825,-3.3403575,-8.253652,-3.1541765,-1.0959327,-9.213406,-8.535862,-9.254206,-1.5373588,0.98258257,0.55185556,-3.449744,0.9749651,14.803219,16.661894,12.363982,10.522413,23.884285,28.891636,29.773129,25.603794,33.26821,33.40238,35.230614,36.5646,38.368584,29.565834,22.749638,25.43106,12.0769615,9.952486,8.302021,1.798296,-1.1846304,-9.367907,-6.7040563,-13.736052,-16.070097,-7.1129265,-4.4398427,-3.262037,-2.4794817,-0.19162893,2.0421386,1.6623616,7.432139,16.788435,18.289555,28.228485,29.560577,19.684649,-23.890465,-8.611637,-2.1006048,8.264959,11.530745,19.932854,12.241173,15.657722,17.552364,24.32072,27.292538,34.346306,100.37401,80.35062,67.5332,48.681713,41.246235,43.83445,50.076057,41.959274,39.89309,16.732048,13.743389,-0.11744499,-2.5025785,-16.007137,-23.013454,-28.855001,-26.274246,-24.740881,-36.393833,-37.692802,-27.320307,-20.539124,-11.968172,-4.926634,-4.4253054,7.191777,18.429111,29.884398,32.71264,11.428272,18.640541,20.063663,13.017821,19.215858,6.660211,13.934767,23.936499,13.334346,23.927652,21.455526,12.92218,21.24213,27.905296,33.67957],"SPY^FG_TOTAL_RETURNC(-10AY,0,AM)":[-6.177807,9.062457,0.5983949,-1.9547045,4.215646,0.15704632,-0.7555306,2.476561,-0.15016794,0.34694672,-1.1765838,-6.4275503,4.0010214,2.6860833,-3.5920322,-6.1047673,2.2789001,6.9444537,2.377534,-2.0690143,1.3120055,4.788494,1.1324883,-2.014047,0.15935898,2.2413492,3.6013365,0.75986385,3.6780596,1.2646675,-1.3331652,1.240015,2.9788852,1.2446404,-1.2008429,3.3979654,2.402687,0.8368492,4.537308,4.079044,-2.1602154,0.80070496,-1.3894975,0.34763813,2.385664,1.6271353,1.4231801,2.0521998,-4.5574307,-0.9659827,-6.8132877,5.084312,4.094422,2.2344112,2.7237654,-1.4412761,2.2949934,2.696693,-3.339684,4.240954,-0.5804777,4.71524,2.4261236,4.375899,1.4399767,-28.72628,20.167042,2.9165506,5.688131,3.6449194,5.2592397,-1.963973,5.0325155,2.5886059,4.064214,1.7660856,3.9978623,0.1945138,6.9349527,-1.2749851,1.0574102,3.9573908,1.817596,0.83066225,1.3117433,5.0403595,-1.7507017,-0.73499084,-4.876333,2.6842833,-1.4734983,-10.528124,-6.2326136,4.397869,12.027752,-9.519649,-3.7426054,6.709242,-2.7721703,2.1447062,4.028201,-3.8706958,6.2104106,1.2119532,5.2163124,3.3518434,-3.8948476,1.9963503,-3.025049,4.783714,5.123639,0.95767975,4.831171,2.9938102,-2.601099,5.991757,3.5961747,1.0857701,0.29855967,1.279068,4.4505954],"EWU^FMA_DIV_YLD(NTMA,-10AY,0,AM,\"PORTAGG\",\"MEANR\")":[4.26193567242097,4.03557012702647,4.19085047379103,4.18156400273836,3.95102975231395,3.96108646061519,3.91161015513181,3.87814626370242,4.04268934715745,4.0630025934882,4.16909694767623,4.47555504630834,4.23594083779223,4.26510763919327,4.42822526048652,4.64280909726162,4.58508902454713,4.32588781983853,4.23696459969919,4.33347016560145,4.45903070632523,4.13233840695445,4.06404423146575,4.23036913893178,4.2629385153749,4.4472982744486,4.33122110045207,4.26341448919816,4.25662329518705,4.28516865662913,4.42515049196186,4.25061814088564,4.28056827801387,4.29745908717115,4.38942884212895,4.35154331254714,4.26817368488196,4.39059439903521,4.2855083461834,4.1824043665724,4.38697091576425,4.50795766771815,4.39452797446348,4.24892891335673,4.39098696544452,4.41646454454032,4.52744387050127,4.62479921225299,4.84337983689624,4.92840173717671,5.23428391027443,5.11487313328544,4.94298950696693,4.8577437808465,4.82207689741669,4.93330965937235,4.79352982239918,4.82496468181135,5.15456576607602,4.93645949101755,4.92963639526168,4.80430847188617,4.60000576750535,4.52720271875484,4.71010367245149,7.12975739807078,5.69080854749442,4.39529560963588,4.1028477350035,3.97888273908273,3.97854722173245,4.10262270817905,4.29571697090984,3.98902437860997,3.90525271910059,3.89256189541549,4.00594703666761,3.95388720241965,3.92854016714642,3.89707137184758,3.97802111481681,4.083600014877,4.16075245358305,4.28599650830811,4.06348867909723,4.0513452960385,4.0181180114556,3.83677243380237,3.83985343866348,3.9907296703925,3.94189466453504,4.12936894924461,4.43037374176312,4.30303668669364,4.18294627271641,4.49716574814704,4.62667150848332,4.29074678877507,4.34311824262294,4.03550223901626,4.05805289520881,4.44076377238357,4.13301979431345,4.29867410128507,4.30905147846693,4.37216118529881,4.5816743651943,4.38983802552929,4.4787615184391,4.49314112261213,4.34243284509264,4.45211786131066,4.22668573976728,4.13660335067567,4.07677908163533,3.8110272225609,3.95466660771176,3.90377535822845,3.87414201651275,3.89656349460749,3.90230592916666],"WL-FDS^FG_PRICE_CHANGE(0,-3AM)":3.8680109990834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66472555,11.2077122027496,13.9227366843934,15.8583479057593,14.7202942014685],"TRYMX10Y-FDS^FG_YIELD(-10AY,0,Y,,\"YTM\")":[5.8237,6.2537,7.5651,7.6401,8.7069,6.8373,5.552,7.558,9.0223,8.95],"TRYPE10Y-FDS^FG_YIELD(-10AY,0,Y,,\"YTM\")":[5.681629,7.426917,6.415413,5.167133,5.645114,4.243226,3.535983,5.889906,7.923381,6.6087],"CAGDPY@GB^EE_ACTUAL_ANNUAL(MED,+1)":-3.0,"CC_GB^FG_COMPANY_NAME":"United Kingdom","USDSEK^STD(FG_PRICE_CHANGE(0,-1AY,AM))":2.77863424292404,"USDUSD^STD(FG_PRICE_CHANGE(0,-1AY,AM))":0.0,"USDCHF^STD(FG_PRICE_CHANGE(0,-1AY,AM))":1.76509846963417,"USDEUR^STD(FG_PRICE_CHANGE(0,-1AY,AM))":1.69260538047474,"USDAUD^STD(FG_PRICE_CHANGE(0,-1AY,AM))":1.98131805496393,"QQQ^FG_TOTAL_RETURNC(-10AY,0,AM)":[-7.0390882,11.483871,0.5497694,-2.931571,6.288433,0.7092118,-1.54531,3.8203955,0.57241917,2.8572679,-2.4033785,-4.7356844,2.6293397,5.096185,-3.0429184,-8.185381,0.4859209,6.2743545,3.5950422,-4.827839,0.86591244,5.6812882,4.220724,0.25055408,0.4859805,-0.45816898,2.2459388,2.876258,5.5022717,1.6594648,-0.3113389,4.555142,0.9240985,3.6120176,-1.3343632,3.2849908,2.2741318,3.4193158,3.2604098,4.5259714,-0.5186379,3.673613,-2.516979,0.6128311,5.6242466,1.9433379,-0.03889799,1.6568422,-5.1134586,-3.279823,-5.4208994,4.617071,4.048407,3.9747715,5.009806,-2.3213625,1.8411279,3.4520507,-3.606695,3.7955642,-0.23034811,5.9366703,3.191018,6.8301797,5.081022,-24.764622,22.167646,5.6389093,7.408881,6.380415,7.1505666,-3.993237,8.265722,0.5545616,6.876707,0.7632971,6.6087365,-6.144911,9.740305,-5.786383,6.3341856,4.48941,1.2891412,3.208077,-0.20282269,7.8089356,-4.191661,-3.6064804,-7.8369913,2.9223084,-3.522265,-14.039385,-5.6502047,5.5528045,13.780236,-12.135565,-5.999005,4.913807,-3.7111163,1.5698075,8.377719,1.3946056,4.5821667,5.7736993,9.090638,4.9845934,-7.1576653,3.6482692,-1.9667625,6.238818,5.6595683,1.5050173,4.256761,1.7380357,-3.2161474,6.69564,7.404375,-1.0201037,-0.9301543,-0.7557392,5.032003],"EWL^FMA_DIV_YLD(NTMA,-10AY,0,AM,\"PORTAGG\",\"MEANR\")":[3.54645452129457,3.25719147172654,3.28629028709389,3.5452035248247,3.23678233314757,3.12283106663936,3.07147860181488,3.08975605373956,3.22876970439316,3.1078588723757,3.13948453863329,3.34838821557798,3.33290528003426,3.24209646510552,3.34250773285587,3.55952169820058,3.52536211616592,3.51909946379534,3.46789405056409,3.54445566580022,3.6457634453746,3.50120242717039,3.44054388613625,3.51145934261591,3.55264314414984,3.63805827482229,3.57244797468013,3.50070965308228,3.37887043631587,3.323669932443,3.46438664289369,3.33151073296673,3.27060393818847,3.26621746699063,3.33854731677605,3.28118621975913,3.23773228237997,3.27458560052576,3.19530609284126,3.18152425609597,3.32727490180322,3.44272333089131,3.4239825596324,3.43705209392803,3.5972210675629,3.44786313898022,3.44436241737707,3.43006110629678,3.5851459567318,3.56578872563424,3.69058736012018,3.46354294014338,3.37669559867037,3.3116531475673,3.28800706694223,3.2914434844968,3.21003685849989,3.19870640978022,3.29323438479681,3.21831526598451,3.22751445493823,3.12120591475967,3.07009863648479,2.9842273900564,2.93216835831735,3.93093542649074,3.33388939220045,3.21577102108364,3.05901856713528,2.9938220006511,2.94914005292073,2.8787582461228,2.9640610033212,2.86715145213776,2.86796468733837,2.8036622943743,2.84539367358077,2.82070277581892,2.71758254894283,2.75339638691851,2.63491211338451,2.62195490085393,2.53677680783492,2.67484877095208,2.692769378087,2.5785957714341,2.56679183636541,2.63746842941633,2.79053229671724,2.77198717068382,2.752664311459,2.99036375158156,3.30026022203637,3.13674010254617,3.08401111235922,3.2865422619023,3.33141242200921,3.13582975070287,3.22598460770487,3.03228918937856,3.07750839379525,3.29865056090426,3.09175296003258,3.11834434164922,3.13594939452627,3.16836354380106,3.29864954331485,3.28555651344209,3.43402049963393,3.4102648121656,3.2955286416916,3.33233385032946,3.32765437048938,3.27099845662559,3.4050660572709,3.19304708210948,3.19600154078039,3.16840896867891,3.16196082541005,3.19871300798336,3.16045679206132]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WQ^P_PRICE_RETURNS_PR('52W',2,-10AY,0,AM)":[-9.189707,-4.894197,-5.0677595,-10.725755,-5.04486,-6.7549524,-7.022524,-4.3790936,-9.1613,-1.9997418,-0.3728509,-8.208251,10.109425,0.64741373,-2.8313994,-6.1715784,-11.665857,-4.758459,-5.5924177,-11.731839,-8.816057,-10.217237,-5.019486,-4.1632595,-4.3542624,-5.8722973,1.2059689,16.589428,12.379289,10.342598,8.413565,24.985481,29.555225,28.924538,23.470974,33.236862,32.774044,34.146477,31.306314,34.271442,29.562653,24.492,29.0205,15.136218,10.935211,9.374785,5.681145,3.7383318,-5.0604286,-5.600089,-12.496257,-15.058523,-8.435613,-3.103435,-3.9040685,-6.363696,-1.0557532,0.3245473,-1.4402509,0.69185495,9.329605,15.765405,24.12368,25.320984,15.387165,-31.705278,-19.731976,-16.324116,-8.631647,-4.6919227,2.6582599,-3.0591726,-5.4467974,1.3092875,4.6060205,3.5334587,7.499099,76.80067,62.14005,58.181656,42.04806,31.805206,33.69452,30.685556,35.79639,26.927053,15.239679,20.245016,13.938189,4.478252,-3.7965477,-11.709648,-18.84843,-15.873843,-12.16076,-19.333447,-20.720636,-13.373595,-10.338593,-2.9215038,3.265965,3.0863643,18.618858,23.646938,32.05789,36.216187,18.987692,28.456366,22.918583,16.748095,21.548891,7.199681,7.6664805,20.759224,3.9987087,11.907042,3.9040208,1.9667029,6.930506,9.795737,17.203188],"EWG^FMA_PE(NTMA,-10AY,0,AM,\"PORTAGG\",\"MEANR\")":[11.6960462198589,12.4550576049887,12.8745425977393,13.3310697659629,14.2566776141772,15.4347565705434,15.0004046304314,14.449482267157,13.5606436749507,14.150343345255,13.1872358951879,12.0281615264763,12.4512656761967,13.6542118398273,13.1989785674518,11.9224051099086,12.035881812425,12.6772453328285,12.8818394614971,12.4135694872223,11.8602820036598,12.4171198016082,13.0157574238191,12.6510087153016,12.9804191076117,12.7710283801612,13.582688290161,13.7187646423552,13.3332944813125,13.9558543848311,13.6417405631765,13.7577457192801,13.7864069181796,13.3777553708844,13.0382852891774,13.415274456916,13.8827283504737,13.8003083422623,14.1818869564723,14.0806015880163,13.1979830615009,13.0514223679959,13.2169129223246,13.451970542583,13.2645802346851,13.1892300630685,12.66424486454,12.60955818196,11.995739449476,11.6359773118956,11.134280981007,11.7177722778855,11.9185768447603,12.3339784944811,12.8911577902584,12.6271601906133,12.5796601411307,12.7145316061491,12.2222510663755,13.0441752305882,13.2868953541734,13.9988849745769,14.1454819323748,14.3807475088946,14.4426943170963,9.16728358255597,13.9304384358285,15.758069359091,17.8276210030733,18.5494296933798,17.9310397548773,17.527691035181,16.6823550704092,16.163230146622,16.1863520661928,15.9906949715668,15.5795536923694,16.148025442278,16.1946485060954,14.8221915460657,14.7598256987226,14.4734767396826,14.3770147840595,13.857473215634,13.6966044297527,13.8674916931724,13.1674918642206,13.2385190625275,12.3538809362173,11.7115488766027,11.3094315179405,10.7318910611898,10.0151253326242,9.87520669152919,10.2077653012886,9.51145340132924,9.50557688877763,10.7669243695386,10.3649605417887,11.4933237346299,11.6785518489004,10.8973742046174,11.4757580695553,11.1010914690437,11.0082365751899,10.7946258682249,10.4528948677586,10.5538907446254,10.062409512831,10.7779755963863,11.1534840875054,11.0144775059341,11.6613299894699,12.0680520391392,11.8806350916628,12.0805398569884,11.6174992715515,11.8340214995899,11.7334592232267,12.2094587433853,12.914296507962],"EWA^FMA_PE(LTMA,-10AY,0,AM,\"PORTAGG\",\"MEANR\")":[14.770733588586,14.950062880727,14.1050361869075,14.4967175436913,16.13460799206,16.1929545740673,16.3460728609376,16.2110579217244,15.9890016028357,16.1138307346702,15.6343801905984,15.4908590452119,15.673842823259,15.2758238244005,15.3771286118973,14.6889113285286,15.3010371665802,15.1977188308522,15.2719363884714,15.6940497593603,15.5692454246995,16.1987888402927,16.6270963462566,16.2787634815342,16.7795898506328,16.9238085569079,17.2656872029063,17.7397495473702,17.9848459005171,17.4331567442892,17.2753173865868,16.9969307979923,16.881450139886,16.7637901132942,16.7369887310334,16.5250188545042,16.6965155733437,16.6239095729351,16.705963547109,16.5858066313716,16.348062710048,16.4564602181154,16.2770754805869,16.3362761995317,16.1499585347885,16.2857000437326,16.4391420629147,15.9966462411476,15.5210668312867,15.0557026032624,14.5352094066554,15.2609966992131,15.6489885190806,15.8758635735665,15.8513450872888,15.8752874777956,16.1347521770382,16.3125382393314,16.0557866071596,16.753542872633,17.0351838022535,17.5579423236004,18.0415802234058,18.6674392454495,18.9124797565104,16.149247174815,17.0030633637596,17.4797906832076,18.4560776964501,18.8459478931299,19.7146189362093,19.2718145053405,19.8796492628879,21.726615364602,22.9942020482168,23.2571726968264,22.7186531810587,21.5732771288029,21.2724060534572,20.7769225494313,20.4486110142513,19.4227864866588,19.1454065636874,18.7168136694203,18.7102685078925,18.0373488151477,17.5953739913341,17.6818066896991,15.9806795416142,15.7582393014989,15.6331614134452,15.1564948649929,14.116385456412,14.0899543353664,14.6077251509028,13.7976637553685,13.4069575626763,14.2023106711506,13.9821392520852,14.6980296082152,14.4395982576794,14.1599251896837,14.3585728439577,14.3322485316534,14.6091501741021,14.8519232569286,14.7166403173059,15.1413073156496,14.8332820273902,15.0206015653112,16.0212631093486,15.8044539396016,16.5334594849504,16.5809870085088,16.5512768202059,16.7752674510412,16.8418723778453,17.2870008046005,17.2702252832009,17.8896409973001,18.2121664242789],"WL-FDS^FG_PRICE_CHANGE(0,-1AM)":1.99819981998199,"NI-FDS^FG_PRICE_CHANGE(0,-1AM)":5.03912363067294,"CPALM-FDS^FG_PRICE_CHANGE(0,-1AM)":10.2374266019913,"BRENT-FDS^FG_PRICE_CHANGE(0,-1AM)":0.0,"TIOS-FDS^FG_PRICE_CHANGE(0,-1AM)":15.0595173091624,"SPY^FG_COMPANY_NAME":"SPDR S&P 500 ETF Trust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TRYIN10Y-FDS^FG_YIELD(-10AY,0,Y,,\"YTM\")":[7.86,7.89,6.63,7.35,7.35,6.55,5.9,6.45,7.33,7.19],"TRYGR10Y-FDS^FG_YIELD(-10AY,0,Y,,\"YTM\")":[9.61,8.24,7.15,4.14,4.37,1.45,0.618,1.315,4.585,3.099],"SPY^P_PRICE_RETURNS_PR('52W',2,-10AY,0,AM)":[10.917616,16.789282,16.013872,11.466682,16.279198,14.339363,13.744938,15.53297,10.536539,10.699725,8.482671,-0.7333815,11.335730999999999,3.6028147,-0.71275234,-3.668362,-6.6824255,-0.35851002,2.7870774,-1.7722785,0.70261955,4.0775776,6.5094113,9.473515,7.4132204,6.948006,11.17239,23.330128,24.505222,18.840206,14.087009,17.941929,19.43853,15.828109,13.155723,19.405592,22.080004,20.133554,21.490742,25.492823,18.612814,17.677475,17.816221,16.777742,16.105032,16.543663,19.451963,18.081844,10.056019,7.770729,-3.6478043,-2.717179,3.5321832,4.973972,9.35266,7.1347117,7.3081017,8.437454,3.7090182,5.5616856,9.960281,16.268301,27.796257,28.624249,23.697865,-13.762826,1.0795474,5.3413987,8.835602,10.242605,19.61193,12.492048,18.671822,16.429556,18.29158,16.655182,18.242062,66.22124,51.914,41.893612,35.67654,36.480095,31.636,33.83608,30.592323,33.71333,25.739742,23.13906,12.631536,15.430355,6.353903,-3.6142588,-11.7698555,-10.188341,-1.1821389,-12.186831,-15.749699,-14.411134,-16.198635,-12.843836,-5.3023043,-9.7954035,-3.8107812,8.810711,22.358454,20.873081,3.6932826,16.89098,17.762363,16.162418,25.028206,23.575258,24.217987,33.42161,22.352589,29.365086,26.157797,23.391687,27.855957,27.870083,37.72739],"EWU^FG_TOTAL_RETURNC(-10AY,0,AM)":[-9.189725,3.9173126,-3.0982435,-1.9834638,6.7453504,-1.843077,1.072967,4.72399,-1.9766808,-1.1258066,-2.9819012,-7.3545575,4.502368,-2.4376452,-6.7983627,-7.795924,4.206896,5.1621437,1.5103817,-0.8059442,-2.4999976,2.204883,2.8277636,-3.125,-1.935488,-2.3684204,4.5822144,2.0053387,2.3054838,2.2222161,-0.3674209,5.961883,-0.7250607,0.9287715,-1.775682,4.0674925,1.6502619,-1.9082963,3.6875725,6.255007,-4.3501673,-2.1336257,4.733217,1.1777639,-3.140229,-0.8833349,-3.2621264,-0.1193583,-4.571259,-0.72010756,-6.0635567,6.209266,4.0697694,4.2830467,0.6250143,-3.3422112,0.30653477,0.62578917,-7.3383093,5.771816,1.5228391,2.3125052,4.5478463,1.3376951,-3.90144,-38.217335,22.776688,1.7303824,4.286611,2.4258852,1.5789509,-3.367877,-1.6851783,10.479164,4.783571,3.9823055,1.4729977,1.7096758,4.0596247,3.0783296,-2.6100338,-0.24698377,2.3212671,-2.1173656,3.646481,-0.56649446,-1.8686533,8.006287,-0.37791133,-2.7137458,1.7996311,-6.776661,-6.0817537,0.23988485,5.709398,-8.247089,-4.5823097,11.821211,1.9657135,7.234466,0.61330795,-7.253891,10.778832,-1.8095553,1.5421867,-0.51562786,-4.05488,2.7327657,-2.5363505,1.8724203,3.0529737,-1.1924505,2.284813,1.9889832,0.0,10.231018,-2.7038813,1.5687346,2.4712205,1.3702393,0.054061413],"EWJ^FMA_DIV_YLD(NTMA,-10AY,0,AM,\"PORTAGG\",\"MEANR\")":[2.29140445203823,1.95113057667888,2.02187610245672,2.06373440990518,1.92468316343739,1.82298778811567,1.84768452478315,1.85990308308611,1.92556115809751,1.89250052145139,1.90107230229826,2.18369333257475,2.1166005519027,2.02382627720614,2.10067244513418,2.32247062199098,2.47639551184688,2.40351552637257,2.43950883612942,2.39145235306432,2.52035690022553,2.38540902628952,2.43740033626131,2.41694927701799,2.35751218955186,2.24889876127156,2.07486561142846,2.14542683385218,2.14000132546178,2.13465831319679,2.29242085462331,2.20374306051427,2.18180930940393,2.16637089543639,2.21752944055933,2.1973656864569,2.10244149037919,2.08956127012899,2.0528279083484,1.99662930881877,2.19871468312943,2.23127629619239,2.23420832973445,2.1760897238028,2.2502745938235,2.27516761885478,2.35713631676121,2.28404177661752,2.3685616797053,2.50288888893973,2.6054153579176,2.64761940495709,2.61644662750196,2.55858727766166,2.56631366895633,2.66662261397865,2.72531430073328,2.71558064741082,2.80384154090776,2.58664696693296,2.57324362832635,2.47136194440671,2.41660075677626,2.42292596118131,2.52015897029808,3.29190607966391,2.84660472691411,2.79924696018562,2.4780788671298,2.48300221644356,2.40329410712533,2.34997262551921,2.39945104733439,2.25592011822643,2.15321693573977,2.08552423780485,2.02397939010865,2.0076395737588,2.0749365642255,2.18041414445464,2.17826344396927,2.22545580746512,2.2709275802179,2.12690369398993,2.21625784804029,2.22329005006295,2.31808807933467,2.35006349974704,2.47669580859239,2.5549983161112,2.60515526701755,2.63045078838057,2.74569896674752,2.67359767102896,2.55238564807383,2.64386903740038,2.71741485423799,2.6188371093381,2.66612803946177,2.67821114333775,2.60869802189516,2.66458572491732,2.57166123613084,2.45370111991674,2.30829761746953,2.38436924033257,2.44248860854124,2.27078122695692,2.41495739396154,2.34792468435354,2.47147525087335,2.29934850947812,2.22345959547182,2.17795874263724,2.25268216808555,2.21974949280752,2.3083871688596,2.20873182742623,2.38984232012912,2.5387189751379,2.42057293787723],"EWC^FMA_PE(NTMA,-10AY,0,AM,\"PORTAGG\",\"MEANR\")":[13.7889254230146,14.7509239527322,15.1360417351592,15.5026934232119,17.3366935088553,17.176283950015,17.4436986898473,16.7726263176108,16.1948334405385,15.8584294860784,15.3340457946164,14.8540775433958,15.1105735831615,14.6058209798219,14.2871955974656,13.3180754183939,14.8682375708018,16.1056287442589,16.2859807051735,16.5676373062362,16.2998758884347,16.5952648962916,16.4555562045682,15.9464251882732,16.0442935652958,15.8956600143823,15.9218787295197,16.0681837005714,16.3850759989601,15.8361930356761,15.8006709925046,15.3297375501217,15.2326677864307,15.4605385989897,15.3500408549878,15.3763705096186,15.7074135106905,15.8463516639139,15.9536173082333,15.7499103770313,14.5794402462917,14.5510696313716,14.1853197638159,14.3911530738027,14.4393303732443,14.3021097297957,13.9971465026428,13.6810380214929,12.8292645475736,12.6451568470615,12.2155097922308,13.3283988257423,13.9455945451503,14.3045053660433,13.9994623415739,13.6603926710374,13.7437106928285,13.6812563715776,13.4515578282522,14.0472751188545,13.7798048680918,14.4186551853884,14.4806873767752,14.7530421357872,15.0301828197611,10.758813388843,15.450151189866,17.5852235210892,17.9711338609561,17.8231654350729,17.626900779497,16.5593697131521,16.2895742017241,16.1358344252842,16.070862142634,16.092144030818,16.0611891721102,15.5461786209532,15.7257648479138,15.4437969977087,15.5522876764388,15.1048948339321,14.9121481393581,14.7352005257576,14.9462970426314,14.9693879237352,14.1798439727755,14.3441724650674,13.8971984645125,13.7836321444228,13.4160649396495,12.1746198482115,11.2587151191629,10.946257254717,11.9547783487126,11.3497496815832,11.0770211423985,11.9489910280939,11.8780626407887,12.8020614835487,12.9138954224174,12.2162958766131,13.1637060174845,12.994975090909,12.9433581148255,13.3910886718502,12.9100074323467,13.2541275430701,12.5042464280746,12.842768978484,13.4372363376074,13.5472472887993,14.1003004650223,14.502460952598,14.20204055725,14.5382130772282,13.8027379075625,14.3601341877491,14.3739612060259,14.8747191404314,15.4600398345513],"BRENT-FDS^FG_PRICE_MAVG(0,,,,30)":85.86,"FC0000CH^FG_PRICE(0)":350.4804,"QQQ^FG_COMPANY_NAME":"Invesco QQQ Trust Series I","EWI^P_PRICE(0)/P_PRICE_HIGH_PR(0,,,,,,\"PRICE\",\"INTRA\",\"52W\")":0.98889726,"EWN^FG_TOTAL_RETURNC(0,-12AM)":33.67957,"QQQ^FG_TOTAL_RETURNC(0,-1AM)":5.032003,"EWL^FG_TOTAL_RETURNC(0,-6AM)":16.402256,"EWQ^FMA_COS_UP(\"EPS\",\"1M\",+1,0,,,\"PORTAGG\",\"MEANR\")":17.0,"EWG^SIZE(FG_CONSTITUENTS)":57,"EWL^FMA_RBICS_REV_CURRENT(30, LOC, \"PORTAGG\")":18.3792371327833,"CAGDPY@GB^EE_ACTUAL_ANNUAL(MED,0)":-3.3,"CC_CH^FG_COMPANY_NAME":"Switzerland","USDSEK^FG_PRICE_CHANGE(0,-6AM)":-3.7084281,"USDCHF^FG_PRICE_CHANGE(0,-6AM)":-5.131018,"USDUSD^FG_PRICE_CHANGE(0,-6AM)":0.0,"USDEUR^FG_PRICE_CHANGE(0,-6AM)":-1.8604636,"USDAUD^FG_PRICE_CHANGE(0,-6AM)":-4.063219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668122593824],"ENZL^FMA_PE(LTMA,-10AY,0,AM,\"PORTAGG\",\"MEANR\")":[17.6385485902579,18.8377461926237,18.9969463879188,19.4178331283541,19.8529688803707,20.3688063141357,20.1863890287462,20.0122692960068,19.7284292383101,19.7907254696102,19.3515454677995,19.1891217402598,19.1368195551428,19.3393543754336,19.44496233533,19.2866706508681,19.1750667673687,19.3108693452294,19.4676664456764,19.7220990516029,19.6036139677742,20.0439265022868,20.7226893119105,20.7799639113457,20.1044883052814,20.0041637422518,19.550714252456,20.4261595638738,20.3505065577855,19.7516889647336,19.8156364033115,19.9020529938396,20.0777917390615,20.2703503118862,20.8004019814587,20.4328189080726,20.971094719315,21.3020750296269,22.1536763149793,21.955691569471,21.8745133611313,22.5700914670495,22.3342488865492,22.4377334770156,22.8362471614615,22.8413884893077,23.1392678848738,23.6764457109069,22.8689256741023,22.7207778810362,22.6064835236337,23.6043249880053,23.8210197523605,24.0815029277118,24.1795180117208,24.3509707040085,24.2795118930777,25.1175095437909,25.0322735008327,28.4121521058491,29.1113278578983,29.1945796725162,31.8399632216408,33.0303772122411,33.5395935669278,29.9712046243081,31.6003858629154,32.2133524166958,32.3075989231661,33.4813233764455,34.2979413476371,33.0898242327516,35.1876283464168,35.8007895610041,36.523837583168,37.4582799472887,35.2818268304344,34.4928470331165,34.5250602174757,34.7389122089865,35.6980200271692,36.4841008346817,36.9476703282622,38.7933502524843,38.5251222284649,38.5861701727458,38.3685352016371,38.1258785321605,36.1299184554615,35.1068497302745,34.518490550079,34.0040167517344,32.7121798885689,32.9887198635787,34.018636993285,33.7357829339803,31.1088427212464,30.419378978208,29.579550519023,30.0355661356587,30.178710387365,29.074110958336,28.5907254302491,28.1913008769824,26.36167586459,25.6289235580248,24.4330671459104,24.0167626084674,23.183383253238,22.2681537549413,23.8682803685447,23.0968157830323,23.0635502453688,23.8378518107408,24.0883577816641,24.6399162512134,24.3919054335455,25.1345699805832,25.8696449699361,24.1712194629446,24.6022989046027],"WL-FDS^FG_PRICE_MAVG(0,,,,30)":565.5733,"NI-FDS^FG_PRICE_MAVG(0,,,,30)":16700.334,"CPALM-FDS^FG_PRICE_MAVG(0,,,,30)":4164.433,"TIOS-FDS^FG_PRICE_MAVG(0,,,,30)":99.28333,"FC0000AU^FG_PRICE(0)":388.3211,"EWN^FG_PRICE_MAVG(0,,,,30)":49.55934,"EWU^FG_PRICE_MAVG(0,,,,30)":36.991333,"EWC^FG_PRICE_MAVG(0,,,,30)":41.190666,"FXI^FMA_PCT_ABOVE_MAVG(200,0,,,,\"PORTAGG\")":82.0,"EWQ^PERCENT_CHANGE(FMA_EPS(+1,0,,,,\"PORTAGG\",\"MEAN\"),FMA_EPS(+1,-1AM,,,,\"PORTAGG\",\"MEAN\"))":-3.32270584768984,"EWG^P_PRICE(0)/P_PRICE_LOW_PR(0,,,,,,\"PRICE\",\"INTRA\",\"52W\")-1":0.35033393,"EWC^FMA_PCT_ABOVE_MAVG(200,0,,,,\"PORTAGG\")":77.9069767441861,"ENZL^PERCENT_CHANGE(FMA_EPS(+1,0,,,,\"PORTAGG\",\"MEAN\"),FMA_EPS(+1,-3AM,,,,\"PORTAGG\",\"MEAN\"))":10.9622952386155,"VWO^FMA_COS_DOWN(\"EPS\",\"1M\",+1,0,,,\"PORTAGG\",\"MEANR\")":1672.0,"EWC^FG_ROE(0)":10.5557156840225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5667646,7.43859925247352,9.22076555096594,9.2254454729258,9.29976861764373],"TRYQA10Y-FDS^FG_YIELD(-10AY,0,Y,,\"YTM\")":[null,null,null,null,null,null,null,null,null,null],"TRYCH10Y-FDS^FG_YIELD(-10AY,0,Y,,\"YTM\")":[0.314,null,-0.12,-0.09,-0.176,-0.434,-0.49,-0.111,1.617,0.703],"USDSEK^FG_PRICE_CHANGE(0,-3AM)":-0.190413,"USDCHF^FG_PRICE_CHANGE(0,-3AM)":-2.1319926,"USDEUR^FG_PRICE_CHANGE(0,-3AM)":0.52958727,"USDAUD^FG_PRICE_CHANGE(0,-3AM)":0.4100561,"CPALM-FDS^FG_PRICE(0)":4318.0,"TIOS-FDS^FG_PRICE(0)":105.36,"EWN^FG_PRICE(0)":48.55,"EWC^FG_PRICE(0)":42.04,"EWU^FG_COMPANY_NAME":"iShares MSCI United Kingdom ETF","VWO^FG_TOTAL_RETURNC(0,-1AM)":7.753682,"EWI^FG_TOTAL_RETURNC(0,-6AM)":11.248064,"EWL^FG_TOTAL_RETURNC(0,-3AM)":3.8089514,"CAGDPY@CH^EE_ACTUAL_ANNUAL(MED,+1)":8.0,"CC_JP^FG_COMPANY_NAME":"Japan"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78672,1.85109750448731,2.46081748725315,2.80266519059803,2.92070467941154],"QQQ^P_PRICE_RETURNS_PR('52W',2,-10AY,0,AM)":[16.737652,26.543331,22.80767,15.821398,20.553982,20.536173,24.346851,26.874865,20.381773,21.337664,14.161181,6.4448714,19.06483,10.782396,6.824112,2.2286057,-4.4738474,0.8048773,6.0679317,-2.7675152,-1.0625899,0.19359589,6.9939613,11.038101,10.242677,4.4163346,6.433618,23.378159,28.058683,24.105633,19.239735,30.995537,29.53844,28.504694,21.65525,25.337564,27.567959,32.041943,33.852184,35.99863,28.792942,30.732632,27.884542,23.062574,28.79374,26.719498,28.292477,26.359522,17.232168,9.219694,0.4207611,0.50828457,4.6530247,5.4278374,13.568056,9.686184,6.3070297,7.88033,4.0530205,6.2185407,11.684823,22.327305,33.46584,37.638535,37.64181,-0.40339231,16.01857,25.312733,32.16368,36.060333,51.071404,39.735043,50.573994,43.93065,49.07144,42.655647,42.649853,77.9537,61.38079,42.562984,41.13655,38.788246,31.044436,39.075947,29.854727,39.222908,24.427486,19.392347,3.214395,13.185811,-0.49316287,-9.209842,-20.07451,-18.6225,-8.586943,-23.098648,-26.69698,-28.665483,-28.665369,-24.457853,-12.180513,-10.694676,-5.134445,16.73113,36.609913,34.242188,9.538853,29.216253,34.75908,36.465824,49.74122,49.6457,42.939877,44.443176,33.672558,37.34207,32.753433,25.160467,31.931173,27.880991,37.010647],"EWL^FG_TOTAL_RETURNC(-10AY,0,AM)":[-8.231068,7.208085,-1.3081849,0.52405596,1.0732889,1.7293692,3.2209992,3.4094214,-3.2411277,1.3535619,-2.4504066,-5.4425774,1.6445279,-2.893591,-2.2428691,-6.26024,-0.034964085,3.7425637,3.573835,-2.5390565,0.1670003,2.251339,3.7495732,-3.0009687,-1.0312676,-3.7647069,1.7464161,3.978324,2.5768042,3.413856,-0.34257174,7.2812557,1.3399363,1.7857909,-2.192092,2.5951028,0.9772897,-2.106464,2.99505,3.4726262,-1.9099593,-3.0041754,-0.54487586,-0.86504817,-3.2867968,3.5558343,1.2205958,2.382362,-6.4923944,1.105988,-4.497111,6.1724424,1.7980337,4.0329695,1.3016343,0.6145239,4.6049237,2.2481084,-2.092719,1.5422106,0.15987158,3.3785582,2.9593349,3.9490223,0.7694125,-25.17299,18.207909,0.9981036,6.376195,4.4143915,2.297175,1.9350171,-2.929461,3.2351494,3.679037,1.8280268,-0.79787374,-1.6309202,6.2684536,1.517415,4.2244315,1.049161,3.7255764,-5.0049067,0.45454502,4.9568057,0.3723383,-0.937134,-4.808831,1.387167,0.24504662,-11.000204,-7.745683,4.0506244,4.7445297,-6.852502,-3.6907732,9.010876,-0.71258545,7.799053,-0.33289194,-5.165887,11.152851,1.119554,-0.7452965,2.281034,-5.1546335,0.22182465,-4.4931355,3.1749725,5.503142,-0.17032623,-0.46918392,2.1855593,-5.263156,8.388674,2.7648926,0.6695032,2.297461,0.7880211,0.6841302],"EWG^FMA_DIV_YLD(NTMA,-10AY,0,AM,\"PORTAGG\",\"MEANR\")":[3.4220880623056,3.28653014644088,3.18536574383235,3.08590128961542,2.87618421017995,2.67373680991806,2.76424074100679,2.86794978451431,3.04371884362411,2.91049228103939,3.12619945034466,3.44090001248301,3.31652362997191,2.95535398254811,3.07318208695764,3.42500558004797,3.47155136012871,3.30419866262761,3.25137495960422,3.3614923495679,3.50515725063525,3.35075186455563,3.17504929758571,3.26531861693927,3.12948328121217,3.17988647226837,2.98869973323847,2.95310918629551,2.93697685304883,2.93582510261744,2.97068681728641,2.93079698618164,2.92392191708105,3.01523066392216,3.1177176948963,3.042417819834,2.94511052862043,2.95719677474329,2.86364956293989,2.8801871274447,3.11430430654098,3.16067180542612,3.14762392385229,3.09424852060369,3.13805354113238,3.16367037237914,3.30404631047552,3.32161276605737,3.51172059860775,3.63652245238099,3.8878840839689,3.71411516331461,3.67149104071305,3.56751756417327,3.41653387691734,3.50502238892625,3.51175863679063,3.48570311267477,3.63925440864288,3.40148424619104,3.33763277826815,3.12058324061507,3.09466067346845,3.0382588387476,3.01719655436079,4.84178212563649,3.49349703415107,3.2752319075673,2.90445415936478,2.80681755893813,2.81395460558255,2.8129441910771,2.81305167363034,2.82592670791488,2.72254404192985,2.73319995329037,2.77301122368926,2.7219216175739,2.66769544526083,2.81898267867862,2.82074645057286,2.83447633691451,2.82168458081837,2.9137904762881,2.96002320802678,2.93023477658387,3.08326122309408,3.09099881434699,3.30030622875635,3.50962915452128,3.62973193495605,3.84700833516122,4.09883634768671,4.16806063927056,3.9525424273891,4.24125825017283,4.23738178609858,3.74976860434257,3.87110529147815,3.50026893413263,3.45665631255926,3.72225811670849,3.4968228018492,3.56103122496401,3.56402672129097,3.64736111211975,3.77701230797563,3.7594833952784,3.95532367601128,3.70744938261105,3.56437963684788,3.63386501538131,3.48692752684115,3.32131280077981,3.39182584181085,3.32094526335217,3.45208784019989,3.40941952056294,3.44087928755804,3.32235390015967,3.09803295555833],"EWA^FMA_PE(NTMA,-10AY,0,AM,\"PORTAGG\",\"MEANR\")":[13.9235147185662,14.2143522569018,13.8865226993557,14.4484274764468,16.2594857148758,16.0517149494305,16.4311562951369,15.8840228831958,15.3156530870609,15.5780870981543,14.7778917780462,14.6497971243511,15.0738126732397,14.7432291458896,15.0527535956953,14.5769176103174,15.415856193594,16.1506061467616,15.8418266757079,16.4968885856731,15.7630738048685,16.5215551682704,16.720156518589,15.8920567278143,16.0813323264946,15.725058158022,15.5675462201942,15.8102062197153,16.0601710720143,15.7588330907249,15.7529645687295,15.3786816826317,15.4931070075755,15.527511543296,15.7267693305031,15.5867213235601,15.8802002637073,15.8505622006117,15.9188657215044,15.7263856102845,15.3536324233092,15.2802382453732,15.0133301232438,15.4546380810113,15.1487236634042,15.5485480176819,15.7882168000345,15.1858530349023,14.5476794991797,14.1756193041024,13.8268893206285,14.7056799229484,15.0265526899971,15.2874582417404,15.3050573638258,15.4211261748783,15.9813320732357,16.158992742916,15.6315583818044,16.6038791556273,16.7442536794559,17.2038690780042,17.5504845025163,18.0366424178214,18.3084043353822,12.8567765744637,16.5885771870724,17.4356243155013,19.0548410005757,19.1954402167833,19.7254312938205,18.4361011985897,18.5841508828969,19.4659217346811,19.3743939355789,19.1787307901296,18.6336393140522,18.0099400265711,18.2188081801904,17.8958608234105,18.0435982414031,16.7966839471323,17.0978053734999,16.9877472315411,17.4322074921263,17.1710352398768,17.1221553450961,17.4010127740468,15.7619702805984,16.0050291911414,15.5931052104297,14.3987195192137,12.4496745403917,12.9927089330318,14.1590277535445,13.1795041024959,13.0507092361876,14.2856401395551,14.0589367730007,14.8075917411143,14.6878779855471,13.9201466758633,14.7069147570802,14.5169657813233,15.0516797816379,15.3367142145221,14.9345129982042,15.3992115539184,14.8662497799562,15.0578424581463,15.9748243526547,15.7130657337964,16.449760072945,16.4254761765787,16.2812924440028,16.8619618471708,16.8630878062666,17.5567964737721,17.3886933541019,18.2149587743954,18.4106160368686],"ENZL^JULIAN(FMA_DIV_YLD(LTMA,-10AY,0,AM,\"PORTAGG\",\"MEANR\").DATES)":[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4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,45429,45461,45491,45520,45553,45581],"WL-FDS^FG_PRICE(0)":566.6,"NI-FDS^FG_PRICE(0)":16780.0,"BRENT-FDS^FG_PRICE(0)":85.86,"EWU^FG_PRICE(0)":37.01,"SPY^FG_TOTAL_RETURNC(0,-12AM)":37.72739,"EWN^P_PRICE(0)/P_PRICE_LOW_PR(0,,,,,,\"PRICE\",\"INTRA\",\"52W\")-1":0.337834,"EWQ^FMA_PCT_ABOVE_MAVG(200,0,,,,\"PORTAGG\")":50.8196721311475,"QQQ^PERCENT_CHANGE(FMA_EPS(+1,0,,,,\"PORTAGG\",\"MEAN\"),FMA_EPS(+1,-3AM,,,,\"PORTAGG\",\"MEAN\"))":-2.74316407328421,"EWG^P_PRICE(0)/P_PRICE_HIGH_PR(0,,,,,,\"PRICE\",\"INTRA\",\"52W\")":0.97772574,"EWA^FG_TOTAL_RETURNC(0,-12AM)":30.171633,"ENZL^PERCENT_CHANGE(FMA_EPS(+1,0,,,,\"PORTAGG\",\"MEAN\"),FMA_EPS(+1,-1AM,,,,\"PORTAGG\",\"MEAN\"))":-3.50506135963737,"VWO^FMA_COS_UP(\"EPS\",\"1M\",+1,0,,,\"PORTAGG\",\"MEANR\")":1023.0,"SPY^SIZE(FG_CONSTITUENTS)":503,"EWG^FMA_COS_DOWN(\"EPS\",\"1M\",+1,0,,,\"PORTAGG\",\"MEANR\")":31.0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817,9.71471543630714,12.1997093940908,11.8187115519998,11.9387928650957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C_DE^FG_COMPANY_NAME":"Germany","USDCHF^FG_PRICE_CHANGE(0,-1AM)":2.2994637,"USDEUR^FG_PRICE_CHANGE(0,-1AM)":2.3992658,"ENZL^FMA_PE(NTMA,-10AY,0,AM,\"PORTAGG\",\"MEANR\")":[16.7401097983836,18.1143159255858,18.0847357453527,18.5478301470677,18.9270334933425,18.7412794877628,18.4332732653751,18.2181894539528,17.8581635355801,18.1715087899683,17.6511614231856,17.6180809178897,17.6236065596109,17.8732518950287,17.9093627245329,17.7346036848985,17.3276760496274,18.181524816871,18.8903653548927,19.435032795185,18.9217504725008,19.5752481293212,20.3342648919915,20.1995497998947,19.0920874953932,18.7461524724985,18.1634957042499,18.9449209526694,18.9227869332119,18.7962032498598,19.1325259851472,19.3382519089278,19.5568107789944,19.7334513527682,20.288293392972,19.5731256707439,20.1075555513208,20.1973244525382,20.8116084504574,20.5036014843541,20.2818365986933,20.4977190042163,20.0407895226211,20.5097721667799,21.3595746025419,21.0699127799248,21.3168575086892,21.7118863674173,20.4752200229331,20.0735276404331,19.8115779637316,20.6437248611298,21.018988736511,21.6878148063428,22.5484485911005,23.1098901534411,22.8956250753916,24.4134344861906,24.0303312312609,25.6166269537834,25.4870890155572,24.6853755368425,25.726892416134,26.3438276206084,27.1780935134441,21.8280537670457,29.2371302090133,30.5854975295775,30.4751726421114,31.8749261314963,32.6162343737652,31.2049053408225,33.0706454280964,32.8466425138826,33.0709292431466,33.6408251908922,32.1069001307265,32.440518155677,32.3808060087412,32.3352643844093,33.5443861299797,34.2078055893869,33.6675233507757,34.9638426930048,33.4491553738435,32.6668299681578,31.9105481567702,31.1447632831221,29.457225535925,29.2951194891629,28.3730182822958,27.4193247971621,25.0638710038032,25.8656427013362,27.3354845581015,26.2433275354478,23.4579179719183,23.6882724542119,23.4464201525563,23.9513431523945,24.8437661422741,22.7621781547549,23.2690553006698,23.5845492855403,20.8172027469798,20.9309481935184,20.0747090220639,20.4111152173599,19.7310823516257,20.1270026211924,22.5962071158015,22.1770089207442,22.2964805687954,24.7592283832825,24.7407313100305,25.3800496446806,24.3421603024779,25.3521032666396,26.1354451218198,23.941196794893,24.2217974660233],"CAGDPY@CH^EE_ACTUAL_ANNUAL(MED,0)":6.51381088906606,"USDSEK^FG_PRICE_CHANGE(0,-1AM)":3.313005,"USDAUD^FG_PRICE_CHANGE(0,-1AM)":0.92447996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5767522,16.6617704734143,22.276701045882,22.9687105537545,24.3452681588177],"EWU^P_PRICE_RETURNS_PR('52W',2,-10AY,0,AM)":[-2.7335227,-0.2656877,-3.2941043,-8.800268,-3.846407,-2.6230931,-3.5561144,-3.4356296,-5.646527,-5.934888,-7.5355053,-13.404733,1.6426563,-6.4422607,-10.0146885,-13.99728,-17.3639,-11.466354,-11.08321,-15.778452,-15.396923,-13.406122,-8.220684,-6.252199,-9.942854,-9.878951,-1.5744865,11.875057,9.255278,6.36158,4.788232,11.937761,16.438652,12.552452,7.513654,15.496027,19.71916,19.00035,19.25441,24.222708,15.814948,11.670923,16.88466,11.607361,8.892179,6.9370866,5.03397,1.0815859,-5.1051197,-3.8719296,-12.987995,-13.025451,-5.44883,0.83533525,-3.1199574,-7.79739,-4.1544676,-2.6951492,-6.3761415,-1.2978017,5.0053477,8.212841,20.436966,15.96154,6.1110616,-37.134327,-23.566305,-19.269556,-16.066235,-14.137566,-6.3429174,-14.43578,-16.592163,-10.525549,-10.323805,-7.303733,-2.8373837,59.953915,40.19542,37.365555,28.281343,25.689804,25.846756,25.93193,34.388374,20.952297,11.977732,17.657125,15.511012,10.487366,8.087778,-2.2461534,-8.362007,-5.2707376,-2.1339834,-9.768391,-15.545952,-5.024439,-2.2646487,-2.0186126,-1.130259,-4.9203215,2.659285,8.129144,15.131187,16.025532,5.308366,17.910362,20.438623,10.269558,10.893118,2.1786928,4.385245,14.228285,3.1138182,15.028334,10.917616,13.241518,20.142387,19.340038,22.511875],"EWJ^FG_TOTAL_RETURNC(-10AY,0,AM)":[-7.2095037,7.3126197,-1.8962502,-0.96069574,6.9664955,5.1525116,1.3328075,2.5145054,-3.0943394,1.6003728,-0.92449784,-10.497665,6.0816646,2.8665066,-3.7022293,-6.933832,-2.6398242,5.238962,3.6681175,-2.106148,-1.6351104,5.0263047,3.5264492,-1.9464731,2.7295232,-0.5837381,1.4780283,1.5564084,1.749146,1.2502551,-1.620686,3.1967044,3.0406713,-0.061166286,1.1329889,1.4692307,4.108596,2.034068,3.2884598,5.336535,-2.8850734,-1.4772713,0.5767107,-0.04914999,-1.8521488,-2.3810446,-1.3965547,4.1091084,-5.0554276,-3.2372177,-3.6828697,3.5768986,0.62788725,-0.05506277,1.6342282,-2.999097,1.4717817,1.0001779,-2.0539105,6.0850024,1.2530923,4.3053865,1.3228536,-0.3003955,-3.6156654,-22.924625,14.511037,4.289651,7.0780635,-0.24866462,3.792739,1.6640902,-0.6074846,7.9796195,5.079961,3.2296896,3.1722903,-1.0155141,-0.3134787,-3.8164616,0.67412853,-0.044608116,0.044631958,9.189594,-6.441516,1.5574932,-2.3901582,-1.5473902,-3.8385928,-2.137357,-7.3390064,-3.136915,-5.9414682,1.5366912,7.0942163,-8.797031,-5.520052,11.193121,0.79505444,4.912925,-0.3669381,-2.2974432,5.833781,3.2225251,4.412532,0.3328085,-6.302327,6.43965,-6.6360474,5.767596,1.1227012,5.7200074,2.8905988,4.4654846,-5.3220153,2.75079,-2.2869349,5.6105614,-1.4630675,0.028824806,1.0664344],"EWC^FMA_DIV_YLD(NTMA,-10AY,0,AM,\"PORTAGG\",\"MEANR\")":[3.04579480898147,2.90419296432011,2.99971628089149,3.02490215774651,2.85448162851626,2.90202090771268,2.83053741302833,2.87644855134732,2.95367546889931,3.00539281565567,3.09073106527157,3.21983972855359,3.17867320621897,3.29813836001413,3.38316276804437,3.64412404871095,3.30930861964524,3.14164519980974,3.09993812559022,3.07292009351019,3.0980306284358,2.98700031790168,2.95567481480653,3.00052497913214,2.93486998414884,2.90861573950751,2.8392288205718,2.83107301605413,2.7799235385461,2.91681891170469,2.92164313635441,3.01294781425565,3.03561012837462,3.04708869850316,3.09023776149447,3.06305262300815,2.95453118688667,2.92741102375636,2.91178706250022,2.90264749799026,3.11203558435758,3.10563011661686,3.16663565156527,3.0510189842002,3.0425261356792,3.04873652785464,3.0875653910289,3.14686994112018,3.34268182880634,3.39395448359306,3.57252846107522,3.36494241515796,3.30233583513369,3.23867018644986,3.17814092642641,3.29691206358231,3.29317487992407,3.31695781063219,3.43608433709241,3.29903661802115,3.36603868791653,3.23235909506325,3.24463058287338,3.19811286338455,3.20184658787725,4.93944314125628,3.99998130962547,3.78329246152012,3.53077605579011,3.40793362744083,3.31572001374703,3.42260437719597,3.38128534251414,3.24993057913247,3.09956486980296,3.02002163799052,2.93619246909243,2.82421401333162,2.72307417786816,2.69682280433861,2.56969875938412,2.72965925709473,2.70579216535866,2.75738985113443,2.69170345429983,2.68086898752643,2.83039680654851,2.77441363450314,2.8585204937617,2.79287808343662,2.82709055141858,3.18218162720891,3.40099127361418,3.47421925525848,3.27426288186574,3.43896910863685,3.55324376848517,3.3173595650546,3.4478167458828,3.33175573895974,3.2829227937189,3.47557402671735,3.2173004953046,3.26555427272627,3.28267450993607,3.18201487244839,3.56282929975788,3.44655248158788,3.64298659972106,3.48978730376384,3.40375803333048,3.37251652354836,3.26961869037505,3.13646982327515,3.13946144527094,3.02270665268878,3.3881557502339,3.22270333988692,3.18404411921674,3.10639679391903,2.98331479454736],"DDR3512M-FDS^MAX(FG_PRICE(0,-5AY))":3.3053632,"PASP-FDS^MAX(FG_PRICE(0,-5AY))":3158.12,"PLATI-FDS^MAX(FG_PRICE(0,-5AY))":1272.59,"W-FDS^MAX(FG_PRICE(0,-5AY))":14.2525,"COPP-FDS^MAX(FG_PRICE(0,-5AY))":5.119,"FC0000JP^FG_PRICE(0)":177.1307,"FC0000NZ^FG_PRICE(0)":414.97614,"EWQ^FG_PRICE_MAVG(0,,,,200)":39.6557,"EWL^FG_PRICE_MAVG(0,,,,200)":48.73215,"EWA^FG_PRICE_MAVG(0,,,,200)":24.6529,"SPY^P_PRICE(0)/P_PRICE_LOW_PR(0,,,,,,\"PRICE\",\"INTRA\",\"52W\")-1":0.42858195,"EWJ^FMA_PCT_ABOVE_MAVG(200,0,,,,\"PORTAGG\")":46.7336683417085,"VWO^PERCENT_CHANGE(FMA_EPS(+1,0,,,,\"PORTAGG\",\"MEAN\"),FMA_EPS(+1,-3AM,,,,\"PORTAGG\",\"MEAN\"))":0.961283532773294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57277563434,11.1869789498459,14.1059285156531,14.0067090394672,13.1479323697033],"TIPSCL10Y-FDS^FG_YIELD(-10AY,0,Y,,\"YTM\")":[null,null,null,null,null,null,null,null,null,null],"USDAUD^FG_PRICE_CHANGE(0,-1AY)":-5.412662,"EWL^P_PRICE_RETURNS_PR('52W',2,-10AY,0,AM)":[-0.8076787,4.006803,4.3897986,0.5256176,0.17073154,1.0326028,2.6987433,3.8063765,0.2712965,3.811705,2.9734492,-3.097248,9.400368,-2.7824283,-3.7031472,-11.074763,-11.186767,-9.429174,-9.119582,-14.347351,-10.841232,-10.544986,-4.8594713,-3.7422538,-4.9720407,-5.8245125,-4.4248104,8.724523,11.098862,10.726333,7.0064425,17.78859,20.656443,18.62527,11.8316765,18.283485,20.68404,21.490515,24.270105,23.665714,18.25651,11.05566,10.692156,2.2868395,-2.383113,-0.68556666,2.477491,2.5665522,-5.02069,-1.3877213,-9.039664,-6.6663265,-3.3263624,3.8892984,5.8181405,7.210362,16.161024,14.6941185,11.431384,10.029387,17.857038,20.506119,29.914713,28.347946,25.908863,-9.438485,5.6458354,6.0782313,7.874453,11.2801075,15.099203,15.544451,11.950815,11.825252,12.606943,11.896658,8.593618,42.759335,31.606281,28.999996,26.390589,22.917843,24.025011,15.20319,19.610477,21.605217,17.779945,14.529896,9.899199,13.271046,6.8507195,-6.3245177,-18.044102,-14.620209,-13.781482,-16.883707,-18.94703,-15.8162775,-17.769735,-9.382433,-5.219674,-9.836197,-1.597333,11.802888,20.104206,18.24094,7.066262,15.19767,14.237952,8.638298,14.891028,6.3973546,7.3997617,14.4883995,-2.4202228,4.485297,8.293462,6.5872073,13.675821,15.611339,21.878422],"EWG^FG_TOTAL_RETURNC(-10AY,0,AM)":[-10.655743,3.172779,4.1496873,-1.4941275,5.2004337,2.8149724,-1.8697858,3.6406875,-3.9067566,0.31039715,-4.712409,-6.3272715,1.8633485,1.753056,-2.284646,-9.428906,1.4388442,6.5915704,2.1135092,-2.8746665,-1.6179919,1.6493201,8.08407,-4.5624495,1.4498353,-3.9783657,5.108607,4.054117,1.3245106,3.1590343,-0.56318045,8.42477,1.9588709,0.60908794,-0.5840361,4.76501,2.4922252,-0.57751536,2.5374532,4.1680455,-4.50502,-1.953119,2.2372007,-1.4388502,-2.8588831,-0.5354941,-5.1579657,1.7335176,-7.4173093,-1.5517831,-6.4516125,4.5846343,0.03746748,3.3707857,3.5144925,-1.8200934,0.4331708,0.109410286,-6.7395267,6.60156,2.9314756,3.2751918,0.8617759,2.0164013,-2.1440566,-38.274555,27.787018,4.3836713,13.352882,6.8939924,3.952837,0.96731186,-2.1803737,1.2495756,8.217692,-0.62422156,2.3555279,2.5467873,5.894673,0.11303425,-1.3148248,-0.2036035,1.6613245,-2.40826,-1.7332554,2.3617387,-6.2053323,2.7329683,-4.61632,-7.3397455,-6.2262177,-5.71745,-4.5309663,-6.210393,5.360353,-7.6100826,-2.0360947,17.76098,-1.2905419,12.601625,1.6245484,-6.0745955,10.438728,-0.4109621,2.1452427,1.4873743,-6.4758005,-1.1297405,-6.118685,9.89399,4.465878,-1.739043,2.714932,5.015242,-3.0655026,7.9227567,-4.2654753,2.9382586,0.70557594,3.7579656,2.394104],"PASP-FDS^FG_PRICE(0)/MAX(FG_PRICE(0,-1AY))":0.830952380952381,"COPP-FDS^FG_PRICE(0)/MAX(FG_PRICE(0,-1AY))":0.848993944129713,"EWQ^FG_PRICE_MAVG(0,,,,60)":39.044666,"EWJ^FG_COMPANY_NAME":"iShares MSCI Japan ETF","SPY^P_PRICE(0)/P_PRICE_HIGH_PR(0,,,,,,\"PRICE\",\"INTRA\",\"52W\")":0.9973897,"URTH^FG_TOTAL_RETURNC(0,-12AM)":34.1182,"VWO^PERCENT_CHANGE(FMA_EPS(+1,0,,,,\"PORTAGG\",\"MEAN\"),FMA_EPS(+1,-1AM,,,,\"PORTAGG\",\"MEAN\"))":0.0,"EWI^FG_TOTAL_RETURNC(0,-1AM)":2.2970438,"EWN^FG_TOTAL_RETURNC(0,-6AM)":3.998518,"QQQ^FMA_PCT_ABOVE_MAVG(200,0,,,,\"PORTAGG\")":64.7058823529412,"EWL^PERCENT_CHANGE(FMA_EPS(+1,0,,,,\"PORTAGG\",\"MEAN\"),FMA_EPS(+1,-3AM,,,,\"PORTAGG\",\"MEAN\"))":2.88776237856061,"EWG^FG_TOTAL_RETURNC(0,-3AM)":6.9916606,"EWA^P_PRICE(0)/P_PRICE_HIGH_PR(0,,,,,,\"PRICE\",\"INTRA\",\"52W\")":0.9753948,"FXI^SIZE(FG_CONSTITUENTS)":52,"VGK^FMA_COS_DOWN(\"EPS\",\"1M\",+1,0,,,\"PORTAGG\",\"MEANR\")":507.0,"SPY^FMA_COS_UP(\"EPS\",\"1M\",+1,0,,,\"PORTAGG\",\"MEANR\")":159.0,"EWC^SIZE(FG_CONSTITUENTS)":86,"EWC^FMA_RBICS_REV_CURRENT(30, LOC, \"PORTAGG\")":42.3593959954102,"CAGDPY@IT^EE_ACTUAL_ANNUAL(MED,+1)":1.4,"CAGDPY@JP^EE_ACTUAL_ANNUAL(MED,+1)":4.0,"CC_CA^FG_COMPANY_NAME":"Canada","USDSEK^FG_PRICE_CHANGE(0,-1AY)":-4.437727,"USDCHF^FG_PRICE_CHANGE(0,-1AY)":-3.6360621,"USDEUR^FG_PRICE_CHANGE(0,-1AY)":-2.938062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61811,10.4260784199943,13.6402698151639,12.7503134076109,16.3257356453403],"EWA^FMA_DIV_YLD(NTMA,-10AY,0,AM,\"PORTAGG\",\"MEANR\")":[5.0655415651363,4.96768400094698,5.16313847558668,5.07826404210497,4.5867940554626,4.6513853193405,4.60128995658797,4.75718247294113,4.90081231750078,4.81765920522461,5.18998660911578,5.31321803080802,5.17781929203322,5.35316670105698,5.32536243434874,5.57444278315214,5.06569901704711,4.71052050457261,4.76632684168503,4.57128520061198,4.7553197926033,4.50408072473317,4.46139303801457,4.66560174717176,4.56043362664248,4.63444114827181,4.60882932854851,4.50792332120316,4.45976471142303,4.55232794586758,4.53669617458827,4.63876556500603,4.60557263210598,4.61514441749311,4.54507692948587,4.58276776137191,4.49018195654982,4.49201546880016,4.48020229566627,4.52926826096864,4.64556705569957,4.67978048313108,4.76815216379812,4.62891811807485,4.72436666011873,4.60430427507157,4.55468585283681,4.76618478168238,4.97674056487448,5.22372835161489,5.42544083248843,5.08322022534321,4.95936250542958,4.945032682567,4.90718907492549,4.85541330209604,4.66479218382375,4.60366493040885,4.77194841129488,4.4532013524383,4.43716154272097,4.32655033288796,4.22446762308668,4.12272998444434,4.06178761090628,5.82099979995514,4.29068873797671,3.79016215795991,3.42883168040535,3.41837081258368,3.35298883114727,3.61854604957394,3.563632538337,3.44003168558139,3.52391762492234,3.55834767383013,3.80181452331498,3.90283864667121,3.85939080492063,3.90787595482104,3.88464716336197,4.18676000302244,4.07529079305207,4.09888902593801,3.97565010535907,4.02816128756774,3.96390309795131,3.90236448071505,4.30660238177812,4.23444336320736,4.35773238415045,4.65487646278419,5.33004498627038,5.14332869538079,4.67452773934202,5.00216648526927,5.07761763794995,4.62262682354255,4.59377991315565,4.34105289780037,4.3951920127214,4.66241896443226,4.36684476889248,4.45154285735295,4.29993057778396,4.19383586712902,4.31250981889334,4.16783854431765,4.32835182772593,4.33081440958179,4.09405612179374,4.16723405563367,3.985263797904,4.00530244821546,4.04652449467765,3.92567340106103,3.91603521048861,3.79197124371661,3.80741559834924,3.64578072680594,3.58795119092747],"ENZL^JULIAN(FMA_DIV_YLD(NTMA,-10AY,0,AM,\"PORTAGG\",\"MEANR\").DATES)":[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4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,45429,45461,45491,45520,45553,45581],"DDR3512M-FDS^FG_PRICE(0)/MAX(FG_PRICE(0,-1AY))":0.826923076923077,"PLATI-FDS^FG_PRICE(0)/MAX(FG_PRICE(0,-1AY))":0.939195509822264,"W-FDS^FG_PRICE(0)/MAX(FG_PRICE(0,-1AY))":0.817922170653338,"EWL^FG_PRICE_MAVG(0,,,,60)":51.1065,"EWA^FG_PRICE_MAVG(0,,,,60)":25.6715,"TRYIT10Y-FDS^FG_YIELD_NAME":"Italy Benchmark Bond - 10 Year"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2683733,11.0508592022587,12.8471719199911,14.658060585061,13.2263940971232],"TRYFR10Y-FDS^FG_YIELD(-10AY,0,Y,,\"YTM\")":[0.837,0.9989,0.682,0.785,0.71,0.118,-0.344,0.201,3.07,2.534],"PLATI-FDS^FG_PRICE_CHANGE(0,-1AY)":10.939226519337,"EWQ^FG_PRICE_MAVG(0,,,,30)":39.45933,"EWA^FG_PRICE_MAVG(0,,,,30)":26.424667,"SPY^FG_TOTAL_RETURNC(0,-6AM)":17.769062,"EWI^PERCENT_CHANGE(FMA_EPS(+1,0,,,,\"PORTAGG\",\"MEAN\"),FMA_EPS(+1,-3AM,,,,\"PORTAGG\",\"MEAN\"))":-7.51742931613862,"EWN^FG_TOTAL_RETURNC(0,-3AM)":-3.209728,"EWG^FG_TOTAL_RETURNC(0,-1AM)":2.394104,"VGK^FMA_COS_UP(\"EPS\",\"1M\",+1,0,,,\"PORTAGG\",\"MEANR\")":441.0,"QQQ^SIZE(FG_CONSTITUENTS)":102,"EWC^FMA_COS_DOWN(\"EPS\",\"1M\",+1,0,,,\"PORTAGG\",\"MEANR\")":37.0,"EWA^FMA_RBICS_REV_CURRENT(30, LOC, \"PORTAGG\")":43.2962109543242,"TRYSE10Y-FDS^FG_YIELD_NAME":"Sweden Benchmark Bond - 10 Year","REFCHMPR-FDS^PROPER_NAME(0,,,\"SECURITY\",\"NAME\")":"Swiss Policy Rate - Sight Deposit Rate","TRYIT10Y-FDS^PCTCHG(FG_YIELD(0,,,,\"YTM\"),FG_YIELD(-3AM,,,,\"YTM\"))":-8.812366,"TRYJP10Y-FDS^PCTCHG(FG_YIELD(0,,,,\"YTM\"),FG_YIELD(-3AM,,,,\"YTM\"))":-7.584432,"CAGDPY@IT^EE_ACTUAL_ANNUAL(MED,0)":-0.0142310439196404,"CAGDPY@JP^EE_ACTUAL_ANNUAL(MED,0)":3.60658196299853,"CC_AU^FG_COMPANY_NAME":"Australia","USDSEK^FG_PRICE(0)":10.53555,"USDCHF^FG_PRICE(0)":0.8653,"USDEUR^FG_PRICE(0)":0.92102236,"USDAUD^FG_PRICE(0)":1.4910908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509270637055,2.03535923448403,2.71455451649836,3.12785085030901,3.00293990504371],"EWJ^P_PRICE_RETURNS_PR('52W',2,-10AY,0,AM)":[-8.067256,-2.3157477,-2.3065984,-4.4525623,5.6310415,15.85536,17.084455,20.351517,8.637894,8.808088,8.250963,-1.3049483,13.350034,8.157194,6.1661363,0.6507635,-9.196222,-9.1215725,-7.027191,-11.217767,-9.810615,-6.842065,-2.6569605,3.1483054,3.2734513,-0.19043684,2.840495,14.773989,19.94797,14.999998,9.514332,15.446663,20.723175,15.076363,12.4158745,16.3319,17.893578,19.188011,23.156595,27.740728,21.851276,19.028711,21.288181,17.473293,11.8951435,9.297729,7.035756,9.3364,-0.28779507,-5.904084,-11.821413,-13.294422,-8.780831,-8.861101,-7.902813,-10.840183,-7.5940075,-4.393339,-4.714155,-3.2282948,3.2016277,11.246133,17.027723,14.143551,7.896507,-16.792547,-6.1146736,0.7940769,6.362915,4.7787547,11.318314,6.6793203,4.2465925,8.407843,12.427664,16.564512,24.606586,60.02672,41.17093,28.481638,20.797657,21.239067,16.673672,24.762844,17.95491,10.939503,2.7595282,-1.7160714,-8.394777,-9.432989,-15.815806,-15.221035,-22.599094,-19.539047,-13.869417,-28.563446,-27.349,-20.45598,-18.862295,-12.470418,-9.452688,-8.295309,3.4127116,10.202169,20.985365,20.882809,5.7614446,23.430311,21.972359,15.978109,16.398,17.293453,21.085941,29.51286,15.861082,15.350544,7.9315186,13.608969,19.275522,12.28056,21.543657],"EWC^FG_TOTAL_RETURNC(-10AY,0,AM)":[-10.594398,4.478121,-5.6051073,-3.470254,2.9346943,-1.9600809,5.4525614,-1.0341287,-3.134793,-6.15108,-3.3204556,-4.7923326,3.8171172,-6.1414185,-6.887645,-11.106605,13.547718,10.07427,3.1210542,-1.0224938,1.5702486,4.074621,2.6004791,-4.3394804,3.331995,-1.0878026,4.4383407,1.4549732,4.0059924,-3.8516998,0.33695698,-3.6940277,2.8671026,4.5843244,-0.9803951,4.4737816,2.7729034,-0.78552365,0.4819274,4.889238,-6.4836206,-2.1223903,2.565956,2.6779413,-1.098144,1.0037899,0.24238825,-0.48359632,-5.9354362,-1.2915134,-7.067728,8.0572605,3.7471652,2.0065665,2.503574,-2.0237267,1.4835715,2.584982,-4.31481,4.7258377,-1.5156746,4.0923357,0.58573484,3.5206437,-0.19620657,-38.990826,25.563896,5.2609086,5.972755,4.1053414,6.398809,-3.111893,1.7683268,4.1489363,6.801915,2.743709,2.7332783,5.1681876,2.8787494,5.2854657,-0.41089058,-1.4645994,1.5414238,-0.35240054,6.2296033,1.4852762,-5.9646425,6.142974,-3.3290625,5.3774834,-0.17596483,-9.569377,-6.5488634,-1.2608886,9.394956,-6.725955,-5.9296846,9.407675,-4.7701178,6.6008687,1.2442112,-7.5164375,10.012352,-2.4719,1.0422826,2.447462,-5.1995573,4.2691946,-6.1700287,4.454553,4.7287464,0.15515089,2.8315187,2.8353333,-2.3064733,4.721844,-4.4680414,5.2847743,2.1326423,3.1067014,3.8281083],"ENZL^FMA_DIV_YLD(NTMA,-10AY,0,AM,\"PORTAGG\",\"MEANR\")":[4.69560903056722,4.4214508398475,4.47131171207156,4.37563125257406,4.27718286118272,4.37444630980212,4.42228280190139,4.44036397284699,4.52862030262567,4.60652623675071,4.7354061583613,5.08593339251988,5.06854880395035,4.92439415185822,4.84298309557243,4.85114730430349,4.89201941149249,4.62595868066457,4.5291619067172,4.42682069420825,4.44974880459988,4.26090969733327,4.14067548658848,4.32404130987216,4.57126788554229,4.62691666103602,4.71264125286212,4.51181235308481,4.55040528891217,4.59630881481287,4.56468454391643,4.51349268215281,4.3972567422724,4.39354774649853,4.31642407887395,4.45201711419674,4.3474669913041,4.41094947834673,4.22792260256751,4.28464693918502,4.39585866613761,4.22365478740251,4.28869518468489,4.20793796919471,4.00471625117642,4.07496156772523,4.02999009094997,3.94606340730041,4.20168619858462,4.23580567805645,4.22915756435075,4.03738344663791,4.02858216118949,3.87259080521858,3.70535227064247,3.66575340239948,3.66335689286533,3.43023357326797,3.48061867404903,3.37757816372345,3.29550963065793,3.35291025689724,3.20302715760459,3.08828197086448,3.0407135664296,3.76471333821235,2.69678494738816,2.6142738018397,2.51257338583185,2.44301742810894,2.37641153665207,2.4669632115964,2.3508735795414,2.37432761488356,2.45707211750542,2.45487748497955,2.54556815215491,2.56346356321881,2.56196761103753,2.67554767635157,2.68001705298412,2.61688842276162,2.68214963653948,2.58712724336242,2.6823882137312,2.73975737524698,2.80549714770734,2.84238469466041,2.99524907480791,3.01890986869238,3.13812170881794,3.21473656800676,3.46124121783303,3.32956350380549,3.12600001098065,3.26159330667613,3.47510989626512,3.35315640181563,3.4301381510476,3.34538304846835,3.23639465055339,3.50053699891657,3.4188794390548,3.47438726114924,3.46761371454132,3.43601776510501,3.4865808035291,3.40403883409651,3.46034650613139,3.46483635623254,3.01924003248549,3.0343671677613,2.9089946232426,2.80296497140887,2.80050743618485,2.73224108810593,2.72688364937837,2.63230299370419,2.51667961592148,3.05903011796144,3.03629312647832],"EWI^FMA_PE(LTMA,-10AY,0,AM,\"PORTAGG\",\"MEANR\")":[16.3077123524235,17.8567218526246,18.3142517184806,19.9002375160191,44.0079992201295,43.5571836290492,40.8220593444703,37.9560986728922,34.7612665461308,32.5083197140623,29.7029789836909,26.0394574486288,24.2645142485921,22.1761480512204,18.8937401437577,16.1443030110855,14.9495140578168,15.4308944255059,15.2999815529942,15.4364522331808,14.7092398888453,14.6385992840547,14.9952164275485,14.4842834856679,15.0755917503449,14.0496174463118,16.3027663274373,27.4114068726172,20.6319465074625,82.0940992664108,74.3644155876041,67.6938066047321,60.7894872833788,53.4966706546206,46.1890279829435,39.070491895521,32.2256497084716,25.1233403961635,18.4502325301556,16.020457479808,14.4947001707681,14.1852545697043,14.183415025834,13.9551726303824,13.4696209243715,13.232320776556,12.6127235049035,12.615287573659,11.5452711881105,11.2121493992115,10.731129921194,11.1708503375256,11.1305089337494,11.3228248185985,11.3660816738568,11.1689750275009,11.1171136884565,11.3607647358721,10.8001183198277,11.2854387864117,11.4900737987033,11.9382779958916,12.1521502569638,12.3791748547343,12.9266617285416,10.7633883850742,11.6131624635042,13.6393707916509,15.8179528771425,17.5337624304465,17.5308550618307,18.2296827960359,18.9572518573297,21.7761875716915,22.7581932414655,23.3177998003994,20.1962921094369,20.0510155994829,19.5136410634962,18.7139093350675,18.2623154863166,17.4890815939408,16.1666460415627,14.9984851444337,14.3535896706687,13.7176644903786,12.1197470273986,12.1085354205466,11.5506029459094,10.5425337923896,10.5136812901574,10.1051584263222,9.50226695752484,9.00723196261705,8.7151435463373,8.42534118953348,8.02203154116527,8.33437121281537,7.4757163263452,8.09021212181281,8.38011542286428,8.18089520228113,8.40616566982941,8.25941779346841,8.55188148016099,8.66226151889319,8.11732934537723,8.36324818122181,8.18294681643728,8.29273202667747,8.79615292070429,8.97730279069619,9.07175893420361,9.42732322343603,9.4379421354611,9.64424412123704,9.44388451788436,9.71158570090785,9.68901159679955,9.98692677492306,10.7101199061602],"DDR3512M-FDS^FG_PRICE_CHANGE(0,-1AY)":-15.0664343437366,"PASP-FDS^FG_PRICE_CHANGE(0,-1AY)":-8.5589519650655,"W-FDS^FG_PRICE_CHANGE(0,-1AY)":-1.292546316243,"COPP-FDS^FG_PRICE_CHANGE(0,-1AY)":21.3288665549972,"EWL^FG_PRICE_MAVG(0,,,,30)":51.319668,"URTH^P_PRICE(0)/P_PRICE_LOW_PR(0,,,,,,\"PRICE\",\"INTRA\",\"52W\")-1":0.38099384,"VWO^FMA_PCT_ABOVE_MAVG(200,0,,,,\"PORTAGG\")":36.8677248677249,"EWU^FG_TOTAL_RETURNC(0,-12AM)":22.511875,"EWL^PERCENT_CHANGE(FMA_EPS(+1,0,,,,\"PORTAGG\",\"MEAN\"),FMA_EPS(+1,-1AM,,,,\"PORTAGG\",\"MEAN\"))":-1.75301328902508,"EWA^FG_TOTAL_RETURNC(0,-6AM)":16.212666,"FXI^FMA_COS_DOWN(\"EPS\",\"1M\",+1,0,,,\"PORTAGG\",\"MEANR\")":19.0,"ENZL^FMA_ROE(NTMA,-20AY,NOW,FY,\"PORTAGG\",\"MEANR\")":[null,null,null,null,null,null,10.8532267295878,10.9048734413645,11.45876758647,11.0832589152415,9.94517431688139,9.90242652659034,9.79986582903071,9.84792896856594,9.52177142619013,9.00388709577871,7.53226388544375,6.44400184436727,7.76896899459677,6.57910752236192],"TRYCN10Y-FDS^FG_YIELD(-10AY,0,Y,,\"YTM\")":[3.653331,2.901145,3.070911,3.93859,3.259862,3.197311,3.1948,2.7893,2.855,2.574],"CAGDPY@SE^EE_ACTUAL_ANNUAL(MED,+1)":6.3,"CAGDPY@DE^EE_ACTUAL_ANNUAL(MED,+1)":7.0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EWG^P_PRICE_RETURNS_PR('52W',2,-10AY,0,AM)":[-7.526946,-7.4160395,-5.7915154,-10.803318,-6.2830744,-0.6691158,-3.3433855,-0.78394413,-7.179159,-3.6401212,-2.924186,-10.495037,4.6057343,0.6423354,-5.575311,-11.127215,-16.285658,-13.21066,-9.687716,-15.365177,-11.597597,-12.192744,-0.40082932,-1.6178787,1.0637164,-4.6288786,1.0761023,17.858791,17.873466,14.113498,10.948288,23.855877,29.606606,27.045334,16.856575,28.277397,29.595411,32.9553,30.902946,31.046284,23.059929,17.056633,20.692146,9.712529,4.5284033,3.339219,-0.8651674,-4.2678537,-13.523793,-14.788002,-21.877945,-21.56551,-17.68616,-13.373012,-12.290746,-12.974083,-9.669095,-9.083408,-9.895086,-6.321603,4.1496515,9.256172,17.797543,17.367422,12.399101,-32.883507,-17.290485,-11.910361,-0.57854056,5.966401,18.330658,12.076497,7.466924,4.421413,12.036932,9.577454,14.155245,89.65037,63.62219,50.729813,31.225597,23.540474,19.811762,15.083814,16.33551,17.613388,1.7158866,5.3818703,-1.7961204,-11.263948,-21.42083,-25.99721,-29.797476,-32.718044,-30.269932,-34.979935,-34.190117,-24.289715,-21.52124,-12.668628,-8.161473,-5.7494106,11.077046,17.328787,26.388,35.836803,20.576942,29.034351,23.656918,15.767538,22.12559,6.5719724,8.099461,20.433485,5.707109,15.027475,7.363379,8.89827,16.201485,23.056995,34.215332],"EWA^FG_TOTAL_RETURNC(-10AY,0,AM)":[-4.1420164,1.7283916,-8.696074,2.1042943,5.2419305,-0.085145235,-0.80953836,-0.21477938,-3.9603949,-3.407067,-6.368822,-5.532998,5.158508,-4.2922854,-1.0677993,-9.855371,8.676922,12.287653,1.5128613,-3.4773886,-1.6469359,8.688509,2.5390625,-5.7618976,5.6088924,-4.162675,2.6959538,5.81851,4.905653,1.1240959,-1.0226727,-3.4141958,3.0697703,2.6137948,1.61798,0.973022,1.0512471,-1.9072413,2.96067,3.8255215,-2.6683629,-0.9138346,-0.57092905,0.2650261,-0.088107586,2.1357417,1.2323976,-3.782612,-6.4166307,1.4968634,-4.639101,6.6321254,2.429545,2.0872831,1.8587351,-2.281022,4.853523,3.1803727,-6.5169516,5.7936907,-0.6233275,1.8817186,1.4609814,3.978777,-2.2959232,-40.295906,22.667635,3.3868074,12.272274,3.4805179,4.718876,-3.4995258,3.0799866,8.867466,7.098639,1.9174695,3.3537865,-1.8994808,5.929804,0.41888952,0.009572506,-1.5763164,-0.42968988,-0.19615293,2.319181,-1.8824399,-3.2510936,1.4647126,-0.86812973,7.1309447,2.413392,-10.604328,-8.663666,1.2013435,8.784426,-7.2893915,-5.5084763,13.403093,-0.59937835,7.429099,-0.7124901,-7.2604537,7.1916223,-3.0997872,4.1672945,-0.1714468,-7.85746,3.308487,-4.2399645,4.6161056,8.0594425,-1.9370317,2.9054642,1.4749289,-3.2392085,8.326185,-1.3231218,2.7834654,-0.6371975,4.809618,1.5678763],"EWD^FMA_PE(LTMA,-10AY,0,AM,\"PORTAGG\",\"MEANR\")":[15.3152851529383,16.893463432604,17.3231053311181,17.5544061642548,19.9090148128009,20.1515908440463,19.6902739787084,19.0998383137241,18.693074680168,18.778407317984,18.2580088680693,16.9105560106219,16.7426664253363,16.8846826477317,15.9933489557244,14.3421430706431,15.1685568611443,15.6192548098153,15.6528521432427,15.4547512950018,15.2450190411315,15.5831610886501,15.985990663929,15.9985532918426,17.1439883483421,17.259462022476,18.3076274568384,18.1149085714474,17.4239993911243,17.5068735934462,17.5183397532605,17.9802820129532,17.6291685266696,17.6164798859598,16.7680284956134,17.2941004398528,17.7966123435142,18.0300095400379,18.2801583911575,18.2569843859972,16.7432305380009,16.9421789863474,16.847109193314,16.8814719956118,16.495303984402,16.4811038441933,16.586003292887,16.6141879636484,15.7094708032642,14.9035903354192,14.1537981811058,15.2243604995117,18.4479125766109,18.0402052859021,17.8697906835608,17.518844468656,17.1958759063119,16.8739507099756,15.7827561307167,16.2799722497551,16.6868222863632,16.0782702846902,16.3013800994427,16.9070943597717,14.3692166185504,12.3721306111248,14.0330712811993,15.1521006485621,16.6116452078687,18.1559770798662,16.8955960772424,18.0118428900118,16.3466894408457,16.6358748935462,17.1570150473071,18.5501347110363,17.5396169046635,17.9842066674755,18.4927555106075,17.524963796268,17.8441376411646,17.7452544360977,17.4635954473882,17.3755194489103,17.440471122554,16.7418169892728,16.1573098067883,15.6032501350485,11.8530937302952,12.0013224087242,12.2490594515865,13.3524127686704,13.1057439324386,13.9220883616466,15.0134684601861,14.5486997183062,15.2277553883064,14.0613257260583,15.2740205501084,16.774199929349,26.2045269790674,24.8356715801729,23.8635084996341,22.5218292066221,21.5562268102151,20.1260485156827,18.2245869552597,17.2745921780165,16.7253146757728,15.8756123894741,18.0816199385649,17.0560587320779,15.4670100612724,15.902394264364,15.8779898295439,16.0963405373144,15.9878719213824,16.5121508271501,16.4740790361473,17.0225170220833,17.4080431342317],"DDR3512M-FDS^FG_PRICE_CHANGE(0,-6AM)":-11.3146392017591,"PASP-FDS^FG_PRICE_CHANGE(0,-6AM)":-1.22641509433963,"PLATI-FDS^FG_PRICE_CHANGE(0,-6AM)":6.24338624338625,"W-FDS^FG_PRICE_CHANGE(0,-6AM)":6.70703306939917,"COPP-FDS^FG_PRICE_CHANGE(0,-6AM)":-2.12813872311677,"EWA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CAGDPY@SE^EE_ACTUAL_ANNUAL(MED,0)":6.54758763985883,"CAGDPY@DE^EE_ACTUAL_ANNUAL(MED,0)":5.88214213185842,"USDITL^STD(FG_PRICE_CHANGE(0,-3AY,M))":2.17172777170536,"USDANG^STD(FG_PRICE_CHANGE(0,-3AY,M))":0.0594600681310969,"USDGBP^STD(FG_PRICE_CHANGE(0,-3AY,M))":2.39047188640175,"USDJPY^STD(FG_PRICE_CHANGE(0,-3AY,M))":3.37764504980135,"USDCAD^STD(FG_PRICE_CHANGE(0,-3AY,M))":1.83419096764442,"USDNZD^STD(FG_PRICE_CHANGE(0,-3AY,M))":3.60072422412022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47054007,3.67789556950636,4.61613869576068,4.46089556091596,4.56673202880816],"EWC^P_PRICE_RETURNS_PR('52W',2,-10AY,0,AM)":[2.4404526,4.535496,1.9524455,-3.1264842,-1.7197967,-4.204631,-1.039505,-3.734821,-10.456568,-17.852228,-20.555252,-24.991465,-11.991156,-21.753746,-22.81688,-27.594692,-21.59437,-11.970115,-13.916421,-13.906294,-9.46402,0.11188984,6.243038,5.3344846,6.249559,11.970341,22.752619,43.337395,31.231451,13.532782,11.585772,8.573937,10.862279,10.498738,6.6421986,16.467213,15.8370495,16.373873,11.789417,15.573502,3.6932707,5.15635,8.13632,15.291035,10.846877,7.0519447,8.572996,3.2314777,-5.5157127,-5.9004126,-13.060409,-10.434514,-1.0908008,3.5556912,3.492713,-1.8525302,1.3315916,2.9179096,-0.45426488,3.3816457,8.239185,14.142871,23.543144,19.122887,13.857735,-31.902754,-16.524607,-10.380703,-6.4163504,-4.7004404,5.6042194,-2.2992551,1.0293007,1.0135055,7.2561145,7.257855,9.575748,88.8877,61.244953,54.798187,45.473373,38.35926,31.404198,34.034218,41.07126,37.463284,19.679535,25.03593,17.657518,17.891657,14.391172,-1.7484128,-8.988804,-7.613349,-0.46787262,-8.034897,-17.498028,-11.057556,-10.896492,-9.539151,-6.4002037,-16.537302,-8.365703,-1.1737585,5.64878,10.867119,-3.9237857,7.401681,7.127273,2.2477984,12.479221,5.6780577,6.7855477,19.34898,5.984664,13.410198,7.59598,10.575903,18.56581,17.800056,30.352354],"ENZL^FG_TOTAL_RETURNC(-10AY,0,AM)":[-1.9617856,7.510388,-1.121068,2.337277,-1.7927289,1.4003396,1.8495679,-4.479414,-6.5906286,-5.1518917,-1.6436815,-2.7156055,8.852768,-2.3558557,5.8585763,-4.2671385,2.9138565,11.280322,6.9183946,-1.9909918,3.772676,4.5322895,6.547749,-2.6700556,-5.682564,-3.808868,-2.5437891,7.174039,1.2835741,-1.7366827,1.7912626,0.44580698,8.315813,2.9440284,1.3657689,-2.463156,2.8707027,-5.772978,6.8169594,2.5583148,-0.5386412,2.7286053,-0.08110404,-2.9017866,5.2664638,-2.8386414,-0.9349704,2.0763397,-5.711937,4.75049,-1.8862069,4.014671,3.2786965,2.1699786,1.8879056,-0.4825294,-0.41757822,9.964407,-6.2747183,-0.70017576,3.9408922,-1.1708975,7.1728587,4.7491074,-2.2497892,-28.598404,20.57761,3.2730222,8.149921,5.9556484,3.5108924,-2.205515,4.9034715,5.4234505,2.3424983,1.465869,-2.407825,-1.4340818,0.8917451,-2.744609,-3.6157727,2.5538325,-2.360022,5.5342555,-1.2004435,-2.3661077,-5.844241,0.39994717,-5.7861447,5.8241487,-7.373434,-11.597795,-5.4959955,4.249537,8.865416,-6.5637054,-11.004787,13.856316,5.143535,5.046153,-0.410074,-4.2352915,1.2592196,2.0725846,-2.2402942,2.2308588,-9.029031,-2.0466566,-3.3250928,2.997911,7.8181386,-0.8136153,-1.7230213,-1.4245033,-2.1787465,4.2954564,1.0297537,0.91284513,3.6398888,2.2028327,0.060999393],"EWI^FMA_PE(NTMA,-10AY,0,AM,\"PORTAGG\",\"MEANR\")":[12.1588940617381,12.8153009020994,12.5001036411923,12.9713912814776,15.0206033469595,15.4252538324667,15.6874618983984,15.5938598795598,14.8710142332207,15.5309850173596,15.344219376504,14.1646910539726,14.6660591370084,14.7406462035595,13.9898757845437,12.9375630811572,12.2935694432065,13.5470497345791,13.3715412682516,13.5228899279811,12.3419643320221,12.356688395981,12.5225482050175,11.6759630743512,12.0596888681987,11.3868950540017,13.4700170878655,13.3095896859618,13.0803427844456,13.5188472491037,12.7664275348768,13.6950362976949,13.356857243235,13.4978236373046,13.3710631675309,13.4853804971745,13.4925233557706,13.1060458015238,13.3743156154261,13.6615687520611,12.7056101915544,12.70020595427,13.0114497089385,12.4936803291754,11.6199747750822,11.4184876776307,10.7085908329166,10.9139569561109,9.80396538323621,9.58884661010097,9.35864251314301,9.89856193864263,10.3589539345726,10.7479145788376,10.9743371254587,10.4634374155735,10.4526448633091,10.8956673297726,10.0166494519419,10.7503470740274,10.8774998519313,11.3174221241967,11.5032510299579,11.6649048548083,12.0400292459556,7.93320814879931,11.1768083775679,14.8666070686213,17.3047065361465,17.8707721558781,16.1391160297499,15.3195401908117,14.6175666502017,15.0887840831674,14.8722536469434,14.5483480324116,13.8582571794223,14.1083360061198,13.9800235170131,13.3553271800491,13.5227577334767,12.968662598616,12.2811328706567,11.6240744240396,11.6255399174005,11.7490220296875,10.8266698176851,11.0330437246941,10.444037929157,9.51395946272015,9.69959603049536,8.92947741435485,7.87479265573353,7.50904157348756,7.77003484400483,7.68022288790052,7.48884618113005,8.29382642808285,7.59605159606092,8.29410619604822,8.4859409152171,7.98715991283366,8.76866141065281,8.26795603486515,8.79828247641717,8.82899189658471,8.09342166617299,8.41488786953007,8.13279334120108,8.32444449997972,8.82996166686468,8.95760422722909,9.00212194058697,9.62053947162565,9.54279798348196,9.97086498023266,9.36061623428191,9.73089314922198,9.53849304693958,9.87660516108433,10.5741868540631],"EWN^FMA_PE(LTMA,-10AY,0,AM,\"PORTAGG\",\"MEANR\")":[15.7590722943539,17.3970457980016,17.3912906738911,18.0903629750486,19.5205269197215,20.0897153502216,19.8038417552964,19.4916873535608,18.9559057882287,19.274666241034,18.3948636093369,16.9463248467508,17.0951651431467,18.057008520925,16.9901125316453,15.4322461669667,15.5516449071134,16.4295733665154,16.3884248280945,16.1374907121044,15.7226610480274,15.9768878205163,16.104868436504,15.7667852999638,15.9346017210567,15.5651254287989,16.0828483935714,16.2490334811847,16.6594780154153,16.5136383339274,16.5058917735133,16.6544912646658,16.6509615733331,16.636029220152,16.6081050975706,16.8992097482556,17.3148523448502,17.1905879558156,17.4929198875851,17.4500591008164,16.5216428307624,16.6538081729037,16.6284508453022,16.6428252727867,16.6740292984639,16.7778101024543,16.4729422049457,16.282092106268,15.6233844155876,15.5141100341062,14.6214847971165,14.9261238535329,16.1285688908039,16.1920833398743,16.3279970255819,16.2298200150131,16.3163236999654,16.5569976557846,16.228982432431,17.1111387153585,17.1922442729316,17.9535449861683,18.5425138299106,18.832468953163,19.7914965080689,16.4492188747161,17.4971581784571,18.0888841082582,19.4102392434679,20.274199736335,21.0209401666859,21.5840327038123,22.6582798999587,24.7372353045448,26.6826355243718,28.2860812933856,29.7612095472975,28.6782224325316,28.4545424100345,27.2973247449759,26.7333103203844,26.2391932366508,26.0291270299925,25.4324962675819,24.4233062322115,24.4830550980875,22.1467286747786,21.5277223502316,18.9280762701817,18.4740847766995,18.4352200674076,18.2199356489231,17.7089947690743,18.413547366238,19.6282478013812,18.0711075356129,17.1200053861671,18.4819028309449,18.0166292785971,19.4399773654204,21.4255933332242,20.3201719083831,20.1255317849766,19.652944989266,19.3675338868012,19.2261888367438,17.8945927720034,17.1051288760334,16.1249586619496,16.5988340847884,16.7961651768036,16.4531185586025,17.9061380929146,18.4025273261142,18.1657700410166,18.3521784967614,18.4757312492712,18.1792526796698,17.6047413085974,17.3641866905433,17.2689088605875],"DDR3512M-FDS^FG_PRICE_CHANGE(0,-3AM)":-6.52173913043479,"PASP-FDS^FG_PRICE_CHANGE(0,-3AM)":9.0625,"PLATI-FDS^FG_PRICE_CHANGE(0,-3AM)":0.4,"W-FDS^FG_PRICE_CHANGE(0,-3AM)":7.00607192900513,"COPP-FDS^FG_PRICE_CHANGE(0,-3AM)":1.87529301453353,"EWI^FG_PRICE_MAVG(0,,,,200)":36.7926,"SPY^FG_PRICE_MAVG(0,,,,200)":529.2698,"EWJ^FG_PRICE_MAVG(0,,,,200)":68.77305,"ENZL^FG_PRICE_MAVG(0,,,,200)":46.509262,"SPY^FG_TOTAL_RETURNC(0,-1AM)":4.4505954,"URTH^FG_TOTAL_RETURNC(0,-6AM)":15.625644,"VGK^P_PRICE(0)/P_PRICE_LOW_PR(0,,,,,,\"PRICE\",\"INTRA\",\"52W\")-1":0.26334906,"EWI^FMA_PCT_ABOVE_MAVG(200,0,,,,\"PORTAGG\")":68.0,"EWN^PERCENT_CHANGE(FMA_EPS(+1,0,,,,\"PORTAGG\",\"MEAN\"),FMA_EPS(+1,-3AM,,,,\"PORTAGG\",\"MEAN\"))":-0.698053500497743,"SPY^FG_TOTAL_RETURNC(0,-3AM)":6.1024427,"EWU^P_PRICE(0)/P_PRICE_HIGH_PR(0,,,,,,\"PRICE\",\"INTRA\",\"52W\")":0.97703266,"EWG^PERCENT_CHANGE(FMA_EPS(+1,0,,,,\"PORTAGG\",\"MEAN\"),FMA_EPS(+1,-1AM,,,,\"PORTAGG\",\"MEAN\"))":-4.69159585080512,"EWA^FG_TOTAL_RETURNC(0,-1AM)":1.5678763,"EWI^FMA_COS_DOWN(\"EPS\",\"1M\",+1,0,,,\"PORTAGG\",\"MEANR\")":11.0,"QQQ^FMA_COS_UP(\"EPS\",\"1M\",+1,0,,,\"PORTAGG\",\"MEANR\")":28.0,"ENZL^FG_PRICE_MAVG(0,,,,60)":48.369865,"SPY^PERCENT_CHANGE(FMA_EPS(+1,0,,,,\"PORTAGG\",\"MEAN\"),FMA_EPS(+1,-3AM,,,,\"PORTAGG\",\"MEAN\"))":-1.6257699670242,"VGK^P_PRICE(0)/P_PRICE_HIGH_PR(0,,,,,,\"PRICE\",\"INTRA\",\"52W\")":0.9650388,"EWD^FG_TOTAL_RETURNC(0,-12AM)":31.871128,"EWN^PERCENT_CHANGE(FMA_EPS(+1,0,,,,\"PORTAGG\",\"MEAN\"),FMA_EPS(+1,-1AM,,,,\"PORTAGG\",\"MEAN\"))":-3.12698590726252,"EWG^FMA_PCT_ABOVE_MAVG(200,0,,,,\"PORTAGG\")":59.6491228070175,"EWA^PERCENT_CHANGE(FMA_EPS(+1,0,,,,\"PORTAGG\",\"MEAN\"),FMA_EPS(+1,-3AM,,,,\"PORTAGG\",\"MEAN\"))":0.945323698855726,"SPY^FMA_COS_DOWN(\"EPS\",\"1M\",+1,0,,,\"PORTAGG\",\"MEANR\")":212.0,"EWI^FMA_COS_UP(\"EPS\",\"1M\",+1,0,,,\"PORTAGG\",\"MEANR\")":7.0,"EWU^SIZE(FG_CONSTITUENTS)":80,"EWA^FMA_COS_DOWN(\"EPS\",\"1M\",+1,0,,,\"PORTAGG\",\"MEANR\")":18.0,"EWD^FG_ROE(0)":16.5979485844405,"CAGDPY@NL^EE_ACTUAL_ANNUAL(MED,+1)":9.5,"CAGDPY@CA^EE_ACTUAL_ANNUAL(MED,+1)":-1.0,"USDITL^STD(FG_PRICE_CHANGE(0,-1AY,AM))":1.69260744411353,"USDANG^STD(FG_PRICE_CHANGE(0,-1AY,AM))":0.0,"USDGBP^STD(FG_PRICE_CHANGE(0,-1AY,AM))":1.68467843110032,"USDJPY^STD(FG_PRICE_CHANGE(0,-1AY,AM))":3.27428417426272,"USDCAD^STD(FG_PRICE_CHANGE(0,-1AY,AM))":1.17370584886306,"USDNZD^STD(FG_PRICE_CHANGE(0,-1AY,AM))":2.17099211867524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97001,1.98003612030208,2.44944590598376,2.36386840125656,2.65636172824176],"EWA^P_PRICE_RETURNS_PR('52W',2,-10AY,0,AM)":[-4.8434734,-2.2429168,-1.3623655,-1.919049,-1.4470935,-2.5453389,-7.756406,-8.91872,-11.432468,-15.814853,-22.409445,-22.365396,-13.66046,-19.873493,-13.1790695,-22.480297,-20.846748,-11.044926,-8.962178,-11.9387865,-9.492964,1.4753342,11.1294985,9.159195,11.335003,11.485779,14.982498,35.849144,31.582022,17.446136,15.1478405,15.223253,21.768486,14.000201,12.976158,21.050226,15.826214,17.554342,18.857647,16.619087,8.005118,6.207752,6.5027356,10.559726,7.17237,6.6730857,6.7878604,1.2632847,-6.2202573,-3.8158774,-10.12814,-7.6987386,-3.6608398,0.0777483,2.5232673,-0.7794857,4.861903,5.9344053,-0.83835125,7.5614333,14.220047,14.653147,21.98732,19.416094,13.464176,-33.642323,-20.013004,-15.4508705,-9.468722,-8.723068,1.7073512,-7.2269144,-3.7696838,2.8285503,8.542204,7.4872255,12.542415,84.91981,63.77481,55.10359,38.16272,32.140743,24.950146,27.704834,28.273619,15.607476,3.1456232,3.971541,-0.27561188,8.904303,5.2891374,-6.268704,-16.51585,-11.98163,-3.8365066,-12.325263,-17.5049,-4.653162,-3.16723,3.7185073,3.0647397,-8.939248,-5.8778706,2.0234466,14.323068,14.777363,-2.7813137,8.331895,9.786201,1.6367197,10.10195,0.50280094,3.5096407,13.976622,2.8855324,14.515436,8.954966,12.180006,20.019638,22.728157,30.171633],"ENZL^JULIAN(FG_TOTAL_RETURNC(-10AY,0,AM).DATES)":[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,45429,45461,45491,45520,45553,45583],"EWD^FMA_PE(NTMA,-10AY,0,AM,\"PORTAGG\",\"MEANR\")":[13.6107748756822,15.4378312378277,15.4318407978808,15.6294680213848,16.8625098297444,17.361517668949,16.5876658927194,15.8889527976741,15.5451760461233,16.240203497935,15.8068688520489,14.4291124337925,14.7821973688787,15.4538116078985,14.737310945667,13.5975182581164,15.0258406397252,15.3211515521384,15.3064332394062,14.7323729860324,14.257975637838,14.9372513661773,15.414960557198,15.3242835708722,16.2005159157725,16.1445711356947,16.7511997174863,16.0379142186177,16.3751415979077,16.8187429227996,16.7656466765294,17.8326632047283,16.8378806596828,16.5856408612301,15.6324946227962,16.2757063697814,16.9389964114665,16.6859208443406,16.5416283099941,16.6491856749222,16.1561197240843,16.2175354668837,15.9396728025481,16.1602140051721,15.375296416568,15.3498678934393,15.5559387699017,15.5386686229608,14.6137622625719,14.1007755286879,13.6208500372184,14.4322592674037,14.9294651026098,15.0947907516833,15.4924773199812,15.0391529814082,14.9433343654582,14.7979889431357,13.5166288379433,14.6525240182113,15.4719561559481,15.7131233054483,16.3012587610677,16.4941959200806,16.9458968837218,12.0003392796055,16.4731346197284,17.7851539562389,19.0346001950825,19.9273265431598,18.0970901030517,18.5164277513921,17.3785723952257,17.3235655021159,17.2229067845543,18.7186615072194,18.7158466215856,20.1402236012482,20.7635328598566,18.0058438476368,18.4997778297591,18.6009314553249,18.4123459110568,18.3781667812439,18.4171112358238,18.8632141986738,17.726244849666,17.210125518548,15.6185534078492,15.6615554626758,14.995132114341,15.8152350759537,14.2161409157868,14.5702484756827,15.0966327505894,13.6285537776343,13.6464752923302,12.9406906470401,12.7426217439397,13.7344993948559,14.1832524683699,13.093661596146,14.0939580045339,13.4847194537234,13.8328967500453,13.453353142701,12.5413694834346,13.0227620164552,13.0314641801457,13.342565084783,15.5949027209874,15.1846266462664,16.0428926950517,16.5245693990183,16.0375152834711,16.3412248854142,15.873539917414,16.3828867411573,15.8871879251418,15.9489994539996,16.1600153365475],"EWQ^FMA_PE(LTMA,-10AY,0,AM,\"PORTAGG\",\"MEANR\")":[14.4454434475899,15.0779655549387,14.9832242587906,15.3428384201067,16.9574728539795,17.5651821564699,17.5937028814129,17.4380817927164,17.0447882254996,17.4102081314941,16.8673728972873,15.793579836624,15.9960417350144,16.3329222691246,15.4503660874686,14.0278255720747,14.7729149055311,15.1986459838719,15.2496602954464,15.0475038277241,14.7654091224685,14.9811186818851,14.946592944026,14.6746970155932,15.0185101309783,14.7796538302644,15.6390211508184,15.7960468788078,15.5069192023849,15.6202713042743,15.5384534773624,15.7486987488624,15.7158219457954,15.65433289075,15.4877834609101,15.7450222668997,16.1131329923517,15.8531549814856,16.2623610851916,16.5325360105291,15.7154374416483,15.5723302975611,15.5571925638947,15.6387994409497,15.3489511328682,15.3033897442096,14.9546197531653,14.9062015193707,14.2724777252246,13.9356086321765,13.0904000075552,13.422658207518,14.1935261736236,14.6088745046735,14.6761979587099,14.5685429181405,13.6790783379894,14.7954677823109,14.4682298079344,15.0708452224683,15.3222679324511,16.098473011938,16.3586831993033,16.8376366470735,16.6926346144317,13.8644575091967,15.2638188384366,16.2698895679894,18.1146642597397,20.0877548080463,22.0622071938646,23.2336066906692,24.2611290201328,27.4830615309667,28.2625341665183,28.7166772219765,27.6534507582252,26.6883829670175,25.9388652302613,24.8761317083771,24.1657584998403,22.8820188778292,21.5953824948097,20.2623280223308,19.1068493825002,18.5061981861439,17.1034613614228,16.9153367084805,16.1044735873437,15.3677801328171,15.0424024232047,14.4202193053321,13.6911430011001,13.3578762940399,13.1483237782901,12.238306012682,11.6782001663133,12.1830538030294,11.6279759844307,12.7859662516206,13.0524991407831,12.8072454573866,13.1869074288017,13.1668502913088,13.2783376436556,13.32394701998,13.0932749269882,13.209927448498,12.729502446821,13.2454466366363,14.0256011630278,13.95637283781,15.159986555959,15.5176814609544,15.401017459147,15.4941032562177,15.0143511027429,14.9457864369229,14.8766419860396,14.8126838467204,14.9867012186992],"DDR3512M-FDS^FG_PRICE_CHANGE(0,-1AM)":-2.8394438190832,"PASP-FDS^FG_PRICE_CHANGE(0,-1AM)":-4.81818181818182,"PLATI-FDS^FG_PRICE_CHANGE(0,-1AM)":2.44897959183674,"W-FDS^FG_PRICE_CHANGE(0,-1AM)":-0.521059487624842,"COPP-FDS^FG_PRICE_CHANGE(0,-1AM)":2.54837187352523,"EWI^FG_PRICE_MAVG(0,,,,60)":37.741,"SPY^FG_PRICE_MAVG(0,,,,60)":558.17316,"EWJ^FG_PRICE_MAVG(0,,,,60)":69.7155,"URTH^FG_TOTAL_RETURNC(0,-3AM)":5.4313064,"EWU^FG_TOTAL_RETURNC(0,-6AM)":13.215649,"TRYBR10Y-FDS^FG_YIELD(-10AY,0,Y,,\"YTM\")":[12.319731,15.989595,11.062725,9.887577,8.936093,6.883678,6.961219,10.970291,12.900059,10.455909],"PLATI-FDS^FG_PRICE_MAVG(0,,,,30)":984.4667,"W-FDS^FG_PRICE_MAVG(0,,,,30)":5.8275833,"COPP-FDS^FG_PRICE_MAVG(0,,,,30)":4.3473,"CAGDPY@NL^EE_ACTUAL_ANNUAL(MED,0)":9.85408501996988,"CAGDPY@CA^EE_ACTUAL_ANNUAL(MED,0)":-0.725414399026327,"USDITL^FG_PRICE_CHANGE(0,-6AM)":-1.8604636,"USDANG^FG_PRICE_CHANGE(0,-6AM)":0.0,"USDGBP^FG_PRICE_CHANGE(0,-6AM)":-4.533428,"USDJPY^FG_PRICE_CHANGE(0,-6AM)":-3.2465696,"USDCAD^FG_PRICE_CHANGE(0,-6AM)":0.35984516,"USDNZD^FG_PRICE_CHANGE(0,-6AM)":-2.578044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6895579824313,1.95234296531067,2.65881300816857,2.74371402167799,2.67770897270638],"ENZL^P_PRICE_RETURNS_PR('52W',2,-10AY,0,AM)":[0.8392453,7.926953,13.260269,7.896459,7.6161146,-0.38468838,2.8755665,-4.0285053,-10.477882,-12.934321,-12.17565,-12.4033985,-2.4872541,-11.666166,-5.430871,-11.685556,-7.294214,1.738596,6.8019032,9.584212,20.758915,34.17213,45.346405,46.31208,25.996983,24.122059,13.190007,27.926624,25.510765,11.342251,5.8417916,8.473337,12.827587,11.50198,6.079054,6.30455,15.944874,14.290535,24.486637,19.125319,15.894151,23.003054,20.048439,16.04755,12.780523,6.4453125,5.3826213,8.870935,-0.21230578,10.682285,1.893723,3.3406377,7.3292017,6.7233443,8.826447,12.359774,5.5152416,19.419098,14.179587,9.909069,21.161116,14.312053,24.866724,25.592005,19.017113,-16.82477,-2.377832,2.147007,10.935152,8.708692,18.05122,16.261625,18.294704,25.167679,19.526302,17.366196,15.592718,59.569298,36.742176,25.73756,12.058485,9.674692,2.309072,8.387637,3.9820433,-3.7010252,-13.658762,-12.335051,-15.3697195,-9.137684,-16.581238,-24.174864,-26.982515,-24.424744,-15.736037,-25.360292,-32.799,-21.633179,-14.105469,-8.438147,-4.373699,-11.11235,-4.2508545,10.555637,13.760889,12.149799,-6.284511,-1.753962,6.724012,-2.1520674,-0.99828243,-6.5208673,-7.915759,-5.045724,-8.26962,-6.632656,-3.1367898,-4.3855963,7.4403763,13.655663,17.636526],"EWI^FMA_DIV_YLD(NTMA,-10AY,0,AM,\"PORTAGG\",\"MEANR\")":[4.08857713429136,3.95670030768122,4.04591559274003,4.04382352170221,3.51855245144576,3.20481426593504,3.16458340530868,3.2073565135227,3.3747119323474,3.1554905469398,3.14940029098058,3.46852254345392,3.55207073737418,3.64272232206201,3.84886814215635,4.30985214745065,4.65445340435889,4.25994178135223,4.37673608520483,4.54468893858671,4.8366151161657,4.76228333906135,4.77295699418237,5.01482055046861,4.84665594127021,4.89782628578067,4.33500027503235,4.33217484498994,4.43891666415069,3.9863165802137,4.12601387645854,3.80973121205636,3.7853080044945,3.76468447782024,3.76372439793915,3.70665795433972,3.83142448340642,3.92266861476023,3.87702585838985,3.73747517532804,3.92503073918298,4.01384244607288,3.91327911618714,4.02712981032919,4.39188166948059,4.46401139120189,4.70533723590552,4.57409903242044,5.09041400903525,5.17219035349407,5.31942751395732,5.07212143979012,4.919361234089,4.70143356398454,4.60895623624655,4.82135189210368,4.84599681767759,4.66535107729266,5.10238955572681,4.76487166176215,4.70944685406451,4.53299130976608,4.46580460180627,4.40434774007868,4.39223103378862,7.01484104424483,5.83046663565817,4.95432522947276,4.29071472835945,4.19572870807577,3.97184911104098,4.09721807676856,4.13893151430475,3.94143905936604,3.95761846991395,3.9855176020305,4.04064660011001,4.01346324371236,4.06134480810066,4.16168156298897,4.11617877378006,4.24017078880966,4.30606917476732,4.54412784350503,4.43282955151366,4.32627135466019,4.69808614891234,4.63532669077181,4.87964102174215,5.2268303707849,5.0396047168005,5.18540972927764,5.82827541128323,6.01984708693832,5.54068392338247,5.64220026183468,5.9927189379172,5.43747334441652,5.93650648808106,5.42659505146563,5.39837307237516,5.76067849918915,5.29564947602393,5.58341402501358,5.31867044434659,5.24498636956616,5.66894183522519,5.42576097598712,5.60096260692307,5.48845698401944,5.49708591385233,5.42903126898852,5.44316417210731,5.16784054869348,5.26945550028821,5.09784050531865,5.45029776776204,5.27322106486263,5.47539170856396,5.39221575166983,5.08793066924611],"EWN^FMA_PE(NTMA,-10AY,0,AM,\"PORTAGG\",\"MEANR\")":[13.5006858606735,14.9030491055146,14.683577048972,15.0926858747339,16.2342555722826,17.5219300119249,17.1777104831432,16.8821202677832,16.1688485196385,17.0950567755387,16.0785690798329,14.5339075503058,15.1715846055331,16.2399283242846,15.392730635689,14.1271977719314,14.3664811030354,15.3854813962068,15.3722621281522,14.7553358232917,13.9513203304134,14.5424199433114,14.8481458969402,14.4750377367676,14.8255191725871,14.5486188107582,14.946536712276,14.9759024964651,15.6782842710407,16.0975580919081,15.9751344097462,16.2245195766043,16.0596069330318,15.8850028793428,15.7735999655174,15.93940672107,16.2835671887699,15.9378221525605,16.2159428409939,16.3954278019766,15.5175437484168,15.691995133409,15.7270590226948,15.8355442174791,15.8622472241377,15.9415113954696,15.3546322799965,14.9456159280396,14.166412309166,14.1917440632078,13.3865622334263,13.6370287671703,14.8547936676726,15.2838637875516,15.7626743854562,15.3786629098857,15.3988379851846,15.7068225553813,15.0658976462051,16.2763294823196,16.1260344326453,16.7432385521015,17.0438436650986,17.361706253399,18.0335281735372,11.8970902132664,16.3937242705573,17.6065996937205,19.5781378740957,20.1912885634275,19.89999405733,19.4091159686511,19.9240630826034,20.605510596802,20.6496805185682,21.2620503251552,22.2857601894375,21.8722802828734,22.8318427884251,21.1907552037528,21.1612010807824,21.0801283769239,21.6417748098538,21.5889950443131,20.790116625714,21.6615817873472,19.7594201591511,19.4865764068741,18.042736246988,18.1348975286223,17.6668427365227,16.6692931391149,15.4267058467541,16.4101596889021,17.6811032171834,15.4635639000286,14.4445692529674,16.4331000055177,15.7371947614159,17.0279588798126,17.0390918366177,15.7458410391421,16.3422238846554,15.8726399774513,15.8420191653538,16.0967645361464,14.6772240303892,13.8706107530294,13.3187963763136,14.6723318452394,15.1433790468815,14.821213240918,16.3751148072778,15.955443347711,15.6088142779454,16.367096928352,16.6024624325437,15.9720924847561,15.1440599613331,14.718019825111,14.7712298428494],"SPY^FMA_PE(LTMA,-10AY,0,AM,\"PORTAGG\",\"MEANR\")":[15.8473913586229,16.9839570321396,17.2765939902662,16.9591436776908,17.5575503992601,17.5683662017921,17.5202825073247,17.5924823243729,17.559150815921,17.6302497900012,17.4986249700203,16.7007234873084,17.1847933276884,17.4520700352513,16.8174984182461,15.7767110477485,16.2966838906097,16.18819342752,16.4452153070474,16.565182572191,16.7256261745427,17.2894754103028,17.5723674264573,17.4840399970967,17.6355201346223,18.0617103989256,18.8285687523753,18.9709463813224,19.4499488578833,19.4355308648251,19.2032882911726,19.0843829449953,19.1742879317122,19.1976785228623,18.8952078804336,19.243103066265,19.5748568147634,19.5710537212846,20.3668225624892,21.0171057257661,20.0308807036986,19.7085349609422,19.3628745059458,19.0089893537816,18.8869877058729,18.7474380549928,18.5936275063908,18.5906262493504,17.7663211759576,17.2553677944083,15.8526766815773,16.5224888589966,17.0772159171718,17.1452726974594,17.2409943389753,17.1403868413901,17.3272861242078,17.6734438118933,17.3653734233629,17.9191072426374,18.0382962312643,18.8635412995551,19.5071164455252,20.4344992799994,20.4516342480632,17.2614710354629,18.799060674036,19.9359887115118,21.0158792850789,22.0250041570218,22.9178723269846,23.0510287002918,24.3645954499391,24.776521367301,26.2505407827323,27.1287536183282,27.1849261113397,26.0994050864702,25.9954651244375,25.148344538101,24.6836793275577,24.5509956554195,23.8162220206947,23.491480692137,23.1978579561332,23.4089332559287,22.6499193502638,22.1718898806095,20.6739850103871,20.6906518605917,20.4350244403419,19.5124767038431,18.6617657739647,18.6439566708645,19.674419343805,18.2616895192345,17.5875472677184,18.2999252024137,17.5851734932016,17.8283203883398,18.5242311270087,17.9933580282209,18.3188032293423,18.4346585026908,18.9213240518089,19.5975359477827,19.1139142203233,19.5461280029182,19.2923098739318,20.1668935716268,21.4524095684819,21.8400218804837,22.454997163971,22.7192386942893,22.3947427507409,22.6102254501511,22.809049046764,22.9482897979456,23.0002758078716,23.1829048012913,24.1414723340094],"DDR3512M-FDS^FG_PRICE_MAVG(0,,,,30)":0.8775117,"PASP-FDS^FG_PRICE_MAVG(0,,,,30)":1042.1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EWQ^FG_ROE(0)":12.056276614805,"TRYNL10Y-FDS^PCTCHG(FG_YIELD(0,,,,\"YTM\"),FG_YIELD(-1AM,,,,\"YTM\"))":-1.1272093,"TRYCA10Y-FDS^PCTCHG(FG_YIELD(0,,,,\"YTM\"),FG_YIELD(-1AM,,,,\"YTM\"))":8.28661,"TRYNZ10Y-FDS^FG_YIELD_NAME":"New Zealand Benchmark Bond - 10 Year","EWI^FMA_PE(NTMA,0,,,\"PORTAGG\",\"MEANR\")":10.5741868540631,"EWN^JULIAN(FMA_DIV_YLD(NTMA,NOW,NOW,M,\"PORTAGG\",\"MEANR\").DATES)":45565,"QQQ^FMA_EVAL_EBITDA(NTMA,0,,,\"PORTAGG\",\"MEANR\")":16.6670075865554,"EWG^FMA_PE(LTM,0,,,\"PORTAGG\",\"MEANR\")":15.4043631702557,"QQQ^P_PRICE(0)/P_PRICE_HIGH_PR(0,,,USD,,,\"PRICE\",\"INTRA\",\"52W\")":0.9820266,"EWN^FMA_RBICS_REV_CURRENT(30, LOC, \"PORTAGG\")":26.6800733680609,"CC_SE^IMF_IFS_RCPI_Q(0)":null,"VWO^FG_PE_NTM(0,,,90,0)":12.8414875718824,"EWI^JULIAN(FMA_DIV_YLD(NTMA,NOW,NOW,M,\"PORTAGG\",\"MEANR\").DATES)":45565,"EWL^FMA_PE(LTM,0,,,\"PORTAGG\",\"MEANR\")":20.7895497472477,"REFCATARG-FDS^FG_YIELD(NOW,,,0)":4.25,"EWQ^FG_PRICE(0)":39.25,"URTH^FG_TOTAL_RETURNC(0,-1AM)":3.5226464,"EWL^FG_TOTAL_RETURNC(0,-1AM)":0.6841302,"REFAUCASH-FDS^(SUBARRAY(NOT_NA(NO_REPEAT_F(FG_YIELD(NOW,-10AY,D))),0,1)-SUBARRAY(NOT_NA(NO_REPEAT_F(FG_YIELD(NOW,-10AY,D))),1,1))*100":25.0,"TRYFR10Y-FDS^FG_YIELD_NAME":"France Benchmark Bond - 10 Year","VGK^FMA_DIV_YLD(NTMA,NOW,NOW,M,\"PORTAGG\",\"MEANR\")":3.45848200051206,"SPY^FMA_PE(LTM,0,,,\"PORTAGG\",\"MEANR\")":27.3830814376741,"EWC^FMA_PE(LTM,0,,,\"PORTAGG\",\"MEANR\")":19.0989910593884,"SPY^JULIAN(FMA_DIV_YLD(NTMA,NOW,NOW,M,\"PORTAGG\",\"MEANR\").DATES)":45565,"EWJ^FMA_PE(NTMA,-10AY,0,AM,\"PORTAGG\",\"MEANR\")":[12.415970232638,14.534203679458,14.0048116716979,13.7228271357823,14.7298146451068,15.6356368792858,15.6274564646433,16.0534259287465,15.4071663000587,15.6311543919345,15.4942678622726,13.4773772927952,13.9017858807677,14.6534958032028,13.9932071677903,12.7150164356575,12.198210280114,12.7838977739362,12.6247797216697,13.1511075772018,12.5994391161941,13.5069637056813,13.1311557725659,13.2545299732359,13.5178351099685,14.1084546273783,15.0974042728696,14.4778085306256,14.3461138025709,14.2762787931405,13.337454298054,14.1286566817634,14.3406458346215,14.2350139342393,13.6964738944036,13.7327866859996,14.3276021594744,14.5129847382699,14.7074384220746,15.1755292760283,13.6765004916888,12.9926588377316,13.0219445908398,13.4718910986803,13.0825361938963,12.9326249071949,12.4859410522818,12.8647940652856,12.4187274315551,11.9547377548086,11.5811881456893,11.7525552123163,12.1300495250649,12.6317480098837,12.7032387453532,12.3512842800335,12.4890227806792,12.6005718974146,12.2720165751769,13.4081520667792,13.5034077543929,14.1396348548095,14.6746637385104,14.6604378281227,14.1115206534061,10.9796344841185,13.4643165378639,14.4570817802232,17.8337737424629,17.9124245295479,17.8742773195042,18.4542859655764,17.778873010695,18.3886438468394,18.4267800003989,18.7269321429095,18.7296284136474,18.1634292704706,17.3945115882732,16.3887857649676,16.3647654492474,15.9731749397972,15.3132393368801,16.115115336677,15.3664159421592,15.2551216282868,14.5190071370556,14.3414909378008,13.551260067651,13.0381578954523,12.8112947424113,12.7143199632515,12.152898924852,12.4549218496093,13.0377550604448,12.630676616562999,12.3094751345297,12.8079437883057,12.6369625367062,12.6123860834976,13.0594441260428,12.8366555533089,13.4384574601731,14.2092402509124,15.0238881644243,14.5294470844241,14.0398386979962,15.0905632465117,14.1563155145715,14.533418686755,13.8213335175067,14.7829753684807,15.3623208231659,15.6335267389273,15.1716861558742,15.4831113650867,15.0937522219138,15.7739170807275,14.5041686711887,13.6745075328885,14.3724839955223],"VGK^FG_TOTAL_RETURNC(0,-12AM)":25.830948,"QQQ^FMA_PE(NTMA,0,,,\"PORTAGG\",\"MEANR\")":26.4329532900295,"EWA^FMA_PE(LTM,0,,,\"PORTAGG\",\"MEANR\")":19.4033061912693,"TRYCA10Y-FDS^FG_YIELD(0,,,,\"YTM\")":3.1284,"EWD^FMA_EVAL_EBIT(LTMA,NOW,NOW,M,\"PORTAGG\",\"MEANR\")":16.3856796070416,"ENZL^FMA_PE(LTM,0,,,\"PORTAGG\",\"MEANR\")":49.052673976871,"EWL^FMA_EVAL_EBITDA(NTMA,0,,,\"PORTAGG\",\"MEANR\")":13.2766517377494,"UUP^FG_TOTAL_RETURNC(0,-3AM)":1.009047,"EWI^FG_ROE(0)":13.3094617631728,"EWG^FMA_EVAL_EBIT(LTMA,NOW,NOW,M,\"PORTAGG\",\"MEANR\")":14.6996131061121,"EWG^FG_FCF_YIELD_NTM(0)":5.61117501275937,"VWO^P_PRICE(0)/P_PRICE_HIGH_PR(0,,,,,,\"PRICE\",\"INTRA\",\"52W\")":0.96489817,"EWL^FMA_PCT_ABOVE_MAVG(200,0,,,,\"PORTAGG\")":60.8695652173913,"EWU^FMA_COS_DOWN(\"EPS\",\"1M\",+1,0,,,\"PORTAGG\",\"MEANR\")":35.0,"TRYAU10Y-FDS^FG_YIELD_NAME":"Australia Benchmark Bond - 10 Year","REFAUCASH-FDS^FG_YIELD(NOW,,,0)":4.35,"VGK^FG_PE_NTM(0,,,90,0)":13.4581465373991,"EWC^JULIAN(FMA_DIV_YLD(NTMA,NOW,NOW,M,\"PORTAGG\",\"MEANR\").DATES)":45565,"TLT^FG_TOTAL_RETURNC(0,-6AM)":7.7821136,"EWU^FG_PRICE_MAVG(0,,,,200)":34.9551,"REFNZOCR-FDS^(SUBARRAY(NOT_NA(NO_REPEAT_F(FG_YIELD(NOW,-10AY,D))),0,1)-SUBARRAY(NOT_NA(NO_REPEAT_F(FG_YIELD(NOW,-10AY,D))),1,1))*100":-50.0,"QQQ^JULIAN(FMA_DIV_YLD(NTMA,NOW,NOW,M,\"PORTAGG\",\"MEANR\").DATES)":45565,"EWA^FG_FCF_YIELD_NTM(0)":4.59917950657433,"USO^P_PRICE(0)/P_PRICE_HIGH_PR(0,,,USD,,,\"PRICE\",\"INTRA\",\"52W\")":0.8557726,"EWC^FMA_PE(LTMA,-10AY,0,AM,\"PORTAGG\",\"MEANR\")":[15.3434476033209,15.9113920305673,15.3612247784413,15.2893769634409,16.7892022417055,17.0476362608566,17.2681170025104,17.2406990362182,17.1390756015911,17.08570769628,16.8923966688621,16.6173622574832,16.9531012943588,16.6879593417685,16.2044338192525,14.614080256697,15.6388653543668,16.0012491738604,16.2006798763332,16.5337793838338,16.6565012785106,17.184045732163,17.4855816249878,17.5038836609723,18.07747098397,18.5159929741304,19.1963482221362,19.7909489421815,19.8608379956003,19.2297529044701,18.9303958355358,18.4865622642239,18.1752045616531,18.0320609114729,17.6269060632948,17.417461824874,17.4859201343507,17.3186437375246,17.2354339845038,17.224491051902,15.9096190829983,15.8167066919703,15.6317740158481,15.6373216145773,15.6201138107115,15.5279466095925,15.3785952002805,15.1360683952759,14.4738224061903,14.107601794778,13.3010409253466,14.1209983742583,14.6942866053121,14.756350245786,14.6669825600435,14.5237470741693,14.5346775643385,14.4856636902345,14.3046126127651,14.7173057990537,14.5952212510109,15.1727611267525,15.289692849868,15.7145017995756,15.7484287091253,13.7385404752508,15.0541028798413,16.47177418196,17.3144003232777,17.8848736142777,18.3926876290723,18.2750491733597,18.8857377921362,19.5194823575879,20.3645854239007,21.1547936716373,20.6579353111022,19.8532090274087,19.5375321164349,19.0152861304052,18.638245821316,18.0690309041648,17.4210838984969,16.8508378395795,16.7959425713152,16.4669944649378,15.417609426484,15.5401243889045,15.2260121483448,15.1724311379423,14.9440897192609,14.3044716543389,13.6315937514493,13.110274949125,13.3620358347036,12.7375642422106,12.2458907211983,12.636203289392,12.218628332553,12.6783416479849,12.7698943660424,12.5188481513881,12.8296468092011,12.8638568383588,12.9642202121665,13.393921065334,13.2897714923713,13.7659453944545,13.3028547282051,13.7540549223529,14.3091981276807,14.4825940328724,14.784472863401,14.9521975475389,14.8873774720166,15.0425167281961,14.750747536877,15.143774243807,15.2168654712956,15.652137028362,16.3886430285831],"EWC^FMA_COS_UP(\"EPS\",\"1M\",+1,0,,,\"PORTAGG\",\"MEANR\")":23.0,"EWA^FMA_DIV_YLD(NTMA,NOW,NOW,M,\"PORTAGG\",\"MEANR\")":3.56154784632894,"USO^FG_TOTAL_RETURNC(0,-3AM)":-10.663337,"SPY^FG_PRICE_MAVG(0,,,,30)":569.708,"REFAUCASH-FDS^PROPER_NAME(0,,,\"SECURITY\",\"NAME\")":"Australia Target Cash Rate","TRYGB10Y-FDS^FG_YIELD(0,,,,\"YTM\")":4.07,"VGK^FG_PE(0)":15.5162731436269,"QQQ^FMA_EVAL_EBIT(LTMA,NOW,NOW,M,\"PORTAGG\",\"MEANR\")":25.1754010451192,"EWA^FMA_EVAL_EBIT(LTMA,NOW,NOW,M,\"PORTAGG\",\"MEANR\")":13.4359801799229,"TLT^FG_TOTAL_RETURNC(0,-3AM)":1.4061809,"TRYCH10Y-FDS^FG_YIELD(0,,,,\"YTM\")":0.429,"VGK^JULIAN(FMA_DIV_YLD(NTMA,NOW,NOW,M,\"PORTAGG\",\"MEANR\").DATES)":45534,"EWA^FMA_EVAL_EBITDA(NTMA,0,,,\"PORTAGG\",\"MEANR\")":9.20327360435665,"TLT^FG_TOTAL_RETURNC(0,-1AM)":-5.4413614,"REFNZOCR-FDS^PROPER_NAME(0,,,\"SECURITY\",\"NAME\")":"New Zealand Official Cash Rate","USO^FG_TOTAL_RETURNC(0,-6AM)":-9.393251,"EWI^FG_FCF_YIELD_NTM(0)":5.00831556079752,"EWA^FMA_PE(NTMA,0,,,\"PORTAGG\",\"MEANR\")":18.4106160368686,"EWA^JULIAN(FMA_DIV_YLD(NTMA,NOW,NOW,M,\"PORTAGG\",\"MEANR\").DATES)":45565,"TRYNZ10Y-FDS^FG_YIELD(0,,,,\"YTM\")":4.4338,"CC_NL^IMF_IFS_RCPI_Q(0)":3.5812383,"EWG^FG_TOTAL_RETURNC(0,-12AM)":34.215332,"EWU^FMA_EVAL_EBITDA(NTMA,0,,,\"PORTAGG\",\"MEANR\")":7.6799907478043,"USO^FG_TOTAL_RETURNC(0,-1AM)":1.0189533,"EWU^FG_PRICE_MAVG(0,,,,60)":36.644165,"EWG^FMA_COS_UP(\"EPS\",\"1M\",+1,0,,,\"PORTAGG\",\"MEANR\")":20.0,"REFNZOCR-FDS^FG_YIELD(NOW,,,0)":4.75,"EWI^FMA_EVAL_EBIT(LTMA,NOW,NOW,M,\"PORTAGG\",\"MEANR\")":12.027190968177,"TRYJP10Y-FDS^FG_YIELD(0,,,,\"YTM\")":0.9687,"EWG^FG_TOTAL_RETURNC(0,-6AM)":13.791132,"EWI^FMA_EVAL_EBITDA(NTMA,0,,,\"PORTAGG\",\"MEANR\")":7.98880739158904,"EWI^FMA_DIV_YLD(NTMA,NOW,NOW,M,\"PORTAGG\",\"MEANR\")":5.32625820394549,"ENZL^FMA_DIV_YLD(NTMA,NOW,NOW,M,\"PORTAGG\",\"MEANR\")":3.10558619759125,"EWN^FMA_EVAL_EBIT(LTMA,NOW,NOW,M,\"PORTAGG\",\"MEANR\")":20.9855521936583,"UUP^FG_TOTAL_RETURNC(0,-1AM)":2.9067755,"EWG^FMA_EVAL_EBITDA(NTMA,0,,,\"PORTAGG\",\"MEANR\")":8.99062193433603,"EWL^FG_PRICE(0)":51.51,"EWU^FMA_EVAL_EBIT(LTMA,NOW,NOW,M,\"PORTAGG\",\"MEANR\")":10.9552698590792,"TRYIT10Y-FDS^PCTCHG(FG_YIELD(0,,,,\"YTM\"),FG_YIELD(-1AM,,,,\"YTM\"))":-5.771928,"DBA^P_PRICE(0)/P_PRICE_HIGH_PR(0,,,USD,,,\"PRICE\",\"INTRA\",\"52W\")":0.93726933,"EWD^FG_FCF_YIELD_NTM(0)":4.98095739149407,"EWU^JULIAN(FMA_DIV_YLD(NTMA,NOW,NOW,M,\"PORTAGG\",\"MEANR\").DATES)":45565,"TRYGB10Y-FDS^PCTCHG(FG_YIELD(0,,,,\"YTM\"),FG_YIELD(-1AM,,,,\"YTM\"))":5.7417564,"TRYCH10Y-FDS^PCTCHG(FG_YIELD(0,,,,\"YTM\"),FG_YIELD(-3AM,,,,\"YTM\"))":-23.801071,"QQQ^FMA_RBICS_REV_CURRENT(30, LOC, \"PORTAGG\")":0.944515959592102,"EWJ^FMA_DIV_YLD(NTMA,NOW,NOW,M,\"PORTAGG\",\"MEANR\")":2.46287008489174,"EWJ^JULIAN(FMA_DIV_YLD(NTMA,NOW,NOW,M,\"PORTAGG\",\"MEANR\").DATES)":45565,"VWO^SIZE(FG_CONSTITUENTS)":4849,"EWI^FG_TOTAL_RETURNC(0,-12AM)":35.331844,"EWU^FG_FCF_YIELD_NTM(0)":6.14511069536552,"EWU^FMA_DIV_YLD(NTMA,NOW,NOW,M,\"PORTAGG\",\"MEANR\")":3.87280755498331,"CC_US^IMF_IFS_RCPI_Q(0)":null,"EWL^JULIAN(FMA_DIV_YLD(NTMA,NOW,NOW,M,\"PORTAGG\",\"MEANR\").DATES)":45565,"REFGBBANK-FDS^FG_YIELD(NOW,,,0)":5.0,"CC_AU^IMF_IFS_RCPI_Q(0)":null,"SPY^FMA_EVAL_EBIT(LTMA,NOW,NOW,M,\"PORTAGG\",\"MEANR\")":21.5241698163648,"EWJ^FG_PRICE_MAVG(0,,,,30)":70.71233,"EWI^P_PRICE(0)/P_PRICE_LOW_PR(0,,,,,,\"PRICE\",\"INTRA\",\"52W\")-1":0.3506807,"EWG^PERCENT_CHANGE(FMA_EPS(+1,0,,,,\"PORTAGG\",\"MEAN\"),FMA_EPS(+1,-3AM,,,,\"PORTAGG\",\"MEAN\"))":-5.4809720028323,"EWA^SIZE(FG_CONSTITUENTS)":58,"TRYDE10Y-FDS^FG_YIELD(0,,,,\"YTM\")":2.187,"EWU^FMA_PE(LTM,0,,,\"PORTAGG\",\"MEANR\")":13.694229254774,"CC_CH^IMF_IFS_RCPI_Q(0)":1.064543,"GLD^FG_TOTAL_RETURNC(0,-6AM)":14.037407,"EWQ^FG_FCF_YIELD_NTM(0)":5.77451152928148,"SPY^P_PRICE(0)/P_PRICE_HIGH_PR(0,,,USD,,,\"PRICE\",\"INTRA\",\"52W\")":0.9973897,"TRYFR10Y-FDS^FG_YIELD(0,,,,\"YTM\")":2.915,"NI-FDS^FG_PRICE_CHANGE(0,-3AM)":3.54828756556618,"EWC^FG_PRICE_MAVG(0,,,,200)":38.1465,"EWI^FG_TOTAL_RETURNC(0,-3AM)":4.007423,"EWA^FMA_COS_UP(\"EPS\",\"1M\",+1,0,,,\"PORTAGG\",\"MEANR\")":21.0,"TRYSE10Y-FDS^PCTCHG(FG_YIELD(0,,,,\"YTM\"),FG_YIELD(-3AM,,,,\"YTM\"))":0.53895915,"EWU^FMA_PE(NTMA,0,,,\"PORTAGG\",\"MEANR\")":11.737284527165,"EWC^FG_PRICE_MAVG(0,,,,60)":40.0465,"EWI^PERCENT_CHANGE(FMA_EPS(+1,0,,,,\"PORTAGG\",\"MEAN\"),FMA_EPS(+1,-1AM,,,,\"PORTAGG\",\"MEAN\"))":-6.96463600684276,"EWC^FG_TOTAL_RETURNC(0,-12AM)":30.352354,"TRYSE10Y-FDS^PCTCHG(FG_YIELD(0,,,,\"YTM\"),FG_YIELD(-1AM,,,,\"YTM\"))":3.8461585,"EWN^FG_TOTAL_RETURNC(0,-1AM)":-0.95879436,"TRYIT10Y-FDS^FG_YIELD(0,,,,\"YTM\")":3.363,"EWC^FMA_DIV_YLD(NTMA,NOW,NOW,M,\"PORTAGG\",\"MEANR\")":3.05959736796896,"VGK^FG_FCF_YIELD_NTM(0)":5.26489378505668,"CPALM-FDS^FG_PRICE_CHANGE(0,-3AM)":8.35633626097867,"EWA^FG_PRICE(0)":26.56,"EWC^PERCENT_CHANGE(FMA_EPS(+1,0,,,,\"PORTAGG\",\"MEAN\"),FMA_EPS(+1,-3AM,,,,\"PORTAGG\",\"MEAN\"))":-0.729177604361315,"TRYNL10Y-FDS^PCTCHG(FG_YIELD(0,,,,\"YTM\"),FG_YIELD(-3AM,,,,\"YTM\"))":-8.494781,"REFSEREPO-FDS^PROPER_NAME(0,,,\"SECURITY\",\"NAME\")":"Sweden Repo Rate","TRYJP10Y-FDS^PCTCHG(FG_YIELD(0,,,,\"YTM\"),FG_YIELD(-1AM,,,,\"YTM\"))":18.249514,"EWN^FMA_DIV_YLD(NTMA,NOW,NOW,M,\"PORTAGG\",\"MEANR\")":2.62186349245346,"EWD^P_PRICE(0)/P_PRICE_LOW_PR(0,,,,,,\"PRICE\",\"INTRA\",\"52W\")-1":0.34267557,"EWC^PERCENT_CHANGE(FMA_EPS(+1,0,,,,\"PORTAGG\",\"MEAN\"),FMA_EPS(+1,-1AM,,,,\"PORTAGG\",\"MEAN\"))":-1.77268538842481,"EWD^FMA_DIV_YLD(NTMA,NOW,NOW,M,\"PORTAGG\",\"MEANR\")":3.12328948102814,"DBA^FG_TOTAL_RETURNC(0,-6AM)":-2.0439684,"EWN^FMA_EVAL_EBITDA(NTMA,0,,,\"PORTAGG\",\"MEANR\")":11.7921544662668,"GLD^P_PRICE(0)/P_PRICE_HIGH_PR(0,,,USD,,,\"PRICE\",\"INTRA\",\"52W\")":0.9996022,"BRENT-FDS^FG_PRICE_CHANGE(0,-3AM)":0.0,"ENZL^FG_PRICE_MAVG(0,,,,30)":49.1905,"EWD^PERCENT_CHANGE(FMA_EPS(+1,0,,,,\"PORTAGG\",\"MEAN\"),FMA_EPS(+1,-1AM,,,,\"PORTAGG\",\"MEAN\"))":-2.55267932360694,"EWA^P_PRICE(0)/P_PRICE_LOW_PR(0,,,,,,\"PRICE\",\"INTRA\",\"52W\")-1":0.2981428,"TRYAU10Y-FDS^FG_YIELD(0,,,,\"YTM\")":4.307,"EWD^FMA_PE(NTMA,0,,,\"PORTAGG\",\"MEANR\")":16.1600153365475,"ENZL^JULIAN(FMA_DIV_YLD(NTMA,NOW,NOW,M,\"PORTAGG\",\"MEANR\").DATES)":45565,"DBA^FG_TOTAL_RETURNC(0,-3AM)":6.0542703,"TRYGB10Y-FDS^PCTCHG(FG_YIELD(0,,,,\"YTM\"),FG_YIELD(-3AM,,,,\"YTM\"))":0.79247314,"EWD^FMA_PE(LTM,0,,,\"PORTAGG\",\"MEANR\")":14.3098089556782,"EWL^FMA_EVAL_EBIT(LTMA,NOW,NOW,M,\"PORTAGG\",\"MEANR\")":16.9419199105708,"DBA^FG_TOTAL_RETURNC(0,-1AM)":-0.9360373,"EWD^JULIAN(FMA_DIV_YLD(NTMA,NOW,NOW,M,\"PORTAGG\",\"MEANR\").DATES)":45565,"EWL^FG_FCF_YIELD_NTM(0)":4.67167935894942,"EWN^FG_FCF_YIELD_NTM(0)":4.11255142502846,"EWD^FMA_PCT_ABOVE_MAVG(200,0,,,,\"PORTAGG\")":66.6666666666667,"EWA^FG_TOTAL_RETURNC(0,-3AM)":5.7745814,"REFSEREPO-FDS^(SUBARRAY(NOT_NA(NO_REPEAT_F(FG_YIELD(NOW,-10AY,D))),0,1)-SUBARRAY(NOT_NA(NO_REPEAT_F(FG_YIELD(NOW,-10AY,D))),1,1))*100":-25.0,"REFSEREPO-FDS^FG_YIELD(NOW,,,0)":3.25,"ENZL^FG_TOTAL_RETURNC(0,-1AM)":0.060999393,"TRYDE10Y-FDS^PCTCHG(FG_YIELD(0,,,,\"YTM\"),FG_YIELD(-3AM,,,,\"YTM\"))":-9.29075,"TIOS-FDS^FG_PRICE_CHANGE(0,-3AM)":-3.09942058309575,"EWN^P_PRICE(0)/P_PRICE_HIGH_PR(0,,,,,,\"PRICE\",\"INTRA\",\"52W\")":0.91551954,"UUP^FG_TOTAL_RETURNC(0,-6AM)":0.44983625,"EWJ^FMA_RBICS_REV_CURRENT(30, LOC, \"PORTAGG\")":18.3724552738071,"EWA^PERCENT_CHANGE(FMA_EPS(+1,0,,,,\"PORTAGG\",\"MEAN\"),FMA_EPS(+1,-1AM,,,,\"PORTAGG\",\"MEAN\"))":-0.0882223806082973,"ENZL^FG_TOTAL_RETURNC(0,-3AM)":5.987501,"TRYCH10Y-FDS^PCTCHG(FG_YIELD(0,,,,\"YTM\"),FG_YIELD(-1AM,,,,\"YTM\"))":-4.878052,"EWJ^FMA_EVAL_EBITDA(NTMA,0,,,\"PORTAGG\",\"MEANR\")":10.1639127100557,"EWQ^FMA_PE(NTMA,0,,,\"PORTAGG\",\"MEANR\")":13.8092374281818,"EWQ^FMA_PE(LTM,0,,,\"PORTAGG\",\"MEANR\")":16.1239695088254,"EWC^FMA_EVAL_EBITDA(NTMA,0,,,\"PORTAGG\",\"MEANR\")":10.2388224133071,"QQQ^FMA_COS_DOWN(\"EPS\",\"1M\",+1,0,,,\"PORTAGG\",\"MEANR\")":35.0,"EWN^FMA_PCT_ABOVE_MAVG(200,0,,,,\"PORTAGG\")":50.0,"EWQ^FG_TOTAL_RETURNC(0,-1AM)":0.12755394,"ENZL^FMA_PCT_ABOVE_MAVG(200,0,,,,\"PORTAGG\")":50.0,"EWU^FMA_RBICS_REV_CURRENT(30, LOC, \"PORTAGG\")":19.9116441469539,"CC_GB^IMF_IFS_RCPI_Q(0)":null,"EWJ^FG_FCF_YIELD_NTM(0)":4.27530227986865,"CC_CA^IMF_IFS_RCPI_Q(0)":null,"SPY^FMA_EVAL_EBITDA(NTMA,0,,,\"PORTAGG\",\"MEANR\")":14.9803844845993,"SPY^FMA_DIV_YLD(NTMA,NOW,NOW,M,\"PORTAGG\",\"MEANR\")":1.34601198921344,"EWL^P_PRICE(0)/P_PRICE_HIGH_PR(0,,,,,,\"PRICE\",\"INTRA\",\"52W\")":0.97133696,"EWC^FMA_PE(NTMA,0,,,\"PORTAGG\",\"MEANR\")":15.4600398345513,"EWQ^PERCENT_CHANGE(FMA_EPS(+1,0,,,,\"PORTAGG\",\"MEAN\"),FMA_EPS(+1,-3AM,,,,\"PORTAGG\",\"MEAN\"))":-3.42283360148562,"FXI^FMA_COS_UP(\"EPS\",\"1M\",+1,0,,,\"PORTAGG\",\"MEANR\")":20.0,"EWG^FMA_RBICS_REV_CURRENT(30, LOC, \"PORTAGG\")":23.5276247083657,"TRYDE10Y-FDS^PCTCHG(FG_YIELD(0,,,,\"YTM\"),FG_YIELD(-1AM,,,,\"YTM\"))":-0.22809653,"CC_JP^IMF_IFS_RCPI_Q(0)":null,"EWN^FMA_PE(NTMA,0,,,\"PORTAGG\",\"MEANR\")":14.7712298428494,"EWJ^FMA_PE(NTMA,0,,,\"PORTAGG\",\"MEANR\")":14.3724839955223,"GLD^FG_TOTAL_RETURNC(0,-3AM)":11.289751,"GLD^FG_TOTAL_RETURNC(0,-1AM)":6.691861,"URTH^FMA_COS_UP(\"EPS\",\"1M\",+1,0,,,\"PORTAGG\",\"MEANR\")":440.0,"EWG^FMA_DIV_YLD(NTMA,NOW,NOW,M,\"PORTAGG\",\"MEANR\")":3.18327234619462,"ENZL^FMA_RBICS_REV_CURRENT(30, LOC, \"PORTAGG\")":25.6286998493894,"TRYCA10Y-FDS^PCTCHG(FG_YIELD(0,,,,\"YTM\"),FG_YIELD(-3AM,,,,\"YTM\"))":-6.7485366,"CC_DE^IMF_IFS_RCPI_Q(0)":null,"EWN^FMA_PE(LTM,0,,,\"PORTAGG\",\"MEANR\")":20.233831070081,"EWJ^FMA_PE(LTM,0,,,\"PORTAGG\",\"MEANR\")":15.7845949322151,"VWO^FMA_EVAL_EBITDA(NTMA,0,,,\"PORTAGG\",\"MEANR\")":8.91685634064862,"FXI^FG_TOTAL_RETURNC(0,-12AM)":27.369297,"REFGBBANK-FDS^(SUBARRAY(NOT_NA(NO_REPEAT_F(FG_YIELD(NOW,-10AY,D))),0,1)-SUBARRAY(NOT_NA(NO_REPEAT_F(FG_YIELD(NOW,-10AY,D))),1,1))*100":-25.0,"FXI^PERCENT_CHANGE(FMA_EPS(+1,0,,,,\"PORTAGG\",\"MEAN\"),FMA_EPS(+1,-3AM,,,,\"PORTAGG\",\"MEAN\"))":4.77178877627084,"EWJ^P_PRICE(0)/P_PRICE_HIGH_PR(0,,,USD,,,\"PRICE\",\"INTRA\",\"52W\")":0.9575369,"FXI^PERCENT_CHANGE(FMA_EPS(+1,0,,,,\"PORTAGG\",\"MEAN\"),FMA_EPS(+1,-1AM,,,,\"PORTAGG\",\"MEAN\"))":-0.507457340753782,"VGK^SIZE(FG_CONSTITUENTS)":1271,"EWN^FG_ROE(0)":10.922854772748,"REFGBBANK-FDS^PROPER_NAME(0,,,\"SECURITY\",\"NAME\")":"UK Bank Rate","REFJPTON-FDS^PROPER_NAME(0,,,\"SECURITY\",\"NAME\")":"Japan Policy Rate","VGK^FMA_EVAL_EBITDA(NTMA,0,,,\"PORTAGG\",\"MEANR\")":9.00351081404339,"EWI^SIZE(FG_CONSTITUENTS)":27,"EWJ^FG_ROE(0)":9.08445468058334,"REFCHMPR-FDS^(SUBARRAY(NOT_NA(NO_REPEAT_F(FG_YIELD(NOW,-10AY,D))),0,1)-SUBARRAY(NOT_NA(NO_REPEAT_F(FG_YIELD(NOW,-10AY,D))),1,1))*100":-25.0,"CC_NZ^IMF_IFS_RCPI_Q(0)":null,"EWQ^JULIAN(FMA_DIV_YLD(NTMA,NOW,NOW,M,\"PORTAGG\",\"MEANR\").DATES)":45565,"QQQ^PERCENT_CHANGE(FMA_EPS(+1,0,,,,\"PORTAGG\",\"MEAN\"),FMA_EPS(+1,-1AM,,,,\"PORTAGG\",\"MEAN\"))":-0.147508078683461,"EWG^FG_ROE(0)":10.7565579289452,"REFCHMPR-FDS^FG_YIELD(NOW,,,0)":1.0,"TRYSE10Y-FDS^FG_YIELD(0,,,,\"YTM\")":2.052,"VWO^FMA_EVAL_EBIT(LTMA,NOW,NOW,M,\"PORTAGG\",\"MEANR\")":14.5112745325381,"EWU^P_PRICE(0)/P_PRICE_LOW_PR(0,,,,,,\"PRICE\",\"INTRA\",\"52W\")-1":0.22793627,"EWD^SIZE(FG_CONSTITUENTS)":47,"EWA^FG_ROE(0)":12.5519591774996,"REFJPTON-FDS^(SUBARRAY(NOT_NA(NO_REPEAT_F(FG_YIELD(NOW,-10AY,D))),0,1)-SUBARRAY(NOT_NA(NO_REPEAT_F(FG_YIELD(NOW,-10AY,D))),1,1))*100":15.0,"EWQ^SIZE(FG_CONSTITUENTS)":61,"ENZL^FG_ROE(0)":3.25508441772478,"TRYNL10Y-FDS^FG_YIELD(0,,,,\"YTM\")":2.456,"VWO^FG_PE(0)":15.264493899113,"SPY^FG_FCF_YIELD_NTM(0)":3.91337476036944,"EWG^FMA_PE(NTMA,0,,,\"PORTAGG\",\"MEANR\")":12.914296507962,"SPY^FMA_PE(NTMA,0,,,\"PORTAGG\",\"MEANR\")":21.8779590433116,"EWI^FG_PRICE_MAVG(0,,,,30)":38.361668,"EWU^FG_TOTAL_RETURNC(0,-3AM)":3.9314747,"EWQ^FMA_COS_DOWN(\"EPS\",\"1M\",+1,0,,,\"PORTAGG\",\"MEANR\")":32.0,"TRYNL10Y-FDS^FG_YIELD_NAME":"Netherlands Benchmark Bond - 10 Year","REFJPTON-FDS^FG_YIELD(NOW,,,0)":0.25,"VGK^FMA_EVAL_EBIT(LTMA,NOW,NOW,M,\"PORTAGG\",\"MEANR\")":13.5759419592558,"EWN^FG_PRICE_MAVG(0,,,,200)":48.911674,"URTH^P_PRICE(0)/P_PRICE_HIGH_PR(0,,,,,,\"PRICE\",\"INTRA\",\"52W\")":0.9978267,"EWL^P_PRICE(0)/P_PRICE_LOW_PR(0,,,,,,\"PRICE\",\"INTRA\",\"52W\")-1":0.23971117,"EWN^FG_PRICE_MAVG(0,,,,60)":49.245003,"DUMMY^ECON_DATE(45462,,, 'MM/YYYY')":"06/2024","DUMMY^ECON_DATE(45554,,, 'MM/YYYY')":"09/2024","CC_SE^IMF_IFS_RCPI_Q(-1AM)":3.39215,"CC_IT^IMF_IFS_RCPI_Q(-1AM)":0.80847347,"CC_US^IMF_IFS_RCPI_Q(-1AM)":3.19889,"CC_GB^IMF_IFS_RCPI_Q(-1AM)":2.8697004,"CC_FR^IMF_IFS_RCPI_Q(-1AM)":2.2093682,"CC_NZ^IMF_IFS_RCPI_Q(-1AM)":3.330626,"CC_AU^IMF_IFS_RCPI_Q(-1AM)":3.81451,"CC_CA^IMF_IFS_RCPI_Q(-1AM)":2.7411842,"CC_DE^IMF_IFS_RCPI_Q(-1AM)":2.2863681,"CC_JP^IMF_IFS_RCPI_Q(-1AM)":2.7266946,"DUMMY^ECON_EXPR_DATA('FDS_ECON[PMIDMMANHE]',09/2024,,Q)":48.213497,"DUMMY^ECON_EXPR_DATA('FDS_ECON[PMIDMMANHE]',06/2024,,Q)":49.418636,"DUMMY^ECON_EXPR_DATA('FDS_ECON[NTCPMIMFGSA@EME]',09/2024,,Q)":50.418407,"DUMMY^ECON_EXPR_DATA('FDS_ECON[NTCPMIMFGSA@EME]',06/2024,,Q)":51.999874,"DUMMY^ECON_EXPR_DATA('FDS_ECON[NTCPMIMFGSA@NZ]',09/2024,,Q)":45.848022,"DUMMY^ECON_EXPR_DATA('FDS_ECON[NTCPMIMFGSA@NZ]',06/2024,,Q)":45.54339,"DUMMY^ECON_EXPR_DATA('FDS_ECON[NTCPMIMFGSA@AU]',09/2024,,Q)":47.56789,"DUMMY^ECON_EXPR_DATA('FDS_ECON[NTCPMIMFGSA@AU]',06/2024,,Q)":48.811333,"DUMMY^ECON_EXPR_DATA('FDS_ECON[NTCPMIMFGSA@CA]',09/2024,,Q)":49.193687,"DUMMY^ECON_EXPR_DATA('FDS_ECON[NTCPMIMFGSA@CA]',06/2024,,Q)":49.331886,"DUMMY^ECON_EXPR_DATA('FDS_ECON[NTCPMIMFGSA@DE]',09/2024,,Q)":42.06591,"DUMMY^ECON_EXPR_DATA('FDS_ECON[NTCPMIMFGSA@DE]',06/2024,,Q)":43.782,"DUMMY^ECON_EXPR_DATA('FDS_ECON[NTCPMIMFGSA@JP]',09/2024,,Q)":49.560066,"DUMMY^ECON_EXPR_DATA('FDS_ECON[NTCPMIMFGSA@JP]',06/2024,,Q)":49.991356,"DUMMY^ECON_EXPR_DATA('FDS_ECON[NTCPMIMFGSA@CH]',09/2024,,Q)":47.458324,"DUMMY^ECON_EXPR_DATA('FDS_ECON[NTCPMIMFGSA@CH]',06/2024,,Q)":43.896877,"DUMMY^ECON_EXPR_DATA('FDS_ECON[NTCPMIMFGSA@GB]',09/2024,,Q)":52.055466,"DUMMY^ECON_EXPR_DATA('FDS_ECON[NTCPMIMFGSA@GB]',06/2024,,Q)":50.395269999999996,"DUMMY^ECON_EXPR_DATA('FDS_ECON[NTCPMIMFGMESA@US]',09/2024,,Q)":48.26175,"DUMMY^ECON_EXPR_DATA('FDS_ECON[NTCPMIMFGMESA@US]',06/2024,,Q)":50.939392,"DUMMY^ECON_EXPR_DATA('FDS_ECON[NTCPMIMFGSA@FR]',09/2024,,Q)":44.15712,"DUMMY^ECON_EXPR_DATA('FDS_ECON[NTCPMIMFGSA@FR]',06/2024,,Q)":45.684513,"DUMMY^ECON_EXPR_DATA('FDS_ECON[NTCPMIMFGSA@NL]',09/2024,,Q)":48.353455,"DUMMY^ECON_EXPR_DATA('FDS_ECON[NTCPMIMFGSA@NL]',06/2024,,Q)":51.49388,"DUMMY^ECON_EXPR_DATA('FDS_ECON[]',09/2024,,Q)":null,"DUMMY^ECON_EXPR_DATA('FDS_ECON[]',06/2024,,Q)":null,"DUMMY^ECON_EXPR_DATA('FDS_ECON[NTCPMIMFGSA@IT]',09/2024,,Q)":48.375774,"DUMMY^ECON_EXPR_DATA('FDS_ECON[NTCPMIMFGSA@IT]',06/2024,,Q)":46.215786}]]></FdsFormulaCache>
</file>

<file path=customXml/itemProps1.xml><?xml version="1.0" encoding="utf-8"?>
<ds:datastoreItem xmlns:ds="http://schemas.openxmlformats.org/officeDocument/2006/customXml" ds:itemID="{D1C01706-4458-443A-9338-1C77CF52953D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2024-10-19T10:10:15Z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