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C51DE82F-ADCB-4558-83AF-0EC233B9B4F4}" xr6:coauthVersionLast="47" xr6:coauthVersionMax="47" xr10:uidLastSave="{00000000-0000-0000-0000-000000000000}"/>
  <bookViews>
    <workbookView xWindow="-110" yWindow="-110" windowWidth="25820" windowHeight="15500" firstSheet="1" activeTab="6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D8" i="57" a="1"/>
  <c r="G8" i="57" a="1"/>
  <c r="G7" i="57" a="1"/>
  <c r="G6" i="57" a="1"/>
  <c r="G5" i="57" a="1"/>
  <c r="D4" i="57" a="1"/>
  <c r="G4" i="57" a="1"/>
  <c r="D3" i="57" a="1"/>
  <c r="G3" i="57" a="1"/>
  <c r="D2" i="57" a="1"/>
  <c r="G2" i="57" a="1"/>
  <c r="B17" i="57" a="1"/>
  <c r="E17" i="57" a="1"/>
  <c r="D17" i="57" a="1"/>
  <c r="G9" i="57" a="1"/>
  <c r="D7" i="57" a="1"/>
  <c r="D6" i="57" a="1"/>
  <c r="D5" i="57" a="1"/>
  <c r="D5" i="57" l="1"/>
  <c r="D6" i="57"/>
  <c r="D7" i="57"/>
  <c r="G9" i="57"/>
  <c r="D17" i="57"/>
  <c r="E17" i="57"/>
  <c r="B17" i="57"/>
  <c r="G2" i="57"/>
  <c r="D2" i="57"/>
  <c r="G3" i="57"/>
  <c r="D3" i="57"/>
  <c r="G4" i="57"/>
  <c r="D4" i="57"/>
  <c r="G5" i="57"/>
  <c r="G6" i="57"/>
  <c r="G7" i="57"/>
  <c r="G8" i="57"/>
  <c r="D8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M16" i="48" a="1"/>
  <c r="M14" i="48" a="1"/>
  <c r="M13" i="48" a="1"/>
  <c r="M12" i="48" a="1"/>
  <c r="M11" i="48" a="1"/>
  <c r="M9" i="48" a="1"/>
  <c r="M8" i="48" a="1"/>
  <c r="M6" i="48" a="1"/>
  <c r="M10" i="48" a="1"/>
  <c r="M7" i="48" a="1"/>
  <c r="M5" i="48" a="1"/>
  <c r="M4" i="48" a="1"/>
  <c r="M4" i="48" l="1"/>
  <c r="M5" i="48"/>
  <c r="M7" i="48"/>
  <c r="M10" i="48"/>
  <c r="M6" i="48"/>
  <c r="M8" i="48"/>
  <c r="M9" i="48"/>
  <c r="M11" i="48"/>
  <c r="M12" i="48"/>
  <c r="M13" i="48"/>
  <c r="M14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F13" i="1" a="1"/>
  <c r="K10" i="1" a="1"/>
  <c r="I8" i="1" a="1"/>
  <c r="G6" i="1" a="1"/>
  <c r="L3" i="1" a="1"/>
  <c r="C7" i="1" a="1"/>
  <c r="D5" i="49" a="1"/>
  <c r="C17" i="40" a="1"/>
  <c r="H11" i="60" a="1"/>
  <c r="H7" i="60" a="1"/>
  <c r="H3" i="60" a="1"/>
  <c r="F15" i="42" a="1"/>
  <c r="F11" i="42" a="1"/>
  <c r="F9" i="42" a="1"/>
  <c r="N2" i="5" a="1"/>
  <c r="J2" i="47" a="1"/>
  <c r="J11" i="52" a="1"/>
  <c r="J5" i="52" a="1"/>
  <c r="J20" i="48" a="1"/>
  <c r="M2" i="38" a="1"/>
  <c r="AK4" i="9" a="1"/>
  <c r="U4" i="9" a="1"/>
  <c r="E4" i="9" a="1"/>
  <c r="G12" i="43" a="1"/>
  <c r="G4" i="43" a="1"/>
  <c r="F13" i="42" a="1"/>
  <c r="F7" i="42" a="1"/>
  <c r="F5" i="42" a="1"/>
  <c r="F3" i="42" a="1"/>
  <c r="B2" i="18" a="1"/>
  <c r="L2" i="7" a="1"/>
  <c r="H2" i="46" a="1"/>
  <c r="J9" i="52" a="1"/>
  <c r="J7" i="52" a="1"/>
  <c r="J8" i="48" a="1"/>
  <c r="C2" i="38" a="1"/>
  <c r="AA4" i="9" a="1"/>
  <c r="K4" i="9" a="1"/>
  <c r="G15" i="43" a="1"/>
  <c r="G7" i="43" a="1"/>
  <c r="C4" i="43" a="1"/>
  <c r="D14" i="42" a="1"/>
  <c r="D12" i="42" a="1"/>
  <c r="D10" i="42" a="1"/>
  <c r="D8" i="42" a="1"/>
  <c r="D6" i="42" a="1"/>
  <c r="D4" i="42" a="1"/>
  <c r="H2" i="18" a="1"/>
  <c r="F2" i="15" a="1"/>
  <c r="D2" i="5" a="1"/>
  <c r="B2" i="7" a="1"/>
  <c r="N2" i="46" a="1"/>
  <c r="H12" i="52" a="1"/>
  <c r="H10" i="52" a="1"/>
  <c r="H8" i="52" a="1"/>
  <c r="H6" i="52" a="1"/>
  <c r="H4" i="52" a="1"/>
  <c r="T17" i="56" a="1"/>
  <c r="J19" i="48" a="1"/>
  <c r="AE4" i="9" a="1"/>
  <c r="G5" i="43" a="1"/>
  <c r="D15" i="42" a="1"/>
  <c r="G10" i="42" a="1"/>
  <c r="I5" i="42" a="1"/>
  <c r="E3" i="42" a="1"/>
  <c r="H2" i="5" a="1"/>
  <c r="L2" i="46" a="1"/>
  <c r="E7" i="52" a="1"/>
  <c r="V12" i="56" a="1"/>
  <c r="J16" i="56" a="1"/>
  <c r="G8" i="56" a="1"/>
  <c r="C11" i="13" a="1"/>
  <c r="S20" i="12" a="1"/>
  <c r="S18" i="12" a="1"/>
  <c r="K13" i="12" a="1"/>
  <c r="K9" i="12" a="1"/>
  <c r="L5" i="12" a="1"/>
  <c r="G18" i="12" a="1"/>
  <c r="G10" i="12" a="1"/>
  <c r="B4" i="12" a="1"/>
  <c r="F6" i="39" a="1"/>
  <c r="K10" i="28" a="1"/>
  <c r="G9" i="28" a="1"/>
  <c r="O3" i="1" a="1"/>
  <c r="L12" i="1" a="1"/>
  <c r="L7" i="1" a="1"/>
  <c r="D23" i="1" a="1"/>
  <c r="C13" i="55" a="1"/>
  <c r="H12" i="60" a="1"/>
  <c r="E4" i="60" a="1"/>
  <c r="L4" i="9" a="1"/>
  <c r="G14" i="43" a="1"/>
  <c r="I12" i="42" a="1"/>
  <c r="C8" i="42" a="1"/>
  <c r="L2" i="15" a="1"/>
  <c r="C2" i="7" a="1"/>
  <c r="G9" i="52" a="1"/>
  <c r="J4" i="52" a="1"/>
  <c r="S17" i="56" a="1"/>
  <c r="T8" i="56" a="1"/>
  <c r="H12" i="56" a="1"/>
  <c r="B16" i="56" a="1"/>
  <c r="R22" i="12" a="1"/>
  <c r="R20" i="12" a="1"/>
  <c r="S14" i="12" a="1"/>
  <c r="S10" i="12" a="1"/>
  <c r="K7" i="12" a="1"/>
  <c r="L3" i="12" a="1"/>
  <c r="G4" i="12" a="1"/>
  <c r="H10" i="39" a="1"/>
  <c r="I2" i="38" a="1"/>
  <c r="AL4" i="9" a="1"/>
  <c r="R4" i="9" a="1"/>
  <c r="C3" i="43" a="1"/>
  <c r="J8" i="42" a="1"/>
  <c r="E4" i="42" a="1"/>
  <c r="I2" i="7" a="1"/>
  <c r="J12" i="52" a="1"/>
  <c r="D8" i="52" a="1"/>
  <c r="H5" i="52" a="1"/>
  <c r="F3" i="52" a="1"/>
  <c r="T14" i="56" a="1"/>
  <c r="U5" i="56" a="1"/>
  <c r="G14" i="56" a="1"/>
  <c r="H5" i="56" a="1"/>
  <c r="O23" i="12" a="1"/>
  <c r="P19" i="12" a="1"/>
  <c r="Q13" i="12" a="1"/>
  <c r="Q11" i="12" a="1"/>
  <c r="R7" i="12" a="1"/>
  <c r="R3" i="12" a="1"/>
  <c r="G12" i="12" a="1"/>
  <c r="B10" i="12" a="1"/>
  <c r="C8" i="39" a="1"/>
  <c r="K6" i="28" a="1"/>
  <c r="G3" i="28" a="1"/>
  <c r="O9" i="1" a="1"/>
  <c r="L13" i="1" a="1"/>
  <c r="H11" i="1" a="1"/>
  <c r="H6" i="1" a="1"/>
  <c r="C4" i="1" a="1"/>
  <c r="C11" i="40" a="1"/>
  <c r="G5" i="60" a="1"/>
  <c r="J5" i="48" a="1"/>
  <c r="AJ4" i="9" a="1"/>
  <c r="G8" i="43" a="1"/>
  <c r="H13" i="42" a="1"/>
  <c r="D11" i="42" a="1"/>
  <c r="G6" i="42" a="1"/>
  <c r="E2" i="18" a="1"/>
  <c r="M2" i="5" a="1"/>
  <c r="D2" i="47" a="1"/>
  <c r="F10" i="52" a="1"/>
  <c r="V9" i="56" a="1"/>
  <c r="T5" i="56" a="1"/>
  <c r="I9" i="56" a="1"/>
  <c r="C16" i="13" a="1"/>
  <c r="O21" i="12" a="1"/>
  <c r="P15" i="12" a="1"/>
  <c r="Q9" i="12" a="1"/>
  <c r="Q5" i="12" a="1"/>
  <c r="F20" i="12" a="1"/>
  <c r="G6" i="12" a="1"/>
  <c r="J4" i="39" a="1"/>
  <c r="F12" i="39" a="1"/>
  <c r="K12" i="28" a="1"/>
  <c r="H11" i="28" a="1"/>
  <c r="D8" i="28" a="1"/>
  <c r="H19" i="1" a="1"/>
  <c r="K13" i="1" a="1"/>
  <c r="K8" i="1" a="1"/>
  <c r="J3" i="1" a="1"/>
  <c r="C18" i="55" a="1"/>
  <c r="H9" i="60" a="1"/>
  <c r="J16" i="48" a="1"/>
  <c r="Y4" i="9" a="1"/>
  <c r="C4" i="9" a="1"/>
  <c r="G9" i="43" a="1"/>
  <c r="F10" i="42" a="1"/>
  <c r="J2" i="18" a="1"/>
  <c r="A2" i="47" a="1"/>
  <c r="I11" i="52" a="1"/>
  <c r="G6" i="52" a="1"/>
  <c r="U9" i="56" a="1"/>
  <c r="I17" i="56" a="1"/>
  <c r="H7" i="56" a="1"/>
  <c r="B11" i="56" a="1"/>
  <c r="Q21" i="12" a="1"/>
  <c r="R12" i="12" a="1"/>
  <c r="O8" i="12" a="1"/>
  <c r="M6" i="12" a="1"/>
  <c r="E20" i="12" a="1"/>
  <c r="H6" i="39" a="1"/>
  <c r="K13" i="28" a="1"/>
  <c r="M6" i="28" a="1"/>
  <c r="G11" i="28" a="1"/>
  <c r="E15" i="28" a="1"/>
  <c r="D6" i="28" a="1"/>
  <c r="L20" i="1" a="1"/>
  <c r="F15" i="1" a="1"/>
  <c r="H12" i="1" a="1"/>
  <c r="J9" i="1" a="1"/>
  <c r="G8" i="60" a="1"/>
  <c r="C7" i="40" a="1"/>
  <c r="F8" i="60" a="1"/>
  <c r="F3" i="60" a="1"/>
  <c r="J15" i="48" a="1"/>
  <c r="B4" i="9" a="1"/>
  <c r="H8" i="43" a="1"/>
  <c r="I2" i="18" a="1"/>
  <c r="N8" i="12" a="1"/>
  <c r="H5" i="39" a="1"/>
  <c r="M5" i="28" a="1"/>
  <c r="D15" i="28" a="1"/>
  <c r="K20" i="1" a="1"/>
  <c r="G12" i="1" a="1"/>
  <c r="C6" i="40" a="1"/>
  <c r="F2" i="38" a="1"/>
  <c r="I15" i="42" a="1"/>
  <c r="C13" i="42" a="1"/>
  <c r="H7" i="42" a="1"/>
  <c r="J4" i="42" a="1"/>
  <c r="B2" i="15" a="1"/>
  <c r="G2" i="7" a="1"/>
  <c r="D9" i="52" a="1"/>
  <c r="I3" i="52" a="1"/>
  <c r="U14" i="56" a="1"/>
  <c r="T9" i="56" a="1"/>
  <c r="G12" i="56" a="1"/>
  <c r="S23" i="12" a="1"/>
  <c r="N19" i="12" a="1"/>
  <c r="L15" i="12" a="1"/>
  <c r="P10" i="12" a="1"/>
  <c r="S3" i="12" a="1"/>
  <c r="F11" i="12" a="1"/>
  <c r="F4" i="12" a="1"/>
  <c r="J12" i="39" a="1"/>
  <c r="C12" i="39" a="1"/>
  <c r="E5" i="28" a="1"/>
  <c r="K6" i="1" a="1"/>
  <c r="F4" i="1" a="1"/>
  <c r="C3" i="1" a="1"/>
  <c r="C16" i="55" a="1"/>
  <c r="X4" i="9" a="1"/>
  <c r="E10" i="42" a="1"/>
  <c r="M2" i="46" a="1"/>
  <c r="H11" i="52" a="1"/>
  <c r="F6" i="52" a="1"/>
  <c r="H17" i="56" a="1"/>
  <c r="G7" i="56" a="1"/>
  <c r="B10" i="56" a="1"/>
  <c r="P21" i="12" a="1"/>
  <c r="Q12" i="12" a="1"/>
  <c r="L6" i="12" a="1"/>
  <c r="G19" i="12" a="1"/>
  <c r="M12" i="28" a="1"/>
  <c r="H10" i="28" a="1"/>
  <c r="D5" i="28" a="1"/>
  <c r="L14" i="1" a="1"/>
  <c r="I9" i="1" a="1"/>
  <c r="E2" i="38" a="1"/>
  <c r="H15" i="42" a="1"/>
  <c r="J12" i="42" a="1"/>
  <c r="I4" i="42" a="1"/>
  <c r="J4" i="9" a="1"/>
  <c r="C9" i="43" a="1"/>
  <c r="H8" i="42" a="1"/>
  <c r="I2" i="15" a="1"/>
  <c r="A2" i="46" a="1"/>
  <c r="I4" i="52" a="1"/>
  <c r="T16" i="56" a="1"/>
  <c r="T6" i="56" a="1"/>
  <c r="H14" i="56" a="1"/>
  <c r="C23" i="56" a="1"/>
  <c r="L20" i="12" a="1"/>
  <c r="R13" i="12" a="1"/>
  <c r="O11" i="12" a="1"/>
  <c r="S6" i="12" a="1"/>
  <c r="G13" i="12" a="1"/>
  <c r="B8" i="12" a="1"/>
  <c r="F5" i="39" a="1"/>
  <c r="K15" i="28" a="1"/>
  <c r="M8" i="28" a="1"/>
  <c r="F19" i="1" a="1"/>
  <c r="H13" i="1" a="1"/>
  <c r="I10" i="1" a="1"/>
  <c r="C11" i="1" a="1"/>
  <c r="D6" i="49" a="1"/>
  <c r="C14" i="40" a="1"/>
  <c r="F10" i="60" a="1"/>
  <c r="F5" i="60" a="1"/>
  <c r="N2" i="38" a="1"/>
  <c r="AF4" i="9" a="1"/>
  <c r="H11" i="43" a="1"/>
  <c r="C14" i="42" a="1"/>
  <c r="E11" i="42" a="1"/>
  <c r="J5" i="42" a="1"/>
  <c r="C3" i="42" a="1"/>
  <c r="A2" i="5" a="1"/>
  <c r="G2" i="47" a="1"/>
  <c r="D10" i="52" a="1"/>
  <c r="F7" i="52" a="1"/>
  <c r="S11" i="56" a="1"/>
  <c r="J8" i="56" a="1"/>
  <c r="C9" i="13" a="1"/>
  <c r="N22" i="12" a="1"/>
  <c r="S15" i="12" a="1"/>
  <c r="L9" i="12" a="1"/>
  <c r="Q4" i="12" a="1"/>
  <c r="F22" i="12" a="1"/>
  <c r="E7" i="12" a="1"/>
  <c r="B7" i="12" a="1"/>
  <c r="H13" i="39" a="1"/>
  <c r="H14" i="28" a="1"/>
  <c r="H4" i="28" a="1"/>
  <c r="D9" i="28" a="1"/>
  <c r="O8" i="1" a="1"/>
  <c r="H10" i="1" a="1"/>
  <c r="J7" i="1" a="1"/>
  <c r="L4" i="1" a="1"/>
  <c r="E5" i="60" a="1"/>
  <c r="L2" i="38" a="1"/>
  <c r="I4" i="9" a="1"/>
  <c r="C8" i="43" a="1"/>
  <c r="G8" i="42" a="1"/>
  <c r="H2" i="15" a="1"/>
  <c r="I12" i="52" a="1"/>
  <c r="G4" i="52" a="1"/>
  <c r="V15" i="56" a="1"/>
  <c r="S6" i="56" a="1"/>
  <c r="J13" i="56" a="1"/>
  <c r="B17" i="56" a="1"/>
  <c r="K20" i="12" a="1"/>
  <c r="P13" i="12" a="1"/>
  <c r="N11" i="12" a="1"/>
  <c r="R6" i="12" a="1"/>
  <c r="P4" i="12" a="1"/>
  <c r="F13" i="12" a="1"/>
  <c r="J14" i="48" a="1"/>
  <c r="AN4" i="9" a="1"/>
  <c r="G10" i="43" a="1"/>
  <c r="C5" i="42" a="1"/>
  <c r="E2" i="47" a="1"/>
  <c r="G8" i="52" a="1"/>
  <c r="E5" i="52" a="1"/>
  <c r="S10" i="56" a="1"/>
  <c r="I10" i="56" a="1"/>
  <c r="C24" i="56" a="1"/>
  <c r="K14" i="12" a="1"/>
  <c r="G23" i="12" a="1"/>
  <c r="J9" i="39" a="1"/>
  <c r="F11" i="39" a="1"/>
  <c r="G12" i="28" a="1"/>
  <c r="E13" i="28" a="1"/>
  <c r="J19" i="1" a="1"/>
  <c r="G13" i="1" a="1"/>
  <c r="L9" i="1" a="1"/>
  <c r="G3" i="1" a="1"/>
  <c r="C15" i="40" a="1"/>
  <c r="G3" i="60" a="1"/>
  <c r="AM4" i="9" a="1"/>
  <c r="F8" i="52" a="1"/>
  <c r="S9" i="56" a="1"/>
  <c r="S13" i="12" a="1"/>
  <c r="L8" i="12" a="1"/>
  <c r="J8" i="39" a="1"/>
  <c r="F10" i="39" a="1"/>
  <c r="D13" i="28" a="1"/>
  <c r="I19" i="1" a="1"/>
  <c r="F3" i="1" a="1"/>
  <c r="E9" i="60" a="1"/>
  <c r="J14" i="42" a="1"/>
  <c r="I11" i="42" a="1"/>
  <c r="E8" i="42" a="1"/>
  <c r="N2" i="15" a="1"/>
  <c r="B2" i="5" a="1"/>
  <c r="T15" i="56" a="1"/>
  <c r="J15" i="56" a="1"/>
  <c r="G10" i="56" a="1"/>
  <c r="C4" i="13" a="1"/>
  <c r="L21" i="12" a="1"/>
  <c r="N18" i="12" a="1"/>
  <c r="R10" i="12" a="1"/>
  <c r="E23" i="12" a="1"/>
  <c r="M14" i="28" a="1"/>
  <c r="G10" i="28" a="1"/>
  <c r="O13" i="1" a="1"/>
  <c r="K12" i="1" a="1"/>
  <c r="H7" i="43" a="1"/>
  <c r="G4" i="42" a="1"/>
  <c r="B2" i="47" a="1"/>
  <c r="E8" i="52" a="1"/>
  <c r="V8" i="56" a="1"/>
  <c r="Q23" i="12" a="1"/>
  <c r="O13" i="12" a="1"/>
  <c r="K8" i="12" a="1"/>
  <c r="J7" i="39" a="1"/>
  <c r="AI4" i="9" a="1"/>
  <c r="H11" i="42" a="1"/>
  <c r="M2" i="15" a="1"/>
  <c r="S15" i="56" a="1"/>
  <c r="I15" i="56" a="1"/>
  <c r="B14" i="56" a="1"/>
  <c r="K21" i="12" a="1"/>
  <c r="G22" i="12" a="1"/>
  <c r="K7" i="28" a="1"/>
  <c r="L15" i="1" a="1"/>
  <c r="H9" i="1" a="1"/>
  <c r="D7" i="49" a="1"/>
  <c r="M4" i="9" a="1"/>
  <c r="C15" i="42" a="1"/>
  <c r="J11" i="42" a="1"/>
  <c r="F8" i="42" a="1"/>
  <c r="A2" i="18" a="1"/>
  <c r="C2" i="5" a="1"/>
  <c r="G11" i="52" a="1"/>
  <c r="U15" i="56" a="1"/>
  <c r="G16" i="56" a="1"/>
  <c r="H10" i="56" a="1"/>
  <c r="C5" i="13" a="1"/>
  <c r="M21" i="12" a="1"/>
  <c r="P18" i="12" a="1"/>
  <c r="K11" i="12" a="1"/>
  <c r="M8" i="12" a="1"/>
  <c r="O5" i="12" a="1"/>
  <c r="F23" i="12" a="1"/>
  <c r="E13" i="12" a="1"/>
  <c r="E5" i="12" a="1"/>
  <c r="L15" i="28" a="1"/>
  <c r="M7" i="28" a="1"/>
  <c r="O14" i="1" a="1"/>
  <c r="I6" i="1" a="1"/>
  <c r="D9" i="49" a="1"/>
  <c r="F9" i="60" a="1"/>
  <c r="E3" i="60" a="1"/>
  <c r="J13" i="48" a="1"/>
  <c r="H9" i="43" a="1"/>
  <c r="H4" i="42" a="1"/>
  <c r="C2" i="47" a="1"/>
  <c r="D5" i="52" a="1"/>
  <c r="E4" i="12" a="1"/>
  <c r="K9" i="1" a="1"/>
  <c r="C13" i="40" a="1"/>
  <c r="F11" i="52" a="1"/>
  <c r="B15" i="56" a="1"/>
  <c r="N5" i="12" a="1"/>
  <c r="F12" i="12" a="1"/>
  <c r="L7" i="28" a="1"/>
  <c r="F6" i="1" a="1"/>
  <c r="D8" i="49" a="1"/>
  <c r="J12" i="48" a="1"/>
  <c r="H4" i="9" a="1"/>
  <c r="N2" i="7" a="1"/>
  <c r="C5" i="52" a="1"/>
  <c r="F3" i="12" a="1"/>
  <c r="F9" i="39" a="1"/>
  <c r="E12" i="28" a="1"/>
  <c r="G19" i="1" a="1"/>
  <c r="C12" i="40" a="1"/>
  <c r="H8" i="60" a="1"/>
  <c r="I14" i="42" a="1"/>
  <c r="J7" i="42" a="1"/>
  <c r="E11" i="52" a="1"/>
  <c r="J9" i="56" a="1"/>
  <c r="M18" i="12" a="1"/>
  <c r="Q10" i="12" a="1"/>
  <c r="M5" i="12" a="1"/>
  <c r="E12" i="12" a="1"/>
  <c r="L14" i="28" a="1"/>
  <c r="H9" i="28" a="1"/>
  <c r="O12" i="1" a="1"/>
  <c r="J12" i="1" a="1"/>
  <c r="L5" i="1" a="1"/>
  <c r="C15" i="1" a="1"/>
  <c r="T4" i="9" a="1"/>
  <c r="D13" i="42" a="1"/>
  <c r="H9" i="42" a="1"/>
  <c r="K2" i="5" a="1"/>
  <c r="H9" i="52" a="1"/>
  <c r="E6" i="52" a="1"/>
  <c r="V11" i="56" a="1"/>
  <c r="V5" i="56" a="1"/>
  <c r="I12" i="56" a="1"/>
  <c r="C14" i="13" a="1"/>
  <c r="O22" i="12" a="1"/>
  <c r="Q19" i="12" a="1"/>
  <c r="L12" i="12" a="1"/>
  <c r="O9" i="12" a="1"/>
  <c r="P6" i="12" a="1"/>
  <c r="E8" i="12" a="1"/>
  <c r="L10" i="28" a="1"/>
  <c r="K3" i="28" a="1"/>
  <c r="G4" i="28" a="1"/>
  <c r="H14" i="1" a="1"/>
  <c r="F11" i="1" a="1"/>
  <c r="K7" i="1" a="1"/>
  <c r="I4" i="1" a="1"/>
  <c r="D16" i="49" a="1"/>
  <c r="F11" i="60" a="1"/>
  <c r="H2" i="38" a="1"/>
  <c r="H14" i="43" a="1"/>
  <c r="C7" i="43" a="1"/>
  <c r="E6" i="42" a="1"/>
  <c r="L2" i="18" a="1"/>
  <c r="M2" i="47" a="1"/>
  <c r="B2" i="46" a="1"/>
  <c r="C3" i="52" a="1"/>
  <c r="J11" i="56" a="1"/>
  <c r="G6" i="56" a="1"/>
  <c r="M22" i="12" a="1"/>
  <c r="P14" i="12" a="1"/>
  <c r="P3" i="12" a="1"/>
  <c r="G15" i="12" a="1"/>
  <c r="B5" i="12" a="1"/>
  <c r="C7" i="39" a="1"/>
  <c r="H15" i="28" a="1"/>
  <c r="E6" i="28" a="1"/>
  <c r="H20" i="1" a="1"/>
  <c r="C11" i="55" a="1"/>
  <c r="H5" i="60" a="1"/>
  <c r="S4" i="9" a="1"/>
  <c r="H12" i="42" a="1"/>
  <c r="J2" i="5" a="1"/>
  <c r="F9" i="52" a="1"/>
  <c r="D6" i="52" a="1"/>
  <c r="U11" i="56" a="1"/>
  <c r="C13" i="13" a="1"/>
  <c r="O19" i="12" a="1"/>
  <c r="K12" i="12" a="1"/>
  <c r="M9" i="12" a="1"/>
  <c r="O6" i="12" a="1"/>
  <c r="G7" i="12" a="1"/>
  <c r="H4" i="39" a="1"/>
  <c r="H3" i="28" a="1"/>
  <c r="G14" i="1" a="1"/>
  <c r="L10" i="1" a="1"/>
  <c r="I7" i="1" a="1"/>
  <c r="H4" i="1" a="1"/>
  <c r="D15" i="49" a="1"/>
  <c r="E11" i="60" a="1"/>
  <c r="G2" i="38" a="1"/>
  <c r="H13" i="43" a="1"/>
  <c r="C6" i="43" a="1"/>
  <c r="E9" i="42" a="1"/>
  <c r="C6" i="42" a="1"/>
  <c r="K2" i="18" a="1"/>
  <c r="L2" i="47" a="1"/>
  <c r="V17" i="56" a="1"/>
  <c r="S5" i="56" a="1"/>
  <c r="I11" i="56" a="1"/>
  <c r="J5" i="56" a="1"/>
  <c r="L22" i="12" a="1"/>
  <c r="M19" i="12" a="1"/>
  <c r="O14" i="12" a="1"/>
  <c r="S8" i="12" a="1"/>
  <c r="N6" i="12" a="1"/>
  <c r="O3" i="12" a="1"/>
  <c r="F15" i="12" a="1"/>
  <c r="C6" i="39" a="1"/>
  <c r="M9" i="28" a="1"/>
  <c r="G15" i="28" a="1"/>
  <c r="G20" i="1" a="1"/>
  <c r="C10" i="55" a="1"/>
  <c r="Q4" i="9" a="1"/>
  <c r="G12" i="42" a="1"/>
  <c r="H5" i="42" a="1"/>
  <c r="I2" i="5" a="1"/>
  <c r="G12" i="52" a="1"/>
  <c r="E9" i="52" a="1"/>
  <c r="T11" i="56" a="1"/>
  <c r="C12" i="13" a="1"/>
  <c r="S11" i="12" a="1"/>
  <c r="J11" i="48" a="1"/>
  <c r="E7" i="42" a="1"/>
  <c r="J2" i="7" a="1"/>
  <c r="C2" i="46" a="1"/>
  <c r="U17" i="56" a="1"/>
  <c r="R21" i="12" a="1"/>
  <c r="M7" i="12" a="1"/>
  <c r="K3" i="12" a="1"/>
  <c r="F9" i="12" a="1"/>
  <c r="H7" i="28" a="1"/>
  <c r="E4" i="28" a="1"/>
  <c r="J15" i="1" a="1"/>
  <c r="G11" i="1" a="1"/>
  <c r="K5" i="1" a="1"/>
  <c r="G6" i="60" a="1"/>
  <c r="G2" i="18" a="1"/>
  <c r="H2" i="7" a="1"/>
  <c r="D7" i="52" a="1"/>
  <c r="V16" i="56" a="1"/>
  <c r="M11" i="12" a="1"/>
  <c r="L7" i="12" a="1"/>
  <c r="E22" i="12" a="1"/>
  <c r="G7" i="28" a="1"/>
  <c r="J10" i="1" a="1"/>
  <c r="J5" i="1" a="1"/>
  <c r="V4" i="9" a="1"/>
  <c r="F2" i="7" a="1"/>
  <c r="S7" i="56" a="1"/>
  <c r="B7" i="56" a="1"/>
  <c r="N15" i="12" a="1"/>
  <c r="G15" i="1" a="1"/>
  <c r="C5" i="1" a="1"/>
  <c r="C9" i="40" a="1"/>
  <c r="J9" i="48" a="1"/>
  <c r="F12" i="42" a="1"/>
  <c r="C7" i="42" a="1"/>
  <c r="C7" i="52" a="1"/>
  <c r="U16" i="56" a="1"/>
  <c r="M15" i="12" a="1"/>
  <c r="F8" i="12" a="1"/>
  <c r="C11" i="39" a="1"/>
  <c r="K8" i="28" a="1"/>
  <c r="H6" i="28" a="1"/>
  <c r="E3" i="28" a="1"/>
  <c r="I5" i="1" a="1"/>
  <c r="E2" i="7" a="1"/>
  <c r="B5" i="56" a="1"/>
  <c r="N10" i="12" a="1"/>
  <c r="Q6" i="12" a="1"/>
  <c r="J5" i="39" a="1"/>
  <c r="C10" i="39" a="1"/>
  <c r="H5" i="1" a="1"/>
  <c r="E6" i="60" a="1"/>
  <c r="D2" i="18" a="1"/>
  <c r="J6" i="52" a="1"/>
  <c r="E21" i="12" a="1"/>
  <c r="F7" i="12" a="1"/>
  <c r="J3" i="39" a="1"/>
  <c r="O4" i="9" a="1"/>
  <c r="D2" i="7" a="1"/>
  <c r="U6" i="56" a="1"/>
  <c r="C15" i="13" a="1"/>
  <c r="L5" i="28" a="1"/>
  <c r="I6" i="42" a="1"/>
  <c r="D11" i="52" a="1"/>
  <c r="I6" i="52" a="1"/>
  <c r="S14" i="56" a="1"/>
  <c r="K6" i="12" a="1"/>
  <c r="H5" i="28" a="1"/>
  <c r="O11" i="1" a="1"/>
  <c r="J14" i="1" a="1"/>
  <c r="G4" i="60" a="1"/>
  <c r="N4" i="9" a="1"/>
  <c r="L10" i="12" a="1"/>
  <c r="K5" i="28" a="1"/>
  <c r="G9" i="1" a="1"/>
  <c r="F5" i="1" a="1"/>
  <c r="G4" i="9" a="1"/>
  <c r="V13" i="56" a="1"/>
  <c r="J17" i="56" a="1"/>
  <c r="C10" i="13" a="1"/>
  <c r="M14" i="12" a="1"/>
  <c r="S5" i="12" a="1"/>
  <c r="H14" i="39" a="1"/>
  <c r="O10" i="1" a="1"/>
  <c r="D10" i="49" a="1"/>
  <c r="N2" i="47" a="1"/>
  <c r="K10" i="12" a="1"/>
  <c r="F19" i="12" a="1"/>
  <c r="H12" i="39" a="1"/>
  <c r="F9" i="1" a="1"/>
  <c r="F4" i="9" a="1"/>
  <c r="C10" i="43" a="1"/>
  <c r="J10" i="42" a="1"/>
  <c r="F6" i="42" a="1"/>
  <c r="J10" i="52" a="1"/>
  <c r="S9" i="12" a="1"/>
  <c r="D18" i="28" a="1"/>
  <c r="F14" i="1" a="1"/>
  <c r="J4" i="1" a="1"/>
  <c r="D4" i="49" a="1"/>
  <c r="W4" i="9" a="1"/>
  <c r="G6" i="43" a="1"/>
  <c r="E13" i="42" a="1"/>
  <c r="M2" i="18" a="1"/>
  <c r="G7" i="52" a="1"/>
  <c r="T7" i="56" a="1"/>
  <c r="G11" i="56" a="1"/>
  <c r="B8" i="56" a="1"/>
  <c r="O15" i="12" a="1"/>
  <c r="J10" i="39" a="1"/>
  <c r="C14" i="39" a="1"/>
  <c r="K9" i="28" a="1"/>
  <c r="I15" i="1" a="1"/>
  <c r="C6" i="1" a="1"/>
  <c r="C10" i="40" a="1"/>
  <c r="J10" i="48" a="1"/>
  <c r="D7" i="42" a="1"/>
  <c r="F12" i="52" a="1"/>
  <c r="G8" i="12" a="1"/>
  <c r="D4" i="28" a="1"/>
  <c r="H5" i="43" a="1"/>
  <c r="J10" i="56" a="1"/>
  <c r="N21" i="12" a="1"/>
  <c r="O10" i="12" a="1"/>
  <c r="J6" i="39" a="1"/>
  <c r="C13" i="39" a="1"/>
  <c r="L8" i="28" a="1"/>
  <c r="F6" i="60" a="1"/>
  <c r="F2" i="18" a="1"/>
  <c r="E12" i="52" a="1"/>
  <c r="F21" i="12" a="1"/>
  <c r="D14" i="49" a="1"/>
  <c r="P4" i="9" a="1"/>
  <c r="V6" i="56" a="1"/>
  <c r="K15" i="12" a="1"/>
  <c r="G10" i="1" a="1"/>
  <c r="C8" i="40" a="1"/>
  <c r="J7" i="48" a="1"/>
  <c r="H3" i="43" a="1"/>
  <c r="E12" i="42" a="1"/>
  <c r="J6" i="42" a="1"/>
  <c r="D12" i="52" a="1"/>
  <c r="H9" i="56" a="1"/>
  <c r="Q20" i="12" a="1"/>
  <c r="G6" i="28" a="1"/>
  <c r="O15" i="1" a="1"/>
  <c r="K14" i="1" a="1"/>
  <c r="D13" i="49" a="1"/>
  <c r="H4" i="60" a="1"/>
  <c r="V14" i="56" a="1"/>
  <c r="I8" i="56" a="1"/>
  <c r="R14" i="12" a="1"/>
  <c r="M10" i="12" a="1"/>
  <c r="F6" i="12" a="1"/>
  <c r="C9" i="39" a="1"/>
  <c r="F10" i="1" a="1"/>
  <c r="G5" i="1" a="1"/>
  <c r="D12" i="49" a="1"/>
  <c r="J6" i="48" a="1"/>
  <c r="G3" i="43" a="1"/>
  <c r="C12" i="42" a="1"/>
  <c r="P20" i="12" a="1"/>
  <c r="N14" i="12" a="1"/>
  <c r="G20" i="12" a="1"/>
  <c r="J2" i="39" a="1"/>
  <c r="G12" i="60" a="1"/>
  <c r="K2" i="15" a="1"/>
  <c r="A2" i="7" a="1"/>
  <c r="H8" i="56" a="1"/>
  <c r="E6" i="12" a="1"/>
  <c r="C4" i="39" a="1"/>
  <c r="D11" i="49" a="1"/>
  <c r="J4" i="48" a="1"/>
  <c r="C11" i="43" a="1"/>
  <c r="C11" i="42" a="1"/>
  <c r="H6" i="42" a="1"/>
  <c r="C11" i="52" a="1"/>
  <c r="O20" i="12" a="1"/>
  <c r="E18" i="28" a="1"/>
  <c r="I14" i="1" a="1"/>
  <c r="F12" i="60" a="1"/>
  <c r="F4" i="60" a="1"/>
  <c r="J2" i="15" a="1"/>
  <c r="I5" i="52" a="1"/>
  <c r="J7" i="56" a="1"/>
  <c r="C8" i="13" a="1"/>
  <c r="G5" i="12" a="1"/>
  <c r="C3" i="39" a="1"/>
  <c r="M4" i="28" a="1"/>
  <c r="K4" i="1" a="1"/>
  <c r="K2" i="38" a="1"/>
  <c r="U13" i="56" a="1"/>
  <c r="C7" i="13" a="1"/>
  <c r="N20" i="12" a="1"/>
  <c r="L14" i="12" a="1"/>
  <c r="P5" i="12" a="1"/>
  <c r="F5" i="12" a="1"/>
  <c r="O7" i="1" a="1"/>
  <c r="E12" i="60" a="1"/>
  <c r="D4" i="9" a="1"/>
  <c r="H14" i="42" a="1"/>
  <c r="C4" i="42" a="1"/>
  <c r="L2" i="5" a="1"/>
  <c r="J2" i="46" a="1"/>
  <c r="V10" i="56" a="1"/>
  <c r="J14" i="56" a="1"/>
  <c r="L23" i="12" a="1"/>
  <c r="P12" i="12" a="1"/>
  <c r="E14" i="12" a="1"/>
  <c r="B12" i="12" a="1"/>
  <c r="G14" i="28" a="1"/>
  <c r="E10" i="28" a="1"/>
  <c r="I20" i="1" a="1"/>
  <c r="F8" i="1" a="1"/>
  <c r="C15" i="55" a="1"/>
  <c r="AH4" i="9" a="1"/>
  <c r="A4" i="9" a="1"/>
  <c r="I9" i="42" a="1"/>
  <c r="C9" i="52" a="1"/>
  <c r="D4" i="52" a="1"/>
  <c r="C26" i="56" a="1"/>
  <c r="R18" i="12" a="1"/>
  <c r="P8" i="12" a="1"/>
  <c r="N4" i="12" a="1"/>
  <c r="F14" i="39" a="1"/>
  <c r="L12" i="28" a="1"/>
  <c r="C14" i="1" a="1"/>
  <c r="G9" i="60" a="1"/>
  <c r="G14" i="42" a="1"/>
  <c r="J3" i="42" a="1"/>
  <c r="U10" i="56" a="1"/>
  <c r="I14" i="56" a="1"/>
  <c r="K23" i="12" a="1"/>
  <c r="O12" i="12" a="1"/>
  <c r="B11" i="12" a="1"/>
  <c r="F13" i="39" a="1"/>
  <c r="H13" i="28" a="1"/>
  <c r="D10" i="28" a="1"/>
  <c r="F20" i="1" a="1"/>
  <c r="F12" i="1" a="1"/>
  <c r="C14" i="55" a="1"/>
  <c r="E8" i="60" a="1"/>
  <c r="AG4" i="9" a="1"/>
  <c r="H15" i="43" a="1"/>
  <c r="D9" i="42" a="1"/>
  <c r="G2" i="5" a="1"/>
  <c r="G2" i="46" a="1"/>
  <c r="J8" i="52" a="1"/>
  <c r="J3" i="52" a="1"/>
  <c r="C25" i="56" a="1"/>
  <c r="Q18" i="12" a="1"/>
  <c r="S7" i="12" a="1"/>
  <c r="M4" i="12" a="1"/>
  <c r="G11" i="12" a="1"/>
  <c r="L11" i="28" a="1"/>
  <c r="H7" i="1" a="1"/>
  <c r="C13" i="1" a="1"/>
  <c r="AD4" i="9" a="1"/>
  <c r="G13" i="43" a="1"/>
  <c r="F14" i="42" a="1"/>
  <c r="I3" i="42" a="1"/>
  <c r="H3" i="52" a="1"/>
  <c r="T10" i="56" a="1"/>
  <c r="I13" i="56" a="1"/>
  <c r="S22" i="12" a="1"/>
  <c r="N12" i="12" a="1"/>
  <c r="E11" i="12" a="1"/>
  <c r="B9" i="12" a="1"/>
  <c r="F7" i="39" a="1"/>
  <c r="H12" i="28" a="1"/>
  <c r="E9" i="28" a="1"/>
  <c r="L19" i="1" a="1"/>
  <c r="L11" i="1" a="1"/>
  <c r="C12" i="1" a="1"/>
  <c r="C12" i="55" a="1"/>
  <c r="G7" i="60" a="1"/>
  <c r="C9" i="42" a="1"/>
  <c r="F2" i="5" a="1"/>
  <c r="F2" i="46" a="1"/>
  <c r="I8" i="52" a="1"/>
  <c r="L18" i="12" a="1"/>
  <c r="Q7" i="12" a="1"/>
  <c r="L4" i="12" a="1"/>
  <c r="F10" i="12" a="1"/>
  <c r="K11" i="28" a="1"/>
  <c r="G7" i="1" a="1"/>
  <c r="AC4" i="9" a="1"/>
  <c r="G11" i="43" a="1"/>
  <c r="E14" i="42" a="1"/>
  <c r="H3" i="42" a="1"/>
  <c r="G3" i="52" a="1"/>
  <c r="U8" i="56" a="1"/>
  <c r="H13" i="56" a="1"/>
  <c r="B13" i="56" a="1"/>
  <c r="Q22" i="12" a="1"/>
  <c r="M12" i="12" a="1"/>
  <c r="Q3" i="12" a="1"/>
  <c r="B6" i="12" a="1"/>
  <c r="F4" i="39" a="1"/>
  <c r="E8" i="28" a="1"/>
  <c r="K19" i="1" a="1"/>
  <c r="K11" i="1" a="1"/>
  <c r="C10" i="1" a="1"/>
  <c r="C9" i="55" a="1"/>
  <c r="F7" i="60" a="1"/>
  <c r="J13" i="42" a="1"/>
  <c r="I8" i="42" a="1"/>
  <c r="E2" i="5" a="1"/>
  <c r="E2" i="46" a="1"/>
  <c r="P22" i="12" a="1"/>
  <c r="K18" i="12" a="1"/>
  <c r="O7" i="12" a="1"/>
  <c r="N3" i="12" a="1"/>
  <c r="E10" i="12" a="1"/>
  <c r="B3" i="12" a="1"/>
  <c r="M10" i="28" a="1"/>
  <c r="F7" i="1" a="1"/>
  <c r="AB4" i="9" a="1"/>
  <c r="H10" i="43" a="1"/>
  <c r="I7" i="52" a="1"/>
  <c r="E3" i="52" a="1"/>
  <c r="V7" i="56" a="1"/>
  <c r="J12" i="56" a="1"/>
  <c r="B12" i="56" a="1"/>
  <c r="R15" i="12" a="1"/>
  <c r="F3" i="39" a="1"/>
  <c r="H8" i="28" a="1"/>
  <c r="E7" i="28" a="1"/>
  <c r="J11" i="1" a="1"/>
  <c r="L6" i="1" a="1"/>
  <c r="C9" i="1" a="1"/>
  <c r="C18" i="40" a="1"/>
  <c r="E7" i="60" a="1"/>
  <c r="I13" i="42" a="1"/>
  <c r="D3" i="42" a="1"/>
  <c r="K2" i="7" a="1"/>
  <c r="D2" i="46" a="1"/>
  <c r="S21" i="12" a="1"/>
  <c r="R11" i="12" a="1"/>
  <c r="N7" i="12" a="1"/>
  <c r="M3" i="12" a="1"/>
  <c r="G9" i="12" a="1"/>
  <c r="J13" i="39" a="1"/>
  <c r="K15" i="1" a="1"/>
  <c r="I11" i="1" a="1"/>
  <c r="J6" i="1" a="1"/>
  <c r="J2" i="38" a="1"/>
  <c r="E10" i="52" a="1"/>
  <c r="B15" i="12" a="1"/>
  <c r="I9" i="52" a="1"/>
  <c r="H7" i="52" a="1"/>
  <c r="D5" i="42" a="1"/>
  <c r="I6" i="56" a="1"/>
  <c r="R9" i="12" a="1"/>
  <c r="B13" i="12" a="1"/>
  <c r="E14" i="28" a="1"/>
  <c r="A2" i="38" a="1"/>
  <c r="D14" i="28" a="1"/>
  <c r="F4" i="42" a="1"/>
  <c r="F5" i="52" a="1"/>
  <c r="I5" i="56" a="1"/>
  <c r="P9" i="12" a="1"/>
  <c r="D12" i="28" a="1"/>
  <c r="Z4" i="9" a="1"/>
  <c r="B9" i="56" a="1"/>
  <c r="H9" i="39" a="1"/>
  <c r="G4" i="1" a="1"/>
  <c r="R8" i="12" a="1"/>
  <c r="K3" i="1" a="1"/>
  <c r="F4" i="52" a="1"/>
  <c r="G2" i="15" a="1"/>
  <c r="P23" i="12" a="1"/>
  <c r="E4" i="52" a="1"/>
  <c r="D3" i="52" a="1"/>
  <c r="N23" i="12" a="1"/>
  <c r="H3" i="39" a="1"/>
  <c r="O6" i="1" a="1"/>
  <c r="T13" i="56" a="1"/>
  <c r="D2" i="15" a="1"/>
  <c r="H2" i="39" a="1"/>
  <c r="C8" i="1" a="1"/>
  <c r="H6" i="43" a="1"/>
  <c r="S13" i="56" a="1"/>
  <c r="O4" i="1" a="1"/>
  <c r="C5" i="43" a="1"/>
  <c r="C2" i="39" a="1"/>
  <c r="C21" i="55" a="1"/>
  <c r="M15" i="28" a="1"/>
  <c r="C20" i="55" a="1"/>
  <c r="T12" i="56" a="1"/>
  <c r="K14" i="28" a="1"/>
  <c r="C19" i="55" a="1"/>
  <c r="D2" i="38" a="1"/>
  <c r="G8" i="28" a="1"/>
  <c r="H8" i="1" a="1"/>
  <c r="H6" i="60" a="1"/>
  <c r="E5" i="42" a="1"/>
  <c r="J6" i="56" a="1"/>
  <c r="P11" i="12" a="1"/>
  <c r="B14" i="12" a="1"/>
  <c r="B2" i="38" a="1"/>
  <c r="G8" i="1" a="1"/>
  <c r="G5" i="52" a="1"/>
  <c r="H6" i="56" a="1"/>
  <c r="J11" i="39" a="1"/>
  <c r="N2" i="18" a="1"/>
  <c r="E11" i="28" a="1"/>
  <c r="C6" i="13" a="1"/>
  <c r="H8" i="39" a="1"/>
  <c r="Q8" i="12" a="1"/>
  <c r="D7" i="28" a="1"/>
  <c r="I3" i="1" a="1"/>
  <c r="H7" i="39" a="1"/>
  <c r="E2" i="15" a="1"/>
  <c r="H3" i="1" a="1"/>
  <c r="K5" i="12" a="1"/>
  <c r="O5" i="1" a="1"/>
  <c r="M23" i="12" a="1"/>
  <c r="S4" i="12" a="1"/>
  <c r="F2" i="39" a="1"/>
  <c r="C2" i="15" a="1"/>
  <c r="U12" i="56" a="1"/>
  <c r="R4" i="12" a="1"/>
  <c r="J15" i="42" a="1"/>
  <c r="I2" i="47" a="1"/>
  <c r="S19" i="12" a="1"/>
  <c r="O4" i="12" a="1"/>
  <c r="H2" i="47" a="1"/>
  <c r="E15" i="42" a="1"/>
  <c r="F2" i="47" a="1"/>
  <c r="U7" i="56" a="1"/>
  <c r="R19" i="12" a="1"/>
  <c r="E19" i="12" a="1"/>
  <c r="M13" i="28" a="1"/>
  <c r="I16" i="56" a="1"/>
  <c r="L13" i="28" a="1"/>
  <c r="J13" i="1" a="1"/>
  <c r="C17" i="55" a="1"/>
  <c r="L19" i="12" a="1"/>
  <c r="F18" i="12" a="1"/>
  <c r="C16" i="40" a="1"/>
  <c r="I10" i="42" a="1"/>
  <c r="K2" i="46" a="1"/>
  <c r="H16" i="56" a="1"/>
  <c r="K19" i="12" a="1"/>
  <c r="E18" i="12" a="1"/>
  <c r="L9" i="28" a="1"/>
  <c r="I13" i="1" a="1"/>
  <c r="Q15" i="12" a="1"/>
  <c r="E15" i="12" a="1"/>
  <c r="L4" i="28" a="1"/>
  <c r="G11" i="60" a="1"/>
  <c r="H10" i="42" a="1"/>
  <c r="H15" i="56" a="1"/>
  <c r="K4" i="28" a="1"/>
  <c r="N13" i="12" a="1"/>
  <c r="G14" i="12" a="1"/>
  <c r="I12" i="1" a="1"/>
  <c r="H10" i="60" a="1"/>
  <c r="C10" i="42" a="1"/>
  <c r="I10" i="52" a="1"/>
  <c r="G15" i="56" a="1"/>
  <c r="M3" i="28" a="1"/>
  <c r="M13" i="12" a="1"/>
  <c r="L8" i="1" a="1"/>
  <c r="G10" i="60" a="1"/>
  <c r="J9" i="42" a="1"/>
  <c r="G10" i="52" a="1"/>
  <c r="H11" i="56" a="1"/>
  <c r="E3" i="12" a="1"/>
  <c r="L3" i="28" a="1"/>
  <c r="I7" i="42" a="1"/>
  <c r="I7" i="56" a="1"/>
  <c r="L13" i="12" a="1"/>
  <c r="J8" i="1" a="1"/>
  <c r="E10" i="60" a="1"/>
  <c r="E10" i="60" l="1"/>
  <c r="J8" i="1"/>
  <c r="L13" i="12"/>
  <c r="I7" i="56"/>
  <c r="I7" i="42"/>
  <c r="L3" i="28"/>
  <c r="E3" i="12"/>
  <c r="H11" i="56"/>
  <c r="G10" i="52"/>
  <c r="J9" i="42"/>
  <c r="G10" i="60"/>
  <c r="L8" i="1"/>
  <c r="M13" i="12"/>
  <c r="M3" i="28"/>
  <c r="G15" i="56"/>
  <c r="I10" i="52"/>
  <c r="C10" i="42"/>
  <c r="H10" i="60"/>
  <c r="I12" i="1"/>
  <c r="G14" i="12"/>
  <c r="N13" i="12"/>
  <c r="K4" i="28"/>
  <c r="H15" i="56"/>
  <c r="H10" i="42"/>
  <c r="G11" i="60"/>
  <c r="L4" i="28"/>
  <c r="E15" i="12"/>
  <c r="Q15" i="12"/>
  <c r="I13" i="1"/>
  <c r="L9" i="28"/>
  <c r="E18" i="12"/>
  <c r="K19" i="12"/>
  <c r="H16" i="56"/>
  <c r="K2" i="46"/>
  <c r="I10" i="42"/>
  <c r="C16" i="40"/>
  <c r="F18" i="12"/>
  <c r="L19" i="12"/>
  <c r="C17" i="55"/>
  <c r="J13" i="1"/>
  <c r="L13" i="28"/>
  <c r="I16" i="56"/>
  <c r="M13" i="28"/>
  <c r="E19" i="12"/>
  <c r="R19" i="12"/>
  <c r="U7" i="56"/>
  <c r="F2" i="47"/>
  <c r="E15" i="42"/>
  <c r="H2" i="47"/>
  <c r="O4" i="12"/>
  <c r="S19" i="12"/>
  <c r="I2" i="47"/>
  <c r="J15" i="42"/>
  <c r="R4" i="12"/>
  <c r="U12" i="56"/>
  <c r="C2" i="15"/>
  <c r="F2" i="39"/>
  <c r="S4" i="12"/>
  <c r="Y13" i="12" s="1" a="1"/>
  <c r="Y13" i="12" s="1"/>
  <c r="M23" i="12"/>
  <c r="O5" i="1"/>
  <c r="K5" i="12"/>
  <c r="H3" i="1"/>
  <c r="E2" i="15"/>
  <c r="H7" i="39"/>
  <c r="I3" i="1"/>
  <c r="D7" i="28"/>
  <c r="Q8" i="12"/>
  <c r="H8" i="39"/>
  <c r="C6" i="13"/>
  <c r="E11" i="28"/>
  <c r="N2" i="18"/>
  <c r="J11" i="39"/>
  <c r="H6" i="56"/>
  <c r="G5" i="52"/>
  <c r="G8" i="1"/>
  <c r="B2" i="38"/>
  <c r="B14" i="12"/>
  <c r="P11" i="12"/>
  <c r="J6" i="56"/>
  <c r="E5" i="42"/>
  <c r="H6" i="60"/>
  <c r="H8" i="1"/>
  <c r="G8" i="28"/>
  <c r="D2" i="38"/>
  <c r="C19" i="55"/>
  <c r="K14" i="28"/>
  <c r="T12" i="56"/>
  <c r="C20" i="55"/>
  <c r="M15" i="28"/>
  <c r="C21" i="55"/>
  <c r="C2" i="39"/>
  <c r="C5" i="43"/>
  <c r="O4" i="1"/>
  <c r="S13" i="56"/>
  <c r="H6" i="43"/>
  <c r="C8" i="1"/>
  <c r="H2" i="39"/>
  <c r="D2" i="15"/>
  <c r="T13" i="56"/>
  <c r="O6" i="1"/>
  <c r="H3" i="39"/>
  <c r="N23" i="12"/>
  <c r="D3" i="52"/>
  <c r="E4" i="52"/>
  <c r="P23" i="12"/>
  <c r="G2" i="15"/>
  <c r="F4" i="52"/>
  <c r="K3" i="1"/>
  <c r="R8" i="12"/>
  <c r="G4" i="1"/>
  <c r="H9" i="39"/>
  <c r="B9" i="56"/>
  <c r="Z4" i="9"/>
  <c r="D12" i="28"/>
  <c r="P9" i="12"/>
  <c r="I5" i="56"/>
  <c r="F5" i="52"/>
  <c r="F4" i="42"/>
  <c r="D14" i="28"/>
  <c r="A2" i="38"/>
  <c r="E14" i="28"/>
  <c r="B13" i="12"/>
  <c r="R9" i="12"/>
  <c r="I6" i="56"/>
  <c r="D5" i="42"/>
  <c r="H7" i="52"/>
  <c r="I9" i="52"/>
  <c r="B15" i="12"/>
  <c r="E10" i="52"/>
  <c r="J2" i="38"/>
  <c r="J6" i="1"/>
  <c r="I11" i="1"/>
  <c r="K15" i="1"/>
  <c r="J13" i="39"/>
  <c r="G9" i="12"/>
  <c r="M3" i="12"/>
  <c r="N7" i="12"/>
  <c r="R11" i="12"/>
  <c r="S21" i="12"/>
  <c r="D2" i="46"/>
  <c r="K2" i="7"/>
  <c r="D3" i="42"/>
  <c r="I13" i="42"/>
  <c r="E7" i="60"/>
  <c r="C18" i="40"/>
  <c r="C9" i="1"/>
  <c r="L6" i="1"/>
  <c r="J11" i="1"/>
  <c r="E7" i="28"/>
  <c r="H8" i="28"/>
  <c r="F3" i="39"/>
  <c r="R15" i="12"/>
  <c r="B12" i="56"/>
  <c r="J12" i="56"/>
  <c r="V7" i="56"/>
  <c r="E3" i="52"/>
  <c r="I7" i="52"/>
  <c r="H10" i="43"/>
  <c r="AB4" i="9"/>
  <c r="F7" i="1"/>
  <c r="M10" i="28"/>
  <c r="B3" i="12"/>
  <c r="E10" i="12"/>
  <c r="N3" i="12"/>
  <c r="O7" i="12"/>
  <c r="K18" i="12"/>
  <c r="P22" i="12"/>
  <c r="E2" i="46"/>
  <c r="E2" i="5"/>
  <c r="I8" i="42"/>
  <c r="J13" i="42"/>
  <c r="F7" i="60"/>
  <c r="C9" i="55"/>
  <c r="C10" i="1"/>
  <c r="K11" i="1"/>
  <c r="K19" i="1"/>
  <c r="E8" i="28"/>
  <c r="F4" i="39"/>
  <c r="B6" i="12"/>
  <c r="Q3" i="12"/>
  <c r="M12" i="12"/>
  <c r="Q22" i="12"/>
  <c r="B13" i="56"/>
  <c r="H13" i="56"/>
  <c r="U8" i="56"/>
  <c r="G3" i="52"/>
  <c r="H3" i="42"/>
  <c r="E14" i="42"/>
  <c r="G11" i="43"/>
  <c r="AC4" i="9"/>
  <c r="G7" i="1"/>
  <c r="K11" i="28"/>
  <c r="F10" i="12"/>
  <c r="L4" i="12"/>
  <c r="Q7" i="12"/>
  <c r="L18" i="12"/>
  <c r="I8" i="52"/>
  <c r="F2" i="46"/>
  <c r="F2" i="5"/>
  <c r="C9" i="42"/>
  <c r="G7" i="60"/>
  <c r="C12" i="55"/>
  <c r="C12" i="1"/>
  <c r="L11" i="1"/>
  <c r="L19" i="1"/>
  <c r="E9" i="28"/>
  <c r="H12" i="28"/>
  <c r="F7" i="39"/>
  <c r="B9" i="12"/>
  <c r="E11" i="12"/>
  <c r="N12" i="12"/>
  <c r="S22" i="12"/>
  <c r="I13" i="56"/>
  <c r="T10" i="56"/>
  <c r="H3" i="52"/>
  <c r="I3" i="42"/>
  <c r="F14" i="42"/>
  <c r="G13" i="43"/>
  <c r="AD4" i="9"/>
  <c r="C13" i="1"/>
  <c r="H7" i="1"/>
  <c r="L11" i="28"/>
  <c r="G11" i="12"/>
  <c r="M4" i="12"/>
  <c r="S7" i="12"/>
  <c r="Q18" i="12"/>
  <c r="C25" i="56"/>
  <c r="J3" i="52"/>
  <c r="J8" i="52"/>
  <c r="G2" i="46"/>
  <c r="G2" i="5"/>
  <c r="D9" i="42"/>
  <c r="H15" i="43"/>
  <c r="AG4" i="9"/>
  <c r="E8" i="60"/>
  <c r="C14" i="55"/>
  <c r="F12" i="1"/>
  <c r="F20" i="1"/>
  <c r="D10" i="28"/>
  <c r="H13" i="28"/>
  <c r="F13" i="39"/>
  <c r="B11" i="12"/>
  <c r="O12" i="12"/>
  <c r="K23" i="12"/>
  <c r="I14" i="56"/>
  <c r="U10" i="56"/>
  <c r="J3" i="42"/>
  <c r="G14" i="42"/>
  <c r="G9" i="60"/>
  <c r="C14" i="1"/>
  <c r="L12" i="28"/>
  <c r="F14" i="39"/>
  <c r="N4" i="12"/>
  <c r="P8" i="12"/>
  <c r="R18" i="12"/>
  <c r="C26" i="56"/>
  <c r="D4" i="52"/>
  <c r="C9" i="52"/>
  <c r="I9" i="42"/>
  <c r="A9" i="9"/>
  <c r="A8" i="9"/>
  <c r="A13" i="9"/>
  <c r="A4" i="9"/>
  <c r="A12" i="9"/>
  <c r="A11" i="9"/>
  <c r="A10" i="9"/>
  <c r="A7" i="9"/>
  <c r="A6" i="9"/>
  <c r="A5" i="9"/>
  <c r="AH4" i="9"/>
  <c r="C15" i="55"/>
  <c r="F8" i="1"/>
  <c r="I20" i="1"/>
  <c r="E10" i="28"/>
  <c r="G14" i="28"/>
  <c r="B12" i="12"/>
  <c r="E14" i="12"/>
  <c r="P12" i="12"/>
  <c r="L23" i="12"/>
  <c r="J14" i="56"/>
  <c r="V10" i="56"/>
  <c r="J2" i="46"/>
  <c r="L2" i="5"/>
  <c r="C4" i="42"/>
  <c r="H14" i="42"/>
  <c r="D4" i="9"/>
  <c r="E12" i="60"/>
  <c r="O7" i="1"/>
  <c r="F5" i="12"/>
  <c r="P5" i="12"/>
  <c r="L14" i="12"/>
  <c r="N20" i="12"/>
  <c r="C7" i="13"/>
  <c r="U13" i="56"/>
  <c r="K2" i="38"/>
  <c r="K4" i="1"/>
  <c r="M4" i="28"/>
  <c r="C3" i="39"/>
  <c r="G5" i="12"/>
  <c r="C8" i="13"/>
  <c r="J7" i="56"/>
  <c r="I5" i="52"/>
  <c r="J2" i="15"/>
  <c r="F4" i="60"/>
  <c r="F12" i="60"/>
  <c r="I14" i="1"/>
  <c r="E18" i="28"/>
  <c r="O20" i="12"/>
  <c r="C11" i="52"/>
  <c r="H6" i="42"/>
  <c r="C11" i="42"/>
  <c r="C11" i="43"/>
  <c r="J4" i="48"/>
  <c r="D11" i="49"/>
  <c r="C4" i="39"/>
  <c r="E6" i="12"/>
  <c r="H8" i="56"/>
  <c r="A2" i="7"/>
  <c r="K2" i="15"/>
  <c r="G12" i="60"/>
  <c r="J2" i="39"/>
  <c r="G20" i="12"/>
  <c r="N14" i="12"/>
  <c r="P20" i="12"/>
  <c r="C12" i="42"/>
  <c r="G3" i="43"/>
  <c r="J6" i="48"/>
  <c r="D12" i="49"/>
  <c r="G5" i="1"/>
  <c r="F10" i="1"/>
  <c r="C9" i="39"/>
  <c r="F6" i="12"/>
  <c r="M10" i="12"/>
  <c r="R14" i="12"/>
  <c r="I8" i="56"/>
  <c r="V14" i="56"/>
  <c r="H4" i="60"/>
  <c r="D13" i="49"/>
  <c r="K14" i="1"/>
  <c r="O15" i="1"/>
  <c r="G6" i="28"/>
  <c r="Q20" i="12"/>
  <c r="H9" i="56"/>
  <c r="D12" i="52"/>
  <c r="J6" i="42"/>
  <c r="E12" i="42"/>
  <c r="H3" i="43"/>
  <c r="J7" i="48"/>
  <c r="C8" i="40"/>
  <c r="G10" i="1"/>
  <c r="K15" i="12"/>
  <c r="V6" i="56"/>
  <c r="P4" i="9"/>
  <c r="D14" i="49"/>
  <c r="F21" i="12"/>
  <c r="E12" i="52"/>
  <c r="F2" i="18"/>
  <c r="F6" i="60"/>
  <c r="L8" i="28"/>
  <c r="C13" i="39"/>
  <c r="J6" i="39"/>
  <c r="O10" i="12"/>
  <c r="N21" i="12"/>
  <c r="J10" i="56"/>
  <c r="H5" i="43"/>
  <c r="D4" i="28"/>
  <c r="G8" i="12"/>
  <c r="F12" i="52"/>
  <c r="D7" i="42"/>
  <c r="J10" i="48"/>
  <c r="C10" i="40"/>
  <c r="C6" i="1"/>
  <c r="I15" i="1"/>
  <c r="K9" i="28"/>
  <c r="C14" i="39"/>
  <c r="J10" i="39"/>
  <c r="O15" i="12"/>
  <c r="B8" i="56"/>
  <c r="G11" i="56"/>
  <c r="T7" i="56"/>
  <c r="G7" i="52"/>
  <c r="M2" i="18"/>
  <c r="E13" i="42"/>
  <c r="G6" i="43"/>
  <c r="W4" i="9"/>
  <c r="D4" i="49"/>
  <c r="J4" i="1"/>
  <c r="F14" i="1"/>
  <c r="D18" i="28"/>
  <c r="S9" i="12"/>
  <c r="J10" i="52"/>
  <c r="F6" i="42"/>
  <c r="J10" i="42"/>
  <c r="C10" i="43"/>
  <c r="F4" i="9"/>
  <c r="F9" i="1"/>
  <c r="H12" i="39"/>
  <c r="F19" i="12"/>
  <c r="K10" i="12"/>
  <c r="N2" i="47"/>
  <c r="D10" i="49"/>
  <c r="O10" i="1"/>
  <c r="H14" i="39"/>
  <c r="S5" i="12"/>
  <c r="M14" i="12"/>
  <c r="C10" i="13"/>
  <c r="J17" i="56"/>
  <c r="V13" i="56"/>
  <c r="G4" i="9"/>
  <c r="F5" i="1"/>
  <c r="G9" i="1"/>
  <c r="K5" i="28"/>
  <c r="L10" i="12"/>
  <c r="N4" i="9"/>
  <c r="G4" i="60"/>
  <c r="J14" i="1"/>
  <c r="O11" i="1"/>
  <c r="H5" i="28"/>
  <c r="K6" i="12"/>
  <c r="S14" i="56"/>
  <c r="I6" i="52"/>
  <c r="D11" i="52"/>
  <c r="I6" i="42"/>
  <c r="L5" i="28"/>
  <c r="C15" i="13"/>
  <c r="U6" i="56"/>
  <c r="D2" i="7"/>
  <c r="O4" i="9"/>
  <c r="J3" i="39"/>
  <c r="F7" i="12"/>
  <c r="E21" i="12"/>
  <c r="J6" i="52"/>
  <c r="D2" i="18"/>
  <c r="E6" i="60"/>
  <c r="H5" i="1"/>
  <c r="C10" i="39"/>
  <c r="J5" i="39"/>
  <c r="Q6" i="12"/>
  <c r="N10" i="12"/>
  <c r="B5" i="56"/>
  <c r="E2" i="7"/>
  <c r="I5" i="1"/>
  <c r="E3" i="28"/>
  <c r="H6" i="28"/>
  <c r="K8" i="28"/>
  <c r="C11" i="39"/>
  <c r="F8" i="12"/>
  <c r="M15" i="12"/>
  <c r="U16" i="56"/>
  <c r="C7" i="52"/>
  <c r="C7" i="42"/>
  <c r="F12" i="42"/>
  <c r="J9" i="48"/>
  <c r="C9" i="40"/>
  <c r="C5" i="1"/>
  <c r="G15" i="1"/>
  <c r="N15" i="12"/>
  <c r="B7" i="56"/>
  <c r="S7" i="56"/>
  <c r="F2" i="7"/>
  <c r="V4" i="9"/>
  <c r="J5" i="1"/>
  <c r="J10" i="1"/>
  <c r="G7" i="28"/>
  <c r="E22" i="12"/>
  <c r="L7" i="12"/>
  <c r="M11" i="12"/>
  <c r="V16" i="56"/>
  <c r="D7" i="52"/>
  <c r="H2" i="7"/>
  <c r="G2" i="18"/>
  <c r="G6" i="60"/>
  <c r="K5" i="1"/>
  <c r="G11" i="1"/>
  <c r="J15" i="1"/>
  <c r="E4" i="28"/>
  <c r="H7" i="28"/>
  <c r="F9" i="12"/>
  <c r="K3" i="12"/>
  <c r="M7" i="12"/>
  <c r="R21" i="12"/>
  <c r="U17" i="56"/>
  <c r="C2" i="46"/>
  <c r="J2" i="7"/>
  <c r="E7" i="42"/>
  <c r="J11" i="48"/>
  <c r="S11" i="12"/>
  <c r="C12" i="13"/>
  <c r="T11" i="56"/>
  <c r="E9" i="52"/>
  <c r="G12" i="52"/>
  <c r="I2" i="5"/>
  <c r="H5" i="42"/>
  <c r="G12" i="42"/>
  <c r="Q4" i="9"/>
  <c r="C10" i="55"/>
  <c r="G20" i="1"/>
  <c r="G15" i="28"/>
  <c r="M9" i="28"/>
  <c r="C6" i="39"/>
  <c r="F15" i="12"/>
  <c r="O3" i="12"/>
  <c r="N6" i="12"/>
  <c r="S8" i="12"/>
  <c r="O14" i="12"/>
  <c r="M19" i="12"/>
  <c r="L22" i="12"/>
  <c r="J5" i="56"/>
  <c r="I11" i="56"/>
  <c r="S5" i="56"/>
  <c r="V17" i="56"/>
  <c r="L2" i="47"/>
  <c r="K2" i="18"/>
  <c r="C6" i="42"/>
  <c r="E9" i="42"/>
  <c r="C6" i="43"/>
  <c r="H13" i="43"/>
  <c r="G2" i="38"/>
  <c r="E11" i="60"/>
  <c r="D15" i="49"/>
  <c r="H4" i="1"/>
  <c r="I7" i="1"/>
  <c r="L10" i="1"/>
  <c r="G14" i="1"/>
  <c r="H3" i="28"/>
  <c r="H4" i="39"/>
  <c r="G7" i="12"/>
  <c r="O6" i="12"/>
  <c r="M9" i="12"/>
  <c r="K12" i="12"/>
  <c r="O19" i="12"/>
  <c r="C13" i="13"/>
  <c r="U11" i="56"/>
  <c r="D6" i="52"/>
  <c r="F9" i="52"/>
  <c r="J2" i="5"/>
  <c r="H12" i="42"/>
  <c r="S4" i="9"/>
  <c r="H5" i="60"/>
  <c r="C11" i="55"/>
  <c r="H20" i="1"/>
  <c r="E6" i="28"/>
  <c r="H15" i="28"/>
  <c r="C7" i="39"/>
  <c r="B5" i="12"/>
  <c r="G15" i="12"/>
  <c r="P3" i="12"/>
  <c r="P14" i="12"/>
  <c r="M22" i="12"/>
  <c r="G6" i="56"/>
  <c r="J11" i="56"/>
  <c r="C3" i="52"/>
  <c r="B2" i="46"/>
  <c r="M2" i="47"/>
  <c r="L2" i="18"/>
  <c r="E6" i="42"/>
  <c r="C7" i="43"/>
  <c r="H14" i="43"/>
  <c r="H2" i="38"/>
  <c r="F11" i="60"/>
  <c r="D16" i="49"/>
  <c r="I4" i="1"/>
  <c r="K7" i="1"/>
  <c r="F11" i="1"/>
  <c r="H14" i="1"/>
  <c r="G4" i="28"/>
  <c r="K3" i="28"/>
  <c r="L10" i="28"/>
  <c r="E8" i="12"/>
  <c r="P6" i="12"/>
  <c r="O9" i="12"/>
  <c r="L12" i="12"/>
  <c r="Q19" i="12"/>
  <c r="O22" i="12"/>
  <c r="C14" i="13"/>
  <c r="I12" i="56"/>
  <c r="V5" i="56"/>
  <c r="V11" i="56"/>
  <c r="E6" i="52"/>
  <c r="H9" i="52"/>
  <c r="K2" i="5"/>
  <c r="H9" i="42"/>
  <c r="D13" i="42"/>
  <c r="T4" i="9"/>
  <c r="C15" i="1"/>
  <c r="L5" i="1"/>
  <c r="J12" i="1"/>
  <c r="O12" i="1"/>
  <c r="H9" i="28"/>
  <c r="L14" i="28"/>
  <c r="E12" i="12"/>
  <c r="M5" i="12"/>
  <c r="Q10" i="12"/>
  <c r="M18" i="12"/>
  <c r="J9" i="56"/>
  <c r="E11" i="52"/>
  <c r="J7" i="42"/>
  <c r="I14" i="42"/>
  <c r="H8" i="60"/>
  <c r="C12" i="40"/>
  <c r="G19" i="1"/>
  <c r="E12" i="28"/>
  <c r="F9" i="39"/>
  <c r="F3" i="12"/>
  <c r="C5" i="52"/>
  <c r="N2" i="7"/>
  <c r="H4" i="9"/>
  <c r="J12" i="48"/>
  <c r="D8" i="49"/>
  <c r="F6" i="1"/>
  <c r="L7" i="28"/>
  <c r="F12" i="12"/>
  <c r="N5" i="12"/>
  <c r="B15" i="56"/>
  <c r="F11" i="52"/>
  <c r="C13" i="40"/>
  <c r="K9" i="1"/>
  <c r="E4" i="12"/>
  <c r="D5" i="52"/>
  <c r="C2" i="47"/>
  <c r="H4" i="42"/>
  <c r="H9" i="43"/>
  <c r="J13" i="48"/>
  <c r="E3" i="60"/>
  <c r="F9" i="60"/>
  <c r="D9" i="49"/>
  <c r="I6" i="1"/>
  <c r="O14" i="1"/>
  <c r="M7" i="28"/>
  <c r="L15" i="28"/>
  <c r="E5" i="12"/>
  <c r="E13" i="12"/>
  <c r="F23" i="12"/>
  <c r="O5" i="12"/>
  <c r="M8" i="12"/>
  <c r="K11" i="12"/>
  <c r="P18" i="12"/>
  <c r="M21" i="12"/>
  <c r="C5" i="13"/>
  <c r="H10" i="56"/>
  <c r="G16" i="56"/>
  <c r="U15" i="56"/>
  <c r="G11" i="52"/>
  <c r="C2" i="5"/>
  <c r="A2" i="18"/>
  <c r="F8" i="42"/>
  <c r="J11" i="42"/>
  <c r="C15" i="42"/>
  <c r="M4" i="9"/>
  <c r="D7" i="49"/>
  <c r="H9" i="1"/>
  <c r="L15" i="1"/>
  <c r="K7" i="28"/>
  <c r="G22" i="12"/>
  <c r="K21" i="12"/>
  <c r="B14" i="56"/>
  <c r="I15" i="56"/>
  <c r="S15" i="56"/>
  <c r="M2" i="15"/>
  <c r="H11" i="42"/>
  <c r="AI4" i="9"/>
  <c r="J7" i="39"/>
  <c r="K8" i="12"/>
  <c r="O13" i="12"/>
  <c r="Q23" i="12"/>
  <c r="V8" i="56"/>
  <c r="E8" i="52"/>
  <c r="B2" i="47"/>
  <c r="G4" i="42"/>
  <c r="H7" i="43"/>
  <c r="K12" i="1"/>
  <c r="O13" i="1"/>
  <c r="G10" i="28"/>
  <c r="M14" i="28"/>
  <c r="E23" i="12"/>
  <c r="R10" i="12"/>
  <c r="N18" i="12"/>
  <c r="L21" i="12"/>
  <c r="C4" i="13"/>
  <c r="G10" i="56"/>
  <c r="J15" i="56"/>
  <c r="T15" i="56"/>
  <c r="B2" i="5"/>
  <c r="N2" i="15"/>
  <c r="E8" i="42"/>
  <c r="I11" i="42"/>
  <c r="J14" i="42"/>
  <c r="E9" i="60"/>
  <c r="F3" i="1"/>
  <c r="I19" i="1"/>
  <c r="D13" i="28"/>
  <c r="F10" i="39"/>
  <c r="J8" i="39"/>
  <c r="L8" i="12"/>
  <c r="S13" i="12"/>
  <c r="S9" i="56"/>
  <c r="F8" i="52"/>
  <c r="AM4" i="9"/>
  <c r="G3" i="60"/>
  <c r="C15" i="40"/>
  <c r="G3" i="1"/>
  <c r="L9" i="1"/>
  <c r="G13" i="1"/>
  <c r="J19" i="1"/>
  <c r="E13" i="28"/>
  <c r="G12" i="28"/>
  <c r="F11" i="39"/>
  <c r="J9" i="39"/>
  <c r="G23" i="12"/>
  <c r="K14" i="12"/>
  <c r="C24" i="56"/>
  <c r="I10" i="56"/>
  <c r="S10" i="56"/>
  <c r="E5" i="52"/>
  <c r="G8" i="52"/>
  <c r="E2" i="47"/>
  <c r="C5" i="42"/>
  <c r="G10" i="43"/>
  <c r="AN4" i="9"/>
  <c r="J14" i="48"/>
  <c r="F13" i="12"/>
  <c r="P4" i="12"/>
  <c r="R6" i="12"/>
  <c r="N11" i="12"/>
  <c r="P13" i="12"/>
  <c r="K20" i="12"/>
  <c r="B17" i="56"/>
  <c r="J13" i="56"/>
  <c r="S6" i="56"/>
  <c r="V15" i="56"/>
  <c r="G4" i="52"/>
  <c r="I12" i="52"/>
  <c r="H2" i="15"/>
  <c r="G8" i="42"/>
  <c r="C8" i="43"/>
  <c r="I4" i="9"/>
  <c r="L2" i="38"/>
  <c r="E5" i="60"/>
  <c r="L4" i="1"/>
  <c r="J7" i="1"/>
  <c r="H10" i="1"/>
  <c r="O8" i="1"/>
  <c r="D9" i="28"/>
  <c r="H4" i="28"/>
  <c r="H14" i="28"/>
  <c r="H13" i="39"/>
  <c r="B7" i="12"/>
  <c r="E7" i="12"/>
  <c r="F22" i="12"/>
  <c r="Q4" i="12"/>
  <c r="L9" i="12"/>
  <c r="S15" i="12"/>
  <c r="N22" i="12"/>
  <c r="C9" i="13"/>
  <c r="J8" i="56"/>
  <c r="S11" i="56"/>
  <c r="F7" i="52"/>
  <c r="D10" i="52"/>
  <c r="G2" i="47"/>
  <c r="A2" i="5"/>
  <c r="C3" i="42"/>
  <c r="J5" i="42"/>
  <c r="E11" i="42"/>
  <c r="C14" i="42"/>
  <c r="H11" i="43"/>
  <c r="AF4" i="9"/>
  <c r="N2" i="38"/>
  <c r="F5" i="60"/>
  <c r="F10" i="60"/>
  <c r="C14" i="40"/>
  <c r="D6" i="49"/>
  <c r="C11" i="1"/>
  <c r="I10" i="1"/>
  <c r="H13" i="1"/>
  <c r="F19" i="1"/>
  <c r="M8" i="28"/>
  <c r="K15" i="28"/>
  <c r="F5" i="39"/>
  <c r="B8" i="12"/>
  <c r="G13" i="12"/>
  <c r="S6" i="12"/>
  <c r="O11" i="12"/>
  <c r="R13" i="12"/>
  <c r="L20" i="12"/>
  <c r="C23" i="56"/>
  <c r="H14" i="56"/>
  <c r="T6" i="56"/>
  <c r="T16" i="56"/>
  <c r="I4" i="52"/>
  <c r="A2" i="46"/>
  <c r="I2" i="15"/>
  <c r="H8" i="42"/>
  <c r="C9" i="43"/>
  <c r="J4" i="9"/>
  <c r="I4" i="42"/>
  <c r="J12" i="42"/>
  <c r="H15" i="42"/>
  <c r="E2" i="38"/>
  <c r="I9" i="1"/>
  <c r="L14" i="1"/>
  <c r="D5" i="28"/>
  <c r="H10" i="28"/>
  <c r="M12" i="28"/>
  <c r="G19" i="12"/>
  <c r="L6" i="12"/>
  <c r="Q12" i="12"/>
  <c r="P21" i="12"/>
  <c r="B10" i="56"/>
  <c r="G7" i="56"/>
  <c r="H17" i="56"/>
  <c r="F6" i="52"/>
  <c r="H11" i="52"/>
  <c r="M2" i="46"/>
  <c r="E10" i="42"/>
  <c r="X4" i="9"/>
  <c r="C16" i="55"/>
  <c r="C3" i="1"/>
  <c r="F4" i="1"/>
  <c r="K6" i="1"/>
  <c r="E5" i="28"/>
  <c r="C12" i="39"/>
  <c r="J12" i="39"/>
  <c r="F4" i="12"/>
  <c r="F11" i="12"/>
  <c r="S3" i="12"/>
  <c r="P10" i="12"/>
  <c r="L15" i="12"/>
  <c r="N19" i="12"/>
  <c r="S23" i="12"/>
  <c r="G12" i="56"/>
  <c r="T9" i="56"/>
  <c r="U14" i="56"/>
  <c r="I3" i="52"/>
  <c r="D9" i="52"/>
  <c r="G2" i="7"/>
  <c r="B2" i="15"/>
  <c r="J4" i="42"/>
  <c r="H7" i="42"/>
  <c r="C13" i="42"/>
  <c r="I15" i="42"/>
  <c r="F2" i="38"/>
  <c r="C6" i="40"/>
  <c r="G12" i="1"/>
  <c r="K20" i="1"/>
  <c r="D15" i="28"/>
  <c r="M5" i="28"/>
  <c r="H5" i="39"/>
  <c r="N8" i="12"/>
  <c r="I2" i="18"/>
  <c r="H8" i="43"/>
  <c r="B4" i="9"/>
  <c r="J15" i="48"/>
  <c r="F3" i="60"/>
  <c r="F8" i="60"/>
  <c r="C7" i="40"/>
  <c r="G8" i="60"/>
  <c r="J9" i="1"/>
  <c r="H12" i="1"/>
  <c r="F15" i="1"/>
  <c r="L20" i="1"/>
  <c r="D6" i="28"/>
  <c r="E15" i="28"/>
  <c r="G11" i="28"/>
  <c r="M6" i="28"/>
  <c r="K13" i="28"/>
  <c r="H6" i="39"/>
  <c r="E20" i="12"/>
  <c r="M6" i="12"/>
  <c r="O8" i="12"/>
  <c r="R12" i="12"/>
  <c r="Q21" i="12"/>
  <c r="B11" i="56"/>
  <c r="H7" i="56"/>
  <c r="I17" i="56"/>
  <c r="U9" i="56"/>
  <c r="G6" i="52"/>
  <c r="I11" i="52"/>
  <c r="A2" i="47"/>
  <c r="J2" i="18"/>
  <c r="F10" i="42"/>
  <c r="G9" i="43"/>
  <c r="C4" i="9"/>
  <c r="Y4" i="9"/>
  <c r="J16" i="48"/>
  <c r="H9" i="60"/>
  <c r="C18" i="55"/>
  <c r="J3" i="1"/>
  <c r="K8" i="1"/>
  <c r="K13" i="1"/>
  <c r="H19" i="1"/>
  <c r="D8" i="28"/>
  <c r="H11" i="28"/>
  <c r="K12" i="28"/>
  <c r="F12" i="39"/>
  <c r="J4" i="39"/>
  <c r="G6" i="12"/>
  <c r="F20" i="12"/>
  <c r="Q5" i="12"/>
  <c r="Q9" i="12"/>
  <c r="P15" i="12"/>
  <c r="O21" i="12"/>
  <c r="C16" i="13"/>
  <c r="I9" i="56"/>
  <c r="T5" i="56"/>
  <c r="V9" i="56"/>
  <c r="F10" i="52"/>
  <c r="D2" i="47"/>
  <c r="M2" i="5"/>
  <c r="E2" i="18"/>
  <c r="G6" i="42"/>
  <c r="D11" i="42"/>
  <c r="H13" i="42"/>
  <c r="G8" i="43"/>
  <c r="AJ4" i="9"/>
  <c r="J5" i="48"/>
  <c r="G5" i="60"/>
  <c r="C11" i="40"/>
  <c r="C4" i="1"/>
  <c r="H6" i="1"/>
  <c r="H11" i="1"/>
  <c r="L13" i="1"/>
  <c r="O9" i="1"/>
  <c r="G3" i="28"/>
  <c r="K6" i="28"/>
  <c r="C8" i="39"/>
  <c r="B10" i="12"/>
  <c r="G12" i="12"/>
  <c r="R3" i="12"/>
  <c r="R7" i="12"/>
  <c r="Q11" i="12"/>
  <c r="Q13" i="12"/>
  <c r="P19" i="12"/>
  <c r="O23" i="12"/>
  <c r="H5" i="56"/>
  <c r="G14" i="56"/>
  <c r="U5" i="56"/>
  <c r="T14" i="56"/>
  <c r="F3" i="52"/>
  <c r="H5" i="52"/>
  <c r="D8" i="52"/>
  <c r="J12" i="52"/>
  <c r="I2" i="7"/>
  <c r="E4" i="42"/>
  <c r="J8" i="42"/>
  <c r="C3" i="43"/>
  <c r="R4" i="9"/>
  <c r="AL4" i="9"/>
  <c r="I2" i="38"/>
  <c r="H10" i="39"/>
  <c r="G4" i="12"/>
  <c r="L3" i="12"/>
  <c r="K7" i="12"/>
  <c r="S10" i="12"/>
  <c r="S14" i="12"/>
  <c r="R20" i="12"/>
  <c r="R22" i="12"/>
  <c r="B16" i="56"/>
  <c r="H12" i="56"/>
  <c r="T8" i="56"/>
  <c r="S17" i="56"/>
  <c r="J4" i="52"/>
  <c r="G9" i="52"/>
  <c r="C2" i="7"/>
  <c r="L2" i="15"/>
  <c r="C8" i="42"/>
  <c r="I12" i="42"/>
  <c r="G14" i="43"/>
  <c r="L4" i="9"/>
  <c r="E4" i="60"/>
  <c r="H12" i="60"/>
  <c r="C13" i="55"/>
  <c r="D23" i="1"/>
  <c r="L7" i="1"/>
  <c r="L12" i="1"/>
  <c r="O3" i="1"/>
  <c r="G9" i="28"/>
  <c r="K10" i="28"/>
  <c r="F6" i="39"/>
  <c r="B4" i="12"/>
  <c r="G10" i="12"/>
  <c r="G18" i="12"/>
  <c r="L5" i="12"/>
  <c r="K9" i="12"/>
  <c r="K13" i="12"/>
  <c r="S18" i="12"/>
  <c r="S20" i="12"/>
  <c r="C11" i="13"/>
  <c r="G8" i="56"/>
  <c r="J16" i="56"/>
  <c r="V12" i="56"/>
  <c r="E7" i="52"/>
  <c r="L2" i="46"/>
  <c r="H2" i="5"/>
  <c r="E3" i="42"/>
  <c r="I5" i="42"/>
  <c r="G10" i="42"/>
  <c r="D15" i="42"/>
  <c r="G5" i="43"/>
  <c r="AE4" i="9"/>
  <c r="J19" i="48"/>
  <c r="T17" i="56"/>
  <c r="H4" i="52"/>
  <c r="H6" i="52"/>
  <c r="H8" i="52"/>
  <c r="H10" i="52"/>
  <c r="H12" i="52"/>
  <c r="N2" i="46"/>
  <c r="B2" i="7"/>
  <c r="D2" i="5"/>
  <c r="F2" i="15"/>
  <c r="H2" i="18"/>
  <c r="D4" i="42"/>
  <c r="D6" i="42"/>
  <c r="D8" i="42"/>
  <c r="D10" i="42"/>
  <c r="D12" i="42"/>
  <c r="D14" i="42"/>
  <c r="C4" i="43"/>
  <c r="G7" i="43"/>
  <c r="G15" i="43"/>
  <c r="K4" i="9"/>
  <c r="AA4" i="9"/>
  <c r="C2" i="38"/>
  <c r="J8" i="48"/>
  <c r="J7" i="52"/>
  <c r="J9" i="52"/>
  <c r="H2" i="46"/>
  <c r="L2" i="7"/>
  <c r="B2" i="18"/>
  <c r="F3" i="42"/>
  <c r="F5" i="42"/>
  <c r="F7" i="42"/>
  <c r="F13" i="42"/>
  <c r="G4" i="43"/>
  <c r="G12" i="43"/>
  <c r="E4" i="9"/>
  <c r="U4" i="9"/>
  <c r="AK4" i="9"/>
  <c r="M2" i="38"/>
  <c r="J20" i="48"/>
  <c r="J5" i="52"/>
  <c r="J11" i="52"/>
  <c r="J2" i="47"/>
  <c r="N2" i="5"/>
  <c r="F9" i="42"/>
  <c r="F11" i="42"/>
  <c r="F15" i="42"/>
  <c r="H3" i="60"/>
  <c r="H7" i="60"/>
  <c r="H11" i="60"/>
  <c r="C17" i="40"/>
  <c r="D5" i="49"/>
  <c r="C7" i="1"/>
  <c r="L3" i="1"/>
  <c r="G6" i="1"/>
  <c r="I8" i="1"/>
  <c r="K10" i="1"/>
  <c r="F13" i="1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Y12" i="12" a="1"/>
  <c r="Y12" i="12" s="1"/>
  <c r="Y9" i="12" a="1"/>
  <c r="Y9" i="12" s="1"/>
  <c r="Y11" i="12" a="1"/>
  <c r="Y11" i="12" s="1"/>
  <c r="AG2" i="12"/>
  <c r="AF2" i="12"/>
  <c r="AE2" i="12"/>
  <c r="M15" i="48" a="1"/>
  <c r="M15" i="48" l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6" i="13"/>
  <c r="K7" i="13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AH2" i="12" l="1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J14" i="49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M16" i="40" l="1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/>
  <c r="R12" i="55" s="1"/>
  <c r="K9" i="55" l="1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3" i="55" s="1"/>
  <c r="K19" i="55"/>
  <c r="R19" i="55" s="1"/>
  <c r="S19" i="55" s="1"/>
  <c r="S15" i="55"/>
  <c r="S12" i="55"/>
  <c r="S11" i="55"/>
  <c r="S17" i="55"/>
  <c r="S16" i="55"/>
  <c r="S20" i="55"/>
  <c r="S10" i="55"/>
  <c r="S21" i="55"/>
  <c r="S14" i="55"/>
  <c r="R3" i="55"/>
  <c r="S9" i="55"/>
  <c r="S18" i="55" l="1"/>
  <c r="S3" i="55"/>
  <c r="E13" i="59"/>
  <c r="E12" i="59"/>
  <c r="E15" i="59"/>
  <c r="E16" i="59"/>
  <c r="E8" i="59"/>
  <c r="E9" i="59"/>
  <c r="E11" i="59"/>
  <c r="E10" i="59"/>
  <c r="E17" i="59"/>
  <c r="E14" i="59"/>
  <c r="K35" i="59" l="1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C9ABC031-502C-40B6-8047-D6347E4C512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Timestamp="1716063960"&gt;&lt;FQL&gt;&lt;Q&gt;FC0000ZA^FG_MCAP_IDX(0,,,USD)&lt;/Q&gt;&lt;R&gt;1&lt;/R&gt;&lt;C&gt;1&lt;/C&gt;&lt;D xsi:type="xsd:double"&gt;325012.16&lt;/D&gt;&lt;/FQL&gt;&lt;FQL&gt;&lt;Q&gt;EWI^FREF_MARKET_VALUE_COMPANY(0,,,USD,,0,,"LEGACY")&lt;/Q&gt;&lt;R&gt;1&lt;/R&gt;&lt;C&gt;1&lt;/C&gt;&lt;D xsi:type="xsd:double"&gt;460.278&lt;/D&gt;&lt;/FQL&gt;&lt;FQL&gt;&lt;Q&gt;FC0000IT^FMA_MCAP(0,,,USD,"PORTAGG")&lt;/Q&gt;&lt;R&gt;1&lt;/R&gt;&lt;C&gt;1&lt;/C&gt;&lt;D xsi:type="xsd:double"&gt;916203&lt;/D&gt;&lt;/FQL&gt;&lt;FQL&gt;&lt;Q&gt;EWD^FREF_MARKET_VALUE_COMPANY(0,,,USD,,0,,"LEGACY")&lt;/Q&gt;&lt;R&gt;1&lt;/R&gt;&lt;C&gt;1&lt;/C&gt;&lt;D xsi:type="xsd:double"&gt;363.8235&lt;/D&gt;&lt;/FQL&gt;&lt;FQL&gt;&lt;Q&gt;FC0000SE^FMA_MCAP(0,,,USD,"PORTAGG")&lt;/Q&gt;&lt;R&gt;1&lt;/R&gt;&lt;C&gt;1&lt;/C&gt;&lt;D xsi:type="xsd:double"&gt;1061774.6&lt;/D&gt;&lt;/FQL&gt;&lt;FQL&gt;&lt;Q&gt;EWN^FREF_MARKET_VALUE_COMPANY(0,,,USD,,0,,"LEGACY")&lt;/Q&gt;&lt;R&gt;1&lt;/R&gt;&lt;C&gt;1&lt;/C&gt;&lt;D xsi:type="xsd:double"&gt;281.874&lt;/D&gt;&lt;/FQL&gt;&lt;FQL&gt;&lt;Q&gt;FC0000NL^FMA_MCAP(0,,,USD,"PORTAGG")&lt;/Q&gt;&lt;R&gt;1&lt;/R&gt;&lt;C&gt;1&lt;/C&gt;&lt;D xsi:type="xsd:double"&gt;1159770.6&lt;/D&gt;&lt;/FQL&gt;&lt;FQL&gt;&lt;Q&gt;EWQ^FREF_MARKET_VALUE_COMPANY(0,,,USD,,0,,"LEGACY")&lt;/Q&gt;&lt;R&gt;1&lt;/R&gt;&lt;C&gt;1&lt;/C&gt;&lt;D xsi:type="xsd:double"&gt;659.1&lt;/D&gt;&lt;/FQL&gt;&lt;FQL&gt;&lt;Q&gt;FC0000FR^FMA_MCAP(0,,,USD,"PORTAGG")&lt;/Q&gt;&lt;R&gt;1&lt;/R&gt;&lt;C&gt;1&lt;/C&gt;&lt;D xsi:type="xsd:double"&gt;3444518.5&lt;/D&gt;&lt;/FQL&gt;&lt;FQL&gt;&lt;Q&gt;SPY^FREF_MARKET_VALUE_COMPANY(0,,,USD,,0,,"LEGACY")&lt;/Q&gt;&lt;R&gt;1&lt;/R&gt;&lt;C&gt;1&lt;/C&gt;&lt;D xsi:type="xsd:double"&gt;525602.010345&lt;/D&gt;&lt;/FQL&gt;&lt;FQL&gt;&lt;Q&gt;FC0000US^FMA_MCAP(0,,,USD,"PORTAGG")&lt;/Q&gt;&lt;R&gt;1&lt;/R&gt;&lt;C&gt;1&lt;/C&gt;&lt;D xsi:type="xsd:double"&gt;55329810&lt;/D&gt;&lt;/FQL&gt;&lt;FQL&gt;&lt;Q&gt;QQQ^FREF_MARKET_VALUE_COMPANY(0,,,USD,,0,,"LEGACY")&lt;/Q&gt;&lt;R&gt;1&lt;/R&gt;&lt;C&gt;1&lt;/C&gt;&lt;D xsi:type="xsd:double"&gt;268277.676&lt;/D&gt;&lt;/FQL&gt;&lt;FQL&gt;&lt;Q&gt;EWU^FREF_MARKET_VALUE_COMPANY(0,,,USD,,0,,"LEGACY")&lt;/Q&gt;&lt;R&gt;1&lt;/R&gt;&lt;C&gt;1&lt;/C&gt;&lt;D xsi:type="xsd:double"&gt;2865.72&lt;/D&gt;&lt;/FQL&gt;&lt;FQL&gt;&lt;Q&gt;FC0000GB^FMA_MCAP(0,,,USD,"PORTAGG")&lt;/Q&gt;&lt;R&gt;1&lt;/R&gt;&lt;C&gt;1&lt;/C&gt;&lt;D xsi:type="xsd:double"&gt;3326938.5&lt;/D&gt;&lt;/FQL&gt;&lt;FQL&gt;&lt;Q&gt;FC0000CH^FMA_MCAP(0,,,USD,"PORTAGG")&lt;/Q&gt;&lt;R&gt;1&lt;/R&gt;&lt;C&gt;1&lt;/C&gt;&lt;D xsi:type="xsd:double"&gt;2171297.5&lt;/D&gt;&lt;/FQL&gt;&lt;FQL&gt;&lt;Q&gt;FC0000JP^FMA_MCAP(0,,,USD,"PORTAGG")&lt;/Q&gt;&lt;R&gt;1&lt;/R&gt;&lt;C&gt;1&lt;/C&gt;&lt;D xsi:type="xsd:double"&gt;6434431&lt;/D&gt;&lt;/FQL&gt;&lt;FQL&gt;&lt;Q&gt;FC0000DE^FMA_MCAP(0,,,USD,"PORTAGG")&lt;/Q&gt;&lt;R&gt;1&lt;/R&gt;&lt;C&gt;1&lt;/C&gt;&lt;D xsi:type="xsd:double"&gt;2325798&lt;/D&gt;&lt;/FQL&gt;&lt;FQL&gt;&lt;Q&gt;EWC^FREF_MARKET_VALUE_COMPANY(0,,,USD,,0,,"LEGACY")&lt;/Q&gt;&lt;R&gt;1&lt;/R&gt;&lt;C&gt;1&lt;/C&gt;&lt;D xsi:type="xsd:double"&gt;2747.608&lt;/D&gt;&lt;/FQL&gt;&lt;FQL&gt;&lt;Q&gt;FC0000CA^FMA_MCAP(0,,,USD,"PORTAGG")&lt;/Q&gt;&lt;R&gt;1&lt;/R&gt;&lt;C&gt;1&lt;/C&gt;&lt;D xsi:type="xsd:double"&gt;2787700.5&lt;/D&gt;&lt;/FQL&gt;&lt;FQL&gt;&lt;Q&gt;EWA^FREF_MARKET_VALUE_COMPANY(0,,,USD,,0,,"LEGACY")&lt;/Q&gt;&lt;R&gt;1&lt;/R&gt;&lt;C&gt;1&lt;/C&gt;&lt;D xsi:type="xsd:double"&gt;1776.896&lt;/D&gt;&lt;/FQL&gt;&lt;FQL&gt;&lt;Q&gt;FC0000AU^FMA_MCAP(0,,,USD,"PORTAGG")&lt;/Q&gt;&lt;R&gt;1&lt;/R&gt;&lt;C&gt;1&lt;/C&gt;&lt;D xsi:type="xsd:double"&gt;1717668.4&lt;/D&gt;&lt;/FQL&gt;&lt;FQL&gt;&lt;Q&gt;ENZL^FREF_MARKET_VALUE_COMPANY(0,,,USD,,0,,"LEGACY")&lt;/Q&gt;&lt;R&gt;1&lt;/R&gt;&lt;C&gt;1&lt;/C&gt;&lt;D xsi:type="xsd:double"&gt;84.8965&lt;/D&gt;&lt;/FQL&gt;&lt;FQL&gt;&lt;Q&gt;FC0000NZ^FMA_MCAP(0,,,USD,"PORTAGG")&lt;/Q&gt;&lt;R&gt;1&lt;/R&gt;&lt;C&gt;1&lt;/C&gt;&lt;D xsi:type="xsd:double"&gt;91031.125&lt;/D&gt;&lt;/FQL&gt;&lt;FQL&gt;&lt;Q&gt;NQG00809^FG_COMPANY_NAME&lt;/Q&gt;&lt;R&gt;1&lt;/R&gt;&lt;C&gt;1&lt;/C&gt;&lt;D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Africa&lt;/D&gt;&lt;/FQL&gt;&lt;FQL&gt;&lt;Q&gt;NQG00809^FMA_MCAP(0,,,USD,"PORTAGG")&lt;/Q&gt;&lt;R&gt;0&lt;/R&gt;&lt;C&gt;0&lt;/C&gt;&lt;/FQL&gt;&lt;FQL&gt;&lt;Q&gt;EWL^FREF_MARKET_VALUE_COMPANY(0,,,USD,,0,,"LEGACY")&lt;/Q&gt;&lt;R&gt;1&lt;/R&gt;&lt;C&gt;1&lt;/C&gt;&lt;D xsi:type="xsd:double"&gt;1156.91625&lt;/D&gt;&lt;/FQL&gt;&lt;FQL&gt;&lt;Q&gt;EWJ^FREF_MARKET_VALUE_COMPANY(0,,,USD,,0,,"LEGACY")&lt;/Q&gt;&lt;R&gt;1&lt;/R&gt;&lt;C&gt;1&lt;/C&gt;&lt;D xsi:type="xsd:double"&gt;16546.7475&lt;/D&gt;&lt;/FQL&gt;&lt;FQL&gt;&lt;Q&gt;EWG^FREF_MARKET_VALUE_COMPANY(0,,,USD,,0,,"LEGACY")&lt;/Q&gt;&lt;R&gt;1&lt;/R&gt;&lt;C&gt;1&lt;/C&gt;&lt;D xsi:type="xsd:double"&gt;982.326&lt;/D&gt;&lt;/FQL&gt;&lt;FQL&gt;&lt;Q&gt;DUMMY^ECON_EXPR_DATA('FDS_ECON[NTCPMIMFGSA@IT]',,,M)&lt;/Q&gt;&lt;R&gt;1&lt;/R&gt;&lt;C&gt;1&lt;/C&gt;&lt;D xsi:type="xsd:double"&gt;47.30108&lt;/D&gt;&lt;/FQL&gt;&lt;FQL&gt;&lt;Q&gt;DUMMY^ECON_EXPR_DATA('FDS_ECON[NTCPMIMFGSA@NL]',,,M)&lt;/Q&gt;&lt;R&gt;1&lt;/R&gt;&lt;C&gt;1&lt;/C&gt;&lt;D xsi:type="xsd:double"&gt;51.31471&lt;/D&gt;&lt;/FQL&gt;&lt;FQL&gt;&lt;Q&gt;DUMMY^ECON_EXPR_DATA('FDS_ECON[NTCPMIMFGSA@FR]',,,M)&lt;/Q&gt;&lt;R&gt;1&lt;/R&gt;&lt;C&gt;1&lt;/C&gt;&lt;D xsi:type="xsd:double"&gt;45.28704&lt;/D&gt;&lt;/FQL&gt;&lt;FQL&gt;&lt;Q&gt;DUMMY^ECON_EXPR_DATA('FDS_ECON[NTCPMIMFGMESA@US]',,,M)&lt;/Q&gt;&lt;R&gt;1&lt;/R&gt;&lt;C&gt;1&lt;/C&gt;&lt;D xsi:type="xsd:double"&gt;49.9503&lt;/D&gt;&lt;/FQL&gt;&lt;FQL&gt;&lt;Q&gt;DUMMY^ECON_EXPR_DATA('FDS_ECON[NTCPMIMFGSA@CH]',,,M)&lt;/Q&gt;&lt;R&gt;1&lt;/R&gt;&lt;C&gt;1&lt;/C&gt;&lt;D xsi:type="xsd:double"&gt;41.378143&lt;/D&gt;&lt;/FQL&gt;&lt;FQL&gt;&lt;Q&gt;DUMMY^ECON_EXPR_DATA('FDS_ECON[NTCPMIMFGSA@JP]',,,M)&lt;/Q&gt;&lt;R&gt;1&lt;/R&gt;&lt;C&gt;1&lt;/C&gt;&lt;D xsi:type="xsd:double"&gt;49.568592&lt;/D&gt;&lt;/FQL&gt;&lt;FQL&gt;&lt;Q&gt;DUMMY^ECON_EXPR_DATA('FDS_ECON[NTCPMIMFGSA@CA]',,,M)&lt;/Q&gt;&lt;R&gt;1&lt;/R&gt;&lt;C&gt;1&lt;/C&gt;&lt;D xsi:type="xsd:double"&gt;49.43967&lt;/D&gt;&lt;/FQL&gt;&lt;FQL&gt;&lt;Q&gt;DUMMY^ECON_EXPR_DATA('FDS_ECON[]',,,M)&lt;/Q&gt;&lt;R&gt;0&lt;/R&gt;&lt;C&gt;0&lt;/C&gt;&lt;/FQL&gt;&lt;FQL&gt;&lt;Q&gt;DUMMY^ECON_EXPR_DATA('FDS_ECON[NTCPMIMFGSA@GB]',,,M)&lt;/Q&gt;&lt;R&gt;1&lt;/R&gt;&lt;C&gt;1&lt;/C&gt;&lt;D xsi:type="xsd:double"&gt;49.074535&lt;/D&gt;&lt;/FQL&gt;&lt;FQL&gt;&lt;Q&gt;DUMMY^ECON_EXPR_DATA('FDS_ECON[NTCPMIMFGSA@DE]',,,M)&lt;/Q&gt;&lt;R&gt;1&lt;/R&gt;&lt;C&gt;1&lt;/C&gt;&lt;D xsi:type="xsd:double"&gt;42.45923&lt;/D&gt;&lt;/FQL&gt;&lt;FQL&gt;&lt;Q&gt;DUMMY^ECON_EXPR_DATA('FDS_ECON[NTCPMIMFGSA@AU]',,,M)&lt;/Q&gt;&lt;R&gt;1&lt;/R&gt;&lt;C&gt;1&lt;/C&gt;&lt;D xsi:type="xsd:double"&gt;49.583427&lt;/D&gt;&lt;/FQL&gt;&lt;FQL&gt;&lt;Q&gt;DUMMY^ECON_EXPR_DATA('FDS_ECON[NTCPMIMFGSA@NZ]',,,M)&lt;/Q&gt;&lt;R&gt;1&lt;/R&gt;&lt;C&gt;1&lt;/C&gt;&lt;D xsi:type="xsd:double"&gt;48.932884&lt;/D&gt;&lt;/FQL&gt;&lt;FQL&gt;&lt;Q&gt;CAGDPY@FR^EE_ACTUAL_ANNUAL(MED,+1)&lt;/Q&gt;&lt;R&gt;1&lt;/R&gt;&lt;C&gt;1&lt;/C&gt;&lt;D xsi:type="xsd:double"&gt;-0.55&lt;/D&gt;&lt;/FQL&gt;&lt;FQL&gt;&lt;Q&gt;CAGDPY@AU^EE_ACTUAL_ANNUAL(MED,+1)&lt;/Q&gt;&lt;R&gt;1&lt;/R&gt;&lt;C&gt;1&lt;/C&gt;&lt;D xsi:type="xsd:double"&gt;0.5&lt;/D&gt;&lt;/FQL&gt;&lt;FQL&gt;&lt;Q&gt;USDITL^FG_PRICE_CHANGE(0,-3AM)&lt;/Q&gt;&lt;R&gt;1&lt;/R&gt;&lt;C&gt;1&lt;/C&gt;&lt;D xsi:type="xsd:double"&gt;-0.9608269&lt;/D&gt;&lt;/FQL&gt;&lt;FQL&gt;&lt;Q&gt;USDANG^FG_PRICE_CHANGE(0,-3AM)&lt;/Q&gt;&lt;R&gt;1&lt;/R&gt;&lt;C&gt;1&lt;/C&gt;&lt;D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xsi:type="xsd:double"&gt;-0.8859277&lt;/D&gt;&lt;/FQL&gt;&lt;FQL&gt;&lt;Q&gt;USDJPY^FG_PRICE_CHANGE(0,-3AM)&lt;/Q&gt;&lt;R&gt;1&lt;/R&gt;&lt;C&gt;1&lt;/C&gt;&lt;D xsi:type="xsd:double"&gt;3.451264&lt;/D&gt;&lt;/FQL&gt;&lt;FQL&gt;&lt;Q&gt;USDCAD^FG_PRICE_CHANGE(0,-3AM)&lt;/Q&gt;&lt;R&gt;1&lt;/R&gt;&lt;C&gt;1&lt;/C&gt;&lt;D xsi:type="xsd:double"&gt;0.90488195&lt;/D&gt;&lt;/FQL&gt;&lt;FQL&gt;&lt;Q&gt;USDNZD^FG_PRICE_CHANGE(0,-3AM)&lt;/Q&gt;&lt;R&gt;1&lt;/R&gt;&lt;C&gt;1&lt;/C&gt;&lt;D xsi:type="xsd:double"&gt;-0.30161738&lt;/D&gt;&lt;/FQL&gt;&lt;FQL&gt;&lt;Q&gt;EWA^FMA_EPS(NTMA,-20AY,0,CY,,"PORTAGG","MEANR")&lt;/Q&gt;&lt;R&gt;20&lt;/R&gt;&lt;C&gt;1&lt;/C&gt;&lt;D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xsi:type="xsd:double"&gt;1.3179970851092&lt;/D&gt;&lt;D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xsi:type="xsd:long"&gt;41775&lt;/D&gt;&lt;D xsi:type="xsd:long"&gt;41807&lt;/D&gt;&lt;D xsi:type="xsd:long"&gt;41837&lt;/D&gt;&lt;D xsi:type="xsd:long"&gt;41866&lt;/D&gt;&lt;D xsi:type="xsd:long"&gt;41899&lt;/D&gt;&lt;D xsi:type="xsd:long"&gt;41929&lt;/D&gt;&lt;D xsi:type="xsd:long"&gt;41960&lt;/D&gt;&lt;D xsi:type="xsd:long"&gt;41990&lt;/D&gt;&lt;D xsi:type="xsd:long"&gt;42020&lt;/D&gt;&lt;D xsi:type="xsd:long"&gt;42052&lt;/D&gt;&lt;D xsi:type="xsd:long"&gt;42080&lt;/D&gt;&lt;D xsi:type="xsd:long"&gt;42111&lt;/D&gt;&lt;D xsi:type="xsd:long"&gt;42139&lt;/D&gt;&lt;D xsi:type="xsd:long"&gt;42172&lt;/D&gt;&lt;D xsi:type="xsd:long"&gt;42202&lt;/D&gt;&lt;D xsi:type="xsd:long"&gt;42233&lt;/D&gt;&lt;D xsi:type="xsd:long"&gt;42264&lt;/D&gt;&lt;D xsi:type="xsd:long"&gt;42293&lt;/D&gt;&lt;D xsi:type="xsd:long"&gt;42325&lt;/D&gt;&lt;D xsi:type="xsd:long"&gt;42355&lt;/D&gt;&lt;D xsi:type="xsd:long"&gt;42384&lt;/D&gt;&lt;D xsi:type="xsd:long"&gt;42417&lt;/D&gt;&lt;D xsi:type="xsd:long"&gt;42446&lt;/D&gt;&lt;D xsi:type="xsd:long"&gt;42475&lt;/D&gt;&lt;D xsi:type="xsd:long"&gt;42507&lt;/D&gt;&lt;D xsi:type="xsd:long"&gt;42538&lt;/D&gt;&lt;D xsi:type="xsd:long"&gt;42566&lt;/D&gt;&lt;D xsi:type="xsd:long"&gt;42599&lt;/D&gt;&lt;D xsi:type="xsd:long"&gt;42629&lt;/D&gt;&lt;D xsi:type="xsd:long"&gt;42660&lt;/D&gt;&lt;D xsi:type="xsd:long"&gt;42691&lt;/D&gt;&lt;D xsi:type="xsd:long"&gt;42720&lt;/D&gt;&lt;D xsi:type="xsd:long"&gt;42752&lt;/D&gt;&lt;D xsi:type="xsd:long"&gt;42783&lt;/D&gt;&lt;D xsi:type="xsd:long"&gt;42811&lt;/D&gt;&lt;D xsi:type="xsd:long"&gt;42842&lt;/D&gt;&lt;D xsi:type="xsd:long"&gt;42872&lt;/D&gt;&lt;D xsi:type="xsd:long"&gt;42902&lt;/D&gt;&lt;D xsi:type="xsd:long"&gt;42933&lt;/D&gt;&lt;D xsi:type="xsd:long"&gt;42964&lt;/D&gt;&lt;D xsi:type="xsd:long"&gt;42993&lt;/D&gt;&lt;D xsi:type="xsd:long"&gt;43025&lt;/D&gt;&lt;D xsi:type="xsd:long"&gt;43056&lt;/D&gt;&lt;D xsi:type="xsd:long"&gt;43084&lt;/D&gt;&lt;D xsi:type="xsd:long"&gt;43117&lt;/D&gt;&lt;D xsi:type="xsd:long"&gt;43147&lt;/D&gt;&lt;D xsi:type="xsd:long"&gt;43175&lt;/D&gt;&lt;D xsi:type="xsd:long"&gt;43207&lt;/D&gt;&lt;D xsi:type="xsd:long"&gt;43237&lt;/D&gt;&lt;D xsi:type="xsd:long"&gt;43266&lt;/D&gt;&lt;D xsi:type="xsd:long"&gt;43298&lt;/D&gt;&lt;D xsi:type="xsd:long"&gt;43329&lt;/D&gt;&lt;D xsi:type="xsd:long"&gt;43360&lt;/D&gt;&lt;D xsi:type="xsd:long"&gt;43390&lt;/D&gt;&lt;D xsi:type="xsd:long"&gt;43420&lt;/D&gt;&lt;D xsi:type="xsd:long"&gt;43451&lt;/D&gt;&lt;D xsi:type="xsd:long"&gt;43482&lt;/D&gt;&lt;D xsi:type="xsd:long"&gt;43511&lt;/D&gt;&lt;D xsi:type="xsd:long"&gt;43539&lt;/D&gt;&lt;D xsi:type="xsd:long"&gt;43572&lt;/D&gt;&lt;D xsi:type="xsd:long"&gt;43602&lt;/D&gt;&lt;D xsi:type="xsd:long"&gt;43633&lt;/D&gt;&lt;D xsi:type="xsd:long"&gt;43663&lt;/D&gt;&lt;D xsi:type="xsd:long"&gt;43693&lt;/D&gt;&lt;D xsi:type="xsd:long"&gt;43725&lt;/D&gt;&lt;D xsi:type="xsd:long"&gt;43755&lt;/D&gt;&lt;D xsi:type="xsd:long"&gt;43784&lt;/D&gt;&lt;D xsi:type="xsd:long"&gt;43816&lt;/D&gt;&lt;D xsi:type="xsd:long"&gt;43847&lt;/D&gt;&lt;D xsi:type="xsd:long"&gt;43875&lt;/D&gt;&lt;D xsi:type="xsd:long"&gt;43907&lt;/D&gt;&lt;D xsi:type="xsd:long"&gt;43938&lt;/D&gt;&lt;D xsi:type="xsd:long"&gt;43966&lt;/D&gt;&lt;D xsi:type="xsd:long"&gt;43999&lt;/D&gt;&lt;D xsi:type="xsd:long"&gt;44029&lt;/D&gt;&lt;D xsi:type="xsd:long"&gt;44060&lt;/D&gt;&lt;D xsi:type="xsd:long"&gt;44091&lt;/D&gt;&lt;D xsi:type="xsd:long"&gt;44120&lt;/D&gt;&lt;D xsi:type="xsd:long"&gt;44152&lt;/D&gt;&lt;D xsi:type="xsd:long"&gt;44182&lt;/D&gt;&lt;D xsi:type="xsd:long"&gt;44211&lt;/D&gt;&lt;D xsi:type="xsd:long"&gt;44244&lt;/D&gt;&lt;D xsi:type="xsd:long"&gt;44272&lt;/D&gt;&lt;D xsi:type="xsd:long"&gt;44302&lt;/D&gt;&lt;D xsi:type="xsd:long"&gt;44333&lt;/D&gt;&lt;D xsi:type="xsd:long"&gt;44364&lt;/D&gt;&lt;D xsi:type="xsd:long"&gt;44393&lt;/D&gt;&lt;D xsi:type="xsd:long"&gt;44425&lt;/D&gt;&lt;D xsi:type="xsd:long"&gt;44456&lt;/D&gt;&lt;D xsi:type="xsd:long"&gt;44484&lt;/D&gt;&lt;D xsi:type="xsd:long"&gt;44517&lt;/D&gt;&lt;D xsi:type="xsd:long"&gt;44547&lt;/D&gt;&lt;D xsi:type="xsd:long"&gt;44575&lt;/D&gt;&lt;D xsi:type="xsd:long"&gt;44609&lt;/D&gt;&lt;D xsi:type="xsd:long"&gt;44637&lt;/D&gt;&lt;D xsi:type="xsd:long"&gt;44665&lt;/D&gt;&lt;D xsi:type="xsd:long"&gt;44698&lt;/D&gt;&lt;D xsi:type="xsd:long"&gt;44729&lt;/D&gt;&lt;D xsi:type="xsd:long"&gt;44757&lt;/D&gt;&lt;D xsi:type="xsd:long"&gt;44790&lt;/D&gt;&lt;D xsi:type="xsd:long"&gt;44820&lt;/D&gt;&lt;D xsi:type="xsd:long"&gt;44851&lt;/D&gt;&lt;D xsi:type="xsd:long"&gt;44882&lt;/D&gt;&lt;D xsi:type="xsd:long"&gt;44911&lt;/D&gt;&lt;D xsi:type="xsd:long"&gt;44943&lt;/D&gt;&lt;D xsi:type="xsd:long"&gt;44974&lt;/D&gt;&lt;D xsi:type="xsd:long"&gt;45002&lt;/D&gt;&lt;D xsi:type="xsd:long"&gt;45033&lt;/D&gt;&lt;D xsi:type="xsd:long"&gt;45063&lt;/D&gt;&lt;D xsi:type="xsd:long"&gt;45093&lt;/D&gt;&lt;D xsi:type="xsd:long"&gt;45124&lt;/D&gt;&lt;D xsi:type="xsd:long"&gt;45155&lt;/D&gt;&lt;D xsi:type="xsd:long"&gt;45184&lt;/D&gt;&lt;D xsi:type="xsd:long"&gt;45216&lt;/D&gt;&lt;D xsi:type="xsd:long"&gt;45247&lt;/D&gt;&lt;D xsi:type="xsd:long"&gt;45275&lt;/D&gt;&lt;D xsi:type="xsd:long"&gt;45308&lt;/D&gt;&lt;D xsi:type="xsd:long"&gt;45338&lt;/D&gt;&lt;D xsi:type="xsd:long"&gt;45366&lt;/D&gt;&lt;D xsi:type="xsd:long"&gt;45399&lt;/D&gt;&lt;D xsi:type="xsd:long"&gt;45429&lt;/D&gt;&lt;/FQL&gt;&lt;FQL&gt;&lt;Q&gt;EWD^FMA_DIV_YLD(NTMA,-10AY,0,AM,"PORTAGG","MEANR")&lt;/Q&gt;&lt;R&gt;121&lt;/R&gt;&lt;C&gt;1&lt;/C&gt;&lt;D xsi:type="xsd:double"&gt;4.05699706704334&lt;/D&gt;&lt;D xsi:type="xsd:double"&gt;4.12645947244397&lt;/D&gt;&lt;D xsi:type="xsd:double"&gt;4.18733743829156&lt;/D&gt;&lt;D xsi:type="xsd:double"&gt;4.31049203471032&lt;/D&gt;&lt;D xsi:type="xsd:double"&gt;4.17042288081697&lt;/D&gt;&lt;D xsi:type="xsd:double"&gt;4.50271891342975&lt;/D&gt;&lt;D xsi:type="xsd:double"&gt;4.17475426549103&lt;/D&gt;&lt;D xsi:type="xsd:double"&gt;4.26585730321352&lt;/D&gt;&lt;D xsi:type="xsd:double"&gt;4.10853464384359&lt;/D&gt;&lt;D xsi:type="xsd:double"&gt;3.71900998869871&lt;/D&gt;&lt;D xsi:type="xsd:double"&gt;3.65128406548632&lt;/D&gt;&lt;D xsi:type="xsd:double"&gt;3.71477611230126&lt;/D&gt;&lt;D xsi:type="xsd:double"&gt;3.85337335231932&lt;/D&gt;&lt;D xsi:type="xsd:double"&gt;4.00617881998773&lt;/D&gt;&lt;D xsi:type="xsd:double"&gt;3.88469336882092&lt;/D&gt;&lt;D xsi:type="xsd:double"&gt;4.03382248693388&lt;/D&gt;&lt;D xsi:type="xsd:double"&gt;4.3463870773721&lt;/D&gt;&lt;D xsi:type="xsd:double"&gt;4.39694919424729&lt;/D&gt;&lt;D xsi:type="xsd:double"&gt;4.16847548910749&lt;/D&gt;&lt;D xsi:type="xsd:double"&gt;4.35317538071898&lt;/D&gt;&lt;D xsi:type="xsd:double"&gt;4.75612412835376&lt;/D&gt;&lt;D xsi:type="xsd:double"&gt;4.37003066544423&lt;/D&gt;&lt;D xsi:type="xsd:double"&gt;4.32574244075086&lt;/D&gt;&lt;D xsi:type="xsd:double"&gt;4.33062274106379&lt;/D&gt;&lt;D xsi:type="xsd:double"&gt;4.47675014784464&lt;/D&gt;&lt;D xsi:type="xsd:double"&gt;4.61394995042471&lt;/D&gt;&lt;D xsi:type="xsd:double"&gt;4.34415452774777&lt;/D&gt;&lt;D xsi:type="xsd:double"&gt;4.28903721182745&lt;/D&gt;&lt;D xsi:type="xsd:double"&gt;4.28130521897875&lt;/D&gt;&lt;D xsi:type="xsd:double"&gt;4.13601623665924&lt;/D&gt;&lt;D xsi:type="xsd:double"&gt;4.05584688448255&lt;/D&gt;&lt;D xsi:type="xsd:double"&gt;3.83182065589598&lt;/D&gt;&lt;D xsi:type="xsd:double"&gt;3.92572773346534&lt;/D&gt;&lt;D xsi:type="xsd:double"&gt;3.64412621412014&lt;/D&gt;&lt;D xsi:type="xsd:double"&gt;3.63830171573328&lt;/D&gt;&lt;D xsi:type="xsd:double"&gt;3.6722372479094&lt;/D&gt;&lt;D xsi:type="xsd:double"&gt;3.39741752518709&lt;/D&gt;&lt;D xsi:type="xsd:double"&gt;3.52322416659464&lt;/D&gt;&lt;D xsi:type="xsd:double"&gt;3.54406862341657&lt;/D&gt;&lt;D xsi:type="xsd:double"&gt;3.77311532104527&lt;/D&gt;&lt;D xsi:type="xsd:double"&gt;3.70742694961337&lt;/D&gt;&lt;D xsi:type="xsd:double"&gt;3.57822910936751&lt;/D&gt;&lt;D xsi:type="xsd:double"&gt;3.64140213389896&lt;/D&gt;&lt;D xsi:type="xsd:double"&gt;3.72826470458103&lt;/D&gt;&lt;D xsi:type="xsd:double"&gt;3.66121232811697&lt;/D&gt;&lt;D xsi:type="xsd:double"&gt;3.88809065457878&lt;/D&gt;&lt;D xsi:type="xsd:double"&gt;3.88744848062447&lt;/D&gt;&lt;D xsi:type="xsd:double"&gt;4.07097734626731&lt;/D&gt;&lt;D xsi:type="xsd:double"&gt;3.94800670974881&lt;/D&gt;&lt;D xsi:type="xsd:double"&gt;4.13597263941867&lt;/D&gt;&lt;D xsi:type="xsd:double"&gt;4.16923234232616&lt;/D&gt;&lt;D xsi:type="xsd:double"&gt;4.09517429964534&lt;/D&gt;&lt;D xsi:type="xsd:double"&gt;4.09174360610411&lt;/D&gt;&lt;D xsi:type="xsd:double"&gt;4.28983521364681&lt;/D&gt;&lt;D xsi:type="xsd:double"&gt;4.46993840135065&lt;/D&gt;&lt;D xsi:type="xsd:double"&gt;4.61982941548872&lt;/D&gt;&lt;D xsi:type="xsd:double"&gt;4.46516281993933&lt;/D&gt;&lt;D xsi:type="xsd:double"&gt;4.12241564004056&lt;/D&gt;&lt;D xsi:type="xsd:double"&gt;4.09987547004422&lt;/D&gt;&lt;D xsi:type="xsd:double"&gt;3.98359942561753&lt;/D&gt;&lt;D xsi:type="xsd:double"&gt;4.19112178304092&lt;/D&gt;&lt;D xsi:type="xsd:double"&gt;4.24611624278163&lt;/D&gt;&lt;D xsi:type="xsd:double"&gt;4.12132934606031&lt;/D&gt;&lt;D xsi:type="xsd:double"&gt;4.32526034929052&lt;/D&gt;&lt;D xsi:type="xsd:double"&gt;3.90870610665102&lt;/D&gt;&lt;D xsi:type="xsd:double"&gt;3.82846577325383&lt;/D&gt;&lt;D xsi:type="xsd:double"&gt;3.6518656136356&lt;/D&gt;&lt;D xsi:type="xsd:double"&gt;3.56227312571611&lt;/D&gt;&lt;D xsi:type="xsd:double"&gt;3.49657380864174&lt;/D&gt;&lt;D xsi:type="xsd:double"&gt;3.40744365814321&lt;/D&gt;&lt;D xsi:type="xsd:double"&gt;4.64847589142337&lt;/D&gt;&lt;D xsi:type="xsd:double"&gt;3.44717895495353&lt;/D&gt;&lt;D xsi:type="xsd:double"&gt;3.44181182006514&lt;/D&gt;&lt;D xsi:type="xsd:double"&gt;3.00977969367518&lt;/D&gt;&lt;D xsi:type="xsd:double"&gt;2.92829050799155&lt;/D&gt;&lt;D xsi:type="xsd:double"&gt;2.99735520882831&lt;/D&gt;&lt;D xsi:type="xsd:double"&gt;2.97156209640789&lt;/D&gt;&lt;D xsi:type="xsd:double"&gt;3.02115292514154&lt;/D&gt;&lt;D xsi:type="xsd:double"&gt;3.01364861722749&lt;/D&gt;&lt;D xsi:type="xsd:double"&gt;3.07865607778368&lt;/D&gt;&lt;D xsi:type="xsd:double"&gt;3.0127729206983&lt;/D&gt;&lt;D xsi:type="xsd:double"&gt;2.99591757624843&lt;/D&gt;&lt;D xsi:type="xsd:double"&gt;2.77925338070786&lt;/D&gt;&lt;D xsi:type="xsd:double"&gt;2.67739967093212&lt;/D&gt;&lt;D xsi:type="xsd:double"&gt;2.86037750364641&lt;/D&gt;&lt;D xsi:type="xsd:double"&gt;2.67506906047169&lt;/D&gt;&lt;D xsi:type="xsd:double"&gt;2.68426057221577&lt;/D&gt;&lt;D xsi:type="xsd:double"&gt;2.72681663435812&lt;/D&gt;&lt;D xsi:type="xsd:double"&gt;2.78291656286128&lt;/D&gt;&lt;D xsi:type="xsd:double"&gt;2.8216945440346&lt;/D&gt;&lt;D xsi:type="xsd:double"&gt;2.91762807855156&lt;/D&gt;&lt;D xsi:type="xsd:double"&gt;2.97097185833616&lt;/D&gt;&lt;D xsi:type="xsd:double"&gt;2.96678580604248&lt;/D&gt;&lt;D xsi:type="xsd:double"&gt;3.02009499265845&lt;/D&gt;&lt;D xsi:type="xsd:double"&gt;3.05614122944325&lt;/D&gt;&lt;D xsi:type="xsd:double"&gt;3.16103775121863&lt;/D&gt;&lt;D xsi:type="xsd:double"&gt;3.38470249211872&lt;/D&gt;&lt;D xsi:type="xsd:double"&gt;3.62136001734343&lt;/D&gt;&lt;D xsi:type="xsd:double"&gt;3.74100949669909&lt;/D&gt;&lt;D xsi:type="xsd:double"&gt;3.49280137083616&lt;/D&gt;&lt;D xsi:type="xsd:double"&gt;3.77923447684383&lt;/D&gt;&lt;D xsi:type="xsd:double"&gt;3.69167220503761&lt;/D&gt;&lt;D xsi:type="xsd:double"&gt;3.65685651585265&lt;/D&gt;&lt;D xsi:type="xsd:double"&gt;3.73026996489475&lt;/D&gt;&lt;D xsi:type="xsd:double"&gt;3.49825926557395&lt;/D&gt;&lt;D xsi:type="xsd:double"&gt;3.52159941920069&lt;/D&gt;&lt;D xsi:type="xsd:double"&gt;3.83499467178376&lt;/D&gt;&lt;D xsi:type="xsd:double"&gt;3.6132017029242&lt;/D&gt;&lt;D xsi:type="xsd:double"&gt;3.75165753519131&lt;/D&gt;&lt;D xsi:type="xsd:double"&gt;3.67220525828507&lt;/D&gt;&lt;D xsi:type="xsd:double"&gt;3.799654448817&lt;/D&gt;&lt;D xsi:type="xsd:double"&gt;3.99081575926015&lt;/D&gt;&lt;D xsi:type="xsd:double"&gt;3.94607167437596&lt;/D&gt;&lt;D xsi:type="xsd:double"&gt;3.79651279966502&lt;/D&gt;&lt;D xsi:type="xsd:double"&gt;3.7011214646836&lt;/D&gt;&lt;D xsi:type="xsd:double"&gt;2.93634280019177&lt;/D&gt;&lt;D xsi:type="xsd:double"&gt;3.07315509592837&lt;/D&gt;&lt;D xsi:type="xsd:double"&gt;3.34199163094894&lt;/D&gt;&lt;D xsi:type="xsd:double"&gt;3.18456472968321&lt;/D&gt;&lt;D xsi:type="xsd:double"&gt;3.32400590338517&lt;/D&gt;&lt;D xsi:type="xsd:double"&gt;3.153863986372&lt;/D&gt;&lt;/FQL&gt;&lt;FQL&gt;&lt;Q&gt;EWQ^FMA_PE(NTMA,-10AY,0,AM,"PORTAGG","MEANR")&lt;/Q&gt;&lt;R&gt;121&lt;/R&gt;&lt;C&gt;1&lt;/C&gt;&lt;D xsi:type="xsd:double"&gt;14.036757254923&lt;/D&gt;&lt;D xsi:type="xsd:double"&gt;14.282727033683&lt;/D&gt;&lt;D xsi:type="xsd:double"&gt;13.5909233586313&lt;/D&gt;&lt;D xsi:type="xsd:double"&gt;13.1231148310632&lt;/D&gt;&lt;D xsi:type="xsd:double"&gt;13.725526869916&lt;/D&gt;&lt;D xsi:type="xsd:double"&gt;12.5489153992832&lt;/D&gt;&lt;D xsi:type="xsd:double"&gt;13.2466105822063&lt;/D&gt;&lt;D xsi:type="xsd:double"&gt;13.2526119655485&lt;/D&gt;&lt;D xsi:type="xsd:double"&gt;14.3101186853963&lt;/D&gt;&lt;D xsi:type="xsd:double"&gt;15.8167372639101&lt;/D&gt;&lt;D xsi:type="xsd:double"&gt;16.528408373828&lt;/D&gt;&lt;D xsi:type="xsd:double"&gt;16.681820367625&lt;/D&gt;&lt;D xsi:type="xsd:double"&gt;16.1926892533576&lt;/D&gt;&lt;D xsi:type="xsd:double"&gt;15.3265185872859&lt;/D&gt;&lt;D xsi:type="xsd:double"&gt;16.079066522745&lt;/D&gt;&lt;D xsi:type="xsd:double"&gt;15.372467197156&lt;/D&gt;&lt;D xsi:type="xsd:double"&gt;14.4487012940236&lt;/D&gt;&lt;D xsi:type="xsd:double"&gt;14.6125367310741&lt;/D&gt;&lt;D xsi:type="xsd:double"&gt;15.3012998384753&lt;/D&gt;&lt;D xsi:type="xsd:double"&gt;14.6901716038528&lt;/D&gt;&lt;D xsi:type="xsd:double"&gt;13.4651441857621&lt;/D&gt;&lt;D xsi:type="xsd:double"&gt;13.8448811124301&lt;/D&gt;&lt;D xsi:type="xsd:double"&gt;14.5225549883324&lt;/D&gt;&lt;D xsi:type="xsd:double"&gt;14.6977510510707&lt;/D&gt;&lt;D xsi:type="xsd:double"&gt;14.0801398264648&lt;/D&gt;&lt;D xsi:type="xsd:double"&gt;13.4661705103172&lt;/D&gt;&lt;D xsi:type="xsd:double"&gt;13.963616843326&lt;/D&gt;&lt;D xsi:type="xsd:double"&gt;13.9252129747745&lt;/D&gt;&lt;D xsi:type="xsd:double"&gt;13.6024941273295&lt;/D&gt;&lt;D xsi:type="xsd:double"&gt;13.8150351888285&lt;/D&gt;&lt;D xsi:type="xsd:double"&gt;13.7704748425568&lt;/D&gt;&lt;D xsi:type="xsd:double"&gt;14.5158717167062&lt;/D&gt;&lt;D xsi:type="xsd:double"&gt;14.5121536053033&lt;/D&gt;&lt;D xsi:type="xsd:double"&gt;14.273920010363&lt;/D&gt;&lt;D xsi:type="xsd:double"&gt;14.6149066064755&lt;/D&gt;&lt;D xsi:type="xsd:double"&gt;14.7100605762197&lt;/D&gt;&lt;D xsi:type="xsd:double"&gt;15.2299655124766&lt;/D&gt;&lt;D xsi:type="xsd:double"&gt;14.9809724417214&lt;/D&gt;&lt;D xsi:type="xsd:double"&gt;14.8938604545481&lt;/D&gt;&lt;D xsi:type="xsd:double"&gt;14.6104798369147&lt;/D&gt;&lt;D xsi:type="xsd:double"&gt;14.8258607092245&lt;/D&gt;&lt;D xsi:type="xsd:double"&gt;15.136285227038&lt;/D&gt;&lt;D xsi:type="xsd:double"&gt;14.8219308118101&lt;/D&gt;&lt;D xsi:type="xsd:double"&gt;14.9053094936228&lt;/D&gt;&lt;D xsi:type="xsd:double"&gt;15.2267697128066&lt;/D&gt;&lt;D xsi:type="xsd:double"&gt;14.6009205691885&lt;/D&gt;&lt;D xsi:type="xsd:double"&gt;14.5360915971499&lt;/D&gt;&lt;D xsi:type="xsd:double"&gt;14.5749247204479&lt;/D&gt;&lt;D xsi:type="xsd:double"&gt;14.9449679299273&lt;/D&gt;&lt;D xsi:type="xsd:double"&gt;14.492681269394&lt;/D&gt;&lt;D xsi:type="xsd:double"&gt;14.1118452798394&lt;/D&gt;&lt;D xsi:type="xsd:double"&gt;13.6578535341948&lt;/D&gt;&lt;D xsi:type="xsd:double"&gt;13.5833309063866&lt;/D&gt;&lt;D xsi:type="xsd:double"&gt;12.9110981824804&lt;/D&gt;&lt;D xsi:type="xsd:double"&gt;12.6135588062794&lt;/D&gt;&lt;D xsi:type="xsd:double"&gt;12.0769190390746&lt;/D&gt;&lt;D xsi:type="xsd:double"&gt;12.3174837023857&lt;/D&gt;&lt;D xsi:type="xsd:double"&gt;13.1933277057201&lt;/D&gt;&lt;D xsi:type="xsd:double"&gt;13.8089476751275&lt;/D&gt;&lt;D xsi:type="xsd:double"&gt;14.107048899369&lt;/D&gt;&lt;D xsi:type="xsd:double"&gt;13.754216614496&lt;/D&gt;&lt;D xsi:type="xsd:double"&gt;13.561125463199&lt;/D&gt;&lt;D xsi:type="xsd:double"&gt;14.0361388851164&lt;/D&gt;&lt;D xsi:type="xsd:double"&gt;13.4067156635136&lt;/D&gt;&lt;D xsi:type="xsd:double"&gt;14.0906593375754&lt;/D&gt;&lt;D xsi:type="xsd:double"&gt;14.3069827575233&lt;/D&gt;&lt;D xsi:type="xsd:double"&gt;14.8593326012531&lt;/D&gt;&lt;D xsi:type="xsd:double"&gt;14.8948701039435&lt;/D&gt;&lt;D xsi:type="xsd:double"&gt;15.1735496145974&lt;/D&gt;&lt;D xsi:type="xsd:double"&gt;15.2160122704363&lt;/D&gt;&lt;D xsi:type="xsd:double"&gt;10.6290619514632&lt;/D&gt;&lt;D xsi:type="xsd:double"&gt;15.2151726039703&lt;/D&gt;&lt;D xsi:type="xsd:double"&gt;15.9632723517464&lt;/D&gt;&lt;D xsi:type="xsd:double"&gt;18.9655604530866&lt;/D&gt;&lt;D xsi:type="xsd:double"&gt;19.7967167008953&lt;/D&gt;&lt;D xsi:type="xsd:double"&gt;19.7337985186373&lt;/D&gt;&lt;D xsi:type="xsd:double"&gt;19.1320354740098&lt;/D&gt;&lt;D xsi:type="xsd:double"&gt;18.2304529935795&lt;/D&gt;&lt;D xsi:type="xsd:double"&gt;19.1538406264761&lt;/D&gt;&lt;D xsi:type="xsd:double"&gt;18.3647744197053&lt;/D&gt;&lt;D xsi:type="xsd:double"&gt;17.858457434748&lt;/D&gt;&lt;D xsi:type="xsd:double"&gt;17.9628459322794&lt;/D&gt;&lt;D xsi:type="xsd:double"&gt;18.459753451581&lt;/D&gt;&lt;D xsi:type="xsd:double"&gt;18.3474332200298&lt;/D&gt;&lt;D xsi:type="xsd:double"&gt;17.7179221408693&lt;/D&gt;&lt;D xsi:type="xsd:double"&gt;18.0796614700864&lt;/D&gt;&lt;D xsi:type="xsd:double"&gt;16.8652475247079&lt;/D&gt;&lt;D xsi:type="xsd:double"&gt;16.65105686389&lt;/D&gt;&lt;D xsi:type="xsd:double"&gt;15.8902517947267&lt;/D&gt;&lt;D xsi:type="xsd:double"&gt;15.6765103622935&lt;/D&gt;&lt;D xsi:type="xsd:double"&gt;16.0555717169869&lt;/D&gt;&lt;D xsi:type="xsd:double"&gt;15.3728899821495&lt;/D&gt;&lt;D xsi:type="xsd:double"&gt;15.534458134633&lt;/D&gt;&lt;D xsi:type="xsd:double"&gt;14.4848312099099&lt;/D&gt;&lt;D xsi:type="xsd:double"&gt;13.7359449427435&lt;/D&gt;&lt;D xsi:type="xsd:double"&gt;13.1567937060156&lt;/D&gt;&lt;D xsi:type="xsd:double"&gt;12.3770245083906&lt;/D&gt;&lt;D xsi:type="xsd:double"&gt;11.1532990588757&lt;/D&gt;&lt;D xsi:type="xsd:double"&gt;11.1572017278018&lt;/D&gt;&lt;D xsi:type="xsd:double"&gt;11.7748531276215&lt;/D&gt;&lt;D xsi:type="xsd:double"&gt;10.9691052269981&lt;/D&gt;&lt;D xsi:type="xsd:double"&gt;10.76183835907&lt;/D&gt;&lt;D xsi:type="xsd:double"&gt;11.8179067145313&lt;/D&gt;&lt;D xsi:type="xsd:double"&gt;11.752919171787&lt;/D&gt;&lt;D xsi:type="xsd:double"&gt;13.0256099064124&lt;/D&gt;&lt;D xsi:type="xsd:double"&gt;13.4427536646656&lt;/D&gt;&lt;D xsi:type="xsd:double"&gt;12.5904090797829&lt;/D&gt;&lt;D xsi:type="xsd:double"&gt;13.5856084754798&lt;/D&gt;&lt;D xsi:type="xsd:double"&gt;13.302676606862&lt;/D&gt;&lt;D xsi:type="xsd:double"&gt;13.3467837285436&lt;/D&gt;&lt;D xsi:type="xsd:double"&gt;13.1156509419687&lt;/D&gt;&lt;D xsi:type="xsd:double"&gt;12.7698039389592&lt;/D&gt;&lt;D xsi:type="xsd:double"&gt;13.0015350966723&lt;/D&gt;&lt;D xsi:type="xsd:double"&gt;12.2935876421694&lt;/D&gt;&lt;D xsi:type="xsd:double"&gt;12.8234677599813&lt;/D&gt;&lt;D xsi:type="xsd:double"&gt;13.4687269684873&lt;/D&gt;&lt;D xsi:type="xsd:double"&gt;13.0818435775628&lt;/D&gt;&lt;D xsi:type="xsd:double"&gt;13.9969962365502&lt;/D&gt;&lt;D xsi:type="xsd:double"&gt;14.6619486066407&lt;/D&gt;&lt;D xsi:type="xsd:double"&gt;14.2656052834497&lt;/D&gt;&lt;D xsi:type="xsd:double"&gt;14.7828634444309&lt;/D&gt;&lt;/FQL&gt;&lt;FQL&gt;&lt;Q&gt;QQQ^FMA_PE(LTMA,-10AY,0,AM,"PORTAGG","MEANR")&lt;/Q&gt;&lt;R&gt;121&lt;/R&gt;&lt;C&gt;1&lt;/C&gt;&lt;D xsi:type="xsd:double"&gt;18.6988801069234&lt;/D&gt;&lt;D xsi:type="xsd:double"&gt;18.9065817180566&lt;/D&gt;&lt;D xsi:type="xsd:double"&gt;19.0364785210653&lt;/D&gt;&lt;D xsi:type="xsd:double"&gt;19.1861699893287&lt;/D&gt;&lt;D xsi:type="xsd:double"&gt;19.4097369881328&lt;/D&gt;&lt;D xsi:type="xsd:double"&gt;18.4466686644066&lt;/D&gt;&lt;D xsi:type="xsd:double"&gt;19.9873295165667&lt;/D&gt;&lt;D xsi:type="xsd:double"&gt;19.7792734697642&lt;/D&gt;&lt;D xsi:type="xsd:double"&gt;19.5352133605673&lt;/D&gt;&lt;D xsi:type="xsd:double"&gt;20.4824179638187&lt;/D&gt;&lt;D xsi:type="xsd:double"&gt;20.6154590413458&lt;/D&gt;&lt;D xsi:type="xsd:double"&gt;20.3862357443063&lt;/D&gt;&lt;D xsi:type="xsd:double"&gt;20.3364625893627&lt;/D&gt;&lt;D xsi:type="xsd:double"&gt;20.0958774155504&lt;/D&gt;&lt;D xsi:type="xsd:double"&gt;20.4773335090047&lt;/D&gt;&lt;D xsi:type="xsd:double"&gt;20.329746080875&lt;/D&gt;&lt;D xsi:type="xsd:double"&gt;19.6839439136457&lt;/D&gt;&lt;D xsi:type="xsd:double"&gt;19.7522977909972&lt;/D&gt;&lt;D xsi:type="xsd:double"&gt;20.0156544249406&lt;/D&gt;&lt;D xsi:type="xsd:double"&gt;20.1222345663761&lt;/D&gt;&lt;D xsi:type="xsd:double"&gt;18.2634328835928&lt;/D&gt;&lt;D xsi:type="xsd:double"&gt;18.3984388613056&lt;/D&gt;&lt;D xsi:type="xsd:double"&gt;18.2920480578975&lt;/D&gt;&lt;D xsi:type="xsd:double"&gt;18.4763854813404&lt;/D&gt;&lt;D xsi:type="xsd:double"&gt;18.301317686881&lt;/D&gt;&lt;D xsi:type="xsd:double"&gt;18.3845919335176&lt;/D&gt;&lt;D xsi:type="xsd:double"&gt;19.0232646156013&lt;/D&gt;&lt;D xsi:type="xsd:double"&gt;19.5786483355333&lt;/D&gt;&lt;D xsi:type="xsd:double"&gt;19.6943265831601&lt;/D&gt;&lt;D xsi:type="xsd:double"&gt;19.7996725062758&lt;/D&gt;&lt;D xsi:type="xsd:double"&gt;19.9074314781122&lt;/D&gt;&lt;D xsi:type="xsd:double"&gt;20.3620809062086&lt;/D&gt;&lt;D xsi:type="xsd:double"&gt;20.9476095340402&lt;/D&gt;&lt;D xsi:type="xsd:double"&gt;21.7629193504294&lt;/D&gt;&lt;D xsi:type="xsd:double"&gt;21.6915977042496&lt;/D&gt;&lt;D xsi:type="xsd:double"&gt;21.5630583966411&lt;/D&gt;&lt;D xsi:type="xsd:double"&gt;21.6764959515536&lt;/D&gt;&lt;D xsi:type="xsd:double"&gt;21.7612940494373&lt;/D&gt;&lt;D xsi:type="xsd:double"&gt;22.0936062186406&lt;/D&gt;&lt;D xsi:type="xsd:double"&gt;21.8534736458757&lt;/D&gt;&lt;D xsi:type="xsd:double"&gt;22.3250718471081&lt;/D&gt;&lt;D xsi:type="xsd:double"&gt;22.7427053170172&lt;/D&gt;&lt;D xsi:type="xsd:double"&gt;22.9879963290216&lt;/D&gt;&lt;D xsi:type="xsd:double"&gt;23.5511027597558&lt;/D&gt;&lt;D xsi:type="xsd:double"&gt;24.9258781165792&lt;/D&gt;&lt;D xsi:type="xsd:double"&gt;23.9657419816844&lt;/D&gt;&lt;D xsi:type="xsd:double"&gt;24.0713317525567&lt;/D&gt;&lt;D xsi:type="xsd:double"&gt;23.6321274320642&lt;/D&gt;&lt;D xsi:type="xsd:double"&gt;23.2454705013571&lt;/D&gt;&lt;D xsi:type="xsd:double"&gt;23.390957061603&lt;/D&gt;&lt;D xsi:type="xsd:double"&gt;23.415196998672&lt;/D&gt;&lt;D xsi:type="xsd:double"&gt;23.0169954039989&lt;/D&gt;&lt;D xsi:type="xsd:double"&gt;22.8860257781581&lt;/D&gt;&lt;D xsi:type="xsd:double"&gt;22.3583234115222&lt;/D&gt;&lt;D xsi:type="xsd:double"&gt;20.7013601011065&lt;/D&gt;&lt;D xsi:type="xsd:double"&gt;19.1472433647816&lt;/D&gt;&lt;D xsi:type="xsd:double"&gt;19.8689912488539&lt;/D&gt;&lt;D xsi:type="xsd:double"&gt;20.7601571034967&lt;/D&gt;&lt;D xsi:type="xsd:double"&gt;20.9834539553982&lt;/D&gt;&lt;D xsi:type="xsd:double"&gt;21.2897857769413&lt;/D&gt;&lt;D xsi:type="xsd:double"&gt;21.2139642958417&lt;/D&gt;&lt;D xsi:type="xsd:double"&gt;21.3278835053701&lt;/D&gt;&lt;D xsi:type="xsd:double"&gt;22.0057816076539&lt;/D&gt;&lt;D xsi:type="xsd:double"&gt;21.6334057157309&lt;/D&gt;&lt;D xsi:type="xsd:double"&gt;22.3064319201305&lt;/D&gt;&lt;D xsi:type="xsd:double"&gt;22.6053843048191&lt;/D&gt;&lt;D xsi:type="xsd:double"&gt;23.6158369122175&lt;/D&gt;&lt;D xsi:type="xsd:double"&gt;24.7983910170522&lt;/D&gt;&lt;D xsi:type="xsd:double"&gt;26.6037633295549&lt;/D&gt;&lt;D xsi:type="xsd:double"&gt;27.2039443898194&lt;/D&gt;&lt;D xsi:type="xsd:double"&gt;23.2216727670251&lt;/D&gt;&lt;D xsi:type="xsd:double"&gt;24.6469648731734&lt;/D&gt;&lt;D xsi:type="xsd:double"&gt;25.6827404073157&lt;/D&gt;&lt;D xsi:type="xsd:double"&gt;27.4000742468811&lt;/D&gt;&lt;D xsi:type="xsd:double"&gt;28.7410645015544&lt;/D&gt;&lt;D xsi:type="xsd:double"&gt;29.5656697138567&lt;/D&gt;&lt;D xsi:type="xsd:double"&gt;29.8426002491959&lt;/D&gt;&lt;D xsi:type="xsd:double"&gt;32.1481851227239&lt;/D&gt;&lt;D xsi:type="xsd:double"&gt;32.1591321012808&lt;/D&gt;&lt;D xsi:type="xsd:double"&gt;34.8573385513742&lt;/D&gt;&lt;D xsi:type="xsd:double"&gt;34.7099584657098&lt;/D&gt;&lt;D xsi:type="xsd:double"&gt;35.2394034240424&lt;/D&gt;&lt;D xsi:type="xsd:double"&gt;32.7922034153943&lt;/D&gt;&lt;D xsi:type="xsd:double"&gt;32.933143288729&lt;/D&gt;&lt;D xsi:type="xsd:double"&gt;31.4513878415512&lt;/D&gt;&lt;D xsi:type="xsd:double"&gt;31.6317185522991&lt;/D&gt;&lt;D xsi:type="xsd:double"&gt;31.8082565801585&lt;/D&gt;&lt;D xsi:type="xsd:double"&gt;31.1248025910368&lt;/D&gt;&lt;D xsi:type="xsd:double"&gt;31.2286984097719&lt;/D&gt;&lt;D xsi:type="xsd:double"&gt;30.697854874413&lt;/D&gt;&lt;D xsi:type="xsd:double"&gt;32.0678408193569&lt;/D&gt;&lt;D xsi:type="xsd:double"&gt;30.8590140055542&lt;/D&gt;&lt;D xsi:type="xsd:double"&gt;30.3904090478216&lt;/D&gt;&lt;D xsi:type="xsd:double"&gt;26.674878473757&lt;/D&gt;&lt;D xsi:type="xsd:double"&gt;26.5740511955135&lt;/D&gt;&lt;D xsi:type="xsd:double"&gt;26.3372751480124&lt;/D&gt;&lt;D xsi:type="xsd:double"&gt;25.4320464986985&lt;/D&gt;&lt;D xsi:type="xsd:double"&gt;24.014463307094&lt;/D&gt;&lt;D xsi:type="xsd:double"&gt;24.4076559125043&lt;/D&gt;&lt;D xsi:type="xsd:double"&gt;26.3110007951983&lt;/D&gt;&lt;D xsi:type="xsd:double"&gt;24.0252426063436&lt;/D&gt;&lt;D xsi:type="xsd:double"&gt;22.6911908183801&lt;/D&gt;&lt;D xsi:type="xsd:double"&gt;23.6280655873925&lt;/D&gt;&lt;D xsi:type="xsd:double"&gt;22.4861960628732&lt;/D&gt;&lt;D xsi:type="xsd:double"&gt;23.9493766564568&lt;/D&gt;&lt;D xsi:type="xsd:double"&gt;25.7287243995809&lt;/D&gt;&lt;D xsi:type="xsd:double"&gt;25.3557605241914&lt;/D&gt;&lt;D xsi:type="xsd:double"&gt;25.6752927280606&lt;/D&gt;&lt;D xsi:type="xsd:double"&gt;25.9375366732652&lt;/D&gt;&lt;D xsi:type="xsd:double"&gt;27.1852121166581&lt;/D&gt;&lt;D xsi:type="xsd:double"&gt;28.0222998229355&lt;/D&gt;&lt;D xsi:type="xsd:double"&gt;25.9935184677904&lt;/D&gt;&lt;D xsi:type="xsd:double"&gt;26.4903165697603&lt;/D&gt;&lt;D xsi:type="xsd:double"&gt;26.5793201117081&lt;/D&gt;&lt;D xsi:type="xsd:double"&gt;27.506618776624&lt;/D&gt;&lt;D xsi:type="xsd:double"&gt;28.6983011834279&lt;/D&gt;&lt;D xsi:type="xsd:double"&gt;28.8438056688892&lt;/D&gt;&lt;D xsi:type="xsd:double"&gt;29.9203670044871&lt;/D&gt;&lt;D xsi:type="xsd:double"&gt;30.0745448474151&lt;/D&gt;&lt;D xsi:type="xsd:double"&gt;29.5369182785596&lt;/D&gt;&lt;D xsi:type="xsd:double"&gt;29.7748365435453&lt;/D&gt;&lt;/FQL&gt;&lt;FQL&gt;&lt;Q&gt;DDR3512M-FDS^FG_PRICE(0)&lt;/Q&gt;&lt;R&gt;1&lt;/R&gt;&lt;C&gt;1&lt;/C&gt;&lt;D xsi:type="xsd:double"&gt;0.96377116&lt;/D&gt;&lt;/FQL&gt;&lt;FQL&gt;&lt;Q&gt;PASP-FDS^FG_PRICE(0)&lt;/Q&gt;&lt;R&gt;1&lt;/R&gt;&lt;C&gt;1&lt;/C&gt;&lt;D xsi:type="xsd:double"&gt;1024&lt;/D&gt;&lt;/FQL&gt;&lt;FQL&gt;&lt;Q&gt;PLATI-FDS^FG_PRICE(0)&lt;/Q&gt;&lt;R&gt;1&lt;/R&gt;&lt;C&gt;1&lt;/C&gt;&lt;D xsi:type="xsd:double"&gt;1066&lt;/D&gt;&lt;/FQL&gt;&lt;FQL&gt;&lt;Q&gt;W-FDS^FG_PRICE(0)&lt;/Q&gt;&lt;R&gt;1&lt;/R&gt;&lt;C&gt;1&lt;/C&gt;&lt;D xsi:type="xsd:double"&gt;6.5125&lt;/D&gt;&lt;/FQL&gt;&lt;FQL&gt;&lt;Q&gt;COPP-FDS^FG_PRICE(0)&lt;/Q&gt;&lt;R&gt;1&lt;/R&gt;&lt;C&gt;1&lt;/C&gt;&lt;D xsi:type="xsd:double"&gt;5.057&lt;/D&gt;&lt;/FQL&gt;&lt;FQL&gt;&lt;Q&gt;FC0000US^FG_PRICE(0)&lt;/Q&gt;&lt;R&gt;1&lt;/R&gt;&lt;C&gt;1&lt;/C&gt;&lt;D xsi:type="xsd:double"&gt;398.70715&lt;/D&gt;&lt;/FQL&gt;&lt;FQL&gt;&lt;Q&gt;FC0000GR^FG_PRICE(0)&lt;/Q&gt;&lt;R&gt;1&lt;/R&gt;&lt;C&gt;1&lt;/C&gt;&lt;D xsi:type="xsd:double"&gt;10.078218&lt;/D&gt;&lt;/FQL&gt;&lt;FQL&gt;&lt;Q&gt;EWI^FG_PRICE(0)&lt;/Q&gt;&lt;R&gt;1&lt;/R&gt;&lt;C&gt;1&lt;/C&gt;&lt;D xsi:type="xsd:double"&gt;39.34&lt;/D&gt;&lt;/FQL&gt;&lt;FQL&gt;&lt;Q&gt;SPY^FG_PRICE(0)&lt;/Q&gt;&lt;R&gt;1&lt;/R&gt;&lt;C&gt;1&lt;/C&gt;&lt;D xsi:type="xsd:double"&gt;529.45&lt;/D&gt;&lt;/FQL&gt;&lt;FQL&gt;&lt;Q&gt;EWJ^FG_PRICE(0)&lt;/Q&gt;&lt;R&gt;1&lt;/R&gt;&lt;C&gt;1&lt;/C&gt;&lt;D xsi:type="xsd:double"&gt;68.73&lt;/D&gt;&lt;/FQL&gt;&lt;FQL&gt;&lt;Q&gt;ENZL^FG_PRICE(0)&lt;/Q&gt;&lt;R&gt;1&lt;/R&gt;&lt;C&gt;1&lt;/C&gt;&lt;D xsi:type="xsd:double"&gt;45.89&lt;/D&gt;&lt;/FQL&gt;&lt;FQL&gt;&lt;Q&gt;EWA^FG_COMPANY_NAME&lt;/Q&gt;&lt;R&gt;1&lt;/R&gt;&lt;C&gt;1&lt;/C&gt;&lt;D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xsi:type="xsd:double"&gt;0.4060402&lt;/D&gt;&lt;/FQL&gt;&lt;FQL&gt;&lt;Q&gt;SPY^FMA_PCT_ABOVE_MAVG(200,0,,,,"PORTAGG")&lt;/Q&gt;&lt;R&gt;1&lt;/R&gt;&lt;C&gt;1&lt;/C&gt;&lt;D xsi:type="xsd:double"&gt;79.4411177644711&lt;/D&gt;&lt;/FQL&gt;&lt;FQL&gt;&lt;Q&gt;URTH^PERCENT_CHANGE(FMA_EPS(+1,0,,,,"PORTAGG","MEAN"),FMA_EPS(+1,-3AM,,,,"PORTAGG","MEAN"))&lt;/Q&gt;&lt;R&gt;1&lt;/R&gt;&lt;C&gt;1&lt;/C&gt;&lt;D xsi:type="xsd:double"&gt;0.82213971173178&lt;/D&gt;&lt;/FQL&gt;&lt;FQL&gt;&lt;Q&gt;VGK^FG_TOTAL_RETURNC(0,-3AM)&lt;/Q&gt;&lt;R&gt;1&lt;/R&gt;&lt;C&gt;1&lt;/C&gt;&lt;D xsi:type="xsd:double"&gt;9.541941&lt;/D&gt;&lt;/FQL&gt;&lt;FQL&gt;&lt;Q&gt;EWD^P_PRICE(0)/P_PRICE_HIGH_PR(0,,,,,,"PRICE","INTRA","52W")&lt;/Q&gt;&lt;R&gt;1&lt;/R&gt;&lt;C&gt;1&lt;/C&gt;&lt;D xsi:type="xsd:double"&gt;0.9844349&lt;/D&gt;&lt;/FQL&gt;&lt;FQL&gt;&lt;Q&gt;EWQ^FG_TOTAL_RETURNC(0,-12AM)&lt;/Q&gt;&lt;R&gt;1&lt;/R&gt;&lt;C&gt;1&lt;/C&gt;&lt;D xsi:type="xsd:double"&gt;11.907042&lt;/D&gt;&lt;/FQL&gt;&lt;FQL&gt;&lt;Q&gt;SPY^PERCENT_CHANGE(FMA_EPS(+1,0,,,,"PORTAGG","MEAN"),FMA_EPS(+1,-1AM,,,,"PORTAGG","MEAN"))&lt;/Q&gt;&lt;R&gt;1&lt;/R&gt;&lt;C&gt;1&lt;/C&gt;&lt;D xsi:type="xsd:double"&gt;0.592391645584935&lt;/D&gt;&lt;/FQL&gt;&lt;FQL&gt;&lt;Q&gt;EWU^FG_TOTAL_RETURNC(0,-1AM)&lt;/Q&gt;&lt;R&gt;1&lt;/R&gt;&lt;C&gt;1&lt;/C&gt;&lt;D xsi:type="xsd:double"&gt;9.967077&lt;/D&gt;&lt;/FQL&gt;&lt;FQL&gt;&lt;Q&gt;EWJ^FG_TOTAL_RETURNC(0,-6AM)&lt;/Q&gt;&lt;R&gt;1&lt;/R&gt;&lt;C&gt;1&lt;/C&gt;&lt;D xsi:type="xsd:double"&gt;11.786294&lt;/D&gt;&lt;/FQL&gt;&lt;FQL&gt;&lt;Q&gt;EWC^P_PRICE(0)/P_PRICE_LOW_PR(0,,,,,,"PRICE","INTRA","52W")-1&lt;/Q&gt;&lt;R&gt;1&lt;/R&gt;&lt;C&gt;1&lt;/C&gt;&lt;D xsi:type="xsd:double"&gt;0.22858965&lt;/D&gt;&lt;/FQL&gt;&lt;FQL&gt;&lt;Q&gt;EWA^FMA_PCT_ABOVE_MAVG(200,0,,,,"PORTAGG")&lt;/Q&gt;&lt;R&gt;1&lt;/R&gt;&lt;C&gt;1&lt;/C&gt;&lt;D xsi:type="xsd:double"&gt;76.271186440678&lt;/D&gt;&lt;/FQL&gt;&lt;FQL&gt;&lt;Q&gt;EWJ^SIZE(FG_CONSTITUENTS)&lt;/Q&gt;&lt;R&gt;1&lt;/R&gt;&lt;C&gt;1&lt;/C&gt;&lt;D xsi:type="xsd:long"&gt;218&lt;/D&gt;&lt;/FQL&gt;&lt;FQL&gt;&lt;Q&gt;EWD^FMA_COS_DOWN("EPS","1M",+1,0,,,"PORTAGG","MEANR")&lt;/Q&gt;&lt;R&gt;1&lt;/R&gt;&lt;C&gt;1&lt;/C&gt;&lt;D xsi:type="xsd:double"&gt;12&lt;/D&gt;&lt;/FQL&gt;&lt;FQL&gt;&lt;Q&gt;EWU^FMA_COS_UP("EPS","1M",+1,0,,,"PORTAGG","MEANR")&lt;/Q&gt;&lt;R&gt;1&lt;/R&gt;&lt;C&gt;1&lt;/C&gt;&lt;D xsi:type="xsd:double"&gt;42&lt;/D&gt;&lt;/FQL&gt;&lt;FQL&gt;&lt;Q&gt;ENZL^SIZE(FG_CONSTITUENTS)&lt;/Q&gt;&lt;R&gt;1&lt;/R&gt;&lt;C&gt;1&lt;/C&gt;&lt;D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xsi:type="xsd:double"&gt;36.6089143757675&lt;/D&gt;&lt;/FQL&gt;&lt;FQL&gt;&lt;Q&gt;EWQ^FG_ROE(0)&lt;/Q&gt;&lt;R&gt;1&lt;/R&gt;&lt;C&gt;1&lt;/C&gt;&lt;D xsi:type="xsd:double"&gt;12.7229077710708&lt;/D&gt;&lt;/FQL&gt;&lt;FQL&gt;&lt;Q&gt;TRYGB10Y-FDS^FG_YIELD_NAME&lt;/Q&gt;&lt;R&gt;1&lt;/R&gt;&lt;C&gt;1&lt;/C&gt;&lt;D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xsi:type="xsd:double"&gt;4.5&lt;/D&gt;&lt;/FQL&gt;&lt;FQL&gt;&lt;Q&gt;TRYNL10Y-FDS^PCTCHG(FG_YIELD(0,,,,"YTM"),FG_YIELD(-1AM,,,,"YTM"))&lt;/Q&gt;&lt;R&gt;1&lt;/R&gt;&lt;C&gt;1&lt;/C&gt;&lt;D xsi:type="xsd:double"&gt;0.72020096&lt;/D&gt;&lt;/FQL&gt;&lt;FQL&gt;&lt;Q&gt;TRYCA10Y-FDS^PCTCHG(FG_YIELD(0,,,,"YTM"),FG_YIELD(-1AM,,,,"YTM"))&lt;/Q&gt;&lt;R&gt;1&lt;/R&gt;&lt;C&gt;1&lt;/C&gt;&lt;D xsi:type="xsd:double"&gt;-1.9172343&lt;/D&gt;&lt;/FQL&gt;&lt;FQL&gt;&lt;Q&gt;TRYUS10Y-FDS^FG_YIELD_NAME&lt;/Q&gt;&lt;R&gt;1&lt;/R&gt;&lt;C&gt;1&lt;/C&gt;&lt;D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xsi:type="xsd:double"&gt;5.35599074981756&lt;/D&gt;&lt;/FQL&gt;&lt;FQL&gt;&lt;Q&gt;EWI^FMA_PE(NTMA,0,,,"PORTAGG","MEANR")&lt;/Q&gt;&lt;R&gt;1&lt;/R&gt;&lt;C&gt;1&lt;/C&gt;&lt;D xsi:type="xsd:double"&gt;9.96424773195367&lt;/D&gt;&lt;/FQL&gt;&lt;FQL&gt;&lt;Q&gt;EWN^JULIAN(FMA_DIV_YLD(NTMA,NOW,NOW,M,"PORTAGG","MEANR").DATES)&lt;/Q&gt;&lt;R&gt;1&lt;/R&gt;&lt;C&gt;1&lt;/C&gt;&lt;D xsi:type="xsd:long"&gt;45412&lt;/D&gt;&lt;/FQL&gt;&lt;FQL&gt;&lt;Q&gt;QQQ^FMA_EVAL_EBITDA(NTMA,0,,,"PORTAGG","MEANR")&lt;/Q&gt;&lt;R&gt;1&lt;/R&gt;&lt;C&gt;1&lt;/C&gt;&lt;D xsi:type="xsd:double"&gt;16.3337742964885&lt;/D&gt;&lt;/FQL&gt;&lt;FQL&gt;&lt;Q&gt;EWL^FMA_DIV_YLD(NTMA,NOW,NOW,M,"PORTAGG","MEANR")&lt;/Q&gt;&lt;R&gt;1&lt;/R&gt;&lt;C&gt;1&lt;/C&gt;&lt;D xsi:type="xsd:double"&gt;3.41440942785273&lt;/D&gt;&lt;/FQL&gt;&lt;FQL&gt;&lt;Q&gt;EWG^FMA_PE(LTM,0,,,"PORTAGG","MEANR")&lt;/Q&gt;&lt;R&gt;1&lt;/R&gt;&lt;C&gt;1&lt;/C&gt;&lt;D xsi:type="xsd:double"&gt;16.586045384785&lt;/D&gt;&lt;/FQL&gt;&lt;FQL&gt;&lt;Q&gt;ENZL^FMA_EVAL_EBIT(LTMA,NOW,NOW,M,"PORTAGG","MEANR")&lt;/Q&gt;&lt;R&gt;1&lt;/R&gt;&lt;C&gt;1&lt;/C&gt;&lt;D xsi:type="xsd:double"&gt;20.6277876591568&lt;/D&gt;&lt;/FQL&gt;&lt;FQL&gt;&lt;Q&gt;EWJ^FG_COMPANY_NAME&lt;/Q&gt;&lt;R&gt;1&lt;/R&gt;&lt;C&gt;1&lt;/C&gt;&lt;D xsi:type="xsd:string"&gt;iShares MSCI Japan ETF&lt;/D&gt;&lt;/FQL&gt;&lt;FQL&gt;&lt;Q&gt;EWD^FG_COMPANY_NAME&lt;/Q&gt;&lt;R&gt;1&lt;/R&gt;&lt;C&gt;1&lt;/C&gt;&lt;D xsi:type="xsd:string"&gt;iShares MSCI Sweden ETF&lt;/D&gt;&lt;/FQL&gt;&lt;FQL&gt;&lt;Q&gt;VGK^P_PRICE(0)/P_PRICE_HIGH_PR(0,,,USD,,,"PRICE","INTRA","52W")&lt;/Q&gt;&lt;R&gt;1&lt;/R&gt;&lt;C&gt;1&lt;/C&gt;&lt;D xsi:type="xsd:double"&gt;0.996871&lt;/D&gt;&lt;/FQL&gt;&lt;FQL&gt;&lt;Q&gt;QQQ^P_PRICE(0)/P_PRICE_HIGH_PR(0,,,USD,,,"PRICE","INTRA","52W")&lt;/Q&gt;&lt;R&gt;1&lt;/R&gt;&lt;C&gt;1&lt;/C&gt;&lt;D xsi:type="xsd:double"&gt;0.9935561&lt;/D&gt;&lt;/FQL&gt;&lt;FQL&gt;&lt;Q&gt;VWO^P_PRICE(0)/P_PRICE_HIGH_PR(0,,,USD,,,"PRICE","INTRA",</t>
        </r>
      </text>
    </comment>
    <comment ref="A2" authorId="0" shapeId="0" xr:uid="{46CD2161-9FFB-4BC9-9883-3CA1B53501CA}">
      <text>
        <r>
          <rPr>
            <b/>
            <sz val="9"/>
            <color indexed="81"/>
            <rFont val="Tahoma"/>
            <charset val="1"/>
          </rPr>
          <t>"52W")&lt;/Q&gt;&lt;R&gt;1&lt;/R&gt;&lt;C&gt;1&lt;/C&gt;&lt;D xsi:type="xsd:double"&gt;0.99831206&lt;/D&gt;&lt;/FQL&gt;&lt;FQL&gt;&lt;Q&gt;USDITL^FG_PRICE_CHANGE(0,-1AM)&lt;/Q&gt;&lt;R&gt;1&lt;/R&gt;&lt;C&gt;1&lt;/C&gt;&lt;D xsi:type="xsd:double"&gt;-2.2020996&lt;/D&gt;&lt;/FQL&gt;&lt;FQL&gt;&lt;Q&gt;USDUSD^FG_PRICE_CHANGE(0,-1AM)&lt;/Q&gt;&lt;R&gt;1&lt;/R&gt;&lt;C&gt;1&lt;/C&gt;&lt;D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xsi:type="xsd:double"&gt;-1.949048&lt;/D&gt;&lt;/FQL&gt;&lt;FQL&gt;&lt;Q&gt;EWI^FG_TOTAL_RETURNC(-10AY,0,AM)&lt;/Q&gt;&lt;R&gt;121&lt;/R&gt;&lt;C&gt;1&lt;/C&gt;&lt;D xsi:type="xsd:double"&gt;-5.561799&lt;/D&gt;&lt;D xsi:type="xsd:double"&gt;6.9601417&lt;/D&gt;&lt;D xsi:type="xsd:double"&gt;-7.11512&lt;/D&gt;&lt;D xsi:type="xsd:double"&gt;-6.375223&lt;/D&gt;&lt;D xsi:type="xsd:double"&gt;5.058372&lt;/D&gt;&lt;D xsi:type="xsd:double"&gt;-12.407416&lt;/D&gt;&lt;D xsi:type="xsd:double"&gt;1.5503883&lt;/D&gt;&lt;D xsi:type="xsd:double"&gt;-3.7772357&lt;/D&gt;&lt;D xsi:type="xsd:double"&gt;-3.340596&lt;/D&gt;&lt;D xsi:type="xsd:double"&gt;9.541691&lt;/D&gt;&lt;D xsi:type="xsd:double"&gt;-1.4403284&lt;/D&gt;&lt;D xsi:type="xsd:double"&gt;3.340292&lt;/D&gt;&lt;D xsi:type="xsd:double"&gt;8.080805&lt;/D&gt;&lt;D xsi:type="xsd:double"&gt;-5.607474&lt;/D&gt;&lt;D xsi:type="xsd:double"&gt;3.5753489&lt;/D&gt;&lt;D xsi:type="xsd:double"&gt;1.2321591&lt;/D&gt;&lt;D xsi:type="xsd:double"&gt;-3.07495&lt;/D&gt;&lt;D xsi:type="xsd:double"&gt;0.9253144&lt;/D&gt;&lt;D xsi:type="xsd:double"&gt;-7.5311127&lt;/D&gt;&lt;D xsi:type="xsd:double"&gt;-1.7705381&lt;/D&gt;&lt;D xsi:type="xsd:double"&gt;-10.039007&lt;/D&gt;&lt;D xsi:type="xsd:double"&gt;-7.315111&lt;/D&gt;&lt;D xsi:type="xsd:double"&gt;8.673024&lt;/D&gt;&lt;D xsi:type="xsd:double"&gt;-2.8731048&lt;/D&gt;&lt;D xsi:type="xsd:double"&gt;-3.451109&lt;/D&gt;&lt;D xsi:type="xsd:double"&gt;-0.7659614&lt;/D&gt;&lt;D xsi:type="xsd:double"&gt;-2.4432302&lt;/D&gt;&lt;D xsi:type="xsd:double"&gt;1.2658119&lt;/D&gt;&lt;D xsi:type="xsd:double"&gt;-3.5714269&lt;/D&gt;&lt;D xsi:type="xsd:double"&gt;1.2962937&lt;/D&gt;&lt;D xsi:type="xsd:double"&gt;-2.1937847&lt;/D&gt;&lt;D xsi:type="xsd:double"&gt;11.682248&lt;/D&gt;&lt;D xsi:type="xsd:double"&gt;3.6252618&lt;/D&gt;&lt;D xsi:type="xsd:double"&gt;-3.1377375&lt;/D&gt;&lt;D xsi:type="xsd:double"&gt;6.8573833&lt;/D&gt;&lt;D xsi:type="xsd:double"&gt;-1.8897593&lt;/D&gt;&lt;D xsi:type="xsd:double"&gt;11.918139&lt;/D&gt;&lt;D xsi:type="xsd:double"&gt;1.1832237&lt;/D&gt;&lt;D xsi:type="xsd:double"&gt;4.345739&lt;/D&gt;&lt;D xsi:type="xsd:double"&gt;2.6625156&lt;/D&gt;&lt;D xsi:type="xsd:double"&gt;4.64803&lt;/D&gt;&lt;D xsi:type="xsd:double"&gt;-1.1908531&lt;/D&gt;&lt;D xsi:type="xsd:double"&gt;-1.140064&lt;/D&gt;&lt;D xsi:type="xsd:double"&gt;0.065898895&lt;/D&gt;&lt;D xsi:type="xsd:double"&gt;10.616803&lt;/D&gt;&lt;D xsi:type="xsd:double"&gt;-1.7659366&lt;/D&gt;&lt;D xsi:type="xsd:double"&gt;-0.7921934&lt;/D&gt;&lt;D xsi:type="xsd:double"&gt;4.299748&lt;/D&gt;&lt;D xsi:type="xsd:double"&gt;-4.5936346&lt;/D&gt;&lt;D xsi:type="xsd:double"&gt;-6.327164&lt;/D&gt;&lt;D xsi:type="xsd:double"&gt;-0.38181543&lt;/D&gt;&lt;D xsi:type="xsd:double"&gt;-8.602518&lt;/D&gt;&lt;D xsi:type="xsd:double"&gt;5.2083373&lt;/D&gt;&lt;D xsi:type="xsd:double"&gt;-8.132958&lt;/D&gt;&lt;D xsi:type="xsd:double"&gt;-2.8868377&lt;/D&gt;&lt;D xsi:type="xsd:double"&gt;-2.0610392&lt;/D&gt;&lt;D xsi:type="xsd:double"&gt;5.663419&lt;/D&gt;&lt;D xsi:type="xsd:double"&gt;2.676487&lt;/D&gt;&lt;D xsi:type="xsd:double"&gt;4.0423155&lt;/D&gt;&lt;D xsi:type="xsd:double"&gt;3.7763238&lt;/D&gt;&lt;D xsi:type="xsd:double"&gt;-5.178446&lt;/D&gt;&lt;D xsi:type="xsd:double"&gt;0.7306218&lt;/D&gt;&lt;D xsi:type="xsd:double"&gt;6.8612695&lt;/D&gt;&lt;D xsi:type="xsd:double"&gt;-8.974814&lt;/D&gt;&lt;D xsi:type="xsd:double"&gt;7.326579&lt;/D&gt;&lt;D xsi:type="xsd:double"&gt;2.6870012&lt;/D&gt;&lt;D xsi:type="xsd:double"&gt;4.2432785&lt;/D&gt;&lt;D xsi:type="xsd:double"&gt;0.69624186&lt;/D&gt;&lt;D xsi:type="xsd:double"&gt;1.6960621&lt;/D&gt;&lt;D xsi:type="xsd:double"&gt;-0.13341904&lt;/D&gt;&lt;D xsi:type="xsd:double"&gt;-37.17435&lt;/D&gt;&lt;D xsi:type="xsd:double"&gt;9.144079&lt;/D&gt;&lt;D xsi:type="xsd:double"&gt;-2.776432&lt;/D&gt;&lt;D xsi:type="xsd:double"&gt;21.954048&lt;/D&gt;&lt;D xsi:type="xsd:double"&gt;7.2229147&lt;/D&gt;&lt;D xsi:type="xsd:double"&gt;0.7743001&lt;/D&gt;&lt;D xsi:type="xsd:double"&gt;-1.8440306&lt;/D&gt;&lt;D xsi:type="xsd:double"&gt;-3.091973&lt;/D&gt;&lt;D xsi:type="xsd:double"&gt;12.60097&lt;/D&gt;&lt;D xsi:type="xsd:double"&gt;6.576073&lt;/D&gt;&lt;D xsi:type="xsd:double"&gt;-0.47505498&lt;/D&gt;&lt;D xsi:type="xsd:double"&gt;3.5117626&lt;/D&gt;&lt;D xsi:type="xsd:double"&gt;4.347825&lt;/D&gt;&lt;D xsi:type="xsd:double"&gt;2.272737&lt;/D&gt;&lt;D xsi:type="xsd:double"&gt;1.8827081&lt;/D&gt;&lt;D xsi:type="xsd:double"&gt;1.5565634&lt;/D&gt;&lt;D xsi:type="xsd:double"&gt;-4.8611045&lt;/D&gt;&lt;D xsi:type="xsd:double"&gt;5.1412225&lt;/D&gt;&lt;D xsi:type="xsd:double"&gt;-2.8373122&lt;/D&gt;&lt;D xsi:type="xsd:double"&gt;2.5473714&lt;/D&gt;&lt;D xsi:type="xsd:double"&gt;1.9993901&lt;/D&gt;&lt;D xsi:type="xsd:double"&gt;-4.7814074&lt;/D&gt;&lt;D xsi:type="xsd:double"&gt;5.9791207&lt;/D&gt;&lt;D xsi:type="xsd:double"&gt;-4.000002&lt;/D&gt;&lt;D xsi:type="xsd:double"&gt;-10.727614&lt;/D&gt;&lt;D xsi:type="xsd:double"&gt;1.2539148&lt;/D&gt;&lt;D xsi:type="xsd:double"&gt;-4.471964&lt;/D&gt;&lt;D xsi:type="xsd:double"&gt;-9.401327&lt;/D&gt;&lt;D xsi:type="xsd:double"&gt;-7.98853&lt;/D&gt;&lt;D xsi:type="xsd:double"&gt;10.819233&lt;/D&gt;&lt;D xsi:type="xsd:double"&gt;-4.580152&lt;/D&gt;&lt;D xsi:type="xsd:double"&gt;-5.221051&lt;/D&gt;&lt;D xsi:type="xsd:double"&gt;20.524204&lt;/D&gt;&lt;D xsi:type="xsd:double"&gt;-0.44181943&lt;/D&gt;&lt;D xsi:type="xsd:double"&gt;11.236382&lt;/D&gt;&lt;D xsi:type="xsd:double"&gt;4.0878296&lt;/D&gt;&lt;D xsi:type="xsd:double"&gt;-8.8283&lt;/D&gt;&lt;D xsi:type="xsd:double"&gt;12.068356&lt;/D&gt;&lt;D xsi:type="xsd:double"&gt;-0.9529829&lt;/D&gt;&lt;D xsi:type="xsd:double"&gt;3.3080578&lt;/D&gt;&lt;D xsi:type="xsd:double"&gt;5.1526785&lt;/D&gt;&lt;D xsi:type="xsd:double"&gt;-6.049615&lt;/D&gt;&lt;D xsi:type="xsd:double"&gt;1.7063737&lt;/D&gt;&lt;D xsi:type="xsd:double"&gt;-3.3554912&lt;/D&gt;&lt;D xsi:type="xsd:double"&gt;6.6164374&lt;/D&gt;&lt;D xsi:type="xsd:double"&gt;3.2565355&lt;/D&gt;&lt;D xsi:type="xsd:double"&gt;-0.033915043&lt;/D&gt;&lt;D xsi:type="xsd:double"&gt;3.6769152&lt;/D&gt;&lt;D xsi:type="xsd:double"&gt;8.22674&lt;/D&gt;&lt;D xsi:type="xsd:double"&gt;-3.169489&lt;/D&gt;&lt;D xsi:type="xsd:double"&gt;9.126223&lt;/D&gt;&lt;/FQL&gt;&lt;FQL&gt;&lt;Q&gt;SPY^FMA_PE(NTMA,-10AY,0,AM,"PORTAGG","MEANR")&lt;/Q&gt;&lt;R&gt;121&lt;/R&gt;&lt;C&gt;1&lt;/C&gt;&lt;D xsi:type="xsd:double"&gt;14.8864570130049&lt;/D&gt;&lt;D xsi:type="xsd:double"&gt;15.2492457736869&lt;/D&gt;&lt;D xsi:type="xsd:double"&gt;15.211667731423&lt;/D&gt;&lt;D xsi:type="xsd:double"&gt;15.0470916718712&lt;/D&gt;&lt;D xsi:type="xsd:double"&gt;15.277434861192&lt;/D&gt;&lt;D xsi:type="xsd:double"&gt;14.4216673069704&lt;/D&gt;&lt;D xsi:type="xsd:double"&gt;15.6371454084994&lt;/D&gt;&lt;D xsi:type="xsd:double"&gt;15.6005563844704&lt;/D&gt;&lt;D xsi:type="xsd:double"&gt;15.9384278995937&lt;/D&gt;&lt;D xsi:type="xsd:double"&gt;16.8676445365491&lt;/D&gt;&lt;D xsi:type="xsd:double"&gt;16.5943629855067&lt;/D&gt;&lt;D xsi:type="xsd:double"&gt;16.6063765210832&lt;/D&gt;&lt;D xsi:type="xsd:double"&gt;16.7321049064136&lt;/D&gt;&lt;D xsi:type="xsd:double"&gt;16.4122786205867&lt;/D&gt;&lt;D xsi:type="xsd:double"&gt;16.6080094788332&lt;/D&gt;&lt;D xsi:type="xsd:double"&gt;16.3832093782187&lt;/D&gt;&lt;D xsi:type="xsd:double"&gt;15.4969127033984&lt;/D&gt;&lt;D xsi:type="xsd:double"&gt;15.918646410385&lt;/D&gt;&lt;D xsi:type="xsd:double"&gt;16.0562729925101&lt;/D&gt;&lt;D xsi:type="xsd:double"&gt;15.9636213914759&lt;/D&gt;&lt;D xsi:type="xsd:double"&gt;14.8633281655956&lt;/D&gt;&lt;D xsi:type="xsd:double"&gt;15.5099438140132&lt;/D&gt;&lt;D xsi:type="xsd:double"&gt;15.5167363536305&lt;/D&gt;&lt;D xsi:type="xsd:double"&gt;16.5004635460184&lt;/D&gt;&lt;D xsi:type="xsd:double"&gt;16.5226770167304&lt;/D&gt;&lt;D xsi:type="xsd:double"&gt;16.3100236406347&lt;/D&gt;&lt;D xsi:type="xsd:double"&gt;16.9559896987878&lt;/D&gt;&lt;D xsi:type="xsd:double"&gt;16.9491743528238&lt;/D&gt;&lt;D xsi:type="xsd:double"&gt;16.4848230909905&lt;/D&gt;&lt;D xsi:type="xsd:double"&gt;16.2630982118089&lt;/D&gt;&lt;D xsi:type="xsd:double"&gt;16.6674144374148&lt;/D&gt;&lt;D xsi:type="xsd:double"&gt;17.019118731154&lt;/D&gt;&lt;D xsi:type="xsd:double"&gt;16.9136228520819&lt;/D&gt;&lt;D xsi:type="xsd:double"&gt;17.5894428121593&lt;/D&gt;&lt;D xsi:type="xsd:double"&gt;17.6866127927459&lt;/D&gt;&lt;D xsi:type="xsd:double"&gt;17.3166766300026&lt;/D&gt;&lt;D xsi:type="xsd:double"&gt;17.1551186874274&lt;/D&gt;&lt;D xsi:type="xsd:double"&gt;17.5621413915088&lt;/D&gt;&lt;D xsi:type="xsd:double"&gt;17.6415460886609&lt;/D&gt;&lt;D xsi:type="xsd:double"&gt;17.267995918525&lt;/D&gt;&lt;D xsi:type="xsd:double"&gt;17.6495901546909&lt;/D&gt;&lt;D xsi:type="xsd:double"&gt;17.9076344732933&lt;/D&gt;&lt;D xsi:type="xsd:double"&gt;17.8547288172865&lt;/D&gt;&lt;D xsi:type="xsd:double"&gt;18.3319676385947&lt;/D&gt;&lt;D xsi:type="xsd:double"&gt;18.3682324044378&lt;/D&gt;&lt;D xsi:type="xsd:double"&gt;17.0679000965126&lt;/D&gt;&lt;D xsi:type="xsd:double"&gt;17.0494543503598&lt;/D&gt;&lt;D xsi:type="xsd:double"&gt;16.6366996819813&lt;/D&gt;&lt;D xsi:type="xsd:double"&gt;16.356240601511&lt;/D&gt;&lt;D xsi:type="xsd:double"&gt;16.5819779029134&lt;/D&gt;&lt;D xsi:type="xsd:double"&gt;16.5670771345347&lt;/D&gt;&lt;D xsi:type="xsd:double"&gt;16.5737428318053&lt;/D&gt;&lt;D xsi:type="xsd:double"&gt;16.654541959472&lt;/D&gt;&lt;D xsi:type="xsd:double"&gt;16.090474574286&lt;/D&gt;&lt;D xsi:type="xsd:double"&gt;15.6334845014148&lt;/D&gt;&lt;D xsi:type="xsd:double"&gt;14.5601570751846&lt;/D&gt;&lt;D xsi:type="xsd:double"&gt;15.2939657636414&lt;/D&gt;&lt;D xsi:type="xsd:double"&gt;16.1790743240804&lt;/D&gt;&lt;D xsi:type="xsd:double"&gt;16.3805050615818&lt;/D&gt;&lt;D xsi:type="xsd:double"&gt;16.7361431988749&lt;/D&gt;&lt;D xsi:type="xsd:double"&gt;16.3507663140404&lt;/D&gt;&lt;D xsi:type="xsd:double"&gt;16.4407558770292&lt;/D&gt;&lt;D xsi:type="xsd:double"&gt;16.9689398783114&lt;/D&gt;&lt;D xsi:type="xsd:double"&gt;16.4035626961471&lt;/D&gt;&lt;D xsi:type="xsd:double"&gt;16.9456372133437&lt;/D&gt;&lt;D xsi:type="xsd:double"&gt;16.9573719386688&lt;/D&gt;&lt;D xsi:type="xsd:double"&gt;17.6037761065584&lt;/D&gt;&lt;D xsi:type="xsd:double"&gt;17.958865868262&lt;/D&gt;&lt;D xsi:type="xsd:double"&gt;18.6496788523071&lt;/D&gt;&lt;D xsi:type="xsd:double"&gt;18.9533239697788&lt;/D&gt;&lt;D xsi:type="xsd:double"&gt;14.525310583055&lt;/D&gt;&lt;D xsi:type="xsd:double"&gt;19.353797404677&lt;/D&gt;&lt;D xsi:type="xsd:double"&gt;20.4267853381009&lt;/D&gt;&lt;D xsi:type="xsd:double"&gt;21.8780051313756&lt;/D&gt;&lt;D xsi:type="xsd:double"&gt;22.2801478965399&lt;/D&gt;&lt;D xsi:type="xsd:double"&gt;22.367993064294&lt;/D&gt;&lt;D xsi:type="xsd:double"&gt;21.6398999091543&lt;/D&gt;&lt;D xsi:type="xsd:double"&gt;21.9712401596061&lt;/D&gt;&lt;D xsi:type="xsd:double"&gt;21.9178904528058&lt;/D&gt;&lt;D xsi:type="xsd:double"&gt;22.065578002289&lt;/D&gt;&lt;D xsi:type="xsd:double"&gt;22.171631474645&lt;/D&gt;&lt;D xsi:type="xsd:double"&gt;22.2015723197161&lt;/D&gt;&lt;D xsi:type="xsd:double"&gt;22.0116754174156&lt;/D&gt;&lt;D xsi:type="xsd:double"&gt;22.4559947785418&lt;/D&gt;&lt;D xsi:type="xsd:double"&gt;21.2534028538556&lt;/D&gt;&lt;D xsi:type="xsd:double"&gt;21.1360347013742&lt;/D&gt;&lt;D xsi:type="xsd:double"&gt;21.2107754183493&lt;/D&gt;&lt;D xsi:type="xsd:double"&gt;20.99712834688&lt;/D&gt;&lt;D xsi:type="xsd:double"&gt;20.6995394838243&lt;/D&gt;&lt;D xsi:type="xsd:double"&gt;20.6911116411751&lt;/D&gt;&lt;D xsi:type="xsd:double"&gt;21.3407656649433&lt;/D&gt;&lt;D xsi:type="xsd:double"&gt;20.746331528686&lt;/D&gt;&lt;D xsi:type="xsd:double"&gt;20.7518254008611&lt;/D&gt;&lt;D xsi:type="xsd:double"&gt;19.1928809221109&lt;/D&gt;&lt;D xsi:type="xsd:double"&gt;19.0407340931399&lt;/D&gt;&lt;D xsi:type="xsd:double"&gt;18.6746147115283&lt;/D&gt;&lt;D xsi:type="xsd:double"&gt;17.2321999664836&lt;/D&gt;&lt;D xsi:type="xsd:double"&gt;15.3323964938762&lt;/D&gt;&lt;D xsi:type="xsd:double"&gt;16.1465438513557&lt;/D&gt;&lt;D xsi:type="xsd:double"&gt;18.021604186355&lt;/D&gt;&lt;D xsi:type="xsd:double"&gt;16.2715862920549&lt;/D&gt;&lt;D xsi:type="xsd:double"&gt;15.6100609198191&lt;/D&gt;&lt;D xsi:type="xsd:double"&gt;17.0999883350149&lt;/D&gt;&lt;D xsi:type="xsd:double"&gt;16.6779372368779&lt;/D&gt;&lt;D xsi:type="xsd:double"&gt;17.4215939330026&lt;/D&gt;&lt;D xsi:type="xsd:double"&gt;17.9816536701573&lt;/D&gt;&lt;D xsi:type="xsd:double"&gt;17.1797285289996&lt;/D&gt;&lt;D xsi:type="xsd:double"&gt;18.2364428103428&lt;/D&gt;&lt;D xsi:type="xsd:double"&gt;18.0679239977745&lt;/D&gt;&lt;D xsi:type="xsd:double"&gt;18.9440080366179&lt;/D&gt;&lt;D xsi:type="xsd:double"&gt;19.4557037004279&lt;/D&gt;&lt;D xsi:type="xsd:double"&gt;18.4606717622283&lt;/D&gt;&lt;D xsi:type="xsd:double"&gt;18.5245147737521&lt;/D&gt;&lt;D xsi:type="xsd:double"&gt;18.1277875254523&lt;/D&gt;&lt;D xsi:type="xsd:double"&gt;18.631968592067&lt;/D&gt;&lt;D xsi:type="xsd:double"&gt;19.325780202647&lt;/D&gt;&lt;D xsi:type="xsd:double"&gt;19.3633802090731&lt;/D&gt;&lt;D xsi:type="xsd:double"&gt;20.2510333668527&lt;/D&gt;&lt;D xsi:type="xsd:double"&gt;20.4520957194219&lt;/D&gt;&lt;D xsi:type="xsd:double"&gt;19.9287988274327&lt;/D&gt;&lt;D xsi:type="xsd:double"&gt;20.7111155737644&lt;/D&gt;&lt;/FQL&gt;&lt;FQL&gt;&lt;Q&gt;WL-FDS^MAX(FG_PRICE(0,-5AY))&lt;/Q&gt;&lt;R&gt;1&lt;/R&gt;&lt;C&gt;1&lt;/C&gt;&lt;D xsi:type="xsd:double"&gt;763.4&lt;/D&gt;&lt;/FQL&gt;&lt;FQL&gt;&lt;Q&gt;BRENT-FDS^MAX(FG_PRICE(0,-5AY))&lt;/Q&gt;&lt;R&gt;1&lt;/R&gt;&lt;C&gt;1&lt;/C&gt;&lt;D xsi:type="xsd:double"&gt;140.85&lt;/D&gt;&lt;/FQL&gt;&lt;FQL&gt;&lt;Q&gt;DUMMY^ECON_EXPR_DATA('FDS_ECON[NTCPMIMFGSA@EME]',,,M)&lt;/Q&gt;&lt;R&gt;1&lt;/R&gt;&lt;C&gt;1&lt;/C&gt;&lt;D xsi:type="xsd:double"&gt;51.99054&lt;/D&gt;&lt;/FQL&gt;&lt;FQL&gt;&lt;Q&gt;EWD^FMA_ROE(NTMA,-20AY,NOW,FY,"PORTAGG","MEANR")&lt;/Q&gt;&lt;R&gt;20&lt;/R&gt;&lt;C&gt;1&lt;/C&gt;&lt;D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xsi:type="xsd:double"&gt;13.411796827237&lt;/D&gt;&lt;D xsi:type="xsd:double"&gt;11.9070326866152&lt;/D&gt;&lt;D xsi:type="xsd:double"&gt;15.3602779627681&lt;/D&gt;&lt;D xsi:type="xsd:double"&gt;14.6912945484006&lt;/D&gt;&lt;D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xsi:type="xsd:double"&gt;2.004&lt;/D&gt;&lt;/FQL&gt;&lt;FQL&gt;&lt;Q&gt;CAGDPY@FR^EE_ACTUAL_ANNUAL(MED,0)&lt;/Q&gt;&lt;R&gt;1&lt;/R&gt;&lt;C&gt;1&lt;/C&gt;&lt;D xsi:type="xsd:double"&gt;-0.76356065982077&lt;/D&gt;&lt;/FQL&gt;&lt;FQL&gt;&lt;Q&gt;CAGDPY@AU^EE_ACTUAL_ANNUAL(MED,0)&lt;/Q&gt;&lt;R&gt;1&lt;/R&gt;&lt;C&gt;1&lt;/C&gt;&lt;D xsi:type="xsd:double"&gt;1.21871580460395&lt;/D&gt;&lt;/FQL&gt;&lt;FQL&gt;&lt;Q&gt;USDANG^FG_PRICE_CHANGE(0,-1AM)&lt;/Q&gt;&lt;R&gt;1&lt;/R&gt;&lt;C&gt;1&lt;/C&gt;&lt;D xsi:type="xsd:double"&gt;0&lt;/D&gt;&lt;/FQL&gt;&lt;FQL&gt;&lt;Q&gt;USDJPY^FG_PRICE_CHANGE(0,-1AM)&lt;/Q&gt;&lt;R&gt;1&lt;/R&gt;&lt;C&gt;1&lt;/C&gt;&lt;D xsi:type="xsd:double"&gt;0.49464703&lt;/D&gt;&lt;/FQL&gt;&lt;FQL&gt;&lt;Q&gt;USDCAD^FG_PRICE_CHANGE(0,-1AM)&lt;/Q&gt;&lt;R&gt;1&lt;/R&gt;&lt;C&gt;1&lt;/C&gt;&lt;D xsi:type="xsd:double"&gt;-1.4630795&lt;/D&gt;&lt;/FQL&gt;&lt;FQL&gt;&lt;Q&gt;USDNZD^FG_PRICE_CHANGE(0,-1AM)&lt;/Q&gt;&lt;R&gt;1&lt;/R&gt;&lt;C&gt;1&lt;/C&gt;&lt;D xsi:type="xsd:double"&gt;-3.7988067&lt;/D&gt;&lt;/FQL&gt;&lt;FQL&gt;&lt;Q&gt;ENZL^FMA_EPS(NTMA,-20AY,0,CY,,"PORTAGG","MEANR")&lt;/Q&gt;&lt;R&gt;20&lt;/R&gt;&lt;C&gt;1&lt;/C&gt;&lt;D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xsi:type="xsd:double"&gt;2.11106621771878&lt;/D&gt;&lt;/FQL&gt;&lt;FQL&gt;&lt;Q&gt;EWN^FMA_DIV_YLD(NTMA,-10AY,0,AM,"PORTAGG","MEANR")&lt;/Q&gt;&lt;R&gt;121&lt;/R&gt;&lt;C&gt;1&lt;/C&gt;&lt;D xsi:type="xsd:double"&gt;2.83927477042187&lt;/D&gt;&lt;D xsi:type="xsd:double"&gt;2.798449237568&lt;/D&gt;&lt;D xsi:type="xsd:double"&gt;2.9151590708395&lt;/D&gt;&lt;D xsi:type="xsd:double"&gt;3.08799291620336&lt;/D&gt;&lt;D xsi:type="xsd:double"&gt;3.02516642432824&lt;/D&gt;&lt;D xsi:type="xsd:double"&gt;3.28453859731829&lt;/D&gt;&lt;D xsi:type="xsd:double"&gt;3.10299909973931&lt;/D&gt;&lt;D xsi:type="xsd:double"&gt;3.20438533138413&lt;/D&gt;&lt;D xsi:type="xsd:double"&gt;3.03387504756435&lt;/D&gt;&lt;D xsi:type="xsd:double"&gt;2.83636987053135&lt;/D&gt;&lt;D xsi:type="xsd:double"&gt;2.62337426169545&lt;/D&gt;&lt;D xsi:type="xsd:double"&gt;2.68143425885452&lt;/D&gt;&lt;D xsi:type="xsd:double"&gt;2.73384191644202&lt;/D&gt;&lt;D xsi:type="xsd:double"&gt;2.96876178799626&lt;/D&gt;&lt;D xsi:type="xsd:double"&gt;2.81667053387157&lt;/D&gt;&lt;D xsi:type="xsd:double"&gt;3.20835120838571&lt;/D&gt;&lt;D xsi:type="xsd:double"&gt;3.44217023151361&lt;/D&gt;&lt;D xsi:type="xsd:double"&gt;3.40588988344419&lt;/D&gt;&lt;D xsi:type="xsd:double"&gt;3.14238551409743&lt;/D&gt;&lt;D xsi:type="xsd:double"&gt;3.28398600137529&lt;/D&gt;&lt;D xsi:type="xsd:double"&gt;3.39180773227307&lt;/D&gt;&lt;D xsi:type="xsd:double"&gt;3.47392745675284&lt;/D&gt;&lt;D xsi:type="xsd:double"&gt;3.31128809543681&lt;/D&gt;&lt;D xsi:type="xsd:double"&gt;3.24978262335556&lt;/D&gt;&lt;D xsi:type="xsd:double"&gt;3.42807156023981&lt;/D&gt;&lt;D xsi:type="xsd:double"&gt;3.39308996002512&lt;/D&gt;&lt;D xsi:type="xsd:double"&gt;3.25134857476169&lt;/D&gt;&lt;D xsi:type="xsd:double"&gt;3.18212742331714&lt;/D&gt;&lt;D xsi:type="xsd:double"&gt;3.23886909330247&lt;/D&gt;&lt;D xsi:type="xsd:double"&gt;3.14080860974225&lt;/D&gt;&lt;D xsi:type="xsd:double"&gt;3.1380671214901&lt;/D&gt;&lt;D xsi:type="xsd:double"&gt;3.00379622822399&lt;/D&gt;&lt;D xsi:type="xsd:double"&gt;2.98418387973666&lt;/D&gt;&lt;D xsi:type="xsd:double"&gt;2.83885988653288&lt;/D&gt;&lt;D xsi:type="xsd:double"&gt;2.76134753583376&lt;/D&gt;&lt;D xsi:type="xsd:double"&gt;2.77435071615429&lt;/D&gt;&lt;D xsi:type="xsd:double"&gt;2.74245191532763&lt;/D&gt;&lt;D xsi:type="xsd:double"&gt;2.74498051575446&lt;/D&gt;&lt;D xsi:type="xsd:double"&gt;2.76984507035685&lt;/D&gt;&lt;D xsi:type="xsd:double"&gt;2.78691927709943&lt;/D&gt;&lt;D xsi:type="xsd:double"&gt;2.822829775736&lt;/D&gt;&lt;D xsi:type="xsd:double"&gt;2.75058966441047&lt;/D&gt;&lt;D xsi:type="xsd:double"&gt;2.84393306768217&lt;/D&gt;&lt;D xsi:type="xsd:double"&gt;2.82393140063983&lt;/D&gt;&lt;D xsi:type="xsd:double"&gt;2.78807331905069&lt;/D&gt;&lt;D xsi:type="xsd:double"&gt;2.94222146873073&lt;/D&gt;&lt;D xsi:type="xsd:double"&gt;2.91776475521495&lt;/D&gt;&lt;D xsi:type="xsd:double"&gt;2.9128102744437&lt;/D&gt;&lt;D xsi:type="xsd:double"&gt;2.87754791948268&lt;/D&gt;&lt;D xsi:type="xsd:double"&gt;2.86037914060345&lt;/D&gt;&lt;D xsi:type="xsd:double"&gt;2.93460296146284&lt;/D&gt;&lt;D xsi:type="xsd:double"&gt;2.95657348265926&lt;/D&gt;&lt;D xsi:type="xsd:double"&gt;3.03846074011086&lt;/D&gt;&lt;D xsi:type="xsd:double"&gt;3.14325283595357&lt;/D&gt;&lt;D xsi:type="xsd:double"&gt;3.20517021151715&lt;/D&gt;&lt;D xsi:type="xsd:double"&gt;3.39598605501787&lt;/D&gt;&lt;D xsi:type="xsd:double"&gt;3.38395026826803&lt;/D&gt;&lt;D xsi:type="xsd:double"&gt;3.11910751355892&lt;/D&gt;&lt;D xsi:type="xsd:double"&gt;3.03363872538778&lt;/D&gt;&lt;D xsi:type="xsd:double"&gt;2.97888592053606&lt;/D&gt;&lt;D xsi:type="xsd:double"&gt;3.02952373562659&lt;/D&gt;&lt;D xsi:type="xsd:double"&gt;3.0807244494482&lt;/D&gt;&lt;D xsi:type="xsd:double"&gt;2.94632117412218&lt;/D&gt;&lt;D xsi:type="xsd:double"&gt;3.02564571330945&lt;/D&gt;&lt;D xsi:type="xsd:double"&gt;2.75156082597957&lt;/D&gt;&lt;D xsi:type="xsd:double"&gt;2.7382881756693&lt;/D&gt;&lt;D xsi:type="xsd:double"&gt;2.64439140644667&lt;/D&gt;&lt;D xsi:type="xsd:double"&gt;2.59906008356241&lt;/D&gt;&lt;D xsi:type="xsd:double"&gt;2.57451461308405&lt;/D&gt;&lt;D xsi:type="xsd:double"&gt;2.46133900626106&lt;/D&gt;&lt;D xsi:type="xsd:double"&gt;3.65798547203542&lt;/D&gt;&lt;D xsi:type="xsd:double"&gt;2.85046994375983&lt;/D&gt;&lt;D xsi:type="xsd:double"&gt;2.69123071856037&lt;/D&gt;&lt;D xsi:type="xsd:double"&gt;2.37180851243948&lt;/D&gt;&lt;D xsi:type="xsd:double"&gt;2.324077545118&lt;/D&gt;&lt;D xsi:type="xsd:double"&gt;2.32916784011312&lt;/D&gt;&lt;D xsi:type="xsd:double"&gt;2.32648968031922&lt;/D&gt;&lt;D xsi:type="xsd:double"&gt;2.27226683511372&lt;/D&gt;&lt;D xsi:type="xsd:double"&gt;2.17563817407152&lt;/D&gt;&lt;D xsi:type="xsd:double"&gt;2.03062850905219&lt;/D&gt;&lt;D xsi:type="xsd:double"&gt;1.96606909281491&lt;/D&gt;&lt;D xsi:type="xsd:double"&gt;1.89662891885233&lt;/D&gt;&lt;D xsi:type="xsd:double"&gt;2.01734130416443&lt;/D&gt;&lt;D xsi:type="xsd:double"&gt;1.90607266614583&lt;/D&gt;&lt;D xsi:type="xsd:double"&gt;2.00899240436605&lt;/D&gt;&lt;D xsi:type="xsd:double"&gt;1.97584879182327&lt;/D&gt;&lt;D xsi:type="xsd:double"&gt;2.01996785755066&lt;/D&gt;&lt;D xsi:type="xsd:double"&gt;1.95402744720651&lt;/D&gt;&lt;D xsi:type="xsd:double"&gt;1.85337318279996&lt;/D&gt;&lt;D xsi:type="xsd:double"&gt;1.92602842615391&lt;/D&gt;&lt;D xsi:type="xsd:double"&gt;1.83581310670681&lt;/D&gt;&lt;D xsi:type="xsd:double"&gt;2.0080865542202&lt;/D&gt;&lt;D xsi:type="xsd:double"&gt;2.00582946910454&lt;/D&gt;&lt;D xsi:type="xsd:double"&gt;2.23433329779803&lt;/D&gt;&lt;D xsi:type="xsd:double"&gt;2.29547851303425&lt;/D&gt;&lt;D xsi:type="xsd:double"&gt;2.31574787712823&lt;/D&gt;&lt;D xsi:type="xsd:double"&gt;2.5122278973322&lt;/D&gt;&lt;D xsi:type="xsd:double"&gt;3.5686272539998&lt;/D&gt;&lt;D xsi:type="xsd:double"&gt;3.37019981605779&lt;/D&gt;&lt;D xsi:type="xsd:double"&gt;3.05695036679121&lt;/D&gt;&lt;D xsi:type="xsd:double"&gt;3.76103818314811&lt;/D&gt;&lt;D xsi:type="xsd:double"&gt;3.09367265759061&lt;/D&gt;&lt;D xsi:type="xsd:double"&gt;2.6967515816297&lt;/D&gt;&lt;D xsi:type="xsd:double"&gt;2.74083456685724&lt;/D&gt;&lt;D xsi:type="xsd:double"&gt;2.55698114337803&lt;/D&gt;&lt;D xsi:type="xsd:double"&gt;2.55481964428236&lt;/D&gt;&lt;D xsi:type="xsd:double"&gt;2.76230797525795&lt;/D&gt;&lt;D xsi:type="xsd:double"&gt;2.68396513711724&lt;/D&gt;&lt;D xsi:type="xsd:double"&gt;2.69686566996909&lt;/D&gt;&lt;D xsi:type="xsd:double"&gt;2.6517914821457&lt;/D&gt;&lt;D xsi:type="xsd:double"&gt;2.66610249849791&lt;/D&gt;&lt;D xsi:type="xsd:double"&gt;2.88563793007638&lt;/D&gt;&lt;D xsi:type="xsd:double"&gt;2.98644791625279&lt;/D&gt;&lt;D xsi:type="xsd:double"&gt;3.03914080215144&lt;/D&gt;&lt;D xsi:type="xsd:double"&gt;2.8226430327047&lt;/D&gt;&lt;D xsi:type="xsd:double"&gt;2.64805222396655&lt;/D&gt;&lt;D xsi:type="xsd:double"&gt;2.75358834871618&lt;/D&gt;&lt;D xsi:type="xsd:double"&gt;2.46904987056798&lt;/D&gt;&lt;D xsi:type="xsd:double"&gt;2.61675292595552&lt;/D&gt;&lt;D xsi:type="xsd:double"&gt;2.62996427690234&lt;/D&gt;&lt;D xsi:type="xsd:double"&gt;2.45767758165251&lt;/D&gt;&lt;/FQL&gt;&lt;FQL&gt;&lt;Q&gt;EWU^FMA_PE(LTMA,-10AY,0,AM,"PORTAGG","MEANR")&lt;/Q&gt;&lt;R&gt;121&lt;/R&gt;&lt;C&gt;1&lt;/C&gt;&lt;D xsi:type="xsd:double"&gt;14.4157371923195&lt;/D&gt;&lt;D xsi:type="xsd:double"&gt;14.3527027265288&lt;/D&gt;&lt;D xsi:type="xsd:double"&gt;14.330588854711&lt;/D&gt;&lt;D xsi:type="xsd:double"&gt;14.158518346815&lt;/D&gt;&lt;D xsi:type="xsd:double"&gt;14.1575790133289&lt;/D&gt;&lt;D xsi:type="xsd:double"&gt;13.4024909452766&lt;/D&gt;&lt;D xsi:type="xsd:double"&gt;13.9040346788141&lt;/D&gt;&lt;D xsi:type="xsd:double"&gt;13.345098409361&lt;/D&gt;&lt;D xsi:type="xsd:double"&gt;13.6269451519732&lt;/D&gt;&lt;D xsi:type="xsd:double"&gt;14.691270155838&lt;/D&gt;&lt;D xsi:type="xsd:double"&gt;15.1831633036842&lt;/D&gt;&lt;D xsi:type="xsd:double"&gt;15.4918551181616&lt;/D&gt;&lt;D xsi:type="xsd:double"&gt;15.706076298141&lt;/D&gt;&lt;D xsi:type="xsd:double"&gt;15.5763769123634&lt;/D&gt;&lt;D xsi:type="xsd:double"&gt;15.799995020816&lt;/D&gt;&lt;D xsi:type="xsd:double"&gt;15.6288329075505&lt;/D&gt;&lt;D xsi:type="xsd:double"&gt;15.2091597733896&lt;/D&gt;&lt;D xsi:type="xsd:double"&gt;15.7571704215956&lt;/D&gt;&lt;D xsi:type="xsd:double"&gt;15.7541286974747&lt;/D&gt;&lt;D xsi:type="xsd:double"&gt;15.3411251342506&lt;/D&gt;&lt;D xsi:type="xsd:double"&gt;14.521775842277&lt;/D&gt;&lt;D xsi:type="xsd:double"&gt;15.0742282948946&lt;/D&gt;&lt;D xsi:type="xsd:double"&gt;15.7158861414349&lt;/D&gt;&lt;D xsi:type="xsd:double"&gt;15.9393670751932&lt;/D&gt;&lt;D xsi:type="xsd:double"&gt;15.9051836199837&lt;/D&gt;&lt;D xsi:type="xsd:double"&gt;15.7986434092372&lt;/D&gt;&lt;D xsi:type="xsd:double"&gt;16.4585341054251&lt;/D&gt;&lt;D xsi:type="xsd:double"&gt;16.8916733697222&lt;/D&gt;&lt;D xsi:type="xsd:double"&gt;16.6543916690216&lt;/D&gt;&lt;D xsi:type="xsd:double"&gt;16.7706388108227&lt;/D&gt;&lt;D xsi:type="xsd:double"&gt;16.3538282226727&lt;/D&gt;&lt;D xsi:type="xsd:double"&gt;16.9360422086708&lt;/D&gt;&lt;D xsi:type="xsd:double"&gt;17.1583028112557&lt;/D&gt;&lt;D xsi:type="xsd:double"&gt;17.2911741921827&lt;/D&gt;&lt;D xsi:type="xsd:double"&gt;17.2626945137543&lt;/D&gt;&lt;D xsi:type="xsd:double"&gt;16.9984493647817&lt;/D&gt;&lt;D xsi:type="xsd:double"&gt;16.9077039672345&lt;/D&gt;&lt;D xsi:type="xsd:double"&gt;16.598412962029&lt;/D&gt;&lt;D xsi:type="xsd:double"&gt;16.4647864068462&lt;/D&gt;&lt;D xsi:type="xsd:double"&gt;16.1475763106089&lt;/D&gt;&lt;D xsi:type="xsd:double"&gt;15.8319173596839&lt;/D&gt;&lt;D xsi:type="xsd:double"&gt;15.7951631774511&lt;/D&gt;&lt;D xsi:type="xsd:double"&gt;15.1965921933713&lt;/D&gt;&lt;D xsi:type="xsd:double"&gt;15.2129207186856&lt;/D&gt;&lt;D xsi:type="xsd:double"&gt;15.6380424338883&lt;/D&gt;&lt;D xsi:type="xsd:double"&gt;14.7016709983108&lt;/D&gt;&lt;D xsi:type="xsd:double"&gt;13.9431176558217&lt;/D&gt;&lt;D xsi:type="xsd:double"&gt;13.9537672825562&lt;/D&gt;&lt;D xsi:type="xsd:double"&gt;14.1464137147269&lt;/D&gt;&lt;D xsi:type="xsd:double"&gt;13.898472979084&lt;/D&gt;&lt;D xsi:type="xsd:double"&gt;13.7740033808118&lt;/D&gt;&lt;D xsi:type="xsd:double"&gt;13.619676469327&lt;/D&gt;&lt;D xsi:type="xsd:double"&gt;13.4039576199259&lt;/D&gt;&lt;D xsi:type="xsd:double"&gt;12.9480167631313&lt;/D&gt;&lt;D xsi:type="xsd:double"&gt;12.7023905463366&lt;/D&gt;&lt;D xsi:type="xsd:double"&gt;12.0776619384525&lt;/D&gt;&lt;D xsi:type="xsd:double"&gt;12.2254961074506&lt;/D&gt;&lt;D xsi:type="xsd:double"&gt;12.8363496045825&lt;/D&gt;&lt;D xsi:type="xsd:double"&gt;12.9637813320408&lt;/D&gt;&lt;D xsi:type="xsd:double"&gt;13.0404172205299&lt;/D&gt;&lt;D xsi:type="xsd:double"&gt;12.9163043081167&lt;/D&gt;&lt;D xsi:type="xsd:double"&gt;12.9371740205395&lt;/D&gt;&lt;D xsi:type="xsd:double"&gt;13.1333235134026&lt;/D&gt;&lt;D xsi:type="xsd:double"&gt;12.6658274471066&lt;/D&gt;&lt;D xsi:type="xsd:double"&gt;13.0822545413203&lt;/D&gt;&lt;D xsi:type="xsd:double"&gt;13.1513988605592&lt;/D&gt;&lt;D xsi:type="xsd:double"&gt;13.3687119680629&lt;/D&gt;&lt;D xsi:type="xsd:double"&gt;14.011500374867&lt;/D&gt;&lt;D xsi:type="xsd:double"&gt;14.3314461552574&lt;/D&gt;&lt;D xsi:type="xsd:double"&gt;13.852430312727&lt;/D&gt;&lt;D xsi:type="xsd:double"&gt;11.9370337868893&lt;/D&gt;&lt;D xsi:type="xsd:double"&gt;13.0284790623684&lt;/D&gt;&lt;D xsi:type="xsd:double"&gt;13.8436700026278&lt;/D&gt;&lt;D xsi:type="xsd:double"&gt;15.1064803267321&lt;/D&gt;&lt;D xsi:type="xsd:double"&gt;15.6553454044647&lt;/D&gt;&lt;D xsi:type="xsd:double"&gt;16.3870845772626&lt;/D&gt;&lt;D xsi:type="xsd:double"&gt;16.9217353542074&lt;/D&gt;&lt;D xsi:type="xsd:double"&gt;16.992364310024&lt;/D&gt;&lt;D xsi:type="xsd:double"&gt;18.5104215407753&lt;/D&gt;&lt;D xsi:type="xsd:double"&gt;19.5806579654539&lt;/D&gt;&lt;D xsi:type="xsd:double"&gt;20.2047061127445&lt;/D&gt;&lt;D xsi:type="xsd:double"&gt;19.8006306053761&lt;/D&gt;&lt;D xsi:type="xsd:double"&gt;18.5714949918405&lt;/D&gt;&lt;D xsi:type="xsd:double"&gt;18.0267344473996&lt;/D&gt;&lt;D xsi:type="xsd:double"&gt;17.3830451346406&lt;/D&gt;&lt;D xsi:type="xsd:double"&gt;16.8589144095667&lt;/D&gt;&lt;D xsi:type="xsd:double"&gt;15.8730767831742&lt;/D&gt;&lt;D xsi:type="xsd:double"&gt;15.1048899664845&lt;/D&gt;&lt;D xsi:type="xsd:double"&gt;14.1489646210826&lt;/D&gt;&lt;D xsi:type="xsd:double"&gt;13.9507118269074&lt;/D&gt;&lt;D xsi:type="xsd:double"&gt;13.142814706443&lt;/D&gt;&lt;D xsi:type="xsd:double"&gt;12.3622118974574&lt;/D&gt;&lt;D xsi:type="xsd:double"&gt;12.7048407343751&lt;/D&gt;&lt;D xsi:type="xsd:double"&gt;12.7296711904221&lt;/D&gt;&lt;D xsi:type="xsd:double"&gt;12.4452501319001&lt;/D&gt;&lt;D xsi:type="xsd:double"&gt;12.2458605880157&lt;/D&gt;&lt;D xsi:type="xsd:double"&gt;11.8078201829279&lt;/D&gt;&lt;D xsi:type="xsd:double"&gt;11.2047118503407&lt;/D&gt;&lt;D xsi:type="xsd:double"&gt;10.9066420045079&lt;/D&gt;&lt;D xsi:type="xsd:double"&gt;10.7669133788751&lt;/D&gt;&lt;D xsi:type="xsd:double"&gt;10.0367061589797&lt;/D&gt;&lt;D xsi:type="xsd:double"&gt;9.50192381980002&lt;/D&gt;&lt;D xsi:type="xsd:double"&gt;9.66075924964194&lt;/D&gt;&lt;D xsi:type="xsd:double"&gt;9.57589587627015&lt;/D&gt;&lt;D xsi:type="xsd:double"&gt;10.2561824527016&lt;/D&gt;&lt;D xsi:type="xsd:double"&gt;10.3364301582561&lt;/D&gt;&lt;D xsi:type="xsd:double"&gt;10.1241143958047&lt;/D&gt;&lt;D xsi:type="xsd:double"&gt;10.3958290334537&lt;/D&gt;&lt;D xsi:type="xsd:double"&gt;10.3347998465907&lt;/D&gt;&lt;D xsi:type="xsd:double"&gt;10.398479203666&lt;/D&gt;&lt;D xsi:type="xsd:double"&gt;10.4069561483341&lt;/D&gt;&lt;D xsi:type="xsd:double"&gt;10.3754167154221&lt;/D&gt;&lt;D xsi:type="xsd:double"&gt;10.7189416426213&lt;/D&gt;&lt;D xsi:type="xsd:double"&gt;10.6727329208069&lt;/D&gt;&lt;D xsi:type="xsd:double"&gt;10.6948600281485&lt;/D&gt;&lt;D xsi:type="xsd:double"&gt;11.024405420472&lt;/D&gt;&lt;D xsi:type="xsd:double"&gt;10.9651186573048&lt;/D&gt;&lt;D xsi:type="xsd:double"&gt;11.3521913607171&lt;/D&gt;&lt;D xsi:type="xsd:double"&gt;11.4652533950364&lt;/D&gt;&lt;D xsi:type="xsd:double"&gt;11.4815077552081&lt;/D&gt;&lt;D xsi:type="xsd:double"&gt;11.7937091898843&lt;/D&gt;&lt;/FQL&gt;&lt;FQL&gt;&lt;Q&gt;NI-FDS^MAX(FG_PRICE(0,-5AY))&lt;/Q&gt;&lt;R&gt;1&lt;/R&gt;&lt;C&gt;1&lt;/C&gt;&lt;D xsi:type="xsd:double"&gt;48241&lt;/D&gt;&lt;/FQL&gt;&lt;FQL&gt;&lt;Q&gt;CPALM-FDS^MAX(FG_PRICE(0,-5AY))&lt;/Q&gt;&lt;R&gt;1&lt;/R&gt;&lt;C&gt;1&lt;/C&gt;&lt;D xsi:type="xsd:double"&gt;8163&lt;/D&gt;&lt;/FQL&gt;&lt;FQL&gt;&lt;Q&gt;EWA^FMA_ROE(NTMA,-20AY,NOW,FY,"PORTAGG","MEANR")&lt;/Q&gt;&lt;R&gt;20&lt;/R&gt;&lt;C&gt;1&lt;/C&gt;&lt;D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xsi:type="xsd:double"&gt;11.7272453218097&lt;/D&gt;&lt;D xsi:type="xsd:double"&gt;11.0508592064609&lt;/D&gt;&lt;D xsi:type="xsd:double"&gt;12.8471719199911&lt;/D&gt;&lt;D xsi:type="xsd:double"&gt;14.658060584009&lt;/D&gt;&lt;D xsi:type="xsd:double"&gt;13.2261379950135&lt;/D&gt;&lt;/FQL&gt;&lt;FQL&gt;&lt;Q&gt;TRYIN10Y-FDS^FG_YIELD(-10AY,0,Y,,"YTM")&lt;/Q&gt;&lt;R&gt;10&lt;/R&gt;&lt;C&gt;1&lt;/C&gt;&lt;D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xsi:type="xsd:double"&gt;2.534&lt;/D&gt;&lt;/FQL&gt;&lt;FQL&gt;&lt;Q&gt;CAGDPY@IT^EE_ACTUAL_ANNUAL(MED,0)&lt;/Q&gt;&lt;R&gt;1&lt;/R&gt;&lt;C&gt;1&lt;/C&gt;&lt;D xsi:type="xsd:double"&gt;0.508205836311015&lt;/D&gt;&lt;/FQL&gt;&lt;FQL&gt;&lt;Q&gt;CAGDPY@JP^EE_ACTUAL_ANNUAL(MED,0)&lt;/Q&gt;&lt;R&gt;1&lt;/R&gt;&lt;C&gt;1&lt;/C&gt;&lt;D xsi:type="xsd:double"&gt;3.61053955442387&lt;/D&gt;&lt;/FQL&gt;&lt;FQL&gt;&lt;Q&gt;CC_AU^FG_COMPANY_NAME&lt;/Q&gt;&lt;R&gt;1&lt;/R&gt;&lt;C&gt;1&lt;/C&gt;&lt;D xsi:type="xsd:string"&gt;Australia&lt;/D&gt;&lt;/FQL&gt;&lt;FQL&gt;&lt;Q&gt;USDSEK^FG_PRICE(0)&lt;/Q&gt;&lt;R&gt;1&lt;/R&gt;&lt;C&gt;1&lt;/C&gt;&lt;D xsi:type="xsd:double"&gt;10.70755&lt;/D&gt;&lt;/FQL&gt;&lt;FQL&gt;&lt;Q&gt;USDCHF^FG_PRICE(0)&lt;/Q&gt;&lt;R&gt;1&lt;/R&gt;&lt;C&gt;1&lt;/C&gt;&lt;D xsi:type="xsd:double"&gt;0.90705&lt;/D&gt;&lt;/FQL&gt;&lt;FQL&gt;&lt;Q&gt;USDUSD^FG_PRICE(0)&lt;/Q&gt;&lt;R&gt;1&lt;/R&gt;&lt;C&gt;1&lt;/C&gt;&lt;D xsi:type="xsd:double"&gt;1&lt;/D&gt;&lt;/FQL&gt;&lt;FQL&gt;&lt;Q&gt;USDEUR^FG_PRICE(0)&lt;/Q&gt;&lt;R&gt;1&lt;/R&gt;&lt;C&gt;1&lt;/C&gt;&lt;D xsi:type="xsd:double"&gt;0.9194557&lt;/D&gt;&lt;/FQL&gt;&lt;FQL&gt;&lt;Q&gt;USDAUD^FG_PRICE(0)&lt;/Q&gt;&lt;R&gt;1&lt;/R&gt;&lt;C&gt;1&lt;/C&gt;&lt;D xsi:type="xsd:double"&gt;1.4951035&lt;/D&gt;&lt;/FQL&gt;&lt;FQL&gt;&lt;Q&gt;EWU^FMA_EPS(NTMA,-20AY,0,CY,,"PORTAGG","MEANR")&lt;/Q&gt;&lt;R&gt;20&lt;/R&gt;&lt;C&gt;1&lt;/C&gt;&lt;D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xsi:type="xsd:double"&gt;2.53485794961448&lt;/D&gt;&lt;D xsi:type="xsd:double"&gt;2.03463841368045&lt;/D&gt;&lt;D xsi:type="xsd:double"&gt;2.71427224666172&lt;/D&gt;&lt;D xsi:type="xsd:double"&gt;3.12760120843659&lt;/D&gt;&lt;D xsi:type="xsd:double"&gt;3.00280442811251&lt;/D&gt;&lt;/FQL&gt;&lt;FQL&gt;&lt;Q&gt;EWJ^P_PRICE_RETURNS_PR('52W',2,-10AY,0,AM)&lt;/Q&gt;&lt;R&gt;121&lt;/R&gt;&lt;C&gt;1&lt;/C&gt;&lt;D xsi:type="xsd:double"&gt;-5.3683996&lt;/D&gt;&lt;D xsi:type="xsd:double"&gt;7.155049&lt;/D&gt;&lt;D xsi:type="xsd:double"&gt;2.1058798&lt;/D&gt;&lt;D xsi:type="xsd:double"&gt;6.96913&lt;/D&gt;&lt;D xsi:type="xsd:double"&gt;1.6019344&lt;/D&gt;&lt;D xsi:type="xsd:double"&gt;-8.067256&lt;/D&gt;&lt;D xsi:type="xsd:double"&gt;-3.8048685&lt;/D&gt;&lt;D xsi:type="xsd:double"&gt;-1.9755721&lt;/D&gt;&lt;D xsi:type="xsd:double"&gt;-4.4525623&lt;/D&gt;&lt;D xsi:type="xsd:double"&gt;6.082678&lt;/D&gt;&lt;D xsi:type="xsd:double"&gt;13.9819145&lt;/D&gt;&lt;D xsi:type="xsd:double"&gt;17.084455&lt;/D&gt;&lt;D xsi:type="xsd:double"&gt;19.566822&lt;/D&gt;&lt;D xsi:type="xsd:double"&gt;10.023952&lt;/D&gt;&lt;D xsi:type="xsd:double"&gt;8.808088&lt;/D&gt;&lt;D xsi:type="xsd:double"&gt;9.37283&lt;/D&gt;&lt;D xsi:type="xsd:double"&gt;2.5623798&lt;/D&gt;&lt;D xsi:type="xsd:double"&gt;13.350034&lt;/D&gt;&lt;D xsi:type="xsd:double"&gt;9.127771&lt;/D&gt;&lt;D xsi:type="xsd:double"&gt;9.244037&lt;/D&gt;&lt;D xsi:type="xsd:double"&gt;0.6507635&lt;/D&gt;&lt;D xsi:type="xsd:double"&gt;-7.596493&lt;/D&gt;&lt;D xsi:type="xsd:double"&gt;-7.388234&lt;/D&gt;&lt;D xsi:type="xsd:double"&gt;-8.264435&lt;/D&gt;&lt;D xsi:type="xsd:double"&gt;-10.551584&lt;/D&gt;&lt;D xsi:type="xsd:double"&gt;-9.810615&lt;/D&gt;&lt;D xsi:type="xsd:double"&gt;-6.500453&lt;/D&gt;&lt;D xsi:type="xsd:double"&gt;-2.8630853&lt;/D&gt;&lt;D xsi:type="xsd:double"&gt;3.1483054&lt;/D&gt;&lt;D xsi:type="xsd:double"&gt;2.6914&lt;/D&gt;&lt;D xsi:type="xsd:double"&gt;1.811552&lt;/D&gt;&lt;D xsi:type="xsd:double"&gt;2.840495&lt;/D&gt;&lt;D xsi:type="xsd:double"&gt;14.796793&lt;/D&gt;&lt;D xsi:type="xsd:double"&gt;19.94797&lt;/D&gt;&lt;D xsi:type="xsd:double"&gt;14.999998&lt;/D&gt;&lt;D xsi:type="xsd:double"&gt;10.697293&lt;/D&gt;&lt;D xsi:type="xsd:double"&gt;15.238678&lt;/D&gt;&lt;D xsi:type="xsd:double"&gt;20.723175&lt;/D&gt;&lt;D xsi:type="xsd:double"&gt;14.766979&lt;/D&gt;&lt;D xsi:type="xsd:double"&gt;11.378372&lt;/D&gt;&lt;D xsi:type="xsd:double"&gt;15.356695&lt;/D&gt;&lt;D xsi:type="xsd:double"&gt;18.68546&lt;/D&gt;&lt;D xsi:type="xsd:double"&gt;19.188011&lt;/D&gt;&lt;D xsi:type="xsd:double"&gt;20.634794&lt;/D&gt;&lt;D xsi:type="xsd:double"&gt;28.802622&lt;/D&gt;&lt;D xsi:type="xsd:double"&gt;21.851276&lt;/D&gt;&lt;D xsi:type="xsd:double"&gt;19.028711&lt;/D&gt;&lt;D xsi:type="xsd:double"&gt;20.096636&lt;/D&gt;&lt;D xsi:type="xsd:double"&gt;18.076265&lt;/D&gt;&lt;D xsi:type="xsd:double"&gt;13.176584&lt;/D&gt;&lt;D xsi:type="xsd:double"&gt;10.039592&lt;/D&gt;&lt;D xsi:type="xsd:double"&gt;7.035756&lt;/D&gt;&lt;D xsi:type="xsd:double"&gt;6.8031907&lt;/D&gt;&lt;D xsi:type="xsd:double"&gt;1.4408231&lt;/D&gt;&lt;D xsi:type="xsd:double"&gt;-5.904084&lt;/D&gt;&lt;D xsi:type="xsd:double"&gt;-11.007905&lt;/D&gt;&lt;D xsi:type="xsd:double"&gt;-15.153617&lt;/D&gt;&lt;D xsi:type="xsd:double"&gt;-8.780831&lt;/D&gt;&lt;D xsi:type="xsd:double"&gt;-9.514677&lt;/D&gt;&lt;D xsi:type="xsd:double"&gt;-7.414031&lt;/D&gt;&lt;D xsi:type="xsd:double"&gt;-10.840183&lt;/D&gt;&lt;D xsi:type="xsd:double"&gt;-8.8117485&lt;/D&gt;&lt;D xsi:type="xsd:double"&gt;-4.29638&lt;/D&gt;&lt;D xsi:type="xsd:double"&gt;-4.714155&lt;/D&gt;&lt;D xsi:type="xsd:double"&gt;-0.7052481&lt;/D&gt;&lt;D xsi:type="xsd:double"&gt;1.531589&lt;/D&gt;&lt;D xsi:type="xsd:double"&gt;11.234522&lt;/D&gt;&lt;D xsi:type="xsd:double"&gt;17.821789&lt;/D&gt;&lt;D xsi:type="xsd:double"&gt;14.143551&lt;/D&gt;&lt;D xsi:type="xsd:double"&gt;10.931468&lt;/D&gt;&lt;D xsi:type="xsd:double"&gt;-14.757877&lt;/D&gt;&lt;D xsi:type="xsd:double"&gt;-6.1146736&lt;/D&gt;&lt;D xsi:type="xsd:double"&gt;-1.6225636&lt;/D&gt;&lt;D xsi:type="xsd:double"&gt;7.18714&lt;/D&gt;&lt;D xsi:type="xsd:double"&gt;4.7787547&lt;/D&gt;&lt;D xsi:type="xsd:double"&gt;10.936367&lt;/D&gt;&lt;D xsi:type="xsd:double"&gt;6.92091&lt;/D&gt;&lt;D xsi:type="xsd:double"&gt;4.2465925&lt;/D&gt;&lt;D xsi:type="xsd:double"&gt;9.232056&lt;/D&gt;&lt;D xsi:type="xsd:double"&gt;12.298751&lt;/D&gt;&lt;D xsi:type="xsd:double"&gt;16.564512&lt;/D&gt;&lt;D xsi:type="xsd:double"&gt;24.240839&lt;/D&gt;&lt;D xsi:type="xsd:double"&gt;56.214333&lt;/D&gt;&lt;D xsi:type="xsd:double"&gt;41.17093&lt;/D&gt;&lt;D xsi:type="xsd:double"&gt;30.04297&lt;/D&gt;&lt;D xsi:type="xsd:double"&gt;23.39859&lt;/D&gt;&lt;D xsi:type="xsd:double"&gt;21.239067&lt;/D&gt;&lt;D xsi:type="xsd:double"&gt;17.684673&lt;/D&gt;&lt;D xsi:type="xsd:double</t>
        </r>
      </text>
    </comment>
    <comment ref="A3" authorId="0" shapeId="0" xr:uid="{4C38E23B-7187-4119-8AE1-925ECA1AE081}">
      <text>
        <r>
          <rPr>
            <b/>
            <sz val="9"/>
            <color indexed="81"/>
            <rFont val="Tahoma"/>
            <charset val="1"/>
          </rPr>
          <t>"&gt;24.762844&lt;/D&gt;&lt;D xsi:type="xsd:double"&gt;18.297672&lt;/D&gt;&lt;D xsi:type="xsd:double"&gt;9.910202&lt;/D&gt;&lt;D xsi:type="xsd:double"&gt;2.7595282&lt;/D&gt;&lt;D xsi:type="xsd:double"&gt;-1.855427&lt;/D&gt;&lt;D xsi:type="xsd:double"&gt;-9.350371&lt;/D&gt;&lt;D xsi:type="xsd:double"&gt;-10.339236&lt;/D&gt;&lt;D xsi:type="xsd:double"&gt;-14.292216&lt;/D&gt;&lt;D xsi:type="xsd:double"&gt;-13.319856&lt;/D&gt;&lt;D xsi:type="xsd:double"&gt;-22.599094&lt;/D&gt;&lt;D xsi:type="xsd:double"&gt;-20.507246&lt;/D&gt;&lt;D xsi:type="xsd:double"&gt;-14.012634&lt;/D&gt;&lt;D xsi:type="xsd:double"&gt;-28.563446&lt;/D&gt;&lt;D xsi:type="xsd:double"&gt;-27.454842&lt;/D&gt;&lt;D xsi:type="xsd:double"&gt;-20.220835&lt;/D&gt;&lt;D xsi:type="xsd:double"&gt;-18.862295&lt;/D&gt;&lt;D xsi:type="xsd:double"&gt;-13.730043&lt;/D&gt;&lt;D xsi:type="xsd:double"&gt;-9.452688&lt;/D&gt;&lt;D xsi:type="xsd:double"&gt;-8.295309&lt;/D&gt;&lt;D xsi:type="xsd:double"&gt;1.5666604&lt;/D&gt;&lt;D xsi:type="xsd:double"&gt;9.129656&lt;/D&gt;&lt;D xsi:type="xsd:double"&gt;20.985365&lt;/D&gt;&lt;D xsi:type="xsd:double"&gt;19.466745&lt;/D&gt;&lt;D xsi:type="xsd:double"&gt;5.1226139999999996&lt;/D&gt;&lt;D xsi:type="xsd:double"&gt;23.041761&lt;/D&gt;&lt;D xsi:type="xsd:double"&gt;23.486937&lt;/D&gt;&lt;D xsi:type="xsd:double"&gt;15.978109&lt;/D&gt;&lt;D xsi:type="xsd:double"&gt;16.70512&lt;/D&gt;&lt;D xsi:type="xsd:double"&gt;16.042698&lt;/D&gt;&lt;D xsi:type="xsd:double"&gt;21.085941&lt;/D&gt;&lt;D xsi:type="xsd:double"&gt;29.320454&lt;/D&gt;&lt;D xsi:type="xsd:double"&gt;16.901457&lt;/D&gt;&lt;D xsi:type="xsd:double"&gt;15.350544&lt;/D&gt;&lt;/FQL&gt;&lt;FQL&gt;&lt;Q&gt;EWC^FG_TOTAL_RETURNC(-10AY,0,AM)&lt;/Q&gt;&lt;R&gt;121&lt;/R&gt;&lt;C&gt;1&lt;/C&gt;&lt;D xsi:type="xsd:double"&gt;1.7368078&lt;/D&gt;&lt;D xsi:type="xsd:double"&gt;3.6441207&lt;/D&gt;&lt;D xsi:type="xsd:double"&gt;2.7840853&lt;/D&gt;&lt;D xsi:type="xsd:double"&gt;-0.27941465&lt;/D&gt;&lt;D xsi:type="xsd:double"&gt;0.6226659&lt;/D&gt;&lt;D xsi:type="xsd:double"&gt;-10.179454&lt;/D&gt;&lt;D xsi:type="xsd:double"&gt;4.478121&lt;/D&gt;&lt;D xsi:type="xsd:double"&gt;-6.8752885&lt;/D&gt;&lt;D xsi:type="xsd:double"&gt;-2.153629&lt;/D&gt;&lt;D xsi:type="xsd:double"&gt;4.071903&lt;/D&gt;&lt;D xsi:type="xsd:double"&gt;-5.0757885&lt;/D&gt;&lt;D xsi:type="xsd:double"&gt;7.723725&lt;/D&gt;&lt;D xsi:type="xsd:double"&gt;-0.27576685&lt;/D&gt;&lt;D xsi:type="xsd:double"&gt;-4.147947&lt;/D&gt;&lt;D xsi:type="xsd:double"&gt;-5.880332&lt;/D&gt;&lt;D xsi:type="xsd:double"&gt;-3.0115783&lt;/D&gt;&lt;D xsi:type="xsd:double"&gt;-3.861469&lt;/D&gt;&lt;D xsi:type="xsd:double"&gt;2.4844766&lt;/D&gt;&lt;D xsi:type="xsd:double"&gt;-7.030302&lt;/D&gt;&lt;D xsi:type="xsd:double"&gt;-5.9973955&lt;/D&gt;&lt;D xsi:type="xsd:double"&gt;-11.106605&lt;/D&gt;&lt;D xsi:type="xsd:double"&gt;13.600421&lt;/D&gt;&lt;D xsi:type="xsd:double"&gt;11.136902&lt;/D&gt;&lt;D xsi:type="xsd:double"&gt;1.2108564&lt;/D&gt;&lt;D xsi:type="xsd:double"&gt;1.2788773&lt;/D&gt;&lt;D xsi:type="xsd:double"&gt;0.12220144&lt;/D&gt;&lt;D xsi:type="xsd:double"&gt;3.664565&lt;/D&gt;&lt;D xsi:type="xsd:double"&gt;2.294302&lt;/D&gt;&lt;D xsi:type="xsd:double"&gt;-3.673631&lt;/D&gt;&lt;D xsi:type="xsd:double"&gt;2.328384&lt;/D&gt;&lt;D xsi:type="xsd:double"&gt;-0.27461648&lt;/D&gt;&lt;D xsi:type="xsd:double"&gt;4.6026707&lt;/D&gt;&lt;D xsi:type="xsd:double"&gt;3.1642437&lt;/D&gt;&lt;D xsi:type="xsd:double"&gt;2.2827744&lt;/D&gt;&lt;D xsi:type="xsd:double"&gt;-3.8516998&lt;/D&gt;&lt;D xsi:type="xsd:double"&gt;1.1980534&lt;/D&gt;&lt;D xsi:type="xsd:double"&gt;-4.5505047&lt;/D&gt;&lt;D xsi:type="xsd:double"&gt;2.9069781&lt;/D&gt;&lt;D xsi:type="xsd:double"&gt;4.1665792&lt;/D&gt;&lt;D xsi:type="xsd:double"&gt;-0.7655859&lt;/D&gt;&lt;D xsi:type="xsd:double"&gt;5.033064&lt;/D&gt;&lt;D xsi:type="xsd:double"&gt;1.9937038&lt;/D&gt;&lt;D xsi:type="xsd:double"&gt;-0.37723184&lt;/D&gt;&lt;D xsi:type="xsd:double"&gt;-0.17211437&lt;/D&gt;&lt;D xsi:type="xsd:double"&gt;5.820906&lt;/D&gt;&lt;D xsi:type="xsd:double"&gt;-6.699663&lt;/D&gt;&lt;D xsi:type="xsd:double"&gt;-2.1223903&lt;/D&gt;&lt;D xsi:type="xsd:double"&gt;2.0599961&lt;/D&gt;&lt;D xsi:type="xsd:double"&gt;3.8243651&lt;/D&gt;&lt;D xsi:type="xsd:double"&gt;-2.114594&lt;/D&gt;&lt;D xsi:type="xsd:double"&gt;1.6017199&lt;/D&gt;&lt;D xsi:type="xsd:double"&gt;0.06912947&lt;/D&gt;&lt;D xsi:type="xsd:double"&gt;-1.761657&lt;/D&gt;&lt;D xsi:type="xsd:double"&gt;-3.270042&lt;/D&gt;&lt;D xsi:type="xsd:double"&gt;-2.7626336&lt;/D&gt;&lt;D xsi:type="xsd:double"&gt;-7.0654154&lt;/D&gt;&lt;D xsi:type="xsd:double"&gt;7.35929&lt;/D&gt;&lt;D xsi:type="xsd:double"&gt;4.4190526&lt;/D&gt;&lt;D xsi:type="xsd:double"&gt;1.2769103&lt;/D&gt;&lt;D xsi:type="xsd:double"&gt;3.1700253&lt;/D&gt;&lt;D xsi:type="xsd:double"&gt;-1.9553065&lt;/D&gt;&lt;D xsi:type="xsd:double"&gt;0.082075596&lt;/D&gt;&lt;D xsi:type="xsd:double"&gt;3.662479&lt;/D&gt;&lt;D xsi:type="xsd:double"&gt;-3.9833784&lt;/D&gt;&lt;D xsi:type="xsd:double"&gt;5.086577&lt;/D&gt;&lt;D xsi:type="xsd:double"&gt;-1.5104651&lt;/D&gt;&lt;D xsi:type="xsd:double"&gt;3.6249518&lt;/D&gt;&lt;D xsi:type="xsd:double"&gt;0.72131157&lt;/D&gt;&lt;D xsi:type="xsd:double"&gt;3.48562&lt;/D&gt;&lt;D xsi:type="xsd:double"&gt;0.098109245&lt;/D&gt;&lt;D xsi:type="xsd:double"&gt;-36.099316&lt;/D&gt;&lt;D xsi:type="xsd:double"&gt;19.529652&lt;/D&gt;&lt;D xsi:type="xsd:double"&gt;1.4970064&lt;/D&gt;&lt;D xsi:type="xsd:double"&gt;9.689808&lt;/D&gt;&lt;D xsi:type="xsd:double"&gt;4.3073297&lt;/D&gt;&lt;D xsi:type="xsd:double"&gt;6.5104127&lt;/D&gt;&lt;D xsi:type="xsd:double"&gt;-2.4100542&lt;/D&gt;&lt;D xsi:type="xsd:double"&gt;0.93057156&lt;/D&gt;&lt;D xsi:type="xsd:double"&gt;4.4326186&lt;/D&gt;&lt;D xsi:type="xsd:double"&gt;7.715118&lt;/D&gt;&lt;D xsi:type="xsd:double"&gt;1.5959144&lt;/D&gt;&lt;D xsi:type="xsd:double"&gt;3.0160308&lt;/D&gt;&lt;D xsi:type="xsd:double"&gt;6.5568686&lt;/D&gt;&lt;D xsi:type="xsd:double"&gt;1.2593031&lt;/D&gt;&lt;D xsi:type="xsd:double"&gt;5.1158786&lt;/D&gt;&lt;D xsi:type="xsd:double"&gt;1.048398&lt;/D&gt;&lt;D xsi:type="xsd:double"&gt;-2.730912&lt;/D&gt;&lt;D xsi:type="xsd:double"&gt;2.1194458&lt;/D&gt;&lt;D xsi:type="xsd:double"&gt;-0.91644526&lt;/D&gt;&lt;D xsi:type="xsd:double"&gt;6.066382&lt;/D&gt;&lt;D xsi:type="xsd:double"&gt;1.3849616&lt;/D&gt;&lt;D xsi:type="xsd:double"&gt;-5.7267547&lt;/D&gt;&lt;D xsi:type="xsd:double"&gt;6.3604236&lt;/D&gt;&lt;D xsi:type="xsd:double"&gt;-2.351141&lt;/D&gt;&lt;D xsi:type="xsd:double"&gt;3.7163138&lt;/D&gt;&lt;D xsi:type="xsd:double"&gt;0.12615919&lt;/D&gt;&lt;D xsi:type="xsd:double"&gt;-7.15726&lt;/D&gt;&lt;D xsi:type="xsd:double"&gt;-8.907968&lt;/D&gt;&lt;D xsi:type="xsd:double"&gt;-2.7619421&lt;/D&gt;&lt;D xsi:type="xsd:double"&gt;10.774935&lt;/D&gt;&lt;D xsi:type="xsd:double"&gt;-6.4659953&lt;/D&gt;&lt;D xsi:type="xsd:double"&gt;-6.7640066&lt;/D&gt;&lt;D xsi:type="xsd:double"&gt;10.4186535&lt;/D&gt;&lt;D xsi:type="xsd:double"&gt;-4.797679&lt;/D&gt;&lt;D xsi:type="xsd:double"&gt;7.8038335&lt;/D&gt;&lt;D xsi:type="xsd:double"&gt;0.11445284&lt;/D&gt;&lt;D xsi:type="xsd:double"&gt;-7.5164375&lt;/D&gt;&lt;D xsi:type="xsd:double"&gt;9.734238&lt;/D&gt;&lt;D xsi:type="xsd:double"&gt;-1.886785&lt;/D&gt;&lt;D xsi:type="xsd:double"&gt;0.694263&lt;/D&gt;&lt;D xsi:type="xsd:double"&gt;1.6124487&lt;/D&gt;&lt;D xsi:type="xsd:double"&gt;-4.420519&lt;/D&gt;&lt;D xsi:type="xsd:double"&gt;4.565668&lt;/D&gt;&lt;D xsi:type="xsd:double"&gt;-4.6782017&lt;/D&gt;&lt;D xsi:type="xsd:double"&gt;2.5282621&lt;/D&gt;&lt;D xsi:type="xsd:double"&gt;4.293585&lt;/D&gt;&lt;D xsi:type="xsd:double"&gt;0.09372234&lt;/D&gt;&lt;D xsi:type="xsd:double"&gt;3.3239484&lt;/D&gt;&lt;D xsi:type="xsd:double"&gt;2.8625965&lt;/D&gt;&lt;D xsi:type="xsd:double"&gt;-2.5443912&lt;/D&gt;&lt;D xsi:type="xsd:double"&gt;4.949689&lt;/D&gt;&lt;/FQL&gt;&lt;FQL&gt;&lt;Q&gt;ENZL^FMA_DIV_YLD(NTMA,-10AY,0,AM,"PORTAGG","MEANR")&lt;/Q&gt;&lt;R&gt;121&lt;/R&gt;&lt;C&gt;1&lt;/C&gt;&lt;D xsi:type="xsd:double"&gt;4.09911717663737&lt;/D&gt;&lt;D xsi:type="xsd:double"&gt;4.20743246278969&lt;/D&gt;&lt;D xsi:type="xsd:double"&gt;4.46458810559239&lt;/D&gt;&lt;D xsi:type="xsd:double"&gt;4.52582458038476&lt;/D&gt;&lt;D xsi:type="xsd:double"&gt;4.66337976949019&lt;/D&gt;&lt;D xsi:type="xsd:double"&gt;4.69560903056722&lt;/D&gt;&lt;D xsi:type="xsd:double"&gt;4.42676124213895&lt;/D&gt;&lt;D xsi:type="xsd:double"&gt;4.48850458401128&lt;/D&gt;&lt;D xsi:type="xsd:double"&gt;4.37563125257406&lt;/D&gt;&lt;D xsi:type="xsd:double"&gt;4.24954613410878&lt;/D&gt;&lt;D xsi:type="xsd:double"&gt;4.31652924856404&lt;/D&gt;&lt;D xsi:type="xsd:double"&gt;4.42228280190139&lt;/D&gt;&lt;D xsi:type="xsd:double"&gt;4.47509882866337&lt;/D&gt;&lt;D xsi:type="xsd:double"&gt;4.50338039169201&lt;/D&gt;&lt;D xsi:type="xsd:double"&gt;4.60652623675071&lt;/D&gt;&lt;D xsi:type="xsd:double"&gt;4.71616024381356&lt;/D&gt;&lt;D xsi:type="xsd:double"&gt;5.10979792547554&lt;/D&gt;&lt;D xsi:type="xsd:double"&gt;5.06854880395035&lt;/D&gt;&lt;D xsi:type="xsd:double"&gt;4.93060858096558&lt;/D&gt;&lt;D xsi:type="xsd:double"&gt;4.84517603006311&lt;/D&gt;&lt;D xsi:type="xsd:double"&gt;4.85114730430349&lt;/D&gt;&lt;D xsi:type="xsd:double"&gt;4.91797455411641&lt;/D&gt;&lt;D xsi:type="xsd:double"&gt;4.66853595705592&lt;/D&gt;&lt;D xsi:type="xsd:double"&gt;4.53549430349399&lt;/D&gt;&lt;D xsi:type="xsd:double"&gt;4.43418744981419&lt;/D&gt;&lt;D xsi:type="xsd:double"&gt;4.44974880459988&lt;/D&gt;&lt;D xsi:type="xsd:double"&gt;4.28219707736922&lt;/D&gt;&lt;D xsi:type="xsd:double"&gt;4.14996651491533&lt;/D&gt;&lt;D xsi:type="xsd:double"&gt;4.32404130987216&lt;/D&gt;&lt;D xsi:type="xsd:double"&gt;4.5097790926688&lt;/D&gt;&lt;D xsi:type="xsd:double"&gt;4.663669203289&lt;/D&gt;&lt;D xsi:type="xsd:double"&gt;4.71264125286212&lt;/D&gt;&lt;D xsi:type="xsd:double"&gt;4.52351639459681&lt;/D&gt;&lt;D xsi:type="xsd:double"&gt;4.55040528891217&lt;/D&gt;&lt;D xsi:type="xsd:double"&gt;4.59630881481287&lt;/D&gt;&lt;D xsi:type="xsd:double"&gt;4.56813657438078&lt;/D&gt;&lt;D xsi:type="xsd:double"&gt;4.47602306512097&lt;/D&gt;&lt;D xsi:type="xsd:double"&gt;4.3972567422724&lt;/D&gt;&lt;D xsi:type="xsd:double"&gt;4.39652077521022&lt;/D&gt;&lt;D xsi:type="xsd:double"&gt;4.32183221151468&lt;/D&gt;&lt;D xsi:type="xsd:double"&gt;4.44623422274072&lt;/D&gt;&lt;D xsi:type="xsd:double"&gt;4.34916629035089&lt;/D&gt;&lt;D xsi:type="xsd:double"&gt;4.41094947834673&lt;/D&gt;&lt;D xsi:type="xsd:double"&gt;4.22524734145501&lt;/D&gt;&lt;D xsi:type="xsd:double"&gt;4.26308151113232&lt;/D&gt;&lt;D xsi:type="xsd:double"&gt;4.39585866613761&lt;/D&gt;&lt;D xsi:type="xsd:double"&gt;4.22365478740251&lt;/D&gt;&lt;D xsi:type="xsd:double"&gt;4.3050241107142&lt;/D&gt;&lt;D xsi:type="xsd:double"&gt;4.23083919735982&lt;/D&gt;&lt;D xsi:type="xsd:double"&gt;4.0019506501275&lt;/D&gt;&lt;D xsi:type="xsd:double"&gt;4.05954795544115&lt;/D&gt;&lt;D xsi:type="xsd:double"&gt;4.02999009094997&lt;/D&gt;&lt;D xsi:type="xsd:double"&gt;3.96879385852161&lt;/D&gt;&lt;D xsi:type="xsd:double"&gt;4.2009501949185&lt;/D&gt;&lt;D xsi:type="xsd:double"&gt;4.23580567805645&lt;/D&gt;&lt;D xsi:type="xsd:double"&gt;4.20597335443739&lt;/D&gt;&lt;D xsi:type="xsd:double"&gt;4.04218150354687&lt;/D&gt;&lt;D xsi:type="xsd:double"&gt;4.02858216118949&lt;/D&gt;&lt;D xsi:type="xsd:double"&gt;3.88843850406981&lt;/D&gt;&lt;D xsi:type="xsd:double"&gt;3.69370822961885&lt;/D&gt;&lt;D xsi:type="xsd:double"&gt;3.66575340239948&lt;/D&gt;&lt;D xsi:type="xsd:double"&gt;3.66771232924791&lt;/D&gt;&lt;D xsi:type="xsd:double"&gt;3.46228272637787&lt;/D&gt;&lt;D xsi:type="xsd:double"&gt;3.48061867404903&lt;/D&gt;&lt;D xsi:type="xsd:double"&gt;3.34946747469418&lt;/D&gt;&lt;D xsi:type="xsd:double"&gt;3.27303561827021&lt;/D&gt;&lt;D xsi:type="xsd:double"&gt;3.35291028848066&lt;/D&gt;&lt;D xsi:type="xsd:double"&gt;3.2332562129972&lt;/D&gt;&lt;D xsi:type="xsd:double"&gt;3.08828197843223&lt;/D&gt;&lt;D xsi:type="xsd:double"&gt;3.06518410950339&lt;/D&gt;&lt;D xsi:type="xsd:double"&gt;3.79710544229173&lt;/D&gt;&lt;D xsi:type="xsd:double"&gt;2.69678493501566&lt;/D&gt;&lt;D xsi:type="xsd:double"&gt;2.60958308729702&lt;/D&gt;&lt;D xsi:type="xsd:double"&gt;2.47257641844772&lt;/D&gt;&lt;D xsi:type="xsd:double"&gt;2.44301742072781&lt;/D&gt;&lt;D xsi:type="xsd:double"&gt;2.40415290954771&lt;/D&gt;&lt;D xsi:type="xsd:double"&gt;2.43331267714166&lt;/D&gt;&lt;D xsi:type="xsd:double"&gt;2.35087358014793&lt;/D&gt;&lt;D xsi:type="xsd:double"&gt;2.34293633016013&lt;/D&gt;&lt;D xsi:type="xsd:double"&gt;2.39249161618253&lt;/D&gt;&lt;D xsi:type="xsd:double"&gt;2.45487748039979&lt;/D&gt;&lt;D xsi:type="xsd:double"&gt;2.55890398747226&lt;/D&gt;&lt;D xsi:type="xsd:double"&gt;2.53463718739198&lt;/D&gt;&lt;D xsi:type="xsd:double"&gt;2.56196760003025&lt;/D&gt;&lt;D xsi:type="xsd:double"&gt;2.67507426905899&lt;/D&gt;&lt;D xsi:type="xsd:double"&gt;2.68732271777134&lt;/D&gt;&lt;D xsi:type="xsd:double"&gt;2.61688842745586&lt;/D&gt;&lt;D xsi:type="xsd:double"&gt;2.6877914368166&lt;/D&gt;&lt;D xsi:type="xsd:double"&gt;2.58712724077911&lt;/D&gt;&lt;D xsi:type="xsd:double"&gt;2.66955279946242&lt;/D&gt;&lt;D xsi:type="xsd:double"&gt;2.72912328752878&lt;/D&gt;&lt;D xsi:type="xsd:double"&gt;2.80549711955461&lt;/D&gt;&lt;D xsi:type="xsd:double"&gt;2.84161436516067&lt;/D&gt;&lt;D xsi:type="xsd:double"&gt;2.9660012291922&lt;/D&gt;&lt;D xsi:type="xsd:double"&gt;3.05470502441581&lt;/D&gt;&lt;D xsi:type="xsd:double"&gt;3.14102107944302&lt;/D&gt;&lt;D xsi:type="xsd:double"&gt;3.24754231184455&lt;/D&gt;&lt;D xsi:type="xsd:double"&gt;3.46124124041875&lt;/D&gt;&lt;D xsi:type="xsd:double"&gt;3.32796341763629&lt;/D&gt;&lt;D xsi:type="xsd:double"&gt;3.15700013278853&lt;/D&gt;&lt;D xsi:type="xsd:double"&gt;3.26159331495112&lt;/D&gt;&lt;D xsi:type="xsd:double"&gt;3.50378757106449&lt;/D&gt;&lt;D xsi:type="xsd:double"&gt;3.38114485498708&lt;/D&gt;&lt;D xsi:type="xsd:double"&gt;3.43013813231712&lt;/D&gt;&lt;D xsi:type="xsd:double"&gt;3.35502337611284&lt;/D&gt;&lt;D xsi:type="xsd:double"&gt;3.23639464544743&lt;/D&gt;&lt;D xsi:type="xsd:double"&gt;3.50053697761812&lt;/D&gt;&lt;D xsi:type="xsd:double"&gt;3.402119605845&lt;/D&gt;&lt;D xsi:type="xsd:double"&gt;3.48328379363791&lt;/D&gt;&lt;D xsi:type="xsd:double"&gt;3.46761371741946&lt;/D&gt;&lt;D xsi:type="xsd:double"&gt;3.42667588192894&lt;/D&gt;&lt;D xsi:type="xsd:double"&gt;3.47783770620924&lt;/D&gt;&lt;D xsi:type="xsd:double"&gt;3.4245851574524&lt;/D&gt;&lt;D xsi:type="xsd:double"&gt;3.46555545186151&lt;/D&gt;&lt;D xsi:type="xsd:double"&gt;3.4648363430824&lt;/D&gt;&lt;D xsi:type="xsd:double"&gt;3.02441137475135&lt;/D&gt;&lt;D xsi:type="xsd:double"&gt;3.01392401585506&lt;/D&gt;&lt;D xsi:type="xsd:double"&gt;2.90899463866917&lt;/D&gt;&lt;D xsi:type="xsd:double"&gt;2.7905414739583&lt;/D&gt;&lt;D xsi:type="xsd:double"&gt;2.78796504939504&lt;/D&gt;&lt;D xsi:type="xsd:double"&gt;2.75897049809457&lt;/D&gt;&lt;/FQL&gt;&lt;FQL&gt;&lt;Q&gt;EWI^FMA_PE(LTMA,-10AY,0,AM,"PORTAGG","MEANR")&lt;/Q&gt;&lt;R&gt;121&lt;/R&gt;&lt;C&gt;1&lt;/C&gt;&lt;D xsi:type="xsd:double"&gt;16.949014463329&lt;/D&gt;&lt;D xsi:type="xsd:double"&gt;17.3326106331147&lt;/D&gt;&lt;D xsi:type="xsd:double"&gt;17.033597053212&lt;/D&gt;&lt;D xsi:type="xsd:double"&gt;16.6890136575876&lt;/D&gt;&lt;D xsi:type="xsd:double"&gt;18.1128610492835&lt;/D&gt;&lt;D xsi:type="xsd:double"&gt;16.3077123524235&lt;/D&gt;&lt;D xsi:type="xsd:double"&gt;17.7177878596478&lt;/D&gt;&lt;D xsi:type="xsd:double"&gt;17.8515920227599&lt;/D&gt;&lt;D xsi:type="xsd:double"&gt;19.9002375160191&lt;/D&gt;&lt;D xsi:type="xsd:double"&gt;43.2262465878325&lt;/D&gt;&lt;D xsi:type="xsd:double"&gt;43.6699872248044&lt;/D&gt;&lt;D xsi:type="xsd:double"&gt;40.8220593444703&lt;/D&gt;&lt;D xsi:type="xsd:double"&gt;38.3449633926349&lt;/D&gt;&lt;D xsi:type="xsd:double"&gt;34.7750790837867&lt;/D&gt;&lt;D xsi:type="xsd:double"&gt;32.5083197140623&lt;/D&gt;&lt;D xsi:type="xsd:double"&gt;29.8133274079461&lt;/D&gt;&lt;D xsi:type="xsd:double"&gt;26.422801260004&lt;/D&gt;&lt;D xsi:type="xsd:double"&gt;24.2645142485921&lt;/D&gt;&lt;D xsi:type="xsd:double"&gt;22.3704156943375&lt;/D&gt;&lt;D xsi:type="xsd:double"&gt;19.1917789316299&lt;/D&gt;&lt;D xsi:type="xsd:double"&gt;16.1443030110855&lt;/D&gt;&lt;D xsi:type="xsd:double"&gt;15.2546839418826&lt;/D&gt;&lt;D xsi:type="xsd:double"&gt;15.4093491108163&lt;/D&gt;&lt;D xsi:type="xsd:double"&gt;15.2829594089&lt;/D&gt;&lt;D xsi:type="xsd:double"&gt;15.37896019725&lt;/D&gt;&lt;D xsi:type="xsd:double"&gt;14.7092398888453&lt;/D&gt;&lt;D xsi:type="xsd:double"&gt;14.6834441813784&lt;/D&gt;&lt;D xsi:type="xsd:double"&gt;14.9171045627878&lt;/D&gt;&lt;D xsi:type="xsd:double"&gt;14.4842834856679&lt;/D&gt;&lt;D xsi:type="xsd:double"&gt;14.8366446760366&lt;/D&gt;&lt;D xsi:type="xsd:double"&gt;14.2988317441861&lt;/D&gt;&lt;D xsi:type="xsd:double"&gt;16.3027663274373&lt;/D&gt;&lt;D xsi:type="xsd:double"&gt;27.3661824009507&lt;/D&gt;&lt;D xsi:type="xsd:double"&gt;20.6319465074625&lt;/D&gt;&lt;D xsi:type="xsd:double"&gt;82.0940992664108&lt;/D&gt;&lt;D xsi:type="xsd:double"&gt;74.6687601699162&lt;/D&gt;&lt;D xsi:type="xsd:double"&gt;67.9153724872811&lt;/D&gt;&lt;D xsi:type="xsd:double"&gt;60.7894872833788&lt;/D&gt;&lt;D xsi:type="xsd:double"&gt;53.7554693613571&lt;/D&gt;&lt;D xsi:type="xsd:double"&gt;46.413406340395&lt;/D&gt;&lt;D xsi:type="xsd:double"&gt;39.7047371536623&lt;/D&gt;&lt;D xsi:type="xsd:double"&gt;32.4372876140872&lt;/D&gt;&lt;D xsi:type="xsd:double"&gt;25.1233403961635&lt;/D&gt;&lt;D xsi:type="xsd:double"&gt;18.9349168046866&lt;/D&gt;&lt;D xsi:type="xsd:double"&gt;15.9665261130846&lt;/D&gt;&lt;D xsi:type="xsd:double"&gt;14.4947001707681&lt;/D&gt;&lt;D xsi:type="xsd:double"&gt;14.1852545697043&lt;/D&gt;&lt;D xsi:type="xsd:double"&gt;14.1638756086381&lt;/D&gt;&lt;D xsi:type="xsd:double"&gt;14.0251739727179&lt;/D&gt;&lt;D xsi:type="xsd:double"&gt;13.5107993476456&lt;/D&gt;&lt;D xsi:type="xsd:double"&gt;13.256070722645&lt;/D&gt;&lt;D xsi:type="xsd:double"&gt;12.6127235049035&lt;/D&gt;&lt;D xsi:type="xsd:double"&gt;12.5717894603373&lt;/D&gt;&lt;D xsi:type="xsd:double"&gt;11.6941771096924&lt;/D&gt;&lt;D xsi:type="xsd:double"&gt;11.2121493992115&lt;/D&gt;&lt;D xsi:type="xsd:double"&gt;10.7386186666951&lt;/D&gt;&lt;D xsi:type="xsd:double"&gt;11.0463085028759&lt;/D&gt;&lt;D xsi:type="xsd:double"&gt;11.1305089337494&lt;/D&gt;&lt;D xsi:type="xsd:double"&gt;11.3091144024336&lt;/D&gt;&lt;D xsi:type="xsd:double"&gt;11.3725305564992&lt;/D&gt;&lt;D xsi:type="xsd:double"&gt;11.1689750275009&lt;/D&gt;&lt;D xsi:type="xsd:double"&gt;11.0021199600329&lt;/D&gt;&lt;D xsi:type="xsd:double"&gt;11.3407767058043&lt;/D&gt;&lt;D xsi:type="xsd:double"&gt;10.8001183198277&lt;/D&gt;&lt;D xsi:type="xsd:double"&gt;11.242326944483&lt;/D&gt;&lt;D xsi:type="xsd:double"&gt;11.5144162557937&lt;/D&gt;&lt;D xsi:type="xsd:double"&gt;12.007555792085&lt;/D&gt;&lt;D xsi:type="xsd:double"&gt;12.1428929437322&lt;/D&gt;&lt;D xsi:type="xsd:double"&gt;12.3791748547343&lt;/D&gt;&lt;D xsi:type="xsd:double"&gt;12.7386842575481&lt;/D&gt;&lt;D xsi:type="xsd:double"&gt;10.7276095047961&lt;/D&gt;&lt;D xsi:type="xsd:double"&gt;11.6131624635042&lt;/D&gt;&lt;D xsi:type="xsd:double"&gt;13.3501179046438&lt;/D&gt;&lt;D xsi:type="xsd:double"&gt;15.9084750423507&lt;/D&gt;&lt;D xsi:type="xsd:double"&gt;17.5337624304465&lt;/D&gt;&lt;D xsi:type="xsd:double"&gt;17.7537670707575&lt;/D&gt;&lt;D xsi:type="xsd:double"&gt;18.3445314332796&lt;/D&gt;&lt;D xsi:type="xsd:double"&gt;18.9572518573297&lt;/D&gt;&lt;D xsi:type="xsd:double"&gt;21.6838851907986&lt;/D&gt;&lt;D xsi:type="xsd:double"&gt;22.7598856629969&lt;/D&gt;&lt;D xsi:type="xsd:double"&gt;23.3177998003994&lt;/D&gt;&lt;D xsi:type="xsd:double"&gt;20.2981019823426&lt;/D&gt;&lt;D xsi:type="xsd:double"&gt;20.0604534157294&lt;/D&gt;&lt;D xsi:type="xsd:double"&gt;19.5136410634962&lt;/D&gt;&lt;D xsi:type="xsd:double"&gt;18.7339104777277&lt;/D&gt;&lt;D xsi:type="xsd:double"&gt;18.4110265232385&lt;/D&gt;&lt;D xsi:type="xsd:double"&gt;17.4890815939408&lt;/D&gt;&lt;D xsi:type="xsd:double"&gt;16.1700355476433&lt;/D&gt;&lt;D xsi:type="xsd:double"&gt;14.9984851444337&lt;/D&gt;&lt;D xsi:type="xsd:double"&gt;14.4903992555711&lt;/D&gt;&lt;D xsi:type="xsd:double"&gt;13.8128565643044&lt;/D&gt;&lt;D xsi:type="xsd:double"&gt;12.1197470273986&lt;/D&gt;&lt;D xsi:type="xsd:double"&gt;12.1257750040661&lt;/D&gt;&lt;D xsi:type="xsd:double"&gt;11.6319807342847&lt;/D&gt;&lt;D xsi:type="xsd:double"&gt;10.5591860190705&lt;/D&gt;&lt;D xsi:type="xsd:double"&gt;10.5267190562693&lt;/D&gt;&lt;D xsi:type="xsd:double"&gt;10.1508145893123&lt;/D&gt;&lt;D xsi:type="xsd:double"&gt;9.50226695752484&lt;/D&gt;&lt;D xsi:type="xsd:double"&gt;9.05336480079639&lt;/D&gt;&lt;D xsi:type="xsd:double"&gt;8.67934907350812&lt;/D&gt;&lt;D xsi:type="xsd:double"&gt;8.42534118953348&lt;/D&gt;&lt;D xsi:type="xsd:double"&gt;7.98759257769529&lt;/D&gt;&lt;D xsi:type="xsd:double"&gt;8.25564009088037&lt;/D&gt;&lt;D xsi:type="xsd:double"&gt;7.4757163263452&lt;/D&gt;&lt;D xsi:type="xsd:double"&gt;8.0899244577458&lt;/D&gt;&lt;D xsi:type="xsd:double"&gt;8.38011542286428&lt;/D&gt;&lt;D xsi:type="xsd:double"&gt;8.18089520228113&lt;/D&gt;&lt;D xsi:type="xsd:double"&gt;8.3872209903533&lt;/D&gt;&lt;D xsi:type="xsd:double"&gt;8.26360394517844&lt;/D&gt;&lt;D xsi:type="xsd:double"&gt;8.55188148016099&lt;/D&gt;&lt;D xsi:type="xsd:double"&gt;8.64517030559107&lt;/D&gt;&lt;D xsi:type="xsd:double"&gt;8.14306243737509&lt;/D&gt;&lt;D xsi:type="xsd:double"&gt;8.41793804150258&lt;/D&gt;&lt;D xsi:type="xsd:double"&gt;8.22726498513777&lt;/D&gt;&lt;D xsi:type="xsd:double"&gt;8.29273202667747&lt;/D&gt;&lt;D xsi:type="xsd:double"&gt;8.81874599360566&lt;/D&gt;&lt;D xsi:type="xsd:double"&gt;8.95440846223542&lt;/D&gt;&lt;D xsi:type="xsd:double"&gt;9.07175893420361&lt;/D&gt;&lt;D xsi:type="xsd:double"&gt;9.42361403311732&lt;/D&gt;&lt;D xsi:type="xsd:double"&gt;9.42032431856214&lt;/D&gt;&lt;D xsi:type="xsd:double"&gt;9.64244936740261&lt;/D&gt;&lt;/FQL&gt;&lt;FQL&gt;&lt;Q&gt;DDR3512M-FDS^FG_PRICE_CHANGE(0,-1AY)&lt;/Q&gt;&lt;R&gt;1&lt;/R&gt;&lt;C&gt;1&lt;/C&gt;&lt;D xsi:type="xsd:double"&gt;-8.24922419341773&lt;/D&gt;&lt;/FQL&gt;&lt;FQL&gt;&lt;Q&gt;PASP-FDS^FG_PRICE_CHANGE(0,-1AY)&lt;/Q&gt;&lt;R&gt;1&lt;/R&gt;&lt;C&gt;1&lt;/C&gt;&lt;D xsi:type="xsd:double"&gt;-31.9601328903654&lt;/D&gt;&lt;/FQL&gt;&lt;FQL&gt;&lt;Q&gt;PLATI-FDS^FG_PRICE_CHANGE(0,-1AY)&lt;/Q&gt;&lt;R&gt;1&lt;/R&gt;&lt;C&gt;1&lt;/C&gt;&lt;D xsi:type="xsd:double"&gt;-1.47874306839186&lt;/D&gt;&lt;/FQL&gt;&lt;FQL&gt;&lt;Q&gt;W-FDS^FG_PRICE_CHANGE(0,-1AY)&lt;/Q&gt;&lt;R&gt;1&lt;/R&gt;&lt;C&gt;1&lt;/C&gt;&lt;D xsi:type="xsd:double"&gt;4.11670663469226&lt;/D&gt;&lt;/FQL&gt;&lt;FQL&gt;&lt;Q&gt;COPP-FDS^FG_PRICE_CHANGE(0,-1AY)&lt;/Q&gt;&lt;R&gt;1&lt;/R&gt;&lt;C&gt;1&lt;/C&gt;&lt;D xsi:type="xsd:double"&gt;35.1055303232701&lt;/D&gt;&lt;/FQL&gt;&lt;FQL&gt;&lt;Q&gt;DUMMY^ECON_EXPR_DATA('FDS_ECON[PMIDMMANHE]',,,M)&lt;/Q&gt;&lt;R&gt;1&lt;/R&gt;&lt;C&gt;1&lt;/C&gt;&lt;D xsi:type="xsd:double"&gt;48.59645&lt;/D&gt;&lt;/FQL&gt;&lt;FQL&gt;&lt;Q&gt;CAGDPY@CA^EE_ACTUAL_ANNUAL(MED,0)&lt;/Q&gt;&lt;R&gt;1&lt;/R&gt;&lt;C&gt;1&lt;/C&gt;&lt;D xsi:type="xsd:double"&gt;-0.614727995236974&lt;/D&gt;&lt;/FQL&gt;&lt;FQL&gt;&lt;Q&gt;USDITL^FG_PRICE(0)&lt;/Q&gt;&lt;R&gt;1&lt;/R&gt;&lt;C&gt;1&lt;/C&gt;&lt;D xsi:type="xsd:double"&gt;1780.3145&lt;/D&gt;&lt;/FQL&gt;&lt;FQL&gt;&lt;Q&gt;USDCAD^STD(FG_PRICE_CHANGE(0,-1AY,AM))&lt;/Q&gt;&lt;R&gt;1&lt;/R&gt;&lt;C&gt;1&lt;/C&gt;&lt;D xsi:type="xsd:double"&gt;1.51521326319828&lt;/D&gt;&lt;/FQL&gt;&lt;FQL&gt;&lt;Q&gt;USDNZD^FG_PRICE_CHANGE(0,-1AY)&lt;/Q&gt;&lt;R&gt;1&lt;/R&gt;&lt;C&gt;1&lt;/C&gt;&lt;D xsi:type="xsd:double"&gt;1.6793013&lt;/D&gt;&lt;/FQL&gt;&lt;FQL&gt;&lt;Q&gt;EWU^FG_TOTAL_RETURNC(-10AY,0,AM)&lt;/Q&gt;&lt;R&gt;121&lt;/R&gt;&lt;C&gt;1&lt;/C&gt;&lt;D xsi:type="xsd:double"&gt;4.593301&lt;/D&gt;&lt;D xsi:type="xsd:double"&gt;-0.2744794&lt;/D&gt;&lt;D xsi:type="xsd:double"&gt;-0.23127198&lt;/D&gt;&lt;D xsi:type="xsd:double"&gt;-2.1707594&lt;/D&gt;&lt;D xsi:type="xsd:double"&gt;-1.1341274&lt;/D&gt;&lt;D xsi:type="xsd:double"&gt;-8.329177&lt;/D&gt;&lt;D xsi:type="xsd:double"&gt;3.3188224&lt;/D&gt;&lt;D xsi:type="xsd:double"&gt;-4.7385693&lt;/D&gt;&lt;D xsi:type="xsd:double"&gt;0.28185844&lt;/D&gt;&lt;D xsi:type="xsd:double"&gt;6.23945&lt;/D&gt;&lt;D xsi:type="xsd:double"&gt;-4.1798887&lt;/D&gt;&lt;D xsi:type="xsd:double"&gt;4.030919&lt;/D&gt;&lt;D xsi:type="xsd:double"&gt;5.307853&lt;/D&gt;&lt;D xsi:type="xsd:double"&gt;-3.4778237&lt;/D&gt;&lt;D xsi:type="xsd:double"&gt;-0.14480948&lt;/D&gt;&lt;D xsi:type="xsd:double"&gt;-2.7156532&lt;/D&gt;&lt;D xsi:type="xsd:double"&gt;-5.9660673&lt;/D&gt;&lt;D xsi:type="xsd:double"&gt;2.677524&lt;/D&gt;&lt;D xsi:type="xsd:double"&gt;-3.514731&lt;/D&gt;&lt;D xsi:type="xsd:double"&gt;-4.465336&lt;/D&gt;&lt;D xsi:type="xsd:double"&gt;-9.043455&lt;/D&gt;&lt;D xsi:type="xsd:double"&gt;4.7586203&lt;/D&gt;&lt;D xsi:type="xsd:double"&gt;5.0032973&lt;/D&gt;&lt;D xsi:type="xsd:double"&gt;0.25078058&lt;/D&gt;&lt;D xsi:type="xsd:double"&gt;-1.0006249&lt;/D&gt;&lt;D xsi:type="xsd:double"&gt;-1.4529347&lt;/D&gt;&lt;D xsi:type="xsd:double"&gt;1.6137123&lt;/D&gt;&lt;D xsi:type="xsd:double"&gt;2.456367&lt;/D&gt;&lt;D xsi:type="xsd:double"&gt;-2.208203&lt;/D&gt;&lt;D xsi:type="xsd:double"&gt;-3.2903254&lt;/D&gt;&lt;D xsi:type="xsd:double"&gt;0.06670952&lt;/D&gt;&lt;D xsi:type="xsd:double"&gt;3.4666657&lt;/D&gt;&lt;D xsi:type="xsd:double"&gt;2.4626255&lt;/D&gt;&lt;D xsi:type="xsd:double"&gt;1.8489003&lt;/D&gt;&lt;D xsi:type="xsd:double"&gt;2.2222161&lt;/D&gt;&lt;D xsi:type="xsd:double"&gt;0.030612946&lt;/D&gt;&lt;D xsi:type="xsd:double"&gt;5.203557&lt;/D&gt;&lt;D xsi:type="xsd:double"&gt;-0.40733218&lt;/D&gt;&lt;D xsi:type="xsd:double"&gt;0.9287715&lt;/D&gt;&lt;D xsi:type="xsd:double"&gt;-1.5093267&lt;/D&gt;&lt;D xsi:type="xsd:double"&gt;3.7560105&lt;/D&gt;&lt;D xsi:type="xsd:double"&gt;1.534903&lt;/D&gt;&lt;D xsi:type="xsd:double"&gt;-1.7684042&lt;/D&gt;&lt;D xsi:type="xsd:double"&gt;2.5551677&lt;/D&gt;&lt;D xsi:type="xsd:double"&gt;7.4282646&lt;/D&gt;&lt;D xsi:type="xsd:double"&gt;-4.3501673&lt;/D&gt;&lt;D xsi:type="xsd:double"&gt;-2.1336257&lt;/D&gt;&lt;D xsi:type="xsd:double"&gt;4.0160537&lt;/D&gt;&lt;D xsi:type="xsd:double"&gt;2.2614598&lt;/D&gt;&lt;D xsi:type="xsd:double"&gt;-3.0205011&lt;/D&gt;&lt;D xsi:type="xsd:double"&gt;-1.3225317&lt;/D&gt;&lt;D xsi:type="xsd:double"&gt;-3.3179522&lt;/D&gt;&lt;D xsi:type="xsd:double"&gt;-0.5669892&lt;/D&gt;&lt;D xsi:type="xsd:double"&gt;-2.641058&lt;/D&gt;&lt;D xsi:type="xsd:double"&gt;-2.2503078&lt;/D&gt;&lt;D xsi:type="xsd:double"&gt;-5.865651&lt;/D&gt;&lt;D xsi:type="xsd:double"&gt;5.027449&lt;/D&gt;&lt;D xsi:type="xsd:double"&gt;5.0195575&lt;/D&gt;&lt;D xsi:type="xsd:double"&gt;3.7243843&lt;/D&gt;&lt;D xsi:type="xsd:double"&gt;1.5260339&lt;/D&gt;&lt;D xsi:type="xsd:double"&gt;-3.6840558&lt;/D&gt;&lt;D xsi:type="xsd:double"&gt;-0.88609457&lt;/D&gt;&lt;D xsi:type="xsd:double"&gt;1.3299584&lt;/D&gt;&lt;D xsi:type="xsd:double"&gt;-6.8750024&lt;/D&gt;&lt;D xsi:type="xsd:double"&gt;6.040275&lt;/D&gt;&lt;D xsi:type="xsd:double"&gt;1.297462&lt;/D&gt;&lt;D xsi:type="xsd:double"&gt;1.9681334&lt;/D&gt;&lt;D xsi:type="xsd:double"&gt;4.743457&lt;/D&gt;&lt;D xsi:type="xsd:double"&gt;1.4583349&lt;/D&gt;&lt;D xsi:type="xsd:double"&gt;-3.432095&lt;/D&gt;&lt;D xsi:type="xsd:double"&gt;-33.01944&lt;/D&gt;&lt;D xsi:type="xsd:double"&gt;12.698423&lt;/D&gt;&lt;D xsi:type="xsd:double"&gt;-2.7364194&lt;/D&gt;&lt;D xsi:type="xsd:double"&gt;10.33597&lt;/D&gt;&lt;D xsi:type="xsd:double"&gt;1.2561798&lt;/D&gt;&lt;D xsi:type="xsd:double"&gt;1.5413523&lt;/D&gt;&lt;D xsi:type="xsd:double"&gt;-2.1473527&lt;/D&gt;&lt;D xsi:type="xsd:double"&gt;-2.8755188&lt;/D&gt;&lt;D xsi:type="xsd:double"&gt;11.141407&lt;/D&gt;&lt;D xsi:type="xsd:double"&gt;5.364585&lt;/D&gt;&lt;D xsi:type="xsd:double"&gt;2.792728&lt;/D&gt;&lt;D xsi:type="xsd:double"&gt;2.0622015&lt;/D&gt;&lt;D xsi:type="xsd:double"&gt;2.1808863&lt;/D&gt;&lt;D xsi:type="xsd:double"&gt;2.9817939&lt;/D&gt;&lt;D xsi:type="xsd:double"&gt;3.535509&lt;/D&gt;&lt;D xsi:type="xsd:double"&gt;-0.25610924&lt;/D&gt;&lt;D xsi:type="xsd:double"&gt;-3.0312061&lt;/D&gt;&lt;D xsi:type="xsd:double"&gt;2.878368&lt;/D&gt;&lt;D xsi:type="xsd:double"&gt;-2.6474178&lt;/D&gt;&lt;D xsi:type="xsd:double"&gt;4.2954206&lt;/D&gt;&lt;D xsi:type="xsd:double"&gt;-0.9777844&lt;/D&gt;&lt;D xsi:type="xsd:double"&gt;-2.074194&lt;/D&gt;&lt;D xsi:type="xsd:double"&gt;8.571434&lt;/D&gt;&lt;D xsi:type="xsd:double"&gt;-0.80972314&lt;/D&gt;&lt;D xsi:type="xsd:double"&gt;-3.5568416&lt;/D&gt;&lt;D xsi:type="xsd:double"&gt;3.0834198&lt;/D&gt;&lt;D xsi:type="xsd:double"&gt;-4.5747757&lt;/D&gt;&lt;D xsi:type="xsd:double"&gt;-8.679372&lt;/D&gt;&lt;D xsi:type="xsd:double"&gt;-0.47977567&lt;/D&gt;&lt;D xsi:type="xsd:double"&gt;6.7148685&lt;/D&gt;&lt;D xsi:type="xsd:double"&gt;-8.454334&lt;/D&gt;&lt;D xsi:type="xsd:double"&gt;-4.8642993&lt;/D&gt;&lt;D xsi:type="xsd:double"&gt;11.596894&lt;/D&gt;&lt;D xsi:type="xsd:double"&gt;2.4734974&lt;/D&gt;&lt;D xsi:type="xsd:double"&gt;7.4646473&lt;/D&gt;&lt;D xsi:type="xsd:double"&gt;0.3978014&lt;/D&gt;&lt;D xsi:type="xsd:double"&gt;-7.253891&lt;/D&gt;&lt;D xsi:type="xsd:double"&gt;10.121584&lt;/D&gt;&lt;D xsi:type="xsd:double"&gt;-0.59682727&lt;/D&gt;&lt;D xsi:type="xsd:double"&gt;0.902009&lt;/D&gt;&lt;D xsi:type="xsd:double"&gt;-0.8795917&lt;/D&gt;&lt;D xsi:type="xsd:double"&gt;-3.3965766&lt;/D&gt;&lt;D xsi:type="xsd:double"&gt;2.9141665&lt;/D&gt;&lt;D xsi:type="xsd:double"&gt;-1.2311518&lt;/D&gt;&lt;D xsi:type="xsd:double"&gt;0.031161308&lt;/D&gt;&lt;D xsi:type="xsd:double"&gt;2.3987532&lt;/D&gt;&lt;D xsi:type="xsd:double"&gt;-1.1525214&lt;/D&gt;&lt;D xsi:type="xsd:double"&gt;2.8967261&lt;/D&gt;&lt;D xsi:type="xsd:double"&gt;2.2643805&lt;/D&gt;&lt;D xsi:type="xsd:double"&gt;-0.029915571&lt;/D&gt;&lt;D xsi:type="xsd:double"&gt;9.967077&lt;/D&gt;&lt;/FQL&gt;&lt;FQL&gt;&lt;Q&gt;EWN^FMA_PE(LTMA,-10AY,0,AM,"PORTAGG","MEANR")&lt;/Q&gt;&lt;R&gt;121&lt;/R&gt;&lt;C&gt;1&lt;/C&gt;&lt;D xsi:type="xsd:double"&gt;16.7747597336726&lt;/D&gt;&lt;D xsi:type="xsd:double"&gt;16.825684962039&lt;/D&gt;&lt;D xsi:type="xsd:double"&gt;16.5082684082569&lt;/D&gt;&lt;D xsi:type="xsd:double"&gt;16.1897218337818&lt;/D&gt;&lt;D xsi:type="xsd:double"&gt;16.6946702780207&lt;/D&gt;&lt;D xsi:type="xsd:double"&gt;15.7590722943539&lt;/D&gt;&lt;D xsi:type="xsd:double"&gt;17.3304460627512&lt;/D&gt;&lt;D xsi:type="xsd:double"&gt;16.8723128646347&lt;/D&gt;&lt;D xsi:type="xsd:double"&gt;18.0903629750486&lt;/D&gt;&lt;D xsi:type="xsd:double"&gt;19.2133238353295&lt;/D&gt;&lt;D xsi:type="xsd:double"&gt;20.0932413358981&lt;/D&gt;&lt;D xsi:type="xsd:double"&gt;19.8038417552964&lt;/D&gt;&lt;D xsi:type="xsd:double"&gt;19.5093799629052&lt;/D&gt;&lt;D xsi:type="xsd:double"&gt;18.9364052980982&lt;/D&gt;&lt;D xsi:type="xsd:double"&gt;19.274666241034&lt;/D&gt;&lt;D xsi:type="xsd:double"&gt;18.2840880857364&lt;/D&gt;&lt;D xsi:type="xsd:double"&gt;17.2096561824518&lt;/D&gt;&lt;D xsi:type="xsd:double"&gt;17.0951651431467&lt;/D&gt;&lt;D xsi:type="xsd:double"&gt;18.1040570308138&lt;/D&gt;&lt;D xsi:type="xsd:double"&gt;17.2159349690963&lt;/D&gt;&lt;D xsi:type="xsd:double"&gt;15.4322461669667&lt;/D&gt;&lt;D xsi:type="xsd:double"&gt;15.6429779275507&lt;/D&gt;&lt;D xsi:type="xsd:double"&gt;16.4122154346193&lt;/D&gt;&lt;D xsi:type="xsd:double"&gt;16.3943449715269&lt;/D&gt;&lt;D xsi:type="xsd:double"&gt;16.0977053937654&lt;/D&gt;&lt;D xsi:type="xsd:double"&gt;15.7226610480274&lt;/D&gt;&lt;D xsi:type="xsd:double"&gt;15.9679326579155&lt;/D&gt;&lt;D xsi:type="xsd:double"&gt;16.038132897322&lt;/D&gt;&lt;D xsi:type="xsd:double"&gt;15.7667852999638&lt;/D&gt;&lt;D xsi:type="xsd:double"&gt;15.8175152478068&lt;/D&gt;&lt;D xsi:type="xsd:double"&gt;15.5720123265877&lt;/D&gt;&lt;D xsi:type="xsd:double"&gt;16.0828483935714&lt;/D&gt;&lt;D xsi:type="xsd:double"&gt;16.1973145243621&lt;/D&gt;&lt;D xsi:type="xsd:double"&gt;16.6594780154153&lt;/D&gt;&lt;D xsi:type="xsd:double"&gt;16.5136383339274&lt;/D&gt;&lt;D xsi:type="xsd:double"&gt;16.547927935428&lt;/D&gt;&lt;D xsi:type="xsd:double"&gt;16.6796965752217&lt;/D&gt;&lt;D xsi:type="xsd:double"&gt;16.6509615733331&lt;/D&gt;&lt;D xsi:type="xsd:double"&gt;16.7026453811852&lt;/D&gt;&lt;D xsi:type="xsd:double"&gt;16.6846712025152&lt;/D&gt;&lt;D xsi:type="xsd:double"&gt;16.8225910485489&lt;/D&gt;&lt;D xsi:type="xsd:double"&gt;17.2895553775446&lt;/D&gt;&lt;D xsi:type="xsd:double"&gt;17.1905879558156&lt;/D&gt;&lt;D xsi:type="xsd:double"&gt;17.3229362218578&lt;/D&gt;&lt;D xsi:type="xsd:double"&gt;17.5255687107559&lt;/D&gt;&lt;D xsi:type="xsd:double"&gt;16.5216428307624&lt;/D&gt;&lt;D xsi:type="xsd:double"&gt;16.6538081729037&lt;/D&gt;&lt;D xsi:type="xsd:double"&gt;16.6333876330936&lt;/D&gt;&lt;D xsi:type="xsd:double"&gt;16.6421395866439&lt;/D&gt;&lt;D xsi:type="xsd:double"&gt;16.7172467067895&lt;/D&gt;&lt;D xsi:type="xsd:double"&gt;16.6229167164165&lt;/D&gt;&lt;D xsi:type="xsd:double"&gt;16.4729422049457&lt;/D&gt;&lt;D xsi:type="xsd:double"&gt;16.2554243465559&lt;/D&gt;&lt;D xsi:type="xsd:double"&gt;15.7472284442518&lt;/D&gt;&lt;D xsi:type="xsd:double"&gt;15.5141100341062&lt;/D&gt;&lt;D xsi:type="xsd:double"&gt;14.677166179318&lt;/D&gt;&lt;D xsi:type="xsd:double"&gt;14.6740917946643&lt;/D&gt;&lt;D xsi:type="xsd:double"&gt;16.1285688908039&lt;/D&gt;&lt;D xsi:type="xsd:double"&gt;16.2048847857321&lt;/D&gt;&lt;D xsi:type="xsd:double"&gt;16.2956172046785&lt;/D&gt;&lt;D xsi:type="xsd:double"&gt;16.2298200150131&lt;/D&gt;&lt;D xsi:type="xsd:double"&gt;16.207645833302&lt;/D&gt;&lt;D xsi:type="xsd:double"&gt;16.5432833447811&lt;/D&gt;&lt;D xsi:type="xsd:double"&gt;16.2289825165852&lt;/D&gt;&lt;D xsi:type="xsd:double"&gt;17.070186666358&lt;/D&gt;&lt;D xsi:type="xsd:double"&gt;17.2281342315533&lt;/D&gt;&lt;D xsi:type="xsd:double"&gt;18.0084997703548&lt;/D&gt;&lt;D xsi:type="xsd:double"&gt;18.5468004840963&lt;/D&gt;&lt;D xsi:type="xsd:double"&gt;18.8324688985931&lt;/D&gt;&lt;D xsi:type="xsd:double"&gt;20.0281500078848&lt;/D&gt;&lt;D xsi:type="xsd:double"&gt;16.5792754326657&lt;/D&gt;&lt;D xsi:type="xsd:double"&gt;17.4971581154359&lt;/D&gt;&lt;D xsi:type="xsd:double"&gt;17.8380907708267&lt;/D&gt;&lt;D xsi:type="xsd:double"&gt;19.4659369503072&lt;/D&gt;&lt;D xsi:type="xsd:double"&gt;20.2741997589764&lt;/D&gt;&lt;D xsi:type="xsd:double"&gt;21.0875417597648&lt;/D&gt;&lt;D xsi:type="xsd:double"&gt;21.5886784432581&lt;/D&gt;&lt;D xsi:type="xsd:double"&gt;22.6582799392748&lt;/D&gt;&lt;D xsi:type="xsd:double"&gt;24.7250168014654&lt;/D&gt;&lt;D xsi:type="xsd:double"&gt;26.6378218889009&lt;/D&gt;&lt;D xsi:type="xsd:double"&gt;28.286081415152&lt;/D&gt;&lt;D xsi:type="xsd:double"&gt;29.9468986408584&lt;/D&gt;&lt;D xsi:type="xsd:double"&gt;28.6773683052249&lt;/D&gt;&lt;D xsi:type="xsd:double"&gt;28.4545425731192&lt;/D&gt;&lt;D xsi:type="xsd:double"&gt;27.2743777226081&lt;/D&gt;&lt;D xsi:type="xsd:double"&gt;26.9764126158671&lt;/D&gt;&lt;D xsi:type="xsd:double"&gt;26.2391934668936&lt;/D&gt;&lt;D xsi:type="xsd:double"&gt;25.9363860395716&lt;/D&gt;&lt;D xsi:type="xsd:double"&gt;25.4324964573599&lt;/D&gt;&lt;D xsi:type="xsd:double"&gt;24.5033950006692&lt;/D&gt;&lt;D xsi:type="xsd:double"&gt;24.502447573784&lt;/D&gt;&lt;D xsi:type="xsd:double"&gt;22.1467288430275&lt;/D&gt;&lt;D xsi:type="xsd:double"&gt;21.8209922276867&lt;/D&gt;&lt;D xsi:type="xsd:double"&gt;19.1428738066021&lt;/D&gt;&lt;D xsi:type="xsd:double"&gt;18.3925427359222&lt;/D&gt;&lt;D xsi:type="xsd:double"&gt;18.4235799240869&lt;/D&gt;&lt;D xsi:type="xsd:double"&gt;18.3842417172457&lt;/D&gt;&lt;D xsi:type="xsd:double"&gt;17.7089947674873&lt;/D&gt;&lt;D xsi:type="xsd:double"&gt;18.2656762868005&lt;/D&gt;&lt;D xsi:type="xsd:double"&gt;19.6261745771987&lt;/D&gt;&lt;D xsi:type="xsd:double"&gt;18.0711075889628&lt;/D&gt;&lt;D xsi:type="xsd:double"&gt;16.9946573883318&lt;/D&gt;&lt;D xsi:type="xsd:double"&gt;18.4228546176807&lt;/D&gt;&lt;D xsi:type="xsd:double"&gt;18.0166293353354&lt;/D&gt;&lt;D xsi:type="xsd:double"&gt;19.4741502346619&lt;/D&gt;&lt;D xsi:type="xsd:double"&gt;21.4255932764086&lt;/D&gt;&lt;D xsi:type="xsd:double"&gt;20.3201718516373&lt;/D&gt;&lt;D xsi:type="xsd:double"&gt;20.0980524604793&lt;/D&gt;&lt;D xsi:type="xsd:double"&gt;19.5820923823612&lt;/D&gt;&lt;D xsi:type="xsd:double"&gt;19.3670692914035&lt;/D&gt;&lt;D xsi:type="xsd:double"&gt;19.2218239550898&lt;/D&gt;&lt;D xsi:type="xsd:double"&gt;17.9189627160435&lt;/D&gt;&lt;D xsi:type="xsd:double"&gt;17.2868470494672&lt;/D&gt;&lt;D xsi:type="xsd:double"&gt;16.361674652093&lt;/D&gt;&lt;D xsi:type="xsd:double"&gt;16.5988341273069&lt;/D&gt;&lt;D xsi:type="xsd:double"&gt;16.992476258048&lt;/D&gt;&lt;D xsi:type="xsd:double"&gt;16.2203955344658&lt;/D&gt;&lt;D xsi:type="xsd:double"&gt;17.9050698407687&lt;/D&gt;&lt;D xsi:type="xsd:double"&gt;18.4043879530609&lt;/D&gt;&lt;D xsi:type="xsd:double"&gt;18.1714378552552&lt;/D&gt;&lt;D xsi:type="xsd:double"&gt;18.3434813792555&lt;/D&gt;&lt;/FQL&gt;&lt;FQL&gt;&lt;Q&gt;CPALM-FDS^FG_PRICE_CHANGE(0,-1AM)&lt;/Q&gt;&lt;R&gt;1&lt;/R&gt;&lt;C&gt;1&lt;/C&gt;&lt;D xsi:type="xsd:double"&gt;-6.34767973070449&lt;/D&gt;&lt;/FQL&gt;&lt;FQL&gt;&lt;Q&gt;EWD^FG_PRICE_MAVG(0,,,,200)&lt;/Q&gt;&lt;R&gt;1&lt;/R&gt;&lt;C&gt;1&lt;/C&gt;&lt;D xsi:type="xsd:double"&gt;36.56235&lt;/D&gt;&lt;/FQL&gt;&lt;FQL&gt;&lt;Q&gt;EWG^FG_PRICE(0)&lt;/Q&gt;&lt;R&gt;1&lt;/R&gt;&lt;C&gt;1&lt;/C&gt;&lt;D xsi:type="xsd:double"&gt;32.42&lt;/D&gt;&lt;/FQL&gt;&lt;FQL&gt;&lt;Q&gt;QQQ^FG_COMPANY_NAME&lt;/Q&gt;&lt;R&gt;1&lt;/R&gt;&lt;C&gt;1&lt;/C&gt;&lt;D xsi:type="xsd:string"&gt;Invesco QQQ Trust Series I&lt;/D&gt;&lt;/FQL&gt;&lt;FQL&gt;&lt;Q&gt;URTH^FG_TOTAL_RETURNC(0,-12AM)&lt;/Q&gt;&lt;R&gt;1&lt;/R&gt;&lt;C&gt;1&lt;/C&gt;&lt;D xsi:type="xsd:double"&gt;24.95308&lt;/D&gt;&lt;/FQL&gt;&lt;FQL&gt;&lt;Q&gt;VGK^FG_TOTAL_RETURNC(0,-12AM)&lt;/Q&gt;&lt;R&gt;1&lt;/R&gt;&lt;C&gt;1&lt;/C&gt;&lt;D xsi:type="xsd:double"&gt;15.883911&lt;/D&gt;&lt;/FQL&gt;&lt;FQL&gt;&lt;Q&gt;EWN^FMA_PCT_ABOVE_MAVG(200,0,,,,"PORTAGG")&lt;/Q&gt;&lt;R&gt;1&lt;/R&gt;&lt;C&gt;1&lt;/C&gt;&lt;D xsi:type="xsd:double"&gt;70.3703703703704&lt;/D&gt;&lt;/FQL&gt;&lt;FQL&gt;&lt;Q&gt;EWU^FMA_PCT_ABOVE_MAVG(200,0,,,,"PORTAGG")&lt;/Q&gt;&lt;R&gt;1&lt;/R&gt;&lt;C&gt;1&lt;/C&gt;&lt;D xsi:type="xsd:double"&gt;80.9523809523809&lt;/D&gt;&lt;/FQL&gt;&lt;FQL&gt;&lt;Q&gt;EWC^PERCENT_CHANGE(FMA_EPS(+1,0,,,,"PORTAGG","MEAN"),FMA_EPS(+1,-1AM,,,,"PORTAGG","MEAN"))&lt;/Q&gt;&lt;R&gt;1&lt;/R&gt;&lt;C&gt;1&lt;/C&gt;&lt;D xsi:type="xsd:double"&gt;1.39154605329689&lt;/D&gt;&lt;/FQL&gt;&lt;FQL&gt;&lt;Q&gt;VGK^SIZE(FG_CONSTITUENTS)&lt;/Q&gt;&lt;R&gt;1&lt;/R&gt;&lt;C&gt;1&lt;/C&gt;&lt;D xsi:type="xsd:long"&gt;1281&lt;/D&gt;&lt;/FQL&gt;&lt;FQL&gt;&lt;Q&gt;QQQ^SIZE(FG_CONSTITUENTS)&lt;/Q&gt;&lt;R&gt;1&lt;/R&gt;&lt;C&gt;1&lt;/C&gt;&lt;D xsi:type="xsd:long"&gt;102&lt;/D&gt;&lt;/FQL&gt;&lt;FQL&gt;&lt;Q&gt;TRYJP10Y-FDS^FG_YIELD_NAME&lt;/Q&gt;&lt;R&gt;1&lt;/R&gt;&lt;C&gt;1&lt;/C&gt;&lt;D xsi:type="xsd:string"&gt;Japan Benchmark Bond - 10 Year&lt;/D&gt;&lt;/FQL&gt;&lt;FQL&gt;&lt;Q&gt;REFFFUND-FDS^PROPER_NAME(0,,,"SECURITY","NAME")&lt;/Q&gt;&lt;R&gt;1&lt;/R&gt;&lt;C&gt;1&lt;/C&gt;&lt;D xsi:type="xsd:string"&gt;US Federal Funds Target Rate&lt;/D&gt;&lt;/FQL&gt;&lt;FQL&gt;&lt;Q&gt;TRYGB10Y-FDS^PCTCHG(FG_YIELD(0,,,,"YTM"),FG_YIELD(-1AM,,,,"YTM"))&lt;/Q&gt;&lt;R&gt;1&lt;/R&gt;&lt;C&gt;1&lt;/C&gt;&lt;D xsi:type="xsd:double"&gt;-4.0521717&lt;/D&gt;&lt;/FQL&gt;&lt;FQL&gt;&lt;Q&gt;CC_NZ^IMF_IFS_RCPI_Q(0)&lt;/Q&gt;&lt;R&gt;1&lt;/R&gt;&lt;C&gt;1&lt;/C&gt;&lt;D xsi:type="xsd:double"&gt;4.022989&lt;/D&gt;&lt;/FQL&gt;&lt;FQL&gt;&lt;Q&gt;EWQ^FMA_EVAL_EBIT(LTMA,NOW,NOW,M,"PORTAGG","MEANR")&lt;/Q&gt;&lt;R&gt;1&lt;/R&gt;&lt;C&gt;1&lt;/C&gt;&lt;D xsi:type="xsd:double"&gt;13.2400031889326&lt;/D&gt;&lt;/FQL&gt;&lt;FQL&gt;&lt;Q&gt;EWJ^FMA_EVAL_EBIT(LTMA,NOW,NOW,M,"PORTAGG","MEANR")&lt;/Q&gt;&lt;R&gt;1&lt;/R&gt;&lt;C&gt;1&lt;/C&gt;&lt;D xsi:type="xsd:double"&gt;17.977364130198&lt;/D&gt;&lt;/FQL&gt;&lt;FQL&gt;&lt;Q&gt;CC_US^IMF_IFS_RCPI_Q(0)&lt;/Q&gt;&lt;R&gt;1&lt;/R&gt;&lt;C&gt;1&lt;/C&gt;&lt;D xsi:type="xsd:double"&gt;3.209516&lt;/D&gt;&lt;/FQL&gt;&lt;FQL&gt;&lt;Q&gt;EWJ^P_PRICE(0)/P_PRICE_HIGH_PR(0,,,USD,,,"PRICE","INTRA","52W")&lt;/Q&gt;&lt;R&gt;1&lt;/R&gt;&lt;C&gt;1&lt;/C&gt;&lt;D xsi:type="xsd:double"&gt;0.95372236&lt;/D&gt;&lt;/FQL&gt;&lt;FQL&gt;&lt;Q&gt;SPY^FG_TOTAL_RETURNC(0,-1AM)&lt;/Q&gt;&lt;R&gt;1&lt;/R&gt;&lt;C&gt;1&lt;/C&gt;&lt;D xsi:type="xsd:double"&gt;5.7736516&lt;/D&gt;&lt;/FQL&gt;&lt;FQL&gt;&lt;Q&gt;TIPSCL10Y-FDS^FG_YIELD(-10AY,0,Y,,"YTM")&lt;/Q&gt;&lt;R&gt;10&lt;/R&gt;&lt;C&gt;1&lt;/C&gt;&lt;D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xsi:type="xsd:string"&gt;@NA&lt;/D&gt;&lt;/FQL&gt;&lt;FQL&gt;&lt;Q&gt;CAGDPY@SE^EE_ACTUAL_ANNUAL(MED,0)&lt;/Q&gt;&lt;R&gt;1&lt;/R&gt;&lt;C&gt;1&lt;/C&gt;&lt;D xsi:type="xsd:double"&gt;6.76905401199225&lt;/D&gt;&lt;/FQL&gt;&lt;FQL&gt;&lt;Q&gt;USDCHF^STD(FG_PRICE_CHANGE(0,-1AY,AM))&lt;/Q&gt;&lt;R&gt;1&lt;/R&gt;&lt;C&gt;1&lt;/C&gt;&lt;D xsi:type="xsd:double"&gt;1.92075187508022&lt;/D&gt;&lt;/FQL&gt;&lt;FQL&gt;&lt;Q&gt;USDCHF^FG_COMPANY_NAME&lt;/Q&gt;&lt;R&gt;1&lt;/R&gt;&lt;C&gt;1&lt;/C&gt;&lt;D xsi:type="xsd:string"&gt;Swiss Franc per U.S. Dollar&lt;/D&gt;&lt;/FQL&gt;&lt;FQL&gt;&lt;Q&gt;EWN^P_PRICE_RETURNS_PR('52W',2,-10AY,0,AM)&lt;/Q&gt;&lt;R&gt;121&lt;/R&gt;&lt;C&gt;1&lt;/C&gt;&lt;D xsi:type="xsd:double"&gt;18.8236&lt;/D&gt;&lt;D xsi:type="xsd:double"&gt;20.929218&lt;/D&gt;&lt;D xsi:type="xsd:double"&gt;11.929977&lt;/D&gt;&lt;D xsi:type="xsd:double"&gt;3.9951444&lt;/D&gt;&lt;D xsi:type="xsd:double"&gt;4.2225957&lt;/D&gt;&lt;D xsi:type="xsd:double"&gt;-5.97865&lt;/D&gt;&lt;D xsi:type="xsd:double"&gt;-1.9832313&lt;/D&gt;&lt;D xsi:type="xsd:double"&gt;-0.95909834&lt;/D&gt;&lt;D xsi:type="xsd:double"&gt;-7.3286295&lt;/D&gt;&lt;D xsi:type="xsd:double"&gt;-0.48819184&lt;/D&gt;&lt;D xsi:type="xsd:double"&gt;2.1458626&lt;/D&gt;&lt;D xsi:type="xsd:double"&gt;2.7065396&lt;/D&gt;&lt;D xsi:type="xsd:double"&gt;9.293592&lt;/D&gt;&lt;D xsi:type="xsd:double"&gt;2.107966&lt;/D&gt;&lt;D xsi:type="xsd:double"&gt;10.036289&lt;/D&gt;&lt;D xsi:type="xsd:double"&gt;8.193827&lt;/D&gt;&lt;D xsi:type="xsd:double"&gt;1.9802451&lt;/D&gt;&lt;D xsi:type="xsd:double"&gt;14.191604&lt;/D&gt;&lt;D xsi:type="xsd:double"&gt;3.7641644&lt;/D&gt;&lt;D xsi:type="xsd:double"&gt;2.4657369&lt;/D&gt;&lt;D xsi:type="xsd:double"&gt;-3.3403575&lt;/D&gt;&lt;D xsi:type="xsd:double"&gt;-7.3875723&lt;/D&gt;&lt;D xsi:type="xsd:double"&gt;-1.1348188&lt;/D&gt;&lt;D xsi:type="xsd:double"&gt;-3.1237483&lt;/D&gt;&lt;D xsi:type="xsd:double"&gt;-10.563546&lt;/D&gt;&lt;D xsi:type="xsd:double"&gt;-8.535862&lt;/D&gt;&lt;D xsi:type="xsd:double"&gt;-9.639377&lt;/D&gt;&lt;D xsi:type="xsd:double"&gt;-1.8330216&lt;/D&gt;&lt;D xsi:type="xsd:double"&gt;0.98258257&lt;/D&gt;&lt;D xsi:type="xsd:double"&gt;-0.43274164&lt;/D&gt;&lt;D xsi:type="xsd:double"&gt;-1.838398&lt;/D&gt;&lt;D xsi:type="xsd:double"&gt;0.9749651&lt;/D&gt;&lt;D xsi:type="xsd:double"&gt;14.616394&lt;/D&gt;&lt;D xsi:type="xsd:double"&gt;16.661894&lt;/D&gt;&lt;D xsi:type="xsd:double"&gt;12.363982&lt;/D&gt;&lt;D xsi:type="xsd:double"&gt;11.581791&lt;/D&gt;&lt;D xsi:type="x</t>
        </r>
      </text>
    </comment>
    <comment ref="A4" authorId="0" shapeId="0" xr:uid="{779E6E13-D623-4BCF-9915-16992A0941E0}">
      <text>
        <r>
          <rPr>
            <b/>
            <sz val="9"/>
            <color indexed="81"/>
            <rFont val="Tahoma"/>
            <charset val="1"/>
          </rPr>
          <t>sd:double"&gt;24.049294&lt;/D&gt;&lt;D xsi:type="xsd:double"&gt;28.891636&lt;/D&gt;&lt;D xsi:type="xsd:double"&gt;30.107796&lt;/D&gt;&lt;D xsi:type="xsd:double"&gt;26.53035&lt;/D&gt;&lt;D xsi:type="xsd:double"&gt;30.6489&lt;/D&gt;&lt;D xsi:type="xsd:double"&gt;34.172394&lt;/D&gt;&lt;D xsi:type="xsd:double"&gt;35.230614&lt;/D&gt;&lt;D xsi:type="xsd:double"&gt;35.435223&lt;/D&gt;&lt;D xsi:type="xsd:double"&gt;38.013363&lt;/D&gt;&lt;D xsi:type="xsd:double"&gt;29.565834&lt;/D&gt;&lt;D xsi:type="xsd:double"&gt;22.749638&lt;/D&gt;&lt;D xsi:type="xsd:double"&gt;24.8662&lt;/D&gt;&lt;D xsi:type="xsd:double"&gt;12.52377&lt;/D&gt;&lt;D xsi:type="xsd:double"&gt;11.600674&lt;/D&gt;&lt;D xsi:type="xsd:double"&gt;6.9390535&lt;/D&gt;&lt;D xsi:type="xsd:double"&gt;1.798296&lt;/D&gt;&lt;D xsi:type="xsd:double"&gt;-1.2303174&lt;/D&gt;&lt;D xsi:type="xsd:double"&gt;-7.0340037&lt;/D&gt;&lt;D xsi:type="xsd:double"&gt;-6.7040563&lt;/D&gt;&lt;D xsi:type="xsd:double"&gt;-13.101255&lt;/D&gt;&lt;D xsi:type="xsd:double"&gt;-16.791176&lt;/D&gt;&lt;D xsi:type="xsd:double"&gt;-7.1129265&lt;/D&gt;&lt;D xsi:type="xsd:double"&gt;-4.142064&lt;/D&gt;&lt;D xsi:type="xsd:double"&gt;-3.388989&lt;/D&gt;&lt;D xsi:type="xsd:double"&gt;-2.4794817&lt;/D&gt;&lt;D xsi:type="xsd:double"&gt;-2.2141278&lt;/D&gt;&lt;D xsi:type="xsd:double"&gt;2.8552294&lt;/D&gt;&lt;D xsi:type="xsd:double"&gt;1.6623616&lt;/D&gt;&lt;D xsi:type="xsd:double"&gt;7.8942895&lt;/D&gt;&lt;D xsi:type="xsd:double"&gt;14.215589&lt;/D&gt;&lt;D xsi:type="xsd:double"&gt;17.749155&lt;/D&gt;&lt;D xsi:type="xsd:double"&gt;29.086994&lt;/D&gt;&lt;D xsi:type="xsd:double"&gt;29.560577&lt;/D&gt;&lt;D xsi:type="xsd:double"&gt;22.48013&lt;/D&gt;&lt;D xsi:type="xsd:double"&gt;-18.454308&lt;/D&gt;&lt;D xsi:type="xsd:double"&gt;-8.611637&lt;/D&gt;&lt;D xsi:type="xsd:double"&gt;-6.3364267&lt;/D&gt;&lt;D xsi:type="xsd:double"&gt;10.354137&lt;/D&gt;&lt;D xsi:type="xsd:double"&gt;11.530745&lt;/D&gt;&lt;D xsi:type="xsd:double"&gt;20.13557&lt;/D&gt;&lt;D xsi:type="xsd:double"&gt;13.006676&lt;/D&gt;&lt;D xsi:type="xsd:double"&gt;15.657722&lt;/D&gt;&lt;D xsi:type="xsd:double"&gt;18.40781&lt;/D&gt;&lt;D xsi:type="xsd:double"&gt;23.980152&lt;/D&gt;&lt;D xsi:type="xsd:double"&gt;27.292538&lt;/D&gt;&lt;D xsi:type="xsd:double"&gt;33.98856&lt;/D&gt;&lt;D xsi:type="xsd:double"&gt;90.145424&lt;/D&gt;&lt;D xsi:type="xsd:double"&gt;80.35062&lt;/D&gt;&lt;D xsi:type="xsd:double"&gt;74.08884&lt;/D&gt;&lt;D xsi:type="xsd:double"&gt;51.44049&lt;/D&gt;&lt;D xsi:type="xsd:double"&gt;41.246235&lt;/D&gt;&lt;D xsi:type="xsd:double"&gt;43.165733&lt;/D&gt;&lt;D xsi:type="xsd:double"&gt;50.076057&lt;/D&gt;&lt;D xsi:type="xsd:double"&gt;43.949093&lt;/D&gt;&lt;D xsi:type="xsd:double"&gt;38.15868&lt;/D&gt;&lt;D xsi:type="xsd:double"&gt;16.732048&lt;/D&gt;&lt;D xsi:type="xsd:double"&gt;14.703822&lt;/D&gt;&lt;D xsi:type="xsd:double"&gt;-0.26230812&lt;/D&gt;&lt;D xsi:type="xsd:double"&gt;-6.0126123&lt;/D&gt;&lt;D xsi:type="xsd:double"&gt;-14.903975&lt;/D&gt;&lt;D xsi:type="xsd:double"&gt;-19.267195&lt;/D&gt;&lt;D xsi:type="xsd:double"&gt;-28.855001&lt;/D&gt;&lt;D xsi:type="xsd:double"&gt;-27.937191&lt;/D&gt;&lt;D xsi:type="xsd:double"&gt;-23.851263&lt;/D&gt;&lt;D xsi:type="xsd:double"&gt;-36.393833&lt;/D&gt;&lt;D xsi:type="xsd:double"&gt;-38.913&lt;/D&gt;&lt;D xsi:type="xsd:double"&gt;-27.019674&lt;/D&gt;&lt;D xsi:type="xsd:double"&gt;-20.539124&lt;/D&gt;&lt;D xsi:type="xsd:double"&gt;-13.512552&lt;/D&gt;&lt;D xsi:type="xsd:double"&gt;-4.926634&lt;/D&gt;&lt;D xsi:type="xsd:double"&gt;-4.4253054&lt;/D&gt;&lt;D xsi:type="xsd:double"&gt;6.5223336&lt;/D&gt;&lt;D xsi:type="xsd:double"&gt;12.963665&lt;/D&gt;&lt;D xsi:type="xsd:double"&gt;29.884398&lt;/D&gt;&lt;D xsi:type="xsd:double"&gt;33.96367&lt;/D&gt;&lt;D xsi:type="xsd:double"&gt;10.346376&lt;/D&gt;&lt;D xsi:type="xsd:double"&gt;18.294466&lt;/D&gt;&lt;D xsi:type="xsd:double"&gt;25.124704&lt;/D&gt;&lt;D xsi:type="xsd:double"&gt;13.017821&lt;/D&gt;&lt;D xsi:type="xsd:double"&gt;18.217361&lt;/D&gt;&lt;D xsi:type="xsd:double"&gt;4.0976048&lt;/D&gt;&lt;D xsi:type="xsd:double"&gt;13.934767&lt;/D&gt;&lt;D xsi:type="xsd:double"&gt;25.497066&lt;/D&gt;&lt;D xsi:type="xsd:double"&gt;15.084993&lt;/D&gt;&lt;D xsi:type="xsd:double"&gt;23.927652&lt;/D&gt;&lt;/FQL&gt;&lt;FQL&gt;&lt;Q&gt;EWA^FMA_DIV_YLD(NTMA,-10AY,0,AM,"PORTAGG","MEANR")&lt;/Q&gt;&lt;R&gt;121&lt;/R&gt;&lt;C&gt;1&lt;/C&gt;&lt;D xsi:type="xsd:double"&gt;4.76307396845451&lt;/D&gt;&lt;D xsi:type="xsd:double"&gt;4.85699561698991&lt;/D&gt;&lt;D xsi:type="xsd:double"&gt;4.72605610491907&lt;/D&gt;&lt;D xsi:type="xsd:double"&gt;4.72472687607562&lt;/D&gt;&lt;D xsi:type="xsd:double"&gt;4.91860659397846&lt;/D&gt;&lt;D xsi:type="xsd:double"&gt;5.0655415651363&lt;/D&gt;&lt;D xsi:type="xsd:double"&gt;4.9575820607661&lt;/D&gt;&lt;D xsi:type="xsd:double"&gt;5.21504481185629&lt;/D&gt;&lt;D xsi:type="xsd:double"&gt;5.07826404210497&lt;/D&gt;&lt;D xsi:type="xsd:double"&gt;4.63326966165739&lt;/D&gt;&lt;D xsi:type="xsd:double"&gt;4.65082709831143&lt;/D&gt;&lt;D xsi:type="xsd:double"&gt;4.60128995658797&lt;/D&gt;&lt;D xsi:type="xsd:double"&gt;4.68199650881122&lt;/D&gt;&lt;D xsi:type="xsd:double"&gt;4.86207958019547&lt;/D&gt;&lt;D xsi:type="xsd:double"&gt;4.81765920522461&lt;/D&gt;&lt;D xsi:type="xsd:double"&gt;5.10760715941253&lt;/D&gt;&lt;D xsi:type="xsd:double"&gt;5.35392694695624&lt;/D&gt;&lt;D xsi:type="xsd:double"&gt;5.17781929203322&lt;/D&gt;&lt;D xsi:type="xsd:double"&gt;5.35344613435668&lt;/D&gt;&lt;D xsi:type="xsd:double"&gt;5.34014922147916&lt;/D&gt;&lt;D xsi:type="xsd:double"&gt;5.57444278315214&lt;/D&gt;&lt;D xsi:type="xsd:double"&gt;5.18166426286868&lt;/D&gt;&lt;D xsi:type="xsd:double"&gt;4.72364656070467&lt;/D&gt;&lt;D xsi:type="xsd:double"&gt;4.74619603822554&lt;/D&gt;&lt;D xsi:type="xsd:double"&gt;4.53789801246951&lt;/D&gt;&lt;D xsi:type="xsd:double"&gt;4.7553197926033&lt;/D&gt;&lt;D xsi:type="xsd:double"&gt;4.52703744939497&lt;/D&gt;&lt;D xsi:type="xsd:double"&gt;4.45582442088824&lt;/D&gt;&lt;D xsi:type="xsd:double"&gt;4.66560174717176&lt;/D&gt;&lt;D xsi:type="xsd:double"&gt;4.58667586516419&lt;/D&gt;&lt;D xsi:type="xsd:double"&gt;4.63459994584257&lt;/D&gt;&lt;D xsi:type="xsd:double"&gt;4.60882932854851&lt;/D&gt;&lt;D xsi:type="xsd:double"&gt;4.49247611236696&lt;/D&gt;&lt;D xsi:type="xsd:double"&gt;4.45976471142303&lt;/D&gt;&lt;D xsi:type="xsd:double"&gt;4.55232794586758&lt;/D&gt;&lt;D xsi:type="xsd:double"&gt;4.49132081617118&lt;/D&gt;&lt;D xsi:type="xsd:double"&gt;4.60067033261578&lt;/D&gt;&lt;D xsi:type="xsd:double"&gt;4.60557263210598&lt;/D&gt;&lt;D xsi:type="xsd:double"&gt;4.5697696071563&lt;/D&gt;&lt;D xsi:type="xsd:double"&gt;4.51803811221558&lt;/D&gt;&lt;D xsi:type="xsd:double"&gt;4.60047393948092&lt;/D&gt;&lt;D xsi:type="xsd:double"&gt;4.48614759239605&lt;/D&gt;&lt;D xsi:type="xsd:double"&gt;4.49201546880016&lt;/D&gt;&lt;D xsi:type="xsd:double"&gt;4.50421286410196&lt;/D&gt;&lt;D xsi:type="xsd:double"&gt;4.50786632953733&lt;/D&gt;&lt;D xsi:type="xsd:double"&gt;4.64556705569957&lt;/D&gt;&lt;D xsi:type="xsd:double"&gt;4.67978048313108&lt;/D&gt;&lt;D xsi:type="xsd:double"&gt;4.77815768266634&lt;/D&gt;&lt;D xsi:type="xsd:double"&gt;4.62799819504876&lt;/D&gt;&lt;D xsi:type="xsd:double"&gt;4.72905838640092&lt;/D&gt;&lt;D xsi:type="xsd:double"&gt;4.61415361701158&lt;/D&gt;&lt;D xsi:type="xsd:double"&gt;4.55468585283681&lt;/D&gt;&lt;D xsi:type="xsd:double"&gt;4.75644757244641&lt;/D&gt;&lt;D xsi:type="xsd:double"&gt;4.97576881314528&lt;/D&gt;&lt;D xsi:type="xsd:double"&gt;5.22372835161489&lt;/D&gt;&lt;D xsi:type="xsd:double"&gt;5.35795840080803&lt;/D&gt;&lt;D xsi:type="xsd:double"&gt;5.1154501011139&lt;/D&gt;&lt;D xsi:type="xsd:double"&gt;4.95936250542958&lt;/D&gt;&lt;D xsi:type="xsd:double"&gt;4.96178941197789&lt;/D&gt;&lt;D xsi:type="xsd:double"&gt;4.90870367424463&lt;/D&gt;&lt;D xsi:type="xsd:double"&gt;4.85541330209604&lt;/D&gt;&lt;D xsi:type="xsd:double"&gt;4.69788043379267&lt;/D&gt;&lt;D xsi:type="xsd:double"&gt;4.61643224835393&lt;/D&gt;&lt;D xsi:type="xsd:double"&gt;4.77194941420051&lt;/D&gt;&lt;D xsi:type="xsd:double"&gt;4.44084416932405&lt;/D&gt;&lt;D xsi:type="xsd:double"&gt;4.42045968899836&lt;/D&gt;&lt;D xsi:type="xsd:double"&gt;4.31043540102022&lt;/D&gt;&lt;D xsi:type="xsd:double"&gt;4.23025701507741&lt;/D&gt;&lt;D xsi:type="xsd:double"&gt;4.12272998447865&lt;/D&gt;&lt;D xsi:type="xsd:double"&gt;4.07327895528173&lt;/D&gt;&lt;D xsi:type="xsd:double"&gt;5.43657018263106&lt;/D&gt;&lt;D xsi:type="xsd:double"&gt;4.2906887378624&lt;/D&gt;&lt;D xsi:type="xsd:double"&gt;3.83233180745172&lt;/D&gt;&lt;D xsi:type="xsd:double"&gt;3.38976402509957&lt;/D&gt;&lt;D xsi:type="xsd:double"&gt;3.41837081258368&lt;/D&gt;&lt;D xsi:type="xsd:double"&gt;3.37139194158594&lt;/D&gt;&lt;D xsi:type="xsd:double"&gt;3.60612417121627&lt;/D&gt;&lt;D xsi:type="xsd:double"&gt;3.56363253816023&lt;/D&gt;&lt;D xsi:type="xsd:double"&gt;3.46457141580993&lt;/D&gt;&lt;D xsi:type="xsd:double"&gt;3.4808467409355&lt;/D&gt;&lt;D xsi:type="xsd:double"&gt;3.55834767383295&lt;/D&gt;&lt;D xsi:type="xsd:double"&gt;3.73579506846474&lt;/D&gt;&lt;D xsi:type="xsd:double"&gt;3.8825195591121&lt;/D&gt;&lt;D xsi:type="xsd:double"&gt;3.85939079817717&lt;/D&gt;&lt;D xsi:type="xsd:double"&gt;3.94688260090011&lt;/D&gt;&lt;D xsi:type="xsd:double"&gt;3.84727848036073&lt;/D&gt;&lt;D xsi:type="xsd:double"&gt;4.18676000273965&lt;/D&gt;&lt;D xsi:type="xsd:double"&gt;4.07100132076169&lt;/D&gt;&lt;D xsi:type="xsd:double"&gt;4.09888902551727&lt;/D&gt;&lt;D xsi:type="xsd:double"&gt;3.98455239929194&lt;/D&gt;&lt;D xsi:type="xsd:double"&gt;4.02698861526362&lt;/D&gt;&lt;D xsi:type="xsd:double"&gt;3.96390309795131&lt;/D&gt;&lt;D xsi:type="xsd:double"&gt;3.87700807266835&lt;/D&gt;&lt;D xsi:type="xsd:double"&gt;4.24438892429051&lt;/D&gt;&lt;D xsi:type="xsd:double"&gt;4.26451194881692&lt;/D&gt;&lt;D xsi:type="xsd:double"&gt;4.33388876302986&lt;/D&gt;&lt;D xsi:type="xsd:double"&gt;4.71940669237863&lt;/D&gt;&lt;D xsi:type="xsd:double"&gt;5.33004498627038&lt;/D&gt;&lt;D xsi:type="xsd:double"&gt;5.21685834031879&lt;/D&gt;&lt;D xsi:type="xsd:double"&gt;4.69782925996071&lt;/D&gt;&lt;D xsi:type="xsd:double"&gt;5.00216648527706&lt;/D&gt;&lt;D xsi:type="xsd:double"&gt;5.16575235883393&lt;/D&gt;&lt;D xsi:type="xsd:double"&gt;4.64897251009519&lt;/D&gt;&lt;D xsi:type="xsd:double"&gt;4.59377994530832&lt;/D&gt;&lt;D xsi:type="xsd:double"&gt;4.34289672653&lt;/D&gt;&lt;D xsi:type="xsd:double"&gt;4.3951920127214&lt;/D&gt;&lt;D xsi:type="xsd:double"&gt;4.66241896599867&lt;/D&gt;&lt;D xsi:type="xsd:double"&gt;4.36021983046344&lt;/D&gt;&lt;D xsi:type="xsd:double"&gt;4.47335148958647&lt;/D&gt;&lt;D xsi:type="xsd:double"&gt;4.29993057713714&lt;/D&gt;&lt;D xsi:type="xsd:double"&gt;4.18923429166832&lt;/D&gt;&lt;D xsi:type="xsd:double"&gt;4.3182718182647&lt;/D&gt;&lt;D xsi:type="xsd:double"&gt;4.14598123744042&lt;/D&gt;&lt;D xsi:type="xsd:double"&gt;4.34130043560134&lt;/D&gt;&lt;D xsi:type="xsd:double"&gt;4.33081440958178&lt;/D&gt;&lt;D xsi:type="xsd:double"&gt;4.07646021625696&lt;/D&gt;&lt;D xsi:type="xsd:double"&gt;4.14435945158867&lt;/D&gt;&lt;D xsi:type="xsd:double"&gt;3.98526379847662&lt;/D&gt;&lt;D xsi:type="xsd:double"&gt;4.00436529929249&lt;/D&gt;&lt;D xsi:type="xsd:double"&gt;4.07673275825363&lt;/D&gt;&lt;D xsi:type="xsd:double"&gt;3.89528222353816&lt;/D&gt;&lt;/FQL&gt;&lt;FQL&gt;&lt;Q&gt;NI-FDS^FG_PRICE_CHANGE(0,-6AM)&lt;/Q&gt;&lt;R&gt;1&lt;/R&gt;&lt;C&gt;1&lt;/C&gt;&lt;D xsi:type="xsd:double"&gt;23.569725864124&lt;/D&gt;&lt;/FQL&gt;&lt;FQL&gt;&lt;Q&gt;COPP-FDS^MAX(FG_PRICE(0,-5AY))&lt;/Q&gt;&lt;R&gt;1&lt;/R&gt;&lt;C&gt;1&lt;/C&gt;&lt;D xsi:type="xsd:double"&gt;5.057&lt;/D&gt;&lt;/FQL&gt;&lt;FQL&gt;&lt;Q&gt;QQQ^FG_PRICE_MAVG(0,,,,30)&lt;/Q&gt;&lt;R&gt;1&lt;/R&gt;&lt;C&gt;1&lt;/C&gt;&lt;D xsi:type="xsd:double"&gt;434.91165&lt;/D&gt;&lt;/FQL&gt;&lt;FQL&gt;&lt;Q&gt;SPY^P_PRICE(0)/P_PRICE_LOW_PR(0,,,,,,"PRICE","INTRA","52W")-1&lt;/Q&gt;&lt;R&gt;1&lt;/R&gt;&lt;C&gt;1&lt;/C&gt;&lt;D xsi:type="xsd:double"&gt;0.29383457&lt;/D&gt;&lt;/FQL&gt;&lt;FQL&gt;&lt;Q&gt;URTH^P_PRICE(0)/P_PRICE_LOW_PR(0,,,,,,"PRICE","INTRA","52W")-1&lt;/Q&gt;&lt;R&gt;1&lt;/R&gt;&lt;C&gt;1&lt;/C&gt;&lt;D xsi:type="xsd:double"&gt;0.27925026&lt;/D&gt;&lt;/FQL&gt;&lt;FQL&gt;&lt;Q&gt;EWD^FG_TOTAL_RETURNC(0,-12AM)&lt;/Q&gt;&lt;R&gt;1&lt;/R&gt;&lt;C&gt;1&lt;/C&gt;&lt;D xsi:type="xsd:double"&gt;16.81968&lt;/D&gt;&lt;/FQL&gt;&lt;FQL&gt;&lt;Q&gt;QQQ^FG_TOTAL_RETURNC(0,-12AM)&lt;/Q&gt;&lt;R&gt;1&lt;/R&gt;&lt;C&gt;1&lt;/C&gt;&lt;D xsi:type="xsd:double"&gt;37.34207&lt;/D&gt;&lt;/FQL&gt;&lt;FQL&gt;&lt;Q&gt;EWJ^FMA_PCT_ABOVE_MAVG(200,0,,,,"PORTAGG")&lt;/Q&gt;&lt;R&gt;1&lt;/R&gt;&lt;C&gt;1&lt;/C&gt;&lt;D xsi:type="xsd:double"&gt;70.1834862385321&lt;/D&gt;&lt;/FQL&gt;&lt;FQL&gt;&lt;Q&gt;ENZL^PERCENT_CHANGE(FMA_EPS(+1,0,,,,"PORTAGG","MEAN"),FMA_EPS(+1,-1AM,,,,"PORTAGG","MEAN"))&lt;/Q&gt;&lt;R&gt;1&lt;/R&gt;&lt;C&gt;1&lt;/C&gt;&lt;D xsi:type="xsd:double"&gt;-0.128546392006634&lt;/D&gt;&lt;/FQL&gt;&lt;FQL&gt;&lt;Q&gt;EWA^SIZE(FG_CONSTITUENTS)&lt;/Q&gt;&lt;R&gt;1&lt;/R&gt;&lt;C&gt;1&lt;/C&gt;&lt;D xsi:type="xsd:long"&gt;59&lt;/D&gt;&lt;/FQL&gt;&lt;FQL&gt;&lt;Q&gt;SPY^FG_ROE(0)&lt;/Q&gt;&lt;R&gt;1&lt;/R&gt;&lt;C&gt;1&lt;/C&gt;&lt;D xsi:type="xsd:double"&gt;18.4140695861581&lt;/D&gt;&lt;/FQL&gt;&lt;FQL&gt;&lt;Q&gt;QQQ^FMA_ROE(NTMA,-20AY,NOW,FY,"PORTAGG","MEANR")&lt;/Q&gt;&lt;R&gt;20&lt;/R&gt;&lt;C&gt;1&lt;/C&gt;&lt;D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xsi:type="xsd:double"&gt;25.011729152832&lt;/D&gt;&lt;D xsi:type="xsd:double"&gt;24.534442850509&lt;/D&gt;&lt;D xsi:type="xsd:double"&gt;26.6372021642568&lt;/D&gt;&lt;D xsi:type="xsd:double"&gt;24.0483215722889&lt;/D&gt;&lt;D xsi:type="xsd:double"&gt;25.3199155964462&lt;/D&gt;&lt;/FQL&gt;&lt;FQL&gt;&lt;Q&gt;TRYVN10Y-FDS^FG_YIELD(-10AY,0,Y,,"YTM")&lt;/Q&gt;&lt;R&gt;10&lt;/R&gt;&lt;C&gt;1&lt;/C&gt;&lt;D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xsi:type="xsd:double"&gt;0.6127&lt;/D&gt;&lt;/FQL&gt;&lt;FQL&gt;&lt;Q&gt;CC_NZ^FG_COMPANY_NAME&lt;/Q&gt;&lt;R&gt;1&lt;/R&gt;&lt;C&gt;1&lt;/C&gt;&lt;D xsi:type="xsd:string"&gt;New Zealand&lt;/D&gt;&lt;/FQL&gt;&lt;FQL&gt;&lt;Q&gt;USDCHF^STD(FG_PRICE_CHANGE(0,-3AY,M))&lt;/Q&gt;&lt;R&gt;1&lt;/R&gt;&lt;C&gt;1&lt;/C&gt;&lt;D xsi:type="xsd:double"&gt;2.45552879219006&lt;/D&gt;&lt;/FQL&gt;&lt;FQL&gt;&lt;Q&gt;USDAUD^FG_PRICE_CHANGE(0,-1AY)&lt;/Q&gt;&lt;R&gt;1&lt;/R&gt;&lt;C&gt;1&lt;/C&gt;&lt;D xsi:type="xsd:double"&gt;-0.70269704&lt;/D&gt;&lt;/FQL&gt;&lt;FQL&gt;&lt;Q&gt;QQQ^FMA_DIV_YLD(NTMA,-10AY,0,AM,"PORTAGG","MEANR")&lt;/Q&gt;&lt;R&gt;121&lt;/R&gt;&lt;C&gt;1&lt;/C&gt;&lt;D xsi:type="xsd:double"&gt;1.36108411118471&lt;/D&gt;&lt;D xsi:type="xsd:double"&gt;1.30058864147611&lt;/D&gt;&lt;D xsi:type="xsd:double"&gt;1.26340762844274&lt;/D&gt;&lt;D xsi:type="xsd:double"&gt;1.23736415324595&lt;/D&gt;&lt;D xsi:type="xsd:double"&gt;1.23193585902764&lt;/D&gt;&lt;D xsi:type="xsd:double"&gt;1.32273539493375&lt;/D&gt;&lt;D xsi:type="xsd:double"&gt;1.21553660498314&lt;/D&gt;&lt;D xsi:type="xsd:double"&gt;1.24592566069376&lt;/D&gt;&lt;D xsi:type="xsd:double"&gt;1.2356419380417&lt;/D&gt;&lt;D xsi:type="xsd:double"&gt;1.22675328211205&lt;/D&gt;&lt;D xsi:type="xsd:double"&gt;1.26052075234662&lt;/D&gt;&lt;D xsi:type="xsd:double"&gt;1.27587998522588&lt;/D&gt;&lt;D xsi:type="xsd:double"&gt;1.23822664266552&lt;/D&gt;&lt;D xsi:type="xsd:double"&gt;1.25338859037879&lt;/D&gt;&lt;D xsi:type="xsd:double"&gt;1.20494627732835&lt;/D&gt;&lt;D xsi:type="xsd:double"&gt;1.27196601846154&lt;/D&gt;&lt;D xsi:type="xsd:double"&gt;1.33181430521605&lt;/D&gt;&lt;D xsi:type="xsd:double"&gt;1.31890351116958&lt;/D&gt;&lt;D xsi:type="xsd:double"&gt;1.30009418029083&lt;/D&gt;&lt;D xsi:type="xsd:double"&gt;1.29335856651931&lt;/D&gt;&lt;D xsi:type="xsd:double"&gt;1.39902408568162&lt;/D&gt;&lt;D xsi:type="xsd:double"&gt;1.40771253249889&lt;/D&gt;&lt;D xsi:type="xsd:double"&gt;1.35961274725023&lt;/D&gt;&lt;D xsi:type="xsd:double"&gt;1.31990488823408&lt;/D&gt;&lt;D xsi:type="xsd:double"&gt;1.40105902534897&lt;/D&gt;&lt;D xsi:type="xsd:double"&gt;1.39085088142677&lt;/D&gt;&lt;D xsi:type="xsd:double"&gt;1.3183906793303&lt;/D&gt;&lt;D xsi:type="xsd:double"&gt;1.27563816946884&lt;/D&gt;&lt;D xsi:type="xsd:double"&gt;1.2805825751655&lt;/D&gt;&lt;D xsi:type="xsd:double"&gt;1.28402510012017&lt;/D&gt;&lt;D xsi:type="xsd:double"&gt;1.28901258056781&lt;/D&gt;&lt;D xsi:type="xsd:double"&gt;1.28330983663402&lt;/D&gt;&lt;D xsi:type="xsd:double"&gt;1.25847654758278&lt;/D&gt;&lt;D xsi:type="xsd:double"&gt;1.22228062311592&lt;/D&gt;&lt;D xsi:type="xsd:double"&gt;1.21153958318729&lt;/D&gt;&lt;D xsi:type="xsd:double"&gt;1.22232674353569&lt;/D&gt;&lt;D xsi:type="xsd:double"&gt;1.19750476967866&lt;/D&gt;&lt;D xsi:type="xsd:double"&gt;1.18417111945239&lt;/D&gt;&lt;D xsi:type="xsd:double"&gt;1.17848227177847&lt;/D&gt;&lt;D xsi:type="xsd:double"&gt;1.19669624801744&lt;/D&gt;&lt;D xsi:type="xsd:double"&gt;1.16213959833341&lt;/D&gt;&lt;D xsi:type="xsd:double"&gt;1.1389670266178&lt;/D&gt;&lt;D xsi:type="xsd:double"&gt;1.11039407428718&lt;/D&gt;&lt;D xsi:type="xsd:double"&gt;1.09567214236711&lt;/D&gt;&lt;D xsi:type="xsd:double"&gt;1.03948088962073&lt;/D&gt;&lt;D xsi:type="xsd:double"&gt;1.07551022921951&lt;/D&gt;&lt;D xsi:type="xsd:double"&gt;1.04764985965845&lt;/D&gt;&lt;D xsi:type="xsd:double"&gt;1.08866871735558&lt;/D&gt;&lt;D xsi:type="xsd:double"&gt;1.0920146072365&lt;/D&gt;&lt;D xsi:type="xsd:double"&gt;1.0450206961729&lt;/D&gt;&lt;D xsi:type="xsd:double"&gt;1.02913263128134&lt;/D&gt;&lt;D xsi:type="xsd:double"&gt;1.08343174443854&lt;/D&gt;&lt;D xsi:type="xsd:double"&gt;1.08670527984724&lt;/D&gt;&lt;D xsi:type="xsd:double"&gt;1.11791824942744&lt;/D&gt;&lt;D xsi:type="xsd:double"&gt;1.19460079800683&lt;/D&gt;&lt;D xsi:type="xsd:double"&gt;1.2987287859767&lt;/D&gt;&lt;D xsi:type="xsd:double"&gt;1.248325632266&lt;/D&gt;&lt;D xsi:type="xsd:double"&gt;1.19597581977355&lt;/D&gt;&lt;D xsi:type="xsd:double"&gt;1.14862670736903&lt;/D&gt;&lt;D xsi:type="xsd:double"&gt;1.09828644618101&lt;/D&gt;&lt;D xsi:type="xsd:double"&gt;1.13461876556907&lt;/D&gt;&lt;D xsi:type="xsd:double"&gt;1.13860628372119&lt;/D&gt;&lt;D xsi:type="xsd:double"&gt;1.08738475354415&lt;/D&gt;&lt;D xsi:type="xsd:double"&gt;1.12853164840437&lt;/D&gt;&lt;D xsi:type="xsd:double"&gt;1.09359738945132&lt;/D&gt;&lt;D xsi:type="xsd:double"&gt;1.09325106924031&lt;/D&gt;&lt;D xsi:type="xsd:double"&gt;1.05782630453369&lt;/D&gt;&lt;D xsi:type="xsd:double"&gt;1.05982937870548&lt;/D&gt;&lt;D xsi:type="xsd:double"&gt;1.00119265494381&lt;/D&gt;&lt;D xsi:type="xsd:double"&gt;0.958465335608105&lt;/D&gt;&lt;D xsi:type="xsd:double"&gt;1.24239124856318&lt;/D&gt;&lt;D xsi:type="xsd:double"&gt;1.04959925817893&lt;/D&gt;&lt;D xsi:type="xsd:double"&gt;0.998002437824673&lt;/D&gt;&lt;D xsi:type="xsd:double"&gt;0.910586897230552&lt;/D&gt;&lt;D xsi:type="xsd:double"&gt;0.857788049578648&lt;/D&gt;&lt;D xsi:type="xsd:double"&gt;0.809748630616304&lt;/D&gt;&lt;D xsi:type="xsd:double"&gt;0.825866608464452&lt;/D&gt;&lt;D xsi:type="xsd:double"&gt;0.776618250044382&lt;/D&gt;&lt;D xsi:type="xsd:double"&gt;0.773414137062285&lt;/D&gt;&lt;D xsi:type="xsd:double"&gt;0.731660595555144&lt;/D&gt;&lt;D xsi:type="xsd:double"&gt;0.771151761506993&lt;/D&gt;&lt;D xsi:type="xsd:double"&gt;0.72798576204755&lt;/D&gt;&lt;D xsi:type="xsd:double"&gt;0.760061948384612&lt;/D&gt;&lt;D xsi:type="xsd:double"&gt;0.717547949769634&lt;/D&gt;&lt;D xsi:type="xsd:double"&gt;0.75969435196529&lt;/D&gt;&lt;D xsi:type="xsd:double"&gt;0.721465088278929&lt;/D&gt;&lt;D xsi:type="xsd:double"&gt;0.699884284129202&lt;/D&gt;&lt;D xsi:type="xsd:double"&gt;0.705135209711251&lt;/D&gt;&lt;D xsi:type="xsd:double"&gt;0.693417694016207&lt;/D&gt;&lt;D xsi:type="xsd:double"&gt;0.707868105824092&lt;/D&gt;&lt;D xsi:type="xsd:double"&gt;0.661834973092095&lt;/D&gt;&lt;D xsi:type="xsd:double"&gt;0.689016138008582&lt;/D&gt;&lt;D xsi:type="xsd:double"&gt;0.700406983950061&lt;/D&gt;&lt;D xsi:type="xsd:double"&gt;0.784015169371964&lt;/D&gt;&lt;D xsi:type="xsd:double"&gt;0.79732214577191&lt;/D&gt;&lt;D xsi:type="xsd:double"&gt;0.812428980811977&lt;/D&gt;&lt;D xsi:type="xsd:double"&gt;0.903672947236958&lt;/D&gt;&lt;D xsi:type="xsd:double"&gt;1.01538265977627&lt;/D&gt;&lt;D xsi:type="xsd:double"&gt;0.962045189474914&lt;/D&gt;&lt;D xsi:type="xsd:double"&gt;0.8599641509625&lt;/D&gt;&lt;D xsi:type="xsd:double"&gt;0.983945430739714&lt;/D&gt;&lt;D xsi:type="xsd:double"&gt;1.0650639632881&lt;/D&gt;&lt;D xsi:type="xsd:double"&gt;1.01774917319744&lt;/D&gt;&lt;D xsi:type="xsd:double"&gt;1.0521387759936&lt;/D&gt;&lt;D xsi:type="xsd:double"&gt;0.986910027202231&lt;/D&gt;&lt;D xsi:type="xsd:double"&gt;0.935291053156139&lt;/D&gt;&lt;D xsi:type="xsd:double"&gt;0.927523294807492&lt;/D&gt;&lt;D xsi:type="xsd:double"&gt;0.890065495618617&lt;/D&gt;&lt;D xsi:type="xsd:double"&gt;0.843030697483831&lt;/D&gt;&lt;D xsi:type="xsd:double"&gt;0.767372576678839&lt;/D&gt;&lt;D xsi:type="xsd:double"&gt;0.739808025147487&lt;/D&gt;&lt;D xsi:type="xsd:double"&gt;0.918008369865711&lt;/D&gt;&lt;D xsi:type="xsd:double"&gt;0.893037713141596&lt;/D&gt;&lt;D xsi:type="xsd:double"&gt;0.924831701675909&lt;/D&gt;&lt;D xsi:type="xsd:double"&gt;0.893474772980384&lt;/D&gt;&lt;D xsi:type="xsd:double"&gt;0.895884039718607&lt;/D&gt;&lt;D xsi:type="xsd:double"&gt;0.92092827322425&lt;/D&gt;&lt;D xsi:type="xsd:double"&gt;0.894275269472983&lt;/D&gt;&lt;D xsi:type="xsd:double"&gt;0.89827155642325&lt;/D&gt;&lt;D xsi:type="xsd:double"&gt;0.925735108797704&lt;/D&gt;&lt;D xsi:type="xsd:double"&gt;0.894101105700777&lt;/D&gt;&lt;/FQL&gt;&lt;FQL&gt;&lt;Q&gt;DDR3512M-FDS^MAX(FG_PRICE(0,-5AY))&lt;/Q&gt;&lt;R&gt;1&lt;/R&gt;&lt;C&gt;1&lt;/C&gt;&lt;D xsi:type="xsd:double"&gt;3.3053632&lt;/D&gt;&lt;/FQL&gt;&lt;FQL&gt;&lt;Q&gt;PLATI-FDS^FG_PRICE_MAVG(0,,,,30)&lt;/Q&gt;&lt;R&gt;1&lt;/R&gt;&lt;C&gt;1&lt;/C&gt;&lt;D xsi:type="xsd:double"&gt;970.93335&lt;/D&gt;&lt;/FQL&gt;&lt;FQL&gt;&lt;Q&gt;BRENT-FDS^FG_PRICE_CHANGE(0,-1AY)&lt;/Q&gt;&lt;R&gt;1&lt;/R&gt;&lt;C&gt;1&lt;/C&gt;&lt;D xsi:type="xsd:double"&gt;12.0156555772994&lt;/D&gt;&lt;/FQL&gt;&lt;FQL&gt;&lt;Q&gt;TIOS-FDS^FG_PRICE_CHANGE(0,-3AM)&lt;/Q&gt;&lt;R&gt;1&lt;/R&gt;&lt;C&gt;1&lt;/C&gt;&lt;D xsi:type="xsd:double"&gt;-9.62178049346431&lt;/D&gt;&lt;/FQL&gt;&lt;FQL&gt;&lt;Q&gt;FC0000NZ^FG_PRICE(0)&lt;/Q&gt;&lt;R&gt;1&lt;/R&gt;&lt;C&gt;1&lt;/C&gt;&lt;D xsi:type="xsd:double"&gt;387.16678&lt;/D&gt;&lt;/FQL&gt;&lt;FQL&gt;&lt;Q&gt;EWQ^FG_PRICE(0)&lt;/Q&gt;&lt;R&gt;1&lt;/R&gt;&lt;C&gt;1&lt;/C&gt;&lt;D xsi:type="xsd:double"&gt;42.25&lt;/D&gt;&lt;/FQL&gt;&lt;FQL&gt;&lt;Q&gt;ENZL^FG_PRICE_MAVG(0,,,,30)&lt;/Q&gt;&lt;R&gt;1&lt;/R&gt;&lt;C&gt;1&lt;/C&gt;&lt;D xsi:type="xsd:double"&gt;44.86468&lt;/D&gt;&lt;/FQL&gt;&lt;FQL&gt;&lt;Q&gt;FXI^FG_TOTAL_RETURNC(0,-3AM)&lt;/Q&gt;&lt;R&gt;1&lt;/R&gt;&lt;C&gt;1&lt;/C&gt;&lt;D xsi:type="xsd:double"&gt;27.134811&lt;/D&gt;&lt;/FQL&gt;&lt;FQL&gt;&lt;Q&gt;VWO^FG_TOTAL_RETURNC(0,-6AM)&lt;/Q&gt;&lt;R&gt;1&lt;/R&gt;&lt;C&gt;1&lt;/C&gt;&lt;D xsi:type="xsd:double"&gt;13.637638&lt;/D&gt;&lt;/FQL&gt;&lt;FQL&gt;&lt;Q&gt;EWN^P_PRICE(0)/P_PRICE_HIGH_PR(0,,,,,,"PRICE","INTRA","52W")&lt;/Q&gt;&lt;R&gt;1&lt;/R&gt;&lt;C&gt;1&lt;/C&gt;&lt;D xsi:type="xsd:double"&gt;0.99845564&lt;/D&gt;&lt;/FQL&gt;&lt;FQL&gt;&lt;Q&gt;SPY^P_PRICE(0)/P_PRICE_HIGH_PR(0,,,,,,"PRICE","INTRA","52W")&lt;/Q&gt;&lt;R&gt;1&lt;/R&gt;&lt;C&gt;1&lt;/C&gt;&lt;D xsi:type="xsd:double"&gt;0.99610215&lt;/D&gt;&lt;/FQL&gt;&lt;FQL&gt;&lt;Q&gt;EWJ^P_PRICE(0)/P_PRICE_LOW_PR(0,,,,,,"PRICE","INTRA","52W")-1&lt;/Q&gt;&lt;R&gt;1&lt;/R&gt;&lt;C&gt;1&lt;/C&gt;&lt;D xsi:type="xsd:double"&gt;0.20157349&lt;/D&gt;&lt;/FQL&gt;&lt;FQL&gt;&lt;Q&gt;ENZL^P_PRICE(0)/P_PRICE_LOW_PR(0,,,,,,"PRICE","INTRA","52W")-1&lt;/Q&gt;&lt;R&gt;1&lt;/R&gt;&lt;C&gt;1&lt;/C&gt;&lt;D xsi:type="xsd:double"&gt;0.118447185&lt;/D&gt;&lt;/FQL&gt;&lt;FQL&gt;&lt;Q&gt;EWQ^SIZE(FG_CONSTITUENTS)&lt;/Q&gt;&lt;R&gt;1&lt;/R&gt;&lt;C&gt;1&lt;/C&gt;&lt;D xsi:type="xsd:long"&gt;63&lt;/D&gt;&lt;/FQL&gt;&lt;FQL&gt;&lt;Q&gt;EWU^FG_COMPANY_NAME&lt;/Q&gt;&lt;R&gt;1&lt;/R&gt;&lt;C&gt;1&lt;/C&gt;&lt;D xsi:type="xsd:string"&gt;iShares MSCI United Kingdom ETF&lt;/D&gt;&lt;/FQL&gt;&lt;FQL&gt;&lt;Q&gt;REFEUREFI-FDS^PROPER_NAME(0,,,"SECURITY","NAME")&lt;/Q&gt;&lt;R&gt;1&lt;/R&gt;&lt;C&gt;1&lt;/C&gt;&lt;D xsi:type="xsd:string"&gt;Eurozone Main Refinancing Operations Minimum Bid Rate&lt;/D&gt;&lt;/FQL&gt;&lt;FQL&gt;&lt;Q&gt;TRYNZ10Y-FDS^PCTCHG(FG_YIELD(0,,,,"YTM"),FG_YIELD(-1AM,,,,"YTM"))&lt;/Q&gt;&lt;R&gt;1&lt;/R&gt;&lt;C&gt;1&lt;/C&gt;&lt;D xsi:type="xsd:double"&gt;-7.3384867&lt;/D&gt;&lt;/FQL&gt;&lt;FQL&gt;&lt;Q&gt;CC_GB^IMF_IFS_RCPI_Q(0)&lt;/Q&gt;&lt;R&gt;1&lt;/R&gt;&lt;C&gt;1&lt;/C&gt;&lt;D xsi:type="xsd:double"&gt;3.9194994&lt;/D&gt;&lt;/FQL&gt;&lt;FQL&gt;&lt;Q&gt;EWN^FMA_EVAL_EBIT(LTMA,NOW,NOW,M,"PORTAGG","MEANR")&lt;/Q&gt;&lt;R&gt;1&lt;/R&gt;&lt;C&gt;1&lt;/C&gt;&lt;D xsi:type="xsd:double"&gt;21.9361675821147&lt;/D&gt;&lt;/FQL&gt;&lt;FQL&gt;&lt;Q&gt;SPY^FMA_PE(NTMA,0,,,"PORTAGG","MEANR")&lt;/Q&gt;&lt;R&gt;1&lt;/R&gt;&lt;C&gt;1&lt;/C&gt;&lt;D xsi:type="xsd:double"&gt;20.7111155737644&lt;/D&gt;&lt;/FQL&gt;&lt;FQL&gt;&lt;Q&gt;EWG^FMA_PE(NTMA,0,,,"PORTAGG","MEANR")&lt;/Q&gt;&lt;R&gt;1&lt;/R&gt;&lt;C&gt;1&lt;/C&gt;&lt;D xsi:type="xsd:double"&gt;12.2653757637992&lt;/D&gt;&lt;/FQL&gt;&lt;FQL&gt;&lt;Q&gt;GLD^FG_TOTAL_RETURNC(0,-6AM)&lt;/Q&gt;&lt;R&gt;1&lt;/R&gt;&lt;C&gt;1&lt;/C&gt;&lt;D xsi:type="xsd:double"&gt;21.772743&lt;/D&gt;&lt;/FQL&gt;&lt;FQL&gt;&lt;Q&gt;TRYSA10Y-FDS^FG_YIELD(-10AY,0,Y,,"YTM")&lt;/Q&gt;&lt;R&gt;10&lt;/R&gt;&lt;C&gt;1&lt;/C&gt;&lt;D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xsi:type="xsd:double"&gt;4.608568&lt;/D&gt;&lt;/FQL&gt;&lt;FQL&gt;&lt;Q&gt;CAGDPY@CH^EE_ACTUAL_ANNUAL(MED,0)&lt;/Q&gt;&lt;R&gt;1&lt;/R&gt;&lt;C&gt;1&lt;/C&gt;&lt;D xsi:type="xsd:double"&gt;7.64151941312264&lt;/D&gt;&lt;/FQL&gt;&lt;FQL&gt;&lt;Q&gt;USDANG^FG_PRICE_CHANGE(0,-6AM)&lt;/Q&gt;&lt;R&gt;1&lt;/R&gt;&lt;C&gt;1&lt;/C&gt;&lt;D xsi:type="xsd:double"&gt;0&lt;/D&gt;&lt;/FQL&gt;&lt;FQL&gt;&lt;Q&gt;USDEUR^FG_PRICE_CHANGE(0,-3AM)&lt;/Q&gt;&lt;R&gt;1&lt;/R&gt;&lt;C&gt;1&lt;/C&gt;&lt;D xsi:type="xsd:double"&gt;-0.9608269&lt;/D&gt;&lt;/FQL&gt;&lt;FQL&gt;&lt;Q&gt;EWG^FMA_EPS(NTMA,-20AY,0,CY,,"PORTAGG","MEANR")&lt;/Q&gt;&lt;R&gt;20&lt;/R&gt;&lt;C&gt;1&lt;/C&gt;&lt;D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xsi:type="xsd:double"&gt;2.65638349123077&lt;/D&gt;&lt;/FQL&gt;&lt;FQL&gt;&lt;Q&gt;EWD^FG_TOTAL_RETURNC(-10AY,0,AM)&lt;/Q&gt;&lt;R&gt;121&lt;/R&gt;&lt;C&gt;1&lt;/C&gt;&lt;D xsi:type="xsd:double"&gt;3.674841&lt;/D&gt;&lt;D xsi:type="xsd:double"&gt;-1.2352407&lt;/D&gt;&lt;D xsi:type="xsd:double"&gt;-4.044652&lt;/D&gt;&lt;D xsi:type="xsd:double"&gt;-0.6995082&lt;/D&gt;&lt;D xsi:type="xsd:double"&gt;-1.2621105&lt;/D&gt;&lt;D xsi:type="xsd:double"&gt;-7.6991677&lt;/D&gt;&lt;D xsi:type="xsd:double"&gt;5.346215&lt;/D&gt;&lt;D xsi:type="xsd:double"&gt;-3.0844092&lt;/D&gt;&lt;D xsi:type="xsd:double"&gt;-1.5888155&lt;/D&gt;&lt;D xsi:type="xsd:double"&gt;8.944141&lt;/D&gt;&lt;D xsi:type="xsd:double"&gt;-1.8375874&lt;/D&gt;&lt;D xsi:type="xsd:double"&gt;1.2681246&lt;/D&gt;&lt;D xsi:type="xsd:double"&gt;3.518188&lt;/D&gt;&lt;D xsi:type="xsd:double"&gt;-1.9009233&lt;/D&gt;&lt;D xsi:type="xsd:double"&gt;-1.617986&lt;/D&gt;&lt;D xsi:type="xsd:double"&gt;-1.2974918&lt;/D&gt;&lt;D xsi:type="xsd:double"&gt;-2.6291072&lt;/D&gt;&lt;D xsi:type="xsd:double"&gt;-2.5072336&lt;/D&gt;&lt;D xsi:type="xsd:double"&gt;-2.5057733&lt;/D&gt;&lt;D xsi:type="xsd:double"&gt;-2.468717&lt;/D&gt;&lt;D xsi:type="xsd:double"&gt;-9.246856&lt;/D&gt;&lt;D xsi:type="xsd:double"&gt;6.34799&lt;/D&gt;&lt;D xsi:type="xsd:double"&gt;5.789292&lt;/D&gt;&lt;D xsi:type="xsd:double"&gt;2.6852489&lt;/D&gt;&lt;D xsi:type="xsd:double"&gt;-4.5680227&lt;/D&gt;&lt;D xsi:type="xsd:double"&gt;-1.9077301&lt;/D&gt;&lt;D xsi:type="xsd:double"&gt;2.1210432&lt;/D&gt;&lt;D xsi:type="xsd:double"&gt;3.4557223&lt;/D&gt;&lt;D xsi:type="xsd:double"&gt;-1.0438383&lt;/D&gt;&lt;D xsi:type="xsd:double"&gt;-1.0196924&lt;/D&gt;&lt;D xsi:type="xsd:double"&gt;-2.7353466&lt;/D&gt;&lt;D xsi:type="xsd:double"&gt;3.9079666&lt;/D&gt;&lt;D xsi:type="xsd:double"&gt;3.1107068&lt;/D&gt;&lt;D xsi:type="xsd:double"&gt;5.1824093&lt;/D&gt;&lt;D xsi:type="xsd:double"&gt;2.3014545&lt;/D&gt;&lt;D xsi:type="xsd:double"&gt;-0.41190982&lt;/D&gt;&lt;D xsi:type="xsd:double"&gt;6.649697&lt;/D&gt;&lt;D xsi:type="xsd:double"&gt;2.028644&lt;/D&gt;&lt;D xsi:type="xsd:double"&gt;4.872799&lt;/D&gt;&lt;D xsi:type="xsd:double"&gt;-4.305667&lt;/D&gt;&lt;D xsi:type="xsd:double"&gt;5.5125117&lt;/D&gt;&lt;D xsi:type="xsd:double"&gt;0.79073906&lt;/D&gt;&lt;D xsi:type="xsd:double"&gt;-3.894645&lt;/D&gt;&lt;D xsi:type="xsd:double"&gt;-2.2449017&lt;/D&gt;&lt;D xsi:type="xsd:double"&gt;8.350908&lt;/D&gt;&lt;D xsi:type="xsd:double"&gt;-2.974701&lt;/D&gt;&lt;D xsi:type="xsd:double"&gt;-1.2320936&lt;/D&gt;&lt;D xsi:type="xsd:double"&gt;-2.6109695&lt;/D&gt;&lt;D xsi:type="xsd:double"&gt;1.221323&lt;/D&gt;&lt;D xsi:type="xsd:double"&gt;-2.8840482&lt;/D&gt;&lt;D xsi:type="xsd:double"&gt;-1.492995&lt;/D&gt;&lt;D xsi:type="xsd:double"&gt;0.19317865&lt;/D&gt;&lt;D xsi:type="xsd:double"&gt;3.213358&lt;/D&gt;&lt;D xsi:type="xsd:double"&gt;-5.1992474&lt;/D&gt;&lt;D xsi:type="xsd:double"&gt;-3.678161&lt;/D&gt;&lt;D xsi:type="xsd:double"&gt;-4.6368895&lt;/D&gt;&lt;D xsi:type="xsd:double"&gt;4.495704&lt;/D&gt;&lt;D xsi:type="xsd:double"&gt;3.8000703&lt;/D&gt;&lt;D xsi:type="xsd:double"&gt;1.550138&lt;/D&gt;&lt;D xsi:type="xsd:double"&gt;6.0733914&lt;/D&gt;&lt;D xsi:type="xsd:double"&gt;-6.981021&lt;/D&gt;&lt;D xsi:type="xsd:double"&gt;0.68775415&lt;/D&gt;&lt;D xsi:type="xsd:double"&gt;2.3279428&lt;/D&gt;&lt;D xsi:type="xsd:double"&gt;-8.638316&lt;/D&gt;&lt;D xsi:type="xsd:double"&gt;8.480692&lt;/D&gt;&lt;D xsi:type="xsd:double"&gt;1.1310697&lt;/D&gt;&lt;D xsi:type="xsd:double"&gt;5.394745&lt;/D&gt;&lt;D xsi:type="xsd:double"&gt;5.1405907&lt;/D&gt;&lt;D xsi:type="xsd:double"&gt;0.84159374&lt;/D&gt;&lt;D xsi:type="xsd:double"&gt;1.0134101&lt;/D&gt;&lt;D xsi:type="xsd:double"&gt;-29.094124&lt;/D&gt;&lt;D xsi:type="xsd:double"&gt;10.819805&lt;/D&gt;&lt;D xsi:type="xsd:double"&gt;-1.0138869&lt;/D&gt;&lt;D xsi:type="xsd:double"&gt;18.276619&lt;/D&gt;&lt;D xsi:type="xsd:double"&gt;10.006428&lt;/D&gt;&lt;D xsi:type="xsd:double"&gt;4.1240096&lt;/D&gt;&lt;D xsi:type="xsd:double"&gt;1.7696619&lt;/D&gt;&lt;D xsi:type="xsd:double"&gt;-0.1656115&lt;/D&gt;&lt;D xsi:type="xsd:double"&gt;7.796526&lt;/D&gt;&lt;D xsi:type="xsd:double"&gt;3.3323646&lt;/D&gt;&lt;D xsi:type="xsd:double"&gt;2.3255706&lt;/D&gt;&lt;D xsi:type="xsd:double"&gt;4.081142&lt;/D&gt;&lt;D xsi:type="xsd:double"&gt;6.480396&lt;/D&gt;&lt;D xsi:type="xsd:double"&gt;6.571126&lt;/D&gt;&lt;D xsi:type="xsd:double"&gt;-0.88971853&lt;/D&gt;&lt;D xsi:type="xsd:double"&gt;-0.5125761&lt;/D&gt;&lt;D xsi:type="xsd:double"&gt;0.6656647&lt;/D&gt;&lt;D xsi:type="xsd:double"&gt;1.5784979&lt;/D&gt;&lt;D xsi:type="xsd:double"&gt;-1.2599707&lt;/D&gt;&lt;D xsi:type="xsd:double"&gt;0.7230997&lt;/D&gt;&lt;D xsi:type="xsd:double"&gt;2.5126696&lt;/D&gt;&lt;D xsi:type="xsd:double"&gt;-6.92997&lt;/D&gt;&lt;D xsi:type="xsd:double"&gt;2.6293874&lt;/D&gt;&lt;D xsi:type="xsd:double"&gt;-10.653919&lt;/D&gt;&lt;D xsi:type="xsd:double"&gt;-1.2944877&lt;/D&gt;&lt;D xsi:type="xsd:double"&gt;-3.6317825&lt;/D&gt;&lt;D xsi:type="xsd:double"&gt;-7.170892&lt;/D&gt;&lt;D xsi:type="xsd:double"&gt;-10.043425&lt;/D&gt;&lt;D xsi:type="xsd:double"&gt;-2.225089&lt;/D&gt;&lt;D xsi:type="xsd:double"&gt;8.674145&lt;/D&gt;&lt;D xsi:type="xsd:double"&gt;-10.379362&lt;/D&gt;&lt;D xsi:type="xsd:double"&gt;-3.995937&lt;/D&gt;&lt;D xsi:type="xsd:double"&gt;14.603174&lt;/D&gt;&lt;D xsi:type="xsd:double"&gt;0.72647333&lt;/D&gt;&lt;D xsi:type="xsd:double"&gt;8.082354&lt;/D&gt;&lt;D xsi:type="xsd:double"&gt;1.7912984&lt;/D&gt;&lt;D xsi:type="xsd:double"&gt;-8.603346&lt;/D&gt;&lt;D xsi:type="xsd:double"&gt;11.216378&lt;/D&gt;&lt;D xsi:type="xsd:double"&gt;-0.906837&lt;/D&gt;&lt;D xsi:type="xsd:double"&gt;-0.36051273&lt;/D&gt;&lt;D xsi:type="xsd:double"&gt;1.5585899&lt;/D&gt;&lt;D xsi:type="xsd:double"&gt;-9.947931&lt;/D&gt;&lt;D xsi:type="xsd:double"&gt;0&lt;/D&gt;&lt;D xsi:type="xsd:double"&gt;1.3694525&lt;/D&gt;&lt;D xsi:type="xsd:double"&gt;6.304407&lt;/D&gt;&lt;D xsi:type="xsd:double"&gt;11.239767&lt;/D&gt;&lt;D xsi:type="xsd:double"&gt;-5.7249966&lt;/D&gt;&lt;D xsi:type="xsd:double"&gt;5.822289&lt;/D&gt;&lt;D xsi:type="xsd:double"&gt;6.805742&lt;/D&gt;&lt;D xsi:type="xsd:double"&gt;-6.1035156&lt;/D&gt;&lt;D xsi:type="xsd:double"&gt;6.890285&lt;/D&gt;&lt;/FQL&gt;&lt;FQL&gt;&lt;Q&gt;EWC^FMA_PE(NTMA,-10AY,0,AM,"PORTAGG","MEANR")&lt;/Q&gt;&lt;R&gt;121&lt;/R&gt;&lt;C&gt;1&lt;/C&gt;&lt;D xsi:type="xsd:double"&gt;14.6704752274815&lt;/D&gt;&lt;D xsi:type="xsd:double"&gt;14.9785743838414&lt;/D&gt;&lt;D xsi:type="xsd:double"&gt;15.0040207419813&lt;/D&gt;&lt;D xsi:type="xsd:double"&gt;15.0069709765165&lt;/D&gt;&lt;D xsi:type="xsd:double"&gt;15.0822559987189&lt;/D&gt;&lt;D xsi:type="xsd:double"&gt;13.7889254230146&lt;/D&gt;&lt;D xsi:type="xsd:double"&gt;14.6616001646674&lt;/D&gt;&lt;D xsi:type="xsd:double"&gt;14.9801930173521&lt;/D&gt;&lt;D xsi:type="xsd:double"&gt;15.5026934232119&lt;/D&gt;&lt;D xsi:type="xsd:double"&gt;17.4391420614623&lt;/D&gt;&lt;D xsi:type="xsd:double"&gt;17.0962652930181&lt;/D&gt;&lt;D xsi:type="xsd:double"&gt;17.4436986898473&lt;/D&gt;&lt;D xsi:type="xsd:double"&gt;16.7898733962798&lt;/D&gt;&lt;D xsi:type="xsd:double"&gt;16.1570577177288&lt;/D&gt;&lt;D xsi:type="xsd:double"&gt;15.8584294860784&lt;/D&gt;&lt;D xsi:type="xsd:double"&gt;15.4018823845154&lt;/D&gt;&lt;D xsi:type="xsd:double"&gt;14.9888570362034&lt;/D&gt;&lt;D xsi:type="xsd:double"&gt;15.1105735831615&lt;/D&gt;&lt;D xsi:type="xsd:double"&gt;14.4829979593856&lt;/D&gt;&lt;D xsi:type="xsd:double"&gt;14.2691683914057&lt;/D&gt;&lt;D xsi:type="xsd:double"&gt;13.3180754183939&lt;/D&gt;&lt;D xsi:type="xsd:double"&gt;14.829005390792&lt;/D&gt;&lt;D xsi:type="xsd:double"&gt;16.2467818881328&lt;/D&gt;&lt;D xsi:type="xsd:double"&gt;16.1544415466319&lt;/D&gt;&lt;D xsi:type="xsd:double"&gt;16.6443660644048&lt;/D&gt;&lt;D xsi:type="xsd:double"&gt;16.2998758884347&lt;/D&gt;&lt;D xsi:type="xsd:double"&gt;16.5813164241268&lt;/D&gt;&lt;D xsi:type="xsd:double"&gt;16.4606492527344&lt;/D&gt;&lt;D xsi:type="xsd:double"&gt;15.9464251882732&lt;/D&gt;&lt;D xsi:type="xsd:double"&gt;15.8876083849938&lt;/D&gt;&lt;D xsi:type="xsd:double"&gt;15.8839203922352&lt;/D&gt;&lt;D xsi:type="xsd:double"&gt;15.9218787295197&lt;/D&gt;&lt;D xsi:type="xsd:double"&gt;16.0915677748986&lt;/D&gt;&lt;D xsi:type="xsd:double"&gt;16.3850759989601&lt;/D&gt;&lt;D xsi:type="xsd:double"&gt;15.8361930356761&lt;/D&gt;&lt;D xsi:type="xsd:double"&gt;15.8898055228781&lt;/D&gt;&lt;D xsi:type="xsd:double"&gt;15.3151616361252&lt;/D&gt;&lt;D xsi:type="xsd:double"&gt;15.2326677864307&lt;/D&gt;&lt;D xsi:type="xsd:double"&gt;15.3515052311896&lt;/D&gt;&lt;D xsi:type="xsd:double"&gt;15.4141181525178&lt;/D&gt;&lt;D xsi:type="xsd:double"&gt;15.3112882603128&lt;/D&gt;&lt;D xsi:type="xsd:double"&gt;15.749348993792&lt;/D&gt;&lt;D xsi:type="xsd:double"&gt;15.8463516639139&lt;/D&gt;&lt;D xsi:type="xsd:double"&gt;15.8884776449158&lt;/D&gt;&lt;D xsi:type="xsd:double"&gt;15.7930964608531&lt;/D&gt;&lt;D xsi:type="xsd:double"&gt;14.5794402462917&lt;/D&gt;&lt;D xsi:type="xsd:double"&gt;14.5510696313716&lt;/D&gt;&lt;D xsi:type="xsd:double"&gt;14.01883964932&lt;/D&gt;&lt;D xsi:type="xsd:double"&gt;14.4393849456263&lt;/D&gt;&lt;D xsi:type="xsd:double"&gt;14.3946798751586&lt;/D&gt;&lt;D xsi:type="xsd:double"&gt;14.336008937328&lt;/D&gt;&lt;D xsi:type="xsd:double"&gt;13.9971465026428&lt;/D&gt;&lt;D xsi:type="xsd:double"&gt;13.5707191161207&lt;/D&gt;&lt;D xsi:type="xsd:double"&gt;12.9363557160566&lt;/D&gt;&lt;D xsi:type="xsd:double"&gt;12.6451568470615&lt;/D&gt;&lt;D xsi:type="xsd:double"&gt;12.1447851600238&lt;/D&gt;&lt;D xsi:type="xsd:double"&gt;13.2106887343967&lt;/D&gt;&lt;D xsi:type="xsd:double"&gt;13.9455945451503&lt;/D&gt;&lt;D xsi:type="xsd:double"&gt;14.1989655847854&lt;/D&gt;&lt;D xsi:type="xsd:double"&gt;14.003209935832&lt;/D&gt;&lt;D xsi:type="xsd:double"&gt;13.6603926710374&lt;/D&gt;&lt;D xsi:type="xsd:double"&gt;13.6163046560577&lt;/D&gt;&lt;D xsi:type="xsd:double"&gt;13.6889708158656&lt;/D&gt;&lt;D xsi:type="xsd:double"&gt;13.4515578282522&lt;/D&gt;&lt;D xsi:type="xsd:double"&gt;14.0725301714295&lt;/D&gt;&lt;D xsi:type="xsd:double"&gt;13.7926839786376&lt;/D&gt;&lt;D xsi:type="xsd:double"&gt;14.4029825305237&lt;/D&gt;&lt;D xsi:type="xsd:double"&gt;14.4358951721178&lt;/D&gt;&lt;D xsi:type="xsd:double"&gt;14.717578660922&lt;/D&gt;&lt;D xsi:type="xsd:double"&gt;15.0411560507486&lt;/D&gt;&lt;D xsi:type="xsd:double"&gt;11.5861995560802&lt;/D&gt;&lt;D xsi:type="xsd:double"&gt;15.4004436697177&lt;/D&gt;&lt;D xsi:type="xsd:double"&gt;17.56165997081&lt;/D&gt;&lt;D xsi:type="xsd:double"&gt;17.8504969403256&lt;/D&gt;&lt;D xsi:type="xsd:double"&gt;17.7618784675392&lt;/D&gt;&lt;D xsi:type="xsd:double"&gt;17.5802627375883&lt;/D&gt;&lt;D xsi:type="xsd:double"&gt;16.5632694873366&lt;/D&gt;&lt;D xsi:type="xsd:double"&gt;16.2389279324023&lt;/D&gt;&lt;D xsi:type="xsd:double"&gt;16.1416161123552&lt;/D&gt;&lt;D xsi:type="xsd:double"&gt;16.1576987693216&lt;/D&gt;&lt;D xsi:type="xsd:double"&gt;16.0474308198033&lt;/D&gt;&lt;D xsi:type="xsd:double"&gt;16.1096565123605&lt;/D&gt;&lt;D xsi:type="xsd:double"&gt;15.6210676359996&lt;/D&gt;&lt;D xsi:type="xsd:double"&gt;15.6863838917343&lt;/D&gt;&lt;D xsi:type="xsd:double"&gt;15.4082884228313&lt;/D&gt;&lt;D xsi:type="xsd:double"&gt;15.6711922773382&lt;/D&gt;&lt;D xsi:type="xsd:double"&gt;15.0705135829639&lt;/D&gt;&lt;D xsi:type="xsd:double"&gt;14.9275012795497&lt;/D&gt;&lt;D xsi:type="xsd:double"&gt;14.7014822850612&lt;/D&gt;&lt;D xsi:type="xsd:double"&gt;14.9140781645831&lt;/D&gt;&lt;D xsi:type="xsd:double"&gt;14.9694360551265&lt;/D&gt;&lt;D xsi:type="xsd:double"&gt;14.149471642574&lt;/D&gt;&lt;D xsi:type="xsd:double"&gt;14.3824611150688&lt;/D&gt;&lt;D xsi:type="xsd:double"&gt;13.9850746381897&lt;/D&gt;&lt;D xsi:type="xsd:double"&gt;13.7249461885527&lt;/D&gt;&lt;D xsi:type="xsd:double"&gt;13.3947497629698&lt;/D&gt;&lt;D xsi:type="xsd:double"&gt;12.3447142634407&lt;/D&gt;&lt;D xsi:type="xsd:double"&gt;11.2377397201909&lt;/D&gt;&lt;D xsi:type="xsd:double"&gt;10.7848991882848&lt;/D&gt;&lt;D xsi:type="xsd:double"&gt;11.8905856186336&lt;/D&gt;&lt;D xsi:type="xsd:double"&gt;11.3291722882641&lt;/D&gt;&lt;D xsi:type="xsd:double"&gt;10.924796076211&lt;/D&gt;&lt;D xsi:type="xsd:double"&gt;11.8579325974845&lt;/D&gt;&lt;D xsi:type="xsd:double"&gt;11.854512317126&lt;/D&gt;&lt;D xsi:type="xsd:double"&gt;12.8003223346477&lt;/D&gt;&lt;D xsi:type="xsd:double"&gt;12.888014581734&lt;/D&gt;&lt;D xsi:type="xsd:double"&gt;12.1917695931824&lt;/D&gt;&lt;D xsi:type="xsd:double"&gt;13.0994521242537&lt;/D&gt;&lt;D xsi:type="xsd:double"&gt;12.9998661907791&lt;/D&gt;&lt;D xsi:type="xsd:double"&gt;12.9159711125496&lt;/D&gt;&lt;D xsi:type="xsd:double"&gt;13.2430063330263&lt;/D&gt;&lt;D xsi:type="xsd:double"&gt;12.8841948497864&lt;/D&gt;&lt;D xsi:type="xsd:double"&gt;13.3199861926355&lt;/D&gt;&lt;D xsi:type="xsd:double"&gt;12.6302159219067&lt;/D&gt;&lt;D xsi:type="xsd:double"&gt;12.8197702660282&lt;/D&gt;&lt;D xsi:type="xsd:double"&gt;13.3426259945547&lt;/D&gt;&lt;D xsi:type="xsd:double"&gt;13.4861949396361&lt;/D&gt;&lt;D xsi:type="xsd:double"&gt;14.0699790647334&lt;/D&gt;&lt;D xsi:type="xsd:double"&gt;14.4974797305341&lt;/D&gt;&lt;D xsi:type="xsd:double"&gt;14.1704913186806&lt;/D&gt;&lt;D xsi:type="xsd:double"&gt;14.4303426373267&lt;/D&gt;&lt;/FQL&gt;&lt;FQL&gt;&lt;Q&gt;PASP-FDS^FG_PRICE_CHANGE(0,-3AM)&lt;/Q&gt;&lt;R&gt;1&lt;/R&gt;&lt;C&gt;1&lt;/C&gt;&lt;D xsi:type="xsd:double"&gt;7.22513089005237&lt;/D&gt;&lt;/FQL&gt;&lt;FQL&gt;&lt;Q&gt;FC0000JP^FG_PRICE(0)&lt;/Q&gt;&lt;R&gt;1&lt;/R&gt;&lt;C&gt;1&lt;/C&gt;&lt;D xsi:type="xsd:double"&gt;173.59523&lt;/D&gt;&lt;/FQL&gt;&lt;FQL&gt;&lt;Q&gt;EWJ^FG_PRICE_MAVG(0,,,,60)&lt;/Q&gt;&lt;R&gt;1&lt;/R&gt;&lt;C&gt;1&lt;/C&gt;&lt;D xsi:type="xsd:double"&gt;69.26117&lt;/D&gt;&lt;/FQL&gt;&lt;FQL&gt;&lt;Q&gt;EWI^FG_COMPANY_NAME&lt;/Q&gt;&lt;R&gt;1&lt;/R&gt;&lt;C&gt;1&lt;/C&gt;&lt;D xsi:type="xsd:string"&gt;iShares MSCI Italy ETF&lt;/D&gt;&lt;/FQL&gt;&lt;FQL&gt;&lt;Q&gt;EWJ^FG_TOTAL_RETURNC(0,-3AM)&lt;/Q&gt;&lt;R&gt;1&lt;/R&gt;&lt;C&gt;1&lt;/C&gt;&lt;D xsi:type="xsd:double"&gt;1.6265035&lt;/D&gt;&lt;/FQL&gt;&lt;FQL&gt;&lt;Q&gt;EWI^FG_TOTAL_RETURNC(0,-6AM)&lt;/Q&gt;&lt;R&gt;1&lt;/R&gt;&lt;C&gt;1&lt;/C&gt;&lt;D xsi:type="xsd:double"&gt;22.384989&lt;/D&gt;&lt;/FQL&gt;&lt;FQL&gt;&lt;Q&gt;EWU^P_PRICE(0)/P</t>
        </r>
      </text>
    </comment>
    <comment ref="A5" authorId="0" shapeId="0" xr:uid="{1BD55E75-ED1B-4746-8731-508452028B52}">
      <text>
        <r>
          <rPr>
            <b/>
            <sz val="9"/>
            <color indexed="81"/>
            <rFont val="Tahoma"/>
            <charset val="1"/>
          </rPr>
          <t>_PRICE_HIGH_PR(0,,,,,,"PRICE","INTRA","52W")&lt;/Q&gt;&lt;R&gt;1&lt;/R&gt;&lt;C&gt;1&lt;/C&gt;&lt;D xsi:type="xsd:double"&gt;0.9995919&lt;/D&gt;&lt;/FQL&gt;&lt;FQL&gt;&lt;Q&gt;EWC^P_PRICE(0)/P_PRICE_HIGH_PR(0,,,,,,"PRICE","INTRA","52W")&lt;/Q&gt;&lt;R&gt;1&lt;/R&gt;&lt;C&gt;1&lt;/C&gt;&lt;D xsi:type="xsd:double"&gt;0.99922323&lt;/D&gt;&lt;/FQL&gt;&lt;FQL&gt;&lt;Q&gt;URTH^FMA_COS_DOWN("EPS","1M",+1,0,,,"PORTAGG","MEANR")&lt;/Q&gt;&lt;R&gt;1&lt;/R&gt;&lt;C&gt;1&lt;/C&gt;&lt;D xsi:type="xsd:double"&gt;544&lt;/D&gt;&lt;/FQL&gt;&lt;FQL&gt;&lt;Q&gt;EWG^SIZE(FG_CONSTITUENTS)&lt;/Q&gt;&lt;R&gt;1&lt;/R&gt;&lt;C&gt;1&lt;/C&gt;&lt;D xsi:type="xsd:long"&gt;57&lt;/D&gt;&lt;/FQL&gt;&lt;FQL&gt;&lt;Q&gt;EWC^FMA_RBICS_REV_CURRENT(30, LOC, "PORTAGG")&lt;/Q&gt;&lt;R&gt;1&lt;/R&gt;&lt;C&gt;1&lt;/C&gt;&lt;D xsi:type="xsd:double"&gt;40.0308181746705&lt;/D&gt;&lt;/FQL&gt;&lt;FQL&gt;&lt;Q&gt;TRYNL10Y-FDS^FG_YIELD_NAME&lt;/Q&gt;&lt;R&gt;1&lt;/R&gt;&lt;C&gt;1&lt;/C&gt;&lt;D xsi:type="xsd:string"&gt;Netherlands Benchmark Bond - 10 Year&lt;/D&gt;&lt;/FQL&gt;&lt;FQL&gt;&lt;Q&gt;TRYUS10Y-FDS^PCTCHG(FG_YIELD(0,,,,"YTM"),FG_YIELD(-3AM,,,,"YTM"))&lt;/Q&gt;&lt;R&gt;1&lt;/R&gt;&lt;C&gt;1&lt;/C&gt;&lt;D xsi:type="xsd:double"&gt;3.0489569&lt;/D&gt;&lt;/FQL&gt;&lt;FQL&gt;&lt;Q&gt;TRYCH10Y-FDS^FG_YIELD_NAME&lt;/Q&gt;&lt;R&gt;1&lt;/R&gt;&lt;C&gt;1&lt;/C&gt;&lt;D xsi:type="xsd:string"&gt;Treasury - Switzerland Benchmark Bond 10Y&lt;/D&gt;&lt;/FQL&gt;&lt;FQL&gt;&lt;Q&gt;VGK^FG_PE_NTM(0,,,90,0)&lt;/Q&gt;&lt;R&gt;1&lt;/R&gt;&lt;C&gt;1&lt;/C&gt;&lt;D xsi:type="xsd:double"&gt;13.6673733533388&lt;/D&gt;&lt;/FQL&gt;&lt;FQL&gt;&lt;Q&gt;EWN^FMA_EVAL_EBITDA(NTMA,0,,,"PORTAGG","MEANR")&lt;/Q&gt;&lt;R&gt;1&lt;/R&gt;&lt;C&gt;1&lt;/C&gt;&lt;D xsi:type="xsd:double"&gt;12.5107719998164&lt;/D&gt;&lt;/FQL&gt;&lt;FQL&gt;&lt;Q&gt;EWL^FMA_EVAL_EBITDA(NTMA,0,,,"PORTAGG","MEANR")&lt;/Q&gt;&lt;R&gt;1&lt;/R&gt;&lt;C&gt;1&lt;/C&gt;&lt;D xsi:type="xsd:double"&gt;12.9417315478575&lt;/D&gt;&lt;/FQL&gt;&lt;FQL&gt;&lt;Q&gt;ENZL^FG_FCF_YIELD_NTM(0)&lt;/Q&gt;&lt;R&gt;1&lt;/R&gt;&lt;C&gt;1&lt;/C&gt;&lt;D xsi:type="xsd:double"&gt;0.529163925264172&lt;/D&gt;&lt;/FQL&gt;&lt;FQL&gt;&lt;Q&gt;EWQ^FG_COMPANY_NAME&lt;/Q&gt;&lt;R&gt;1&lt;/R&gt;&lt;C&gt;1&lt;/C&gt;&lt;D xsi:type="xsd:string"&gt;iShares MSCI France ETF&lt;/D&gt;&lt;/FQL&gt;&lt;FQL&gt;&lt;Q&gt;USO^P_PRICE(0)/P_PRICE_HIGH_PR(0,,,USD,,,"PRICE","INTRA","52W")&lt;/Q&gt;&lt;R&gt;1&lt;/R&gt;&lt;C&gt;1&lt;/C&gt;&lt;D xsi:type="xsd:double"&gt;0.922791&lt;/D&gt;&lt;/FQL&gt;&lt;FQL&gt;&lt;Q&gt;TRYPH10Y-FDS^FG_YIELD(-10AY,0,Y,,"YTM")&lt;/Q&gt;&lt;R&gt;10&lt;/R&gt;&lt;C&gt;1&lt;/C&gt;&lt;D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xsi:type="xsd:double"&gt;5.1912&lt;/D&gt;&lt;/FQL&gt;&lt;FQL&gt;&lt;Q&gt;CAGDPY@GB^EE_ACTUAL_ANNUAL(MED,0)&lt;/Q&gt;&lt;R&gt;1&lt;/R&gt;&lt;C&gt;1&lt;/C&gt;&lt;D xsi:type="xsd:double"&gt;-3.3&lt;/D&gt;&lt;/FQL&gt;&lt;FQL&gt;&lt;Q&gt;SPY^FMA_EPS(NTMA,-20AY,0,CY,,"PORTAGG","MEANR")&lt;/Q&gt;&lt;R&gt;20&lt;/R&gt;&lt;C&gt;1&lt;/C&gt;&lt;D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xsi:type="xsd:double"&gt;24.3449868014255&lt;/D&gt;&lt;/FQL&gt;&lt;FQL&gt;&lt;Q&gt;ENZL^JULIAN(FMA_DIV_YLD(NTMA,-10AY,0,AM,"PORTAGG","MEANR").DATES)&lt;/Q&gt;&lt;R&gt;121&lt;/R&gt;&lt;C&gt;1&lt;/C&gt;&lt;D xsi:type="xsd:long"&gt;41775&lt;/D&gt;&lt;D xsi:type="xsd:long"&gt;41807&lt;/D&gt;&lt;D xsi:type="xsd:long"&gt;41837&lt;/D&gt;&lt;D xsi:type="xsd:long"&gt;41866&lt;/D&gt;&lt;D xsi:type="xsd:long"&gt;41899&lt;/D&gt;&lt;D xsi:type="xsd:long"&gt;41929&lt;/D&gt;&lt;D xsi:type="xsd:long"&gt;41960&lt;/D&gt;&lt;D xsi:type="xsd:long"&gt;41990&lt;/D&gt;&lt;D xsi:type="xsd:long"&gt;42020&lt;/D&gt;&lt;D xsi:type="xsd:long"&gt;42052&lt;/D&gt;&lt;D xsi:type="xsd:long"&gt;42080&lt;/D&gt;&lt;D xsi:type="xsd:long"&gt;42111&lt;/D&gt;&lt;D xsi:type="xsd:long"&gt;42139&lt;/D&gt;&lt;D xsi:type="xsd:long"&gt;42172&lt;/D&gt;&lt;D xsi:type="xsd:long"&gt;42202&lt;/D&gt;&lt;D xsi:type="xsd:long"&gt;42233&lt;/D&gt;&lt;D xsi:type="xsd:long"&gt;42264&lt;/D&gt;&lt;D xsi:type="xsd:long"&gt;42293&lt;/D&gt;&lt;D xsi:type="xsd:long"&gt;42325&lt;/D&gt;&lt;D xsi:type="xsd:long"&gt;42355&lt;/D&gt;&lt;D xsi:type="xsd:long"&gt;42384&lt;/D&gt;&lt;D xsi:type="xsd:long"&gt;42417&lt;/D&gt;&lt;D xsi:type="xsd:long"&gt;42446&lt;/D&gt;&lt;D xsi:type="xsd:long"&gt;42475&lt;/D&gt;&lt;D xsi:type="xsd:long"&gt;42507&lt;/D&gt;&lt;D xsi:type="xsd:long"&gt;42538&lt;/D&gt;&lt;D xsi:type="xsd:long"&gt;42566&lt;/D&gt;&lt;D xsi:type="xsd:long"&gt;42599&lt;/D&gt;&lt;D xsi:type="xsd:long"&gt;42629&lt;/D&gt;&lt;D xsi:type="xsd:long"&gt;42660&lt;/D&gt;&lt;D xsi:type="xsd:long"&gt;42691&lt;/D&gt;&lt;D xsi:type="xsd:long"&gt;42720&lt;/D&gt;&lt;D xsi:type="xsd:long"&gt;42752&lt;/D&gt;&lt;D xsi:type="xsd:long"&gt;42783&lt;/D&gt;&lt;D xsi:type="xsd:long"&gt;42811&lt;/D&gt;&lt;D xsi:type="xsd:long"&gt;42842&lt;/D&gt;&lt;D xsi:type="xsd:long"&gt;42872&lt;/D&gt;&lt;D xsi:type="xsd:long"&gt;42902&lt;/D&gt;&lt;D xsi:type="xsd:long"&gt;42933&lt;/D&gt;&lt;D xsi:type="xsd:long"&gt;42964&lt;/D&gt;&lt;D xsi:type="xsd:long"&gt;42993&lt;/D&gt;&lt;D xsi:type="xsd:long"&gt;43025&lt;/D&gt;&lt;D xsi:type="xsd:long"&gt;43056&lt;/D&gt;&lt;D xsi:type="xsd:long"&gt;43084&lt;/D&gt;&lt;D xsi:type="xsd:long"&gt;43117&lt;/D&gt;&lt;D xsi:type="xsd:long"&gt;43147&lt;/D&gt;&lt;D xsi:type="xsd:long"&gt;43175&lt;/D&gt;&lt;D xsi:type="xsd:long"&gt;43207&lt;/D&gt;&lt;D xsi:type="xsd:long"&gt;43237&lt;/D&gt;&lt;D xsi:type="xsd:long"&gt;43266&lt;/D&gt;&lt;D xsi:type="xsd:long"&gt;43298&lt;/D&gt;&lt;D xsi:type="xsd:long"&gt;43329&lt;/D&gt;&lt;D xsi:type="xsd:long"&gt;43360&lt;/D&gt;&lt;D xsi:type="xsd:long"&gt;43390&lt;/D&gt;&lt;D xsi:type="xsd:long"&gt;43420&lt;/D&gt;&lt;D xsi:type="xsd:long"&gt;43451&lt;/D&gt;&lt;D xsi:type="xsd:long"&gt;43482&lt;/D&gt;&lt;D xsi:type="xsd:long"&gt;43511&lt;/D&gt;&lt;D xsi:type="xsd:long"&gt;43539&lt;/D&gt;&lt;D xsi:type="xsd:long"&gt;43572&lt;/D&gt;&lt;D xsi:type="xsd:long"&gt;43602&lt;/D&gt;&lt;D xsi:type="xsd:long"&gt;43633&lt;/D&gt;&lt;D xsi:type="xsd:long"&gt;43663&lt;/D&gt;&lt;D xsi:type="xsd:long"&gt;43693&lt;/D&gt;&lt;D xsi:type="xsd:long"&gt;43725&lt;/D&gt;&lt;D xsi:type="xsd:long"&gt;43755&lt;/D&gt;&lt;D xsi:type="xsd:long"&gt;43784&lt;/D&gt;&lt;D xsi:type="xsd:long"&gt;43816&lt;/D&gt;&lt;D xsi:type="xsd:long"&gt;43847&lt;/D&gt;&lt;D xsi:type="xsd:long"&gt;43875&lt;/D&gt;&lt;D xsi:type="xsd:long"&gt;43907&lt;/D&gt;&lt;D xsi:type="xsd:long"&gt;43938&lt;/D&gt;&lt;D xsi:type="xsd:long"&gt;43966&lt;/D&gt;&lt;D xsi:type="xsd:long"&gt;43999&lt;/D&gt;&lt;D xsi:type="xsd:long"&gt;44029&lt;/D&gt;&lt;D xsi:type="xsd:long"&gt;44060&lt;/D&gt;&lt;D xsi:type="xsd:long"&gt;44091&lt;/D&gt;&lt;D xsi:type="xsd:long"&gt;44120&lt;/D&gt;&lt;D xsi:type="xsd:long"&gt;44152&lt;/D&gt;&lt;D xsi:type="xsd:long"&gt;44182&lt;/D&gt;&lt;D xsi:type="xsd:long"&gt;44211&lt;/D&gt;&lt;D xsi:type="xsd:long"&gt;44244&lt;/D&gt;&lt;D xsi:type="xsd:long"&gt;44272&lt;/D&gt;&lt;D xsi:type="xsd:long"&gt;44302&lt;/D&gt;&lt;D xsi:type="xsd:long"&gt;44333&lt;/D&gt;&lt;D xsi:type="xsd:long"&gt;44364&lt;/D&gt;&lt;D xsi:type="xsd:long"&gt;44393&lt;/D&gt;&lt;D xsi:type="xsd:long"&gt;44425&lt;/D&gt;&lt;D xsi:type="xsd:long"&gt;44456&lt;/D&gt;&lt;D xsi:type="xsd:long"&gt;44484&lt;/D&gt;&lt;D xsi:type="xsd:long"&gt;44517&lt;/D&gt;&lt;D xsi:type="xsd:long"&gt;44547&lt;/D&gt;&lt;D xsi:type="xsd:long"&gt;44575&lt;/D&gt;&lt;D xsi:type="xsd:long"&gt;44609&lt;/D&gt;&lt;D xsi:type="xsd:long"&gt;44637&lt;/D&gt;&lt;D xsi:type="xsd:long"&gt;44665&lt;/D&gt;&lt;D xsi:type="xsd:long"&gt;44698&lt;/D&gt;&lt;D xsi:type="xsd:long"&gt;44729&lt;/D&gt;&lt;D xsi:type="xsd:long"&gt;44757&lt;/D&gt;&lt;D xsi:type="xsd:long"&gt;44790&lt;/D&gt;&lt;D xsi:type="xsd:long"&gt;44820&lt;/D&gt;&lt;D xsi:type="xsd:long"&gt;44851&lt;/D&gt;&lt;D xsi:type="xsd:long"&gt;44882&lt;/D&gt;&lt;D xsi:type="xsd:long"&gt;44911&lt;/D&gt;&lt;D xsi:type="xsd:long"&gt;44943&lt;/D&gt;&lt;D xsi:type="xsd:long"&gt;44974&lt;/D&gt;&lt;D xsi:type="xsd:long"&gt;45002&lt;/D&gt;&lt;D xsi:type="xsd:long"&gt;45033&lt;/D&gt;&lt;D xsi:type="xsd:long"&gt;45063&lt;/D&gt;&lt;D xsi:type="xsd:long"&gt;45093&lt;/D&gt;&lt;D xsi:type="xsd:long"&gt;45124&lt;/D&gt;&lt;D xsi:type="xsd:long"&gt;45155&lt;/D&gt;&lt;D xsi:type="xsd:long"&gt;45184&lt;/D&gt;&lt;D xsi:type="xsd:long"&gt;45216&lt;/D&gt;&lt;D xsi:type="xsd:long"&gt;45247&lt;/D&gt;&lt;D xsi:type="xsd:long"&gt;45275&lt;/D&gt;&lt;D xsi:type="xsd:long"&gt;45308&lt;/D&gt;&lt;D xsi:type="xsd:long"&gt;45338&lt;/D&gt;&lt;D xsi:type="xsd:long"&gt;45366&lt;/D&gt;&lt;D xsi:type="xsd:long"&gt;45399&lt;/D&gt;&lt;D xsi:type="xsd:long"&gt;45427&lt;/D&gt;&lt;/FQL&gt;&lt;FQL&gt;&lt;Q&gt;WL-FDS^FG_PRICE(0)/MAX(FG_PRICE(0,-1AY))&lt;/Q&gt;&lt;R&gt;1&lt;/R&gt;&lt;C&gt;1&lt;/C&gt;&lt;D xsi:type="xsd:double"&gt;0.700419177364422&lt;/D&gt;&lt;/FQL&gt;&lt;FQL&gt;&lt;Q&gt;W-FDS^FG_PRICE_CHANGE(0,-6AM)&lt;/Q&gt;&lt;R&gt;1&lt;/R&gt;&lt;C&gt;1&lt;/C&gt;&lt;D xsi:type="xsd:double"&gt;18.2478438492964&lt;/D&gt;&lt;/FQL&gt;&lt;FQL&gt;&lt;Q&gt;EWI^FG_PRICE_MAVG(0,,,,60)&lt;/Q&gt;&lt;R&gt;1&lt;/R&gt;&lt;C&gt;1&lt;/C&gt;&lt;D xsi:type="xsd:double"&gt;37.067833&lt;/D&gt;&lt;/FQL&gt;&lt;FQL&gt;&lt;Q&gt;EWC^FG_PRICE_MAVG(0,,,,30)&lt;/Q&gt;&lt;R&gt;1&lt;/R&gt;&lt;C&gt;1&lt;/C&gt;&lt;D xsi:type="xsd:double"&gt;37.663334&lt;/D&gt;&lt;/FQL&gt;&lt;FQL&gt;&lt;Q&gt;EWJ^P_PRICE(0)/P_PRICE_HIGH_PR(0,,,,,,"PRICE","INTRA","52W")&lt;/Q&gt;&lt;R&gt;1&lt;/R&gt;&lt;C&gt;1&lt;/C&gt;&lt;D xsi:type="xsd:double"&gt;0.95372236&lt;/D&gt;&lt;/FQL&gt;&lt;FQL&gt;&lt;Q&gt;EWQ^P_PRICE(0)/P_PRICE_LOW_PR(0,,,,,,"PRICE","INTRA","52W")-1&lt;/Q&gt;&lt;R&gt;1&lt;/R&gt;&lt;C&gt;1&lt;/C&gt;&lt;D xsi:type="xsd:double"&gt;0.25519907&lt;/D&gt;&lt;/FQL&gt;&lt;FQL&gt;&lt;Q&gt;EWL^FG_TOTAL_RETURNC(0,-3AM)&lt;/Q&gt;&lt;R&gt;1&lt;/R&gt;&lt;C&gt;1&lt;/C&gt;&lt;D xsi:type="xsd:double"&gt;4.9282312&lt;/D&gt;&lt;/FQL&gt;&lt;FQL&gt;&lt;Q&gt;EWG^PERCENT_CHANGE(FMA_EPS(+1,0,,,,"PORTAGG","MEAN"),FMA_EPS(+1,-3AM,,,,"PORTAGG","MEAN"))&lt;/Q&gt;&lt;R&gt;1&lt;/R&gt;&lt;C&gt;1&lt;/C&gt;&lt;D xsi:type="xsd:double"&gt;2.60348788575441&lt;/D&gt;&lt;/FQL&gt;&lt;FQL&gt;&lt;Q&gt;URTH^FMA_COS_UP("EPS","1M",+1,0,,,"PORTAGG","MEANR")&lt;/Q&gt;&lt;R&gt;1&lt;/R&gt;&lt;C&gt;1&lt;/C&gt;&lt;D xsi:type="xsd:double"&gt;732&lt;/D&gt;&lt;/FQL&gt;&lt;FQL&gt;&lt;Q&gt;EWJ^FG_ROE(0)&lt;/Q&gt;&lt;R&gt;1&lt;/R&gt;&lt;C&gt;1&lt;/C&gt;&lt;D xsi:type="xsd:double"&gt;9.49527139704064&lt;/D&gt;&lt;/FQL&gt;&lt;FQL&gt;&lt;Q&gt;REFEUREFI-FDS^(SUBARRAY(NOT_NA(NO_REPEAT_F(FG_YIELD(NOW,-10AY,D))),0,1)-SUBARRAY(NOT_NA(NO_REPEAT_F(FG_YIELD(NOW,-10AY,D))),1,1))*100&lt;/Q&gt;&lt;R&gt;1&lt;/R&gt;&lt;C&gt;1&lt;/C&gt;&lt;D xsi:type="xsd:double"&gt;25&lt;/D&gt;&lt;/FQL&gt;&lt;FQL&gt;&lt;Q&gt;TRYUS10Y-FDS^PCTCHG(FG_YIELD(0,,,,"YTM"),FG_YIELD(-1AM,,,,"YTM"))&lt;/Q&gt;&lt;R&gt;1&lt;/R&gt;&lt;C&gt;1&lt;/C&gt;&lt;D xsi:type="xsd:double"&gt;-3.553897&lt;/D&gt;&lt;/FQL&gt;&lt;FQL&gt;&lt;Q&gt;TRYIT10Y-FDS^FG_YIELD(0,,,,"YTM")&lt;/Q&gt;&lt;R&gt;1&lt;/R&gt;&lt;C&gt;1&lt;/C&gt;&lt;D xsi:type="xsd:double"&gt;3.795&lt;/D&gt;&lt;/FQL&gt;&lt;FQL&gt;&lt;Q&gt;TRYDE10Y-FDS^FG_YIELD_NAME&lt;/Q&gt;&lt;R&gt;1&lt;/R&gt;&lt;C&gt;1&lt;/C&gt;&lt;D xsi:type="xsd:string"&gt;Germany Benchmark Bond - 10 Year&lt;/D&gt;&lt;/FQL&gt;&lt;FQL&gt;&lt;Q&gt;VWO^FMA_EVAL_EBIT(LTMA,NOW,NOW,M,"PORTAGG","MEANR")&lt;/Q&gt;&lt;R&gt;1&lt;/R&gt;&lt;C&gt;1&lt;/C&gt;&lt;D xsi:type="xsd:double"&gt;14.3816204774572&lt;/D&gt;&lt;/FQL&gt;&lt;FQL&gt;&lt;Q&gt;EWI^JULIAN(FMA_DIV_YLD(NTMA,NOW,NOW,M,"PORTAGG","MEANR").DATES)&lt;/Q&gt;&lt;R&gt;1&lt;/R&gt;&lt;C&gt;1&lt;/C&gt;&lt;D xsi:type="xsd:long"&gt;45412&lt;/D&gt;&lt;/FQL&gt;&lt;FQL&gt;&lt;Q&gt;EWQ^FMA_PE(NTMA,0,,,"PORTAGG","MEANR")&lt;/Q&gt;&lt;R&gt;1&lt;/R&gt;&lt;C&gt;1&lt;/C&gt;&lt;D xsi:type="xsd:double"&gt;14.7828634444309&lt;/D&gt;&lt;/FQL&gt;&lt;FQL&gt;&lt;Q&gt;EWU^FG_FCF_YIELD_NTM(0)&lt;/Q&gt;&lt;R&gt;1&lt;/R&gt;&lt;C&gt;1&lt;/C&gt;&lt;D xsi:type="xsd:double"&gt;5.9561078851781&lt;/D&gt;&lt;/FQL&gt;&lt;FQL&gt;&lt;Q&gt;DBA^FG_TOTAL_RETURNC(0,-6AM)&lt;/Q&gt;&lt;R&gt;1&lt;/R&gt;&lt;C&gt;1&lt;/C&gt;&lt;D xsi:type="xsd:double"&gt;11.246872&lt;/D&gt;&lt;/FQL&gt;&lt;FQL&gt;&lt;Q&gt;DBA^FG_TOTAL_RETURNC(0,-3AM)&lt;/Q&gt;&lt;R&gt;1&lt;/R&gt;&lt;C&gt;1&lt;/C&gt;&lt;D xsi:type="xsd:double"&gt;8.298755&lt;/D&gt;&lt;/FQL&gt;&lt;FQL&gt;&lt;Q&gt;VWO^FG_TOTAL_RETURNC(0,-3AM)&lt;/Q&gt;&lt;R&gt;1&lt;/R&gt;&lt;C&gt;1&lt;/C&gt;&lt;D xsi:type="xsd:double"&gt;9.349096&lt;/D&gt;&lt;/FQL&gt;&lt;FQL&gt;&lt;Q&gt;TRYZA10Y-FDS^FG_YIELD(-10AY,0,Y,,"YTM")&lt;/Q&gt;&lt;R&gt;10&lt;/R&gt;&lt;C&gt;1&lt;/C&gt;&lt;D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xsi:type="xsd:double"&gt;9.179499&lt;/D&gt;&lt;D xsi:type="xsd:double"&gt;9.791837&lt;/D&gt;&lt;D xsi:type="xsd:double"&gt;10.764477&lt;/D&gt;&lt;D xsi:type="xsd:double"&gt;11.358896&lt;/D&gt;&lt;/FQL&gt;&lt;FQL&gt;&lt;Q&gt;CAGDPY@CH^EE_ACTUAL_ANNUAL(MED,+1)&lt;/Q&gt;&lt;R&gt;1&lt;/R&gt;&lt;C&gt;1&lt;/C&gt;&lt;D xsi:type="xsd:double"&gt;8.2&lt;/D&gt;&lt;/FQL&gt;&lt;FQL&gt;&lt;Q&gt;QQQ^FMA_EPS(NTMA,-20AY,0,CY,,"PORTAGG","MEANR")&lt;/Q&gt;&lt;R&gt;20&lt;/R&gt;&lt;C&gt;1&lt;/C&gt;&lt;D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xsi:type="xsd:double"&gt;16.3243001939027&lt;/D&gt;&lt;/FQL&gt;&lt;FQL&gt;&lt;Q&gt;EWL^FG_TOTAL_RETURNC(0,-1AM)&lt;/Q&gt;&lt;R&gt;1&lt;/R&gt;&lt;C&gt;1&lt;/C&gt;&lt;D xsi:type="xsd:double"&gt;7.958555&lt;/D&gt;&lt;/FQL&gt;&lt;FQL&gt;&lt;Q&gt;EWG^FG_ROE(0)&lt;/Q&gt;&lt;R&gt;1&lt;/R&gt;&lt;C&gt;1&lt;/C&gt;&lt;D xsi:type="xsd:double"&gt;9.63205542885714&lt;/D&gt;&lt;/FQL&gt;&lt;FQL&gt;&lt;Q&gt;REFCATARG-FDS^(SUBARRAY(NOT_NA(NO_REPEAT_F(FG_YIELD(NOW,-10AY,D))),0,1)-SUBARRAY(NOT_NA(NO_REPEAT_F(FG_YIELD(NOW,-10AY,D))),1,1))*100&lt;/Q&gt;&lt;R&gt;1&lt;/R&gt;&lt;C&gt;1&lt;/C&gt;&lt;D xsi:type="xsd:double"&gt;25&lt;/D&gt;&lt;/FQL&gt;&lt;FQL&gt;&lt;Q&gt;TRYIT10Y-FDS^FG_YIELD_NAME&lt;/Q&gt;&lt;R&gt;1&lt;/R&gt;&lt;C&gt;1&lt;/C&gt;&lt;D xsi:type="xsd:string"&gt;Italy Benchmark Bond - 10 Year&lt;/D&gt;&lt;/FQL&gt;&lt;FQL&gt;&lt;Q&gt;VWO^FMA_EVAL_EBITDA(NTMA,0,,,"PORTAGG","MEANR")&lt;/Q&gt;&lt;R&gt;1&lt;/R&gt;&lt;C&gt;1&lt;/C&gt;&lt;D xsi:type="xsd:double"&gt;8.90787307017625&lt;/D&gt;&lt;/FQL&gt;&lt;FQL&gt;&lt;Q&gt;EWQ^FMA_PE(LTM,0,,,"PORTAGG","MEANR")&lt;/Q&gt;&lt;R&gt;1&lt;/R&gt;&lt;C&gt;1&lt;/C&gt;&lt;D xsi:type="xsd:double"&gt;17.0229016313655&lt;/D&gt;&lt;/FQL&gt;&lt;FQL&gt;&lt;Q&gt;EWL^FG_COMPANY_NAME&lt;/Q&gt;&lt;R&gt;1&lt;/R&gt;&lt;C&gt;1&lt;/C&gt;&lt;D xsi:type="xsd:string"&gt;iShares MSCI Switzerland ETF&lt;/D&gt;&lt;/FQL&gt;&lt;FQL&gt;&lt;Q&gt;EWJ^FMA_ROE(NTMA,-20AY,NOW,FY,"PORTAGG","MEANR")&lt;/Q&gt;&lt;R&gt;20&lt;/R&gt;&lt;C&gt;1&lt;/C&gt;&lt;D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xsi:type="xsd:double"&gt;8.35596278131311&lt;/D&gt;&lt;D xsi:type="xsd:double"&gt;7.43859928704763&lt;/D&gt;&lt;D xsi:type="xsd:double"&gt;9.22076567652677&lt;/D&gt;&lt;D xsi:type="xsd:double"&gt;9.22544557398871&lt;/D&gt;&lt;D xsi:type="xsd:double"&gt;9.29960121519116&lt;/D&gt;&lt;/FQL&gt;&lt;FQL&gt;&lt;Q&gt;USDITL^STD(FG_PRICE_CHANGE(0,-1AY,AM))&lt;/Q&gt;&lt;R&gt;1&lt;/R&gt;&lt;C&gt;1&lt;/C&gt;&lt;D xsi:type="xsd:double"&gt;1.93362450560602&lt;/D&gt;&lt;/FQL&gt;&lt;FQL&gt;&lt;Q&gt;USDANG^FG_COMPANY_NAME&lt;/Q&gt;&lt;R&gt;1&lt;/R&gt;&lt;C&gt;1&lt;/C&gt;&lt;D xsi:type="xsd:string"&gt;Netherlands Antilles Guilder per U.S. Dollar&lt;/D&gt;&lt;/FQL&gt;&lt;FQL&gt;&lt;Q&gt;USDJPY^FG_PRICE_CHANGE(0,-6AM)&lt;/Q&gt;&lt;R&gt;1&lt;/R&gt;&lt;C&gt;1&lt;/C&gt;&lt;D xsi:type="xsd:double"&gt;3.90774&lt;/D&gt;&lt;/FQL&gt;&lt;FQL&gt;&lt;Q&gt;USDAUD^STD(FG_PRICE_CHANGE(0,-3AY,M))&lt;/Q&gt;&lt;R&gt;1&lt;/R&gt;&lt;C&gt;1&lt;/C&gt;&lt;D xsi:type="xsd:double"&gt;3.05578812282471&lt;/D&gt;&lt;/FQL&gt;&lt;FQL&gt;&lt;Q&gt;ENZL^P_PRICE_RETURNS_PR('52W',2,-10AY,0,AM)&lt;/Q&gt;&lt;R&gt;121&lt;/R&gt;&lt;C&gt;1&lt;/C&gt;&lt;D xsi:type="xsd:double"&gt;19.328392&lt;/D&gt;&lt;D xsi:type="xsd:double"&gt;26.127647&lt;/D&gt;&lt;D xsi:type="xsd:double"&gt;21.751797&lt;/D&gt;&lt;D xsi:type="xsd:double"&gt;19.13451&lt;/D&gt;&lt;D xsi:type="xsd:double"&gt;7.643187&lt;/D&gt;&lt;D xsi:type="xsd:double"&gt;0.8392453&lt;/D&gt;&lt;D xsi:type="xsd:double"&gt;6.313145&lt;/D&gt;&lt;D xsi:type="xsd:double"&gt;10.308826&lt;/D&gt;&lt;D xsi:type="xsd:double"&gt;7.896459&lt;/D&gt;&lt;D xsi:type="xsd:double"&gt;7.0623875&lt;/D&gt;&lt;D xsi:type="xsd:double"&gt;-0.72113276&lt;/D&gt;&lt;D xsi:type="xsd:double"&gt;2.8755665&lt;/D&gt;&lt;D xsi:type="xsd:double"&gt;-3.2295883&lt;/D&gt;&lt;D xsi:type="xsd:double"&gt;-8.949828&lt;/D&gt;&lt;D xsi:type="xsd:double"&gt;-12.934321&lt;/D&gt;&lt;D xsi:type="xsd:double"&gt;-11.807698&lt;/D&gt;&lt;D xsi:type="xsd:double"&gt;-12.4281225&lt;/D&gt;&lt;D xsi:type="xsd:double"&gt;-2.4872541&lt;/D&gt;&lt;D xsi:type="xsd:double"&gt;-11.442971&lt;/D&gt;&lt;D xsi:type="xsd:double"&gt;-4.6094236&lt;/D&gt;&lt;D xsi:type="xsd:double"&gt;-11.685556&lt;/D&gt;&lt;D xsi:type="xsd:double"&gt;-7.28485&lt;/D&gt;&lt;D xsi:type="xsd:double"&gt;3.5241842&lt;/D&gt;&lt;D xsi:type="xsd:double"&gt;6.05011&lt;/D&gt;&lt;D xsi:type="xsd:double"&gt;9.80792&lt;/D&gt;&lt;D xsi:type="xsd:double"&gt;20.758915&lt;/D&gt;&lt;D xsi:type="xsd:double"&gt;33.502365&lt;/D&gt;&lt;D xsi:type="xsd:double"&gt;42.96738&lt;/D&gt;&lt;D xsi:type="xsd:double"&gt;46.31208&lt;/D&gt;&lt;D xsi:type="xsd:double"&gt;26.636864&lt;/D&gt;&lt;D xsi:type="xsd:double"&gt;23.454498&lt;/D&gt;&lt;D xsi:type="xsd:double"&gt;13.190007&lt;/D&gt;&lt;D xsi:type="xsd:double"&gt;29.20376&lt;/D&gt;&lt;D xsi:type="xsd:double"&gt;25.510765&lt;/D&gt;&lt;D xsi:type="xsd:double"&gt;11.342251&lt;/D&gt;&lt;D xsi:type="xsd:double"&gt;6.8603635&lt;/D&gt;&lt;D xsi:type="xsd:double"&gt;7.8348756&lt;/D&gt;&lt;D xsi:type="xsd:double"&gt;12.827587&lt;/D&gt;&lt;D xsi:type="xsd:double"&gt;11.055004&lt;/D&gt;&lt;D xsi:type="xsd:double"&gt;5.702555&lt;/D&gt;&lt;D xsi:type="xsd:double"&gt;6.897497&lt;/D&gt;&lt;D xsi:type="xsd:double"&gt;15.262211&lt;/D&gt;&lt;D xsi:type="xsd:double"&gt;14.290535&lt;/D&gt;&lt;D xsi:type="xsd:double"&gt;22.421001&lt;/D&gt;&lt;D xsi:type="xsd:double"&gt;18.949615&lt;/D&gt;&lt;D xsi:type="xsd:double"&gt;15.894151&lt;/D&gt;&lt;D xsi:type="xsd:double"&gt;23.003054&lt;/D&gt;&lt;D xsi:type="xsd:double"&gt;20.50563&lt;/D&gt;&lt;D xsi:type="xsd:double"&gt;14.743066&lt;/D&gt;&lt;D xsi:type="xsd:double"&gt;14.47649&lt;/D&gt;&lt;D xsi:type="xsd:double"&gt;7.125926&lt;/D&gt;&lt;D xsi:type="xsd:double"&gt;5.3826213&lt;/D&gt;&lt;D xsi:type="xsd:double"&gt;6.932068&lt;/D&gt;&lt;D xsi:type="xsd:double"&gt;0.21972656&lt;/D&gt;&lt;D xsi:type="xsd:double"&gt;10.682285&lt;/D&gt;&lt;D xsi:type="xsd:double"&gt;1.0304451&lt;/D&gt;&lt;D xsi:type="xsd:double"&gt;2.5978565&lt;/D&gt;&lt;D xsi:type="xsd:double"&gt;7.3292017&lt;/D&gt;&lt;D xsi:type="xsd:double"&gt;5.368066&lt;/D&gt;&lt;D xsi:type="xsd:double"&gt;9.596216&lt;/D&gt;&lt;D xsi:type="xsd:double"&gt;12.359774&lt;/D&gt;&lt;D xsi:type="xsd:double"&gt;4.515469&lt;/D&gt;&lt;D xsi:type="xsd:double"&gt;17.2518&lt;/D&gt;&lt;D xsi:type="xsd:double"&gt;14.179587&lt;/D&gt;&lt;D xsi:type="xsd:double"&gt;13.320791&lt;/D&gt;&lt;D xsi:type="xsd:double"&gt;20.50451&lt;/D&gt;&lt;D xsi:type="xsd:double"&gt;14.980125&lt;/D&gt;&lt;D xsi:type="xsd:double"&gt;25.186848&lt;/D&gt;&lt;D xsi:type="xsd:double"&gt;25.592005&lt;/D&gt;&lt;D xsi:type="xsd:double"&gt;20.12123&lt;/D&gt;&lt;D xsi:type="xsd:double"&gt;-10.93331&lt;/D&gt;&lt;D xsi:type="xsd:double"&gt;-2.377832&lt;/D&gt;&lt;D xsi:type="xsd:double"&gt;-1.9391298&lt;/D&gt;&lt;D xsi:type="xsd:double"&gt;12.872958&lt;/D&gt;&lt;D xsi:type="xsd:double"&gt;8.708692&lt;/D&gt;&lt;D xsi:type="xsd:double"&gt;14.934754&lt;/D&gt;&lt;D xsi:type="xsd:double"&gt;16.017426&lt;/D&gt;&lt;D xsi:type="xsd:double"&gt;18.294704&lt;/D&gt;&lt;D xsi:type="xsd:double"&gt;26.442755&lt;/D&gt;&lt;D xsi:type="xsd:double"&gt;24.025286&lt;/D&gt;&lt;D xsi:type="xsd:double"&gt;17.366196&lt;/D&gt;&lt;D xsi:type="xsd:double"&gt;16.087008&lt;/D&gt;&lt;D xsi:type="xsd:double"&gt;53.523994&lt;/D&gt;&lt;D xsi:type="xsd:double"&gt;36.742176&lt;/D&gt;&lt;D xsi:type="xsd:double"&gt;30.18552&lt;/D&gt;&lt;D xsi:type="xsd:double"&gt;12.897337&lt;/D&gt;&lt;D xsi:type="xsd:double"&gt;9.674692&lt;/D&gt;&lt;D xsi:type="xsd:double"&gt;5.60869&lt;/D&gt;&lt;D xsi:type="xsd:double"&gt;8.387637&lt;/D&gt;&lt;D xsi:type="xsd:double"&gt;4.7096252&lt;/D&gt;&lt;D xsi:type="xsd:double"&gt;-5.4005384&lt;/D&gt;&lt;D xsi:type="xsd:double"&gt;-13.658762&lt;/D&gt;&lt;D xsi:type="xsd:double"&gt;-12.01542&lt;/D&gt;&lt;D xsi:type="xsd:double"&gt;-14.789593&lt;/D&gt;&lt;D xsi:type="xsd:double"&gt;-12.5476&lt;/D&gt;&lt;D xsi:type="xsd:double"&gt;-14.920771&lt;/D&gt;&lt;D xsi:type="xsd:double"&gt;-23.643839&lt;/D&gt;&lt;D xsi:type="xsd:double"&gt;-26.982515&lt;/D&gt;&lt;D xsi:type="xsd:double"&gt;-24.099535&lt;/D&gt;&lt;D xsi:type="xsd:double"&gt;-15.899748&lt;/D&gt;&lt;D xsi:type="xsd:double"&gt;-25.360292&lt;/D&gt;&lt;D xsi:type="xsd:double"&gt;-33.81959&lt;/D&gt;&lt;D xsi:type="xsd:double"&gt;-22.30711&lt;/D&gt;&lt;D xsi:type="xsd:double"&gt;-14.105469&lt;/D&gt;&lt;D xsi:type="xsd:double"&gt;-9.679068&lt;/D&gt;&lt;D xsi:type="xsd:double"&gt;-4.373699&lt;/D&gt;&lt;D xsi:type="xsd:double"&gt;-11.11235&lt;/D&gt;&lt;D xsi:type="xsd:double"&gt;-5.51036&lt;/D&gt;&lt;D xsi:type="xsd:double"&gt;10.175741&lt;/D&gt;&lt;D xsi:type="xsd:double"&gt;13.760889&lt;/D&gt;&lt;D xsi:type="xsd:double"&gt;13.116622&lt;/D&gt;&lt;D xsi:type="xsd:double"&gt;-6.1786356&lt;/D&gt;&lt;D xsi:type="xsd:double"&gt;-2.3837984&lt;/D&gt;&lt;D xsi:type="xsd:double"&gt;9.007645&lt;/D&gt;&lt;D xsi:type="xsd:double"&gt;-2.1520674&lt;/D&gt;&lt;D xsi:type="xsd:double"&gt;-1.6382992&lt;/D&gt;&lt;D xsi:type="xsd:double"&gt;-6.527835&lt;/D&gt;&lt;D xsi:type="xsd:double"&gt;-7.915759&lt;/D&gt;&lt;D xsi:type="xsd:double"&gt;-2.147746&lt;/D&gt;&lt;D xsi:type="xsd:double"&gt;-6.7711296&lt;/D&gt;&lt;D xsi:type="xsd:double"&gt;-6.632656&lt;/D&gt;&lt;/FQL&gt;&lt;FQL&gt;&lt;Q&gt;EWL^FMA_DIV_YLD(NTMA,-10AY,0,AM,"PORTAGG","MEANR")&lt;/Q&gt;&lt;R&gt;121&lt;/R&gt;&lt;C&gt;1&lt;/C&gt;&lt;D xsi:type="xsd:double"&gt;3.19114666665821&lt;/D&gt;&lt;D xsi:type="xsd:double"&gt;3.22789098411425&lt;/D&gt;&lt;D xsi:type="xsd:double"&gt;3.32149901342787&lt;/D&gt;&lt;D xsi:type="xsd:double"&gt;3.40790460970107&lt;/D&gt;&lt;D xsi:type="xsd:double"&gt;3.28994346076781&lt;/D&gt;&lt;D xsi:type="xsd:double"&gt;3.54645452129457&lt;/D&gt;&lt;D xsi:type="xsd:double"&gt;3.27668044074143&lt;/D&gt;&lt;D xsi:type="xsd:double"&gt;3.35877717944517&lt;/D&gt;&lt;D xsi:type="xsd:double"&gt;3.5452035248247&lt;/D&gt;&lt;D xsi:type="xsd:double"&gt;3.24436835969091&lt;/D&gt;&lt;D xsi:type="xsd:double"&gt;3.15018352566947&lt;/D&gt;&lt;D xsi:type="xsd:double"&gt;3.07147860181488&lt;/D&gt;&lt;D xsi:type="xsd:double"&gt;3.10954547489031&lt;/D&gt;&lt;D xsi:type="xsd:double"&gt;3.23108702158305&lt;/D&gt;&lt;D xsi:type="xsd:double"&gt;3.1078588723757&lt;/D&gt;&lt;D xsi:type="xsd:double"&gt;3.13974277452926&lt;/D&gt;&lt;D xsi:type="xsd:double"&gt;3.31161453580409&lt;/D&gt;&lt;D xsi:type="xsd:double"&gt;3.33290528003426&lt;/D&gt;&lt;D xsi:type="xsd:double"&gt;3.25058667766828&lt;/D&gt;&lt;D xsi:type="xsd:double"&gt;3.32178685053073&lt;/D&gt;&lt;D xsi:type="xsd:double"&gt;3.55952169820058&lt;/D&gt;&lt;D xsi:type="xsd:double"&gt;3.52437816583061&lt;/D&gt;&lt;D xsi:type="xsd:double"&gt;3.49882275892881&lt;/D&gt;&lt;D xsi:type="xsd:double"&gt;3.4805418606707&lt;/D&gt;&lt;D xsi:type="xsd:double"&gt;3.56248058082279&lt;/D&gt;&lt;D xsi:type="xsd:double"&gt;3.6457634453746&lt;/D&gt;&lt;D xsi:type="xsd:double"&gt;3.50468088196443&lt;/D&gt;&lt;D xsi:type="xsd:double"&gt;3.46400507079459&lt;/D&gt;&lt;D xsi:type="xsd:double"&gt;3.51145934261591&lt;/D&gt;&lt;D xsi:type="xsd:double"&gt;3.57988415151393&lt;/D&gt;&lt;D xsi:type="xsd:double"&gt;3.60856358099675&lt;/D&gt;&lt;D xsi:type="xsd:double"&gt;3.57244797468013&lt;/D&gt;&lt;D xsi:type="xsd:double"&gt;3.50449181256587&lt;/D&gt;&lt;D xsi:type="xsd:double"&gt;3.37887043631587&lt;/D&gt;&lt;D xsi:type="xsd:double"&gt;3.323669932443&lt;/D&gt;&lt;D xsi:type="xsd:double"&gt;3.42757078098898&lt;/D&gt;&lt;D xsi:type="xsd:double"&gt;3.31171527655062&lt;/D&gt;&lt;D xsi:type="xsd:double"&gt;3.27060393818847&lt;/D&gt;&lt;D xsi:type="xsd:double"&gt;3.25497939486346&lt;/D&gt;&lt;D xsi:type="xsd:double"&gt;3.31514117459487&lt;/D&gt;&lt;D xsi:type="xsd:double"&gt;3.28857971560685&lt;/D&gt;&lt;D xsi:type="xsd:double"&gt;3.24830972799281&lt;/D&gt;&lt;D xsi:type="xsd:double"&gt;3.27458560052576&lt;/D&gt;&lt;D xsi:type="xsd:double"&gt;3.22030934850025&lt;/D&gt;&lt;D xsi:type="xsd:double"&gt;3.18836920390903&lt;/D&gt;&lt;D xsi:type="xsd:double"&gt;3.32727490180322&lt;/D&gt;&lt;D xsi:type="xsd:double"&gt;3.44272333089131&lt;/D&gt;&lt;D xsi:type="xsd:double"&gt;3.43041404196513&lt;/D&gt;&lt;D xsi:type="xsd:double"&gt;3.42810857842752&lt;/D&gt;&lt;D xsi:type="xsd:double"&gt;3.54476728563642&lt;/D&gt;&lt;D xsi:type="xsd:double"&gt;3.47942644971684&lt;/D&gt;&lt;D xsi:type="xsd:double"&gt;3.44436241737707&lt;/D&gt;&lt;D xsi:type="xsd:double"&gt;3.42427289140605&lt;/D&gt;&lt;D xsi:type="xsd:double"&gt;3.59527813460624&lt;/D&gt;&lt;D xsi:type="xsd:double"&gt;3.56578872563424&lt;/D&gt;&lt;D xsi:type="xsd:double"&gt;3.65522114170209&lt;/D&gt;&lt;D xsi:type="xsd:double"&gt;3.5052489305739&lt;/D&gt;&lt;D xsi:type="xsd:double"&gt;3.37669559867037&lt;/D&gt;&lt;D xsi:type="xsd:double"&gt;3.31629825966452&lt;/D&gt;&lt;D xsi:type="xsd:double"&gt;3.2787939610536&lt;/D&gt;&lt;D xsi:type="xsd:double"&gt;3.2914434844968&lt;/D&gt;&lt;D xsi:type="xsd:double"&gt;3.25156716887915&lt;/D&gt;&lt;D xsi:type="xsd:double"&gt;3.21411941908267&lt;/D&gt;&lt;D xsi:type="xsd:double"&gt;3.29323438479681&lt;/D&gt;&lt;D xsi:type="xsd:double"&gt;3.21418551095533&lt;/D&gt;&lt;D xsi:type="xsd:double"&gt;3.21070067508684&lt;/D&gt;&lt;D xsi:type="xsd:double"&gt;3.13001477012541&lt;/D&gt;&lt;D xsi:type="xsd:double"&gt;3.07084855465322&lt;/D&gt;&lt;D xsi:type="xsd:double"&gt;2.9842273900564&lt;/D&gt;&lt;D xsi:type="xsd:double"&gt;2.93212089638802&lt;/D&gt;&lt;D xsi:type="xsd:double"&gt;3.86107950220257&lt;/D&gt;&lt;D xsi:type="xsd:double"&gt;3.33388939220045&lt;/D&gt;&lt;D xsi:type="xsd:double"&gt;3.30471914341874&lt;/D&gt;&lt;D xsi:type="xsd:double"&gt;3.05605819740504&lt;/D&gt;&lt;D xsi:type="xsd:double"&gt;2.9938220006511&lt;/D&gt;&lt;D xsi:type="xsd:double"&gt;2.93342207714037&lt;/D&gt;&lt;D xsi:type="xsd:double"&gt;2.88202828823563&lt;/D&gt;&lt;D xsi:type="xsd:double"&gt;2.9640610033212&lt;/D&gt;&lt;D xsi:type="xsd:double"&gt;2.86924101970983&lt;/D&gt;&lt;D xsi:type="xsd:double"&gt;2.86394538536783&lt;/D&gt;&lt;D xsi:type="xsd:double"&gt;2.8036622943743&lt;/D&gt;&lt;D xsi:type="xsd:double"&gt;2.82860022680605&lt;/D&gt;&lt;D xsi:type="xsd:double"&gt;2.83334509241406&lt;/D&gt;&lt;D xsi:type="xsd:double"&gt;2.71758254894283&lt;/D&gt;&lt;D xsi:type="xsd:double"&gt;2.7654329659527&lt;/D&gt;&lt;D xsi:type="xsd:double"&gt;2.61072866797242&lt;/D&gt;&lt;D xsi:type="xsd:double"&gt;2.62195490085393&lt;/D&gt;&lt;D xsi:type="xsd:double"&gt;2.54528003041579&lt;/D&gt;&lt;D xsi:type="xsd:double"&gt;2.67484877095208&lt;/D&gt;&lt;D xsi:type="xsd:double"&gt;2.6927849676968&lt;/D&gt;&lt;D xsi:type="xsd:double"&gt;2.57295119839908&lt;/D&gt;&lt;D xsi:type="xsd:double"&gt;2.56679183636541&lt;/D&gt;&lt;D xsi:type="xsd:double"&gt;2.63094610546141&lt;/D&gt;&lt;D xsi:type="xsd:double"&gt;2.78176934256217&lt;/D&gt;&lt;D xsi:type="xsd:double"&gt;2.80637630433571&lt;/D&gt;&lt;D xsi:type="xsd:double"&gt;2.75022212358612&lt;/D&gt;&lt;D xsi:type="xsd:double"&gt;2.94901746269383&lt;/D&gt;&lt;D xsi:type="xsd:double"&gt;3.30026022203637&lt;/D&gt;&lt;D xsi:type="xsd:double"&gt;3.1501765264064&lt;/D&gt;&lt;D xsi:type="xsd:double"&gt;3.09829528249249&lt;/D&gt;&lt;D xsi:type="xsd:double"&gt;3.2865422619023&lt;/D&gt;&lt;D xsi:type="xsd:double"&gt;3.36092410400375&lt;/D&gt;&lt;D xsi:type="xsd:double"&gt;3.16953355195585&lt;/D&gt;&lt;D xsi:type="xsd:double"&gt;3.22598460770487&lt;/D&gt;&lt;D xsi:type="xsd:double"&gt;3.0314415126052&lt;/D&gt;&lt;D xsi:type="xsd:double"&gt;3.07750839379525&lt;/D&gt;&lt;D xsi:type="xsd:double"&gt;3.29865056090426&lt;/D&gt;&lt;D xsi:type="xsd:double"&gt;3.10593495744658&lt;/D&gt;&lt;D xsi:type="xsd:double"&gt;3.11168322250423&lt;/D&gt;&lt;D xsi:type="xsd:double"&gt;3.13594939452627&lt;/D&gt;&lt;D xsi:type="xsd:double"&gt;3.20069350316976&lt;/D&gt;&lt;D xsi:type="xsd:double"&gt;3.284480955227&lt;/D&gt;&lt;D xsi:type="xsd:double"&gt;3.25392436237386&lt;/D&gt;&lt;D xsi:type="xsd:double"&gt;3.39099090289185&lt;/D&gt;&lt;D xsi:type="xsd:double"&gt;3.4102648121656&lt;/D&gt;&lt;D xsi:type="xsd:double"&gt;3.28299646752708&lt;/D&gt;&lt;D xsi:type="xsd:double"&gt;3.33215543473309&lt;/D&gt;&lt;D xsi:type="xsd:double"&gt;3.32765437048938&lt;/D&gt;&lt;D xsi:type="xsd:double"&gt;3.24877227380543&lt;/D&gt;&lt;D xsi:type="xsd:double"&gt;3.40806401823499&lt;/D&gt;&lt;D xsi:type="xsd:double"&gt;3.23196629815366&lt;/D&gt;&lt;/FQL&gt;&lt;FQL&gt;&lt;Q&gt;NI-FDS^FG_PRICE_MAVG(0,,,,30)&lt;/Q&gt;&lt;R&gt;1&lt;/R&gt;&lt;C&gt;1&lt;/C&gt;&lt;D xsi:type="xsd:double"&gt;18640.166&lt;/D&gt;&lt;/FQL&gt;&lt;FQL&gt;&lt;Q&gt;TIOS-FDS^FG_PRICE(0)/MAX(FG_PRICE(0,-1AY))&lt;/Q&gt;&lt;R&gt;1&lt;/R&gt;&lt;C&gt;1&lt;/C&gt;&lt;D xsi:type="xsd:double"&gt;0.810557713651498&lt;/D&gt;&lt;/FQL&gt;&lt;FQL&gt;&lt;Q&gt;QQQ^FG_PRICE(0)&lt;/Q&gt;&lt;R&gt;1&lt;/R&gt;&lt;C&gt;1&lt;/C&gt;&lt;D xsi:type="xsd:double"&gt;451.76&lt;/D&gt;&lt;/FQL&gt;&lt;FQL&gt;&lt;Q&gt;FXI^FG_TOTAL_RETURNC(0,-12AM)&lt;/Q&gt;&lt;R&gt;1&lt;/R&gt;&lt;C&gt;1&lt;/C&gt;&lt;D xsi:type="xsd:double"&gt;6.458056&lt;/D&gt;&lt;/FQL&gt;&lt;FQL&gt;&lt;Q&gt;VWO^FG_TOTAL_RETURNC(0,-1AM)&lt;/Q&gt;&lt;R&gt;1&lt;/R&gt;&lt;C&gt;1&lt;/C&gt;&lt;D xsi:type="xsd:double"&gt;9.755492&lt;/D&gt;&lt;/FQL&gt;&lt;FQL&gt;&lt;Q&gt;EWI^PERCENT_CHANGE(FMA_EPS(+1,0,,,,"PORTAGG","MEAN"),FMA_EPS(+1,-1AM,,,,"PORTAGG","MEAN"))&lt;/Q&gt;&lt;R&gt;1&lt;/R&gt;&lt;C&gt;1&lt;/C&gt;&lt;D xsi:type="xsd:double"&gt;2.9329661237482&lt;/D&gt;&lt;/FQL&gt;&lt;FQL&gt;&lt;Q&gt;QQQ^FG_TOTAL_RETURNC(0,-6AM)&lt;/Q&gt;&lt;R&gt;1&lt;/R&gt;&lt;C&gt;1&lt;/C&gt;&lt;D xsi:type="xsd:double"&gt;17.471779&lt;/D&gt;&lt;/FQL&gt;&lt;FQL&gt;&lt;Q&gt;ENZL^FG_TOTAL_RETURNC(0,-12AM)&lt;/Q&gt;&lt;R&gt;1&lt;/R&gt;&lt;C&gt;1&lt;/C&gt;&lt;D xsi:type="xsd:double"&gt;-6.632656&lt;/D&gt;&lt;/FQL&gt;&lt;FQL&gt;&lt;Q&gt;SPY^FMA_COS_DOWN("EPS","1M",+1,0,,,"PORTAGG","MEANR")&lt;/Q&gt;&lt;R&gt;1&lt;/R&gt;&lt;C&gt;1&lt;/C&gt;&lt;D xsi:type="xsd:double"&gt;168&lt;/D&gt;&lt;/FQL&gt;&lt;FQL&gt;&lt;Q&gt;EWA^FMA_COS_DOWN("EPS","1M",+1,0,,,"PORTAGG","MEANR")&lt;/Q&gt;&lt;R&gt;1&lt;/R&gt;&lt;C&gt;1&lt;/C&gt;&lt;D xsi:type="xsd:double"&gt;21&lt;/D&gt;&lt;/FQL&gt;&lt;FQL&gt;&lt;Q&gt;EWN^FMA_RBICS_REV_CURRENT(30, LOC, "PORTAGG")&lt;/Q&gt;&lt;R&gt;1&lt;/R&gt;&lt;C&gt;1&lt;/C&gt;&lt;D xsi:type="xsd:double"&gt;25.1822237253434&lt;/D&gt;&lt;/FQL&gt;&lt;FQL&gt;&lt;Q&gt;EWN^FG_COMPANY_NAME&lt;/Q&gt;&lt;R&gt;1&lt;/R&gt;&lt;C&gt;1&lt;/C&gt;&lt;D xsi:type="xsd:string"&gt;iShares MSCI Netherlands ETF&lt;/D&gt;&lt;/FQL&gt;&lt;FQL&gt;&lt;Q&gt;TRYCA10Y-FDS^FG_YIELD(0,,,,"YTM")&lt;/Q&gt;&lt;R&gt;1&lt;/R&gt;&lt;C&gt;1&lt;/C&gt;&lt;D xsi:type="xsd:double"&gt;3.6169&lt;/D&gt;&lt;/FQL&gt;&lt;FQL&gt;&lt;Q&gt;EWG^FMA_EVAL_EBITDA(NTMA,0,,,"PORTAGG","MEANR")&lt;/Q&gt;&lt;R&gt;1&lt;/R&gt;&lt;C&gt;1&lt;/C&gt;&lt;D xsi:type="xsd:double"&gt;8.64745519271881&lt;/D&gt;&lt;/FQL&gt;&lt;FQL&gt;&lt;Q&gt;EWA^JULIAN(FMA_DIV_YLD(NTMA,NOW,NOW,M,"PORTAGG","MEANR").DATES)&lt;/Q&gt;&lt;R&gt;1&lt;/R&gt;&lt;C&gt;1&lt;/C&gt;&lt;D xsi:type="xsd:long"&gt;45412&lt;/D&gt;&lt;/FQL&gt;&lt;FQL&gt;&lt;Q&gt;ENZL^FG_COMPANY_NAME&lt;/Q&gt;&lt;R&gt;1&lt;/R&gt;&lt;C&gt;1&lt;/C&gt;&lt;D xsi:type="xsd:string"&gt;iShares MSCI New Zealand ETF&lt;/D&gt;&lt;/FQL&gt;&lt;FQL&gt;&lt;Q&gt;TRY10Y-FDS^FG_YIELD(-10AY,0,Y,,"YTM")&lt;/Q&gt;&lt;R&gt;10&lt;/R&gt;&lt;C&gt;1&lt;/C&gt;&lt;D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xsi:type="xsd:string"&gt;@NA&lt;/D&gt;&lt;/FQL&gt;&lt;FQL&gt;&lt;Q&gt;USDUSD^FG_PRICE_CHANGE(0,-1AY)&lt;/Q&gt;&lt;R&gt;1&lt;/R&gt;&lt;C&gt;1&lt;/C&gt;&lt;D xsi:type="xsd:double"&gt;0&lt;/D&gt;&lt;/FQL&gt;&lt;FQL&gt;&lt;Q&gt;EWD^FMA_PE(LTMA,-10AY,0,AM,"PORTAGG","MEANR")&lt;/Q&gt;&lt;R&gt;121&lt;/R&gt;&lt;C&gt;1&lt;/C&gt;&lt;D xsi:type="xsd:double"&gt;15.6083380760136&lt;/D&gt;&lt;D xsi:type="xsd:double"&gt;15.7235251116958&lt;/D&gt;&lt;D xsi:type="xsd:double"&gt;15.8370097698029&lt;/D&gt;&lt;D xsi:type="xsd:double"&gt;15.8467368467113&lt;/D&gt;&lt;D xsi:type="xsd:double"&gt;16.0552868325968&lt;/D&gt;&lt;D xsi:type="xsd:double"&gt;15.3152851529383&lt;/D&gt;&lt;D xsi:type="xsd:double"&gt;16.7432479592618&lt;/D&gt;&lt;D xsi:type="xsd:double"&gt;16.8737366940736&lt;/D&gt;&lt;D xsi:type="xsd:double"&gt;17.5544061642548&lt;/D&gt;&lt;D xsi:type="xsd:double"&gt;19.6574973300782&lt;/D&gt;&lt;D xsi:type="xsd:double"&gt;20.1011623089069&lt;/D&gt;&lt;D xsi:type="xsd:double"&gt;19.6902739787084&lt;/D&gt;&lt;D xsi:type="xsd:double"&gt;19.1114074178986&lt;/D&gt;&lt;D xsi:type="xsd:double"&gt;18.7311506872001&lt;/D&gt;&lt;D xsi:type="xsd:double"&gt;18.778407317984&lt;/D&gt;&lt;D xsi:type="xsd:double"&gt;18.3315239556437&lt;/D&gt;&lt;D xsi:type="xsd:double"&gt;17.1730440595781&lt;/D&gt;&lt;D xsi:type="xsd:double"&gt;16.7426664253363&lt;/D&gt;&lt;D xsi:type="xsd:double"&gt;16.9159299082977&lt;/D&gt;&lt;D xsi:type="xsd:double"&gt;16.1808131497228&lt;/D&gt;&lt;D xsi:type="xsd:double"&gt;14.3421430706431&lt;/D&gt;&lt;D xsi:type="xsd:double"&gt;15.274633824665&lt;/D&gt;&lt;D xsi:type="xsd:double"&gt;15.6132628224946&lt;/D&gt;&lt;D xsi:type="xsd:double"&gt;15.6474832747269&lt;/D&gt;&lt;D xsi:type="xsd:double"&gt;15.4261801941747&lt;/D&gt;&lt;D xsi:type="xsd:double"&gt;15.2450190411315&lt;/D&gt;&lt;D xsi:type="xsd:double"&gt;15.625956962513&lt;/D&gt;&lt;D xsi:type="xsd:double"&gt;15.8908601405269&lt;/D&gt;&lt;D xsi:type="xsd:double"&gt;15.9985532918426&lt;/D&gt;&lt;D xsi:type="xsd:double"&gt;16.928739940279&lt;/D&gt;&lt;D xsi:type="xsd:double"&gt;17.2602316590446&lt;/D&gt;&lt;D xsi:type="xsd:double"&gt;18.3076274568384&lt;/D&gt;&lt;D xsi:type="xsd:double"&gt;18.0241460961022&lt;/D&gt;&lt;D xsi:type="xsd:double"&gt;17.4239993911243&lt;/D&gt;&lt;D xsi:type="xsd:double"&gt;17.5068735934462&lt;/D&gt;&lt;D xsi:type="xsd:double"&gt;17.5600336985166&lt;/D&gt;&lt;D xsi:type="xsd:double"&gt;18.0440534852784&lt;/D&gt;&lt;D xsi:type="xsd:double"&gt;17.6291685266696&lt;/D&gt;&lt;D xsi:type="xsd:double"&gt;17.7311756217785&lt;/D&gt;&lt;D xsi:type="xsd:double"&gt;16.8233197702797&lt;/D&gt;&lt;D xsi:type="xsd:double"&gt;17.1160699356948&lt;/D&gt;&lt;D xsi:type="xsd:double"&gt;17.5341423535649&lt;/D&gt;&lt;D xsi:type="xsd:double"&gt;18.0300095400379&lt;/D&gt;&lt;D xsi:type="xsd:double"&gt;17.9363220514309&lt;/D&gt;&lt;D xsi:type="xsd:double"&gt;18.2217234774063&lt;/D&gt;&lt;D xsi:type="xsd:double"&gt;16.7432305380009&lt;/D&gt;&lt;D xsi:type="xsd:double"&gt;16.9421789863474&lt;/D&gt;&lt;D xsi:type="xsd:double"&gt;16.8354973866638&lt;/D&gt;&lt;D xsi:type="xsd:double"&gt;16.8731190822618&lt;/D&gt;&lt;D xsi:type="xsd:double"&gt;16.5028487680024&lt;/D&gt;&lt;D xsi:type="xsd:double"&gt;16.3972006842606&lt;/D&gt;&lt;D xsi:type="xsd:double"&gt;16.586003292887&lt;/D&gt;&lt;D xsi:type="xsd:double"&gt;16.7070331971592&lt;/D&gt;&lt;D xsi:type="xsd:double"&gt;15.7902280325295&lt;/D&gt;&lt;D xsi:type="xsd:double"&gt;14.9035903354192&lt;/D&gt;&lt;D xsi:type="xsd:double"&gt;14.1996660478554&lt;/D&gt;&lt;D xsi:type="xsd:double"&gt;14.9281871889441&lt;/D&gt;&lt;D xsi:type="xsd:double"&gt;18.4479125766109&lt;/D&gt;&lt;D xsi:type="xsd:double"&gt;18.0511342966918&lt;/D&gt;&lt;D xsi:type="xsd:double"&gt;17.8677344125717&lt;/D&gt;&lt;D xsi:type="xsd:double"&gt;17.518844468656&lt;/D&gt;&lt;D xsi:type="xsd:double"&gt;17.0956557135898&lt;/D&gt;&lt;D xsi:type="xsd:double"&gt;16.9297326482519&lt;/D&gt;&lt;D xsi:type="xsd:double"&gt;15.78093210904&lt;/D&gt;&lt;D xsi:type="xsd:double"&gt;16.2646377355365&lt;/D&gt;&lt;D xsi:type="xsd:double"&gt;16.5955417802449&lt;/D&gt;&lt;D xsi:type="xsd:double"&gt;16.2135941187502&lt;/D&gt;&lt;D xsi:type="xsd:double"&gt;16.3151964053154&lt;/D&gt;&lt;D xsi:type="xsd:double"&gt;16.9041263527043&lt;/D&gt;&lt;D xsi:type="xsd:double"&gt;14.4317921581356&lt;/D&gt;&lt;D xsi:type="xsd:double"&gt;12.443319297711&lt;/D&gt;&lt;D xsi:type="xsd:double"&gt;14.032282537448&lt;/D&gt;&lt;D xsi:type="xsd:double"&gt;14.7463102669791&lt;/D&gt;&lt;D xsi:type="xsd:double"&gt;16.6292260496469&lt;/D&gt;&lt;D xsi:type="xsd:double"&gt;18.1520264476177&lt;/D&gt;&lt;D xsi:type="xsd:double"&gt;16.9662813369022&lt;/D&gt;&lt;D xsi:type="xsd:double"&gt;17.9530584486008&lt;/D&gt;&lt;D xsi:type="xsd:double"&gt;16.3449573886579&lt;/D&gt;&lt;D xsi:type="xsd:double"&gt;16.6105941775267&lt;/D&gt;&lt;D xsi:type="xsd:double"&gt;17.1325520542898&lt;/D&gt;&lt;D xsi:type="xsd:double"&gt;18.5491841136136&lt;/D&gt;&lt;D xsi:type="xsd:double"&gt;17.548259831121&lt;/D&gt;&lt;D xsi:type="xsd:double"&gt;17.9633155904271&lt;/D&gt;&lt;D xsi:type="xsd:double"&gt;18.4927555874989&lt;/D&gt;&lt;D xsi:type="xsd:double"&gt;17.4661682791524&lt;/D&gt;&lt;D xsi:type="xsd:double"&gt;17.9439393556948&lt;/D&gt;&lt;D xsi:type="xsd:double"&gt;17.7443882913366&lt;/D&gt;&lt;D xsi:type="xsd:double"&gt;17.5290328102948&lt;/D&gt;&lt;D xsi:type="xsd:double"&gt;17.3755195467397&lt;/D&gt;&lt;D xsi:type="xsd:double"&gt;17.4586745422088&lt;/D&gt;&lt;D xsi:type="xsd:double"&gt;16.8260050594964&lt;/D&gt;&lt;D xsi:type="xsd:double"&gt;16.1573098080634&lt;/D&gt;&lt;D xsi:type="xsd:double"&gt;15.8856714043028&lt;/D&gt;&lt;D xsi:type="xsd:double"&gt;12.0195886995041&lt;/D&gt;&lt;D xsi:type="xsd:double"&gt;11.9498456180309&lt;/D&gt;&lt;D xsi:type="xsd:double"&gt;12.2045469583265&lt;/D&gt;&lt;D xsi:type="xsd:double"&gt;13.4068567657566&lt;/D&gt;&lt;D xsi:type="xsd:double"&gt;13.1048872069135&lt;/D&gt;&lt;D xsi:type="xsd:double"&gt;13.7592683694628&lt;/D&gt;&lt;D xsi:type="xsd:double"&gt;14.9081659295533&lt;/D&gt;&lt;D xsi:type="xsd:double"&gt;14.5332383849762&lt;/D&gt;&lt;D xsi:type="xsd:double"&gt;14.96375121565&lt;/D&gt;&lt;D xsi:type="xsd:double"&gt;13.9191007776594&lt;/D&gt;&lt;D xsi:type="xsd:double"&gt;15.2739553195544&lt;/D&gt;&lt;D xsi:type="xsd:double"&gt;16.6564398417921&lt;/D&gt;&lt;D xsi:type="xsd:double"&gt;26.201400954842&lt;/D&gt;&lt;D xsi:type="xsd:double"&gt;24.8279804885357&lt;/D&gt;&lt;D xsi:type="xsd:double"&gt;23.8259554943444&lt;/D&gt;&lt;D xsi:type="xsd:double"&gt;22.5585219672375&lt;/D&gt;&lt;D xsi:type="xsd:double"&gt;21.5498496229045&lt;/D&gt;&lt;D xsi:type="xsd:double"&gt;20.1199156412061&lt;/D&gt;&lt;D xsi:type="xsd:double"&gt;18.4593691781995&lt;/D&gt;&lt;D xsi:type="xsd:double"&gt;17.4317872338654&lt;/D&gt;&lt;D xsi:type="xsd:double"&gt;16.8859655811758&lt;/D&gt;&lt;D xsi:type="xsd:double"&gt;15.8744415282001&lt;/D&gt;&lt;D xsi:type="xsd:double"&gt;18.2409168730974&lt;/D&gt;&lt;D xsi:type="xsd:double"&gt;16.9604635258296&lt;/D&gt;&lt;D xsi:type="xsd:double"&gt;15.4670100612724&lt;/D&gt;&lt;D xsi:type="xsd:double"&gt;15.9356212336064&lt;/D&gt;&lt;D xsi:type="xsd:double"&gt;15.887411399641&lt;/D&gt;&lt;D xsi:type="xsd:double"&gt;16.1542548245859&lt;/D&gt;&lt;/FQL&gt;&lt;FQL&gt;&lt;Q&gt;WL-FDS^FG_PRICE_CHANGE(0,-1AY)&lt;/Q&gt;&lt;R&gt;1&lt;/R&gt;&lt;C&gt;1&lt;/C&gt;&lt;D xsi:type="xsd:double"&gt;-24.8700295068147&lt;/D&gt;&lt;/FQL&gt;&lt;FQL&gt;&lt;Q&gt;W-FDS^FG_PRICE_CHANGE(0,-3AM)&lt;/Q&gt;&lt;R&gt;1&lt;/R&gt;&lt;C&gt;1&lt;/C&gt;&lt;D xsi:type="xsd:double"&gt;16.1909009812667&lt;/D&gt;&lt;/FQL&gt;&lt;FQL&gt;&lt;Q&gt;EWI^FG_PRICE_MAVG(0,,,,30)&lt;/Q&gt;&lt;R&gt;1&lt;/R&gt;&lt;C&gt;1&lt;/C&gt;&lt;D xsi:type="xsd:double"&gt;37.251335&lt;/D&gt;&lt;/FQL&gt;&lt;FQL&gt;&lt;Q&gt;EWC^FG_PRICE(0)&lt;/Q&gt;&lt;R&gt;1&lt;/R&gt;&lt;C&gt;1&lt;/C&gt;&lt;D xsi:type="xsd:double"&gt;38.59&lt;/D&gt;&lt;/FQL&gt;&lt;FQL&gt;&lt;Q&gt;EWQ^P_PRICE(0)/P_PRICE_HIGH_PR(0,,,,,,"PRICE","INTRA","52W")&lt;/Q&gt;&lt;R&gt;1&lt;/R&gt;&lt;C&gt;1&lt;/C&gt;&lt;D xsi:type="xsd:double"&gt;0.9917841&lt;/D&gt;&lt;/FQL&gt;&lt;FQL&gt;&lt;Q&gt;EWG^PERCENT_CHANGE(FMA_EPS(+1,0,,,,"PORTAGG","MEAN"),FMA_EPS(+1,-1AM,,,,"PORTAGG","MEAN"))&lt;/Q&gt;&lt;R&gt;1&lt;/R&gt;&lt;C&gt;1&lt;/C&gt;&lt;D xsi:type="xsd:double"&gt;3.97070373025579&lt;/D&gt;&lt;/FQL&gt;&lt;FQL&gt;&lt;Q&gt;VWO^SIZE(FG_CONSTITUENTS)&lt;/Q&gt;&lt;R&gt;1&lt;/R&gt;&lt;C&gt;1&lt;/C&gt;&lt;D xsi:type="xsd:long"&gt;4781&lt;/D&gt;&lt;/FQL&gt;&lt;FQL&gt;&lt;Q&gt;TRYCA10Y-FDS^FG_YIELD_NAME&lt;/Q&gt;&lt;R&gt;1&lt;/R&gt;&lt;C&gt;1&lt;/C&gt;&lt;D xsi:type="xsd:string"&gt;Can</t>
        </r>
      </text>
    </comment>
    <comment ref="A6" authorId="0" shapeId="0" xr:uid="{D2E476E1-69B9-4C5F-B9E7-CE0003256FAA}">
      <text>
        <r>
          <rPr>
            <b/>
            <sz val="9"/>
            <color indexed="81"/>
            <rFont val="Tahoma"/>
            <charset val="1"/>
          </rPr>
          <t>ada Benchmark Bond - 10 Year&lt;/D&gt;&lt;/FQL&gt;&lt;FQL&gt;&lt;Q&gt;EWD^FMA_EVAL_EBIT(LTMA,NOW,NOW,M,"PORTAGG","MEANR")&lt;/Q&gt;&lt;R&gt;1&lt;/R&gt;&lt;C&gt;1&lt;/C&gt;&lt;D xsi:type="xsd:double"&gt;15.9121311388266&lt;/D&gt;&lt;/FQL&gt;&lt;FQL&gt;&lt;Q&gt;EWU^FMA_DIV_YLD(NTMA,NOW,NOW,M,"PORTAGG","MEANR")&lt;/Q&gt;&lt;R&gt;1&lt;/R&gt;&lt;C&gt;1&lt;/C&gt;&lt;D xsi:type="xsd:double"&gt;3.9383886732978&lt;/D&gt;&lt;/FQL&gt;&lt;FQL&gt;&lt;Q&gt;EWG^FMA_ROE(NTMA,-20AY,NOW,FY,"PORTAGG","MEANR")&lt;/Q&gt;&lt;R&gt;20&lt;/R&gt;&lt;C&gt;1&lt;/C&gt;&lt;D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xsi:type="xsd:double"&gt;11.93889064433&lt;/D&gt;&lt;/FQL&gt;&lt;FQL&gt;&lt;Q&gt;USDITL^FG_PRICE_CHANGE(0,-6AM)&lt;/Q&gt;&lt;R&gt;1&lt;/R&gt;&lt;C&gt;1&lt;/C&gt;&lt;D xsi:type="xsd:double"&gt;0.10573864&lt;/D&gt;&lt;/FQL&gt;&lt;FQL&gt;&lt;Q&gt;USDAUD^STD(FG_PRICE_CHANGE(0,-1AY,AM))&lt;/Q&gt;&lt;R&gt;1&lt;/R&gt;&lt;C&gt;1&lt;/C&gt;&lt;D xsi:type="xsd:double"&gt;2.84281289594133&lt;/D&gt;&lt;/FQL&gt;&lt;FQL&gt;&lt;Q&gt;TRYCN10Y-FDS^FG_YIELD(-10AY,0,Y,,"YTM")&lt;/Q&gt;&lt;R&gt;10&lt;/R&gt;&lt;C&gt;1&lt;/C&gt;&lt;D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xsi:type="xsd:double"&gt;2.574&lt;/D&gt;&lt;/FQL&gt;&lt;FQL&gt;&lt;Q&gt;CC_GB^FG_COMPANY_NAME&lt;/Q&gt;&lt;R&gt;1&lt;/R&gt;&lt;C&gt;1&lt;/C&gt;&lt;D xsi:type="xsd:string"&gt;United Kingdom&lt;/D&gt;&lt;/FQL&gt;&lt;FQL&gt;&lt;Q&gt;USDCHF^FG_PRICE_CHANGE(0,-6AM)&lt;/Q&gt;&lt;R&gt;1&lt;/R&gt;&lt;C&gt;1&lt;/C&gt;&lt;D xsi:type="xsd:double"&gt;2.318108&lt;/D&gt;&lt;/FQL&gt;&lt;FQL&gt;&lt;Q&gt;QQQ^P_PRICE_RETURNS_PR('52W',2,-10AY,0,AM)&lt;/Q&gt;&lt;R&gt;121&lt;/R&gt;&lt;C&gt;1&lt;/C&gt;&lt;D xsi:type="xsd:double"&gt;21.07935&lt;/D&gt;&lt;D xsi:type="xsd:double"&gt;28.689396&lt;/D&gt;&lt;D xsi:type="xsd:double"&gt;27.149319&lt;/D&gt;&lt;D xsi:type="xsd:double"&gt;30.9731&lt;/D&gt;&lt;D xsi:type="xsd:double"&gt;28.953087&lt;/D&gt;&lt;D xsi:type="xsd:double"&gt;16.737652&lt;/D&gt;&lt;D xsi:type="xsd:double"&gt;24.37681&lt;/D&gt;&lt;D xsi:type="xsd:double"&gt;21.315813&lt;/D&gt;&lt;D xsi:type="xsd:double"&gt;15.821398&lt;/D&gt;&lt;D xsi:type="xsd:double"&gt;20.97504&lt;/D&gt;&lt;D xsi:type="xsd:double"&gt;20.804619&lt;/D&gt;&lt;D xsi:type="xsd:double"&gt;24.346851&lt;/D&gt;&lt;D xsi:type="xsd:double"&gt;27.155125&lt;/D&gt;&lt;D xsi:type="xsd:double"&gt;19.319952&lt;/D&gt;&lt;D xsi:type="xsd:double"&gt;21.337664&lt;/D&gt;&lt;D xsi:type="xsd:double"&gt;15.63176&lt;/D&gt;&lt;D xsi:type="xsd:double"&gt;8.790504&lt;/D&gt;&lt;D xsi:type="xsd:double"&gt;19.06483&lt;/D&gt;&lt;D xsi:type="xsd:double"&gt;9.509314&lt;/D&gt;&lt;D xsi:type="xsd:double"&gt;11.527538&lt;/D&gt;&lt;D xsi:type="xsd:double"&gt;2.2286057&lt;/D&gt;&lt;D xsi:type="xsd:double"&gt;-3.2354116&lt;/D&gt;&lt;D xsi:type="xsd:double"&gt;1.6366601&lt;/D&gt;&lt;D xsi:type="xsd:double"&gt;3.714931&lt;/D&gt;&lt;D xsi:type="xsd:double"&gt;-2.692163&lt;/D&gt;&lt;D xsi:type="xsd:double"&gt;-1.0625899&lt;/D&gt;&lt;D xsi:type="xsd:double"&gt;2.42939&lt;/D&gt;&lt;D xsi:type="xsd:double"&gt;6.419432&lt;/D&gt;&lt;D xsi:type="xsd:double"&gt;11.038101&lt;/D&gt;&lt;D xsi:type="xsd:double"&gt;9.269881&lt;/D&gt;&lt;D xsi:type="xsd:double"&gt;6.8196774&lt;/D&gt;&lt;D xsi:type="xsd:double"&gt;6.433618&lt;/D&gt;&lt;D xsi:type="xsd:double"&gt;23.127472&lt;/D&gt;&lt;D xsi:type="xsd:double"&gt;28.058683&lt;/D&gt;&lt;D xsi:type="xsd:double"&gt;24.105633&lt;/D&gt;&lt;D xsi:type="xsd:double"&gt;20.058214&lt;/D&gt;&lt;D xsi:type="xsd:double"&gt;30.327679&lt;/D&gt;&lt;D xsi:type="xsd:double"&gt;29.53844&lt;/D&gt;&lt;D xsi:type="xsd:double"&gt;28.496742&lt;/D&gt;&lt;D xsi:type="xsd:double"&gt;21.772528&lt;/D&gt;&lt;D xsi:type="xsd:double"&gt;25.441467&lt;/D&gt;&lt;D xsi:type="xsd:double"&gt;28.85927&lt;/D&gt;&lt;D xsi:type="xsd:double"&gt;32.041943&lt;/D&gt;&lt;D xsi:type="xsd:double"&gt;32.25055&lt;/D&gt;&lt;D xsi:type="xsd:double"&gt;36.250854&lt;/D&gt;&lt;D xsi:type="xsd:double"&gt;28.792942&lt;/D&gt;&lt;D xsi:type="xsd:double"&gt;30.732632&lt;/D&gt;&lt;D xsi:type="xsd:double"&gt;27.429175999999998&lt;/D&gt;&lt;D xsi:type="xsd:double"&gt;24.783754&lt;/D&gt;&lt;D xsi:type="xsd:double"&gt;28.310537&lt;/D&gt;&lt;D xsi:type="xsd:double"&gt;27.807213&lt;/D&gt;&lt;D xsi:type="xsd:double"&gt;28.292477&lt;/D&gt;&lt;D xsi:type="xsd:double"&gt;25.159336&lt;/D&gt;&lt;D xsi:type="xsd:double"&gt;19.869434&lt;/D&gt;&lt;D xsi:type="xsd:double"&gt;9.219694&lt;/D&gt;&lt;D xsi:type="xsd:double"&gt;0.62841177&lt;/D&gt;&lt;D xsi:type="xsd:double"&gt;-0.45900345&lt;/D&gt;&lt;D xsi:type="xsd:double"&gt;4.6530247&lt;/D&gt;&lt;D xsi:type="xsd:double"&gt;4.864955&lt;/D&gt;&lt;D xsi:type="xsd:double"&gt;13.654768&lt;/D&gt;&lt;D xsi:type="xsd:double"&gt;9.686184&lt;/D&gt;&lt;D xsi:type="xsd:double"&gt;4.7242045&lt;/D&gt;&lt;D xsi:type="xsd:double"&gt;7.5537443&lt;/D&gt;&lt;D xsi:type="xsd:double"&gt;4.0530205&lt;/D&gt;&lt;D xsi:type="xsd:double"&gt;7.1416616&lt;/D&gt;&lt;D xsi:type="xsd:double"&gt;10.154295&lt;/D&gt;&lt;D xsi:type="xsd:double"&gt;21.8019&lt;/D&gt;&lt;D xsi:type="xsd:double"&gt;34.202587&lt;/D&gt;&lt;D xsi:type="xsd:double"&gt;37.638535&lt;/D&gt;&lt;D xsi:type="xsd:double"&gt;38.167606&lt;/D&gt;&lt;D xsi:type="xsd:double"&gt;2.9652953&lt;/D&gt;&lt;D xsi:type="xsd:double"&gt;16.01857&lt;/D&gt;&lt;D xsi:type="xsd:double"&gt;22.987007&lt;/D&gt;&lt;D xsi:type="xsd:double"&gt;33.721924&lt;/D&gt;&lt;D xsi:type="xsd:double"&gt;36.060333&lt;/D&gt;&lt;D xsi:type="xsd:double"&gt;49.63118&lt;/D&gt;&lt;D xsi:type="xsd:double"&gt;41.48269&lt;/D&gt;&lt;D xsi:type="xsd:double"&gt;50.573994&lt;/D&gt;&lt;D xsi:type="xsd:double"&gt;45.116615&lt;/D&gt;&lt;D xsi:type="xsd:double"&gt;49.637638&lt;/D&gt;&lt;D xsi:type="xsd:double"&gt;42.655647&lt;/D&gt;&lt;D xsi:type="xsd:double"&gt;43.33124&lt;/D&gt;&lt;D xsi:type="xsd:double"&gt;77.99308&lt;/D&gt;&lt;D xsi:type="xsd:double"&gt;61.38079&lt;/D&gt;&lt;D xsi:type="xsd:double"&gt;46.206238&lt;/D&gt;&lt;D xsi:type="xsd:double"&gt;42.638252&lt;/D&gt;&lt;D xsi:type="xsd:double"&gt;38.788246&lt;/D&gt;&lt;D xsi:type="xsd:double"&gt;33.591522&lt;/D&gt;&lt;D xsi:type="xsd:double"&gt;39.075947&lt;/D&gt;&lt;D xsi:type="xsd:double"&gt;27.857304&lt;/D&gt;&lt;D xsi:type="xsd:double"&gt;36.776806&lt;/D&gt;&lt;D xsi:type="xsd:double"&gt;24.427486&lt;/D&gt;&lt;D xsi:type="xsd:double"&gt;21.47051&lt;/D&gt;&lt;D xsi:type="xsd:double"&gt;3.9487123&lt;/D&gt;&lt;D xsi:type="xsd:double"&gt;7.518184&lt;/D&gt;&lt;D xsi:type="xsd:double"&gt;1.0555506&lt;/D&gt;&lt;D xsi:type="xsd:double"&gt;-5.167383&lt;/D&gt;&lt;D xsi:type="xsd:double"&gt;-20.07451&lt;/D&gt;&lt;D xsi:type="xsd:double"&gt;-18.592691&lt;/D&gt;&lt;D xsi:type="xsd:double"&gt;-9.683961&lt;/D&gt;&lt;D xsi:type="xsd:double"&gt;-23.098648&lt;/D&gt;&lt;D xsi:type="xsd:double"&gt;-26.540773&lt;/D&gt;&lt;D xsi:type="xsd:double"&gt;-27.928888&lt;/D&gt;&lt;D xsi:type="xsd:double"&gt;-28.665369&lt;/D&gt;&lt;D xsi:type="xsd:double"&gt;-25.368208&lt;/D&gt;&lt;D xsi:type="xsd:double"&gt;-12.180513&lt;/D&gt;&lt;D xsi:type="xsd:double"&gt;-10.694676&lt;/D&gt;&lt;D xsi:type="xsd:double"&gt;-5.0675154&lt;/D&gt;&lt;D xsi:type="xsd:double"&gt;8.976698&lt;/D&gt;&lt;D xsi:type="xsd:double"&gt;36.609913&lt;/D&gt;&lt;D xsi:type="xsd:double"&gt;32.026077&lt;/D&gt;&lt;D xsi:type="xsd:double"&gt;9.940267&lt;/D&gt;&lt;D xsi:type="xsd:double"&gt;28.29274&lt;/D&gt;&lt;D xsi:type="xsd:double"&gt;37.630154&lt;/D&gt;&lt;D xsi:type="xsd:double"&gt;36.465824&lt;/D&gt;&lt;D xsi:type="xsd:double"&gt;47.386932&lt;/D&gt;&lt;D xsi:type="xsd:double"&gt;45.633186&lt;/D&gt;&lt;D xsi:type="xsd:double"&gt;42.939877&lt;/D&gt;&lt;D xsi:type="xsd:double"&gt;46.157898&lt;/D&gt;&lt;D xsi:type="xsd:double"&gt;34.44816&lt;/D&gt;&lt;D xsi:type="xsd:double"&gt;37.34207&lt;/D&gt;&lt;/FQL&gt;&lt;FQL&gt;&lt;Q&gt;ENZL^JULIAN(FMA_DIV_YLD(LTMA,-10AY,0,AM,"PORTAGG","MEANR").DATES)&lt;/Q&gt;&lt;R&gt;121&lt;/R&gt;&lt;C&gt;1&lt;/C&gt;&lt;D xsi:type="xsd:long"&gt;41775&lt;/D&gt;&lt;D xsi:type="xsd:long"&gt;41807&lt;/D&gt;&lt;D xsi:type="xsd:long"&gt;41837&lt;/D&gt;&lt;D xsi:type="xsd:long"&gt;41866&lt;/D&gt;&lt;D xsi:type="xsd:long"&gt;41899&lt;/D&gt;&lt;D xsi:type="xsd:long"&gt;41929&lt;/D&gt;&lt;D xsi:type="xsd:long"&gt;41960&lt;/D&gt;&lt;D xsi:type="xsd:long"&gt;41990&lt;/D&gt;&lt;D xsi:type="xsd:long"&gt;42020&lt;/D&gt;&lt;D xsi:type="xsd:long"&gt;42052&lt;/D&gt;&lt;D xsi:type="xsd:long"&gt;42080&lt;/D&gt;&lt;D xsi:type="xsd:long"&gt;42111&lt;/D&gt;&lt;D xsi:type="xsd:long"&gt;42139&lt;/D&gt;&lt;D xsi:type="xsd:long"&gt;42172&lt;/D&gt;&lt;D xsi:type="xsd:long"&gt;42202&lt;/D&gt;&lt;D xsi:type="xsd:long"&gt;42233&lt;/D&gt;&lt;D xsi:type="xsd:long"&gt;42264&lt;/D&gt;&lt;D xsi:type="xsd:long"&gt;42293&lt;/D&gt;&lt;D xsi:type="xsd:long"&gt;42325&lt;/D&gt;&lt;D xsi:type="xsd:long"&gt;42355&lt;/D&gt;&lt;D xsi:type="xsd:long"&gt;42384&lt;/D&gt;&lt;D xsi:type="xsd:long"&gt;42417&lt;/D&gt;&lt;D xsi:type="xsd:long"&gt;42446&lt;/D&gt;&lt;D xsi:type="xsd:long"&gt;42475&lt;/D&gt;&lt;D xsi:type="xsd:long"&gt;42507&lt;/D&gt;&lt;D xsi:type="xsd:long"&gt;42538&lt;/D&gt;&lt;D xsi:type="xsd:long"&gt;42566&lt;/D&gt;&lt;D xsi:type="xsd:long"&gt;42599&lt;/D&gt;&lt;D xsi:type="xsd:long"&gt;42629&lt;/D&gt;&lt;D xsi:type="xsd:long"&gt;42660&lt;/D&gt;&lt;D xsi:type="xsd:long"&gt;42691&lt;/D&gt;&lt;D xsi:type="xsd:long"&gt;42720&lt;/D&gt;&lt;D xsi:type="xsd:long"&gt;42752&lt;/D&gt;&lt;D xsi:type="xsd:long"&gt;42783&lt;/D&gt;&lt;D xsi:type="xsd:long"&gt;42811&lt;/D&gt;&lt;D xsi:type="xsd:long"&gt;42842&lt;/D&gt;&lt;D xsi:type="xsd:long"&gt;42872&lt;/D&gt;&lt;D xsi:type="xsd:long"&gt;42902&lt;/D&gt;&lt;D xsi:type="xsd:long"&gt;42933&lt;/D&gt;&lt;D xsi:type="xsd:long"&gt;42964&lt;/D&gt;&lt;D xsi:type="xsd:long"&gt;42993&lt;/D&gt;&lt;D xsi:type="xsd:long"&gt;43025&lt;/D&gt;&lt;D xsi:type="xsd:long"&gt;43056&lt;/D&gt;&lt;D xsi:type="xsd:long"&gt;43084&lt;/D&gt;&lt;D xsi:type="xsd:long"&gt;43117&lt;/D&gt;&lt;D xsi:type="xsd:long"&gt;43147&lt;/D&gt;&lt;D xsi:type="xsd:long"&gt;43175&lt;/D&gt;&lt;D xsi:type="xsd:long"&gt;43207&lt;/D&gt;&lt;D xsi:type="xsd:long"&gt;43237&lt;/D&gt;&lt;D xsi:type="xsd:long"&gt;43266&lt;/D&gt;&lt;D xsi:type="xsd:long"&gt;43298&lt;/D&gt;&lt;D xsi:type="xsd:long"&gt;43329&lt;/D&gt;&lt;D xsi:type="xsd:long"&gt;43360&lt;/D&gt;&lt;D xsi:type="xsd:long"&gt;43390&lt;/D&gt;&lt;D xsi:type="xsd:long"&gt;43420&lt;/D&gt;&lt;D xsi:type="xsd:long"&gt;43451&lt;/D&gt;&lt;D xsi:type="xsd:long"&gt;43482&lt;/D&gt;&lt;D xsi:type="xsd:long"&gt;43511&lt;/D&gt;&lt;D xsi:type="xsd:long"&gt;43539&lt;/D&gt;&lt;D xsi:type="xsd:long"&gt;43572&lt;/D&gt;&lt;D xsi:type="xsd:long"&gt;43602&lt;/D&gt;&lt;D xsi:type="xsd:long"&gt;43633&lt;/D&gt;&lt;D xsi:type="xsd:long"&gt;43663&lt;/D&gt;&lt;D xsi:type="xsd:long"&gt;43693&lt;/D&gt;&lt;D xsi:type="xsd:long"&gt;43725&lt;/D&gt;&lt;D xsi:type="xsd:long"&gt;43755&lt;/D&gt;&lt;D xsi:type="xsd:long"&gt;43784&lt;/D&gt;&lt;D xsi:type="xsd:long"&gt;43816&lt;/D&gt;&lt;D xsi:type="xsd:long"&gt;43847&lt;/D&gt;&lt;D xsi:type="xsd:long"&gt;43875&lt;/D&gt;&lt;D xsi:type="xsd:long"&gt;43907&lt;/D&gt;&lt;D xsi:type="xsd:long"&gt;43938&lt;/D&gt;&lt;D xsi:type="xsd:long"&gt;43966&lt;/D&gt;&lt;D xsi:type="xsd:long"&gt;43999&lt;/D&gt;&lt;D xsi:type="xsd:long"&gt;44029&lt;/D&gt;&lt;D xsi:type="xsd:long"&gt;44060&lt;/D&gt;&lt;D xsi:type="xsd:long"&gt;44091&lt;/D&gt;&lt;D xsi:type="xsd:long"&gt;44120&lt;/D&gt;&lt;D xsi:type="xsd:long"&gt;44152&lt;/D&gt;&lt;D xsi:type="xsd:long"&gt;44182&lt;/D&gt;&lt;D xsi:type="xsd:long"&gt;44211&lt;/D&gt;&lt;D xsi:type="xsd:long"&gt;44244&lt;/D&gt;&lt;D xsi:type="xsd:long"&gt;44272&lt;/D&gt;&lt;D xsi:type="xsd:long"&gt;44302&lt;/D&gt;&lt;D xsi:type="xsd:long"&gt;44333&lt;/D&gt;&lt;D xsi:type="xsd:long"&gt;44364&lt;/D&gt;&lt;D xsi:type="xsd:long"&gt;44393&lt;/D&gt;&lt;D xsi:type="xsd:long"&gt;44425&lt;/D&gt;&lt;D xsi:type="xsd:long"&gt;44456&lt;/D&gt;&lt;D xsi:type="xsd:long"&gt;44484&lt;/D&gt;&lt;D xsi:type="xsd:long"&gt;44517&lt;/D&gt;&lt;D xsi:type="xsd:long"&gt;44547&lt;/D&gt;&lt;D xsi:type="xsd:long"&gt;44575&lt;/D&gt;&lt;D xsi:type="xsd:long"&gt;44609&lt;/D&gt;&lt;D xsi:type="xsd:long"&gt;44637&lt;/D&gt;&lt;D xsi:type="xsd:long"&gt;44665&lt;/D&gt;&lt;D xsi:type="xsd:long"&gt;44698&lt;/D&gt;&lt;D xsi:type="xsd:long"&gt;44729&lt;/D&gt;&lt;D xsi:type="xsd:long"&gt;44757&lt;/D&gt;&lt;D xsi:type="xsd:long"&gt;44790&lt;/D&gt;&lt;D xsi:type="xsd:long"&gt;44820&lt;/D&gt;&lt;D xsi:type="xsd:long"&gt;44851&lt;/D&gt;&lt;D xsi:type="xsd:long"&gt;44882&lt;/D&gt;&lt;D xsi:type="xsd:long"&gt;44911&lt;/D&gt;&lt;D xsi:type="xsd:long"&gt;44943&lt;/D&gt;&lt;D xsi:type="xsd:long"&gt;44974&lt;/D&gt;&lt;D xsi:type="xsd:long"&gt;45002&lt;/D&gt;&lt;D xsi:type="xsd:long"&gt;45033&lt;/D&gt;&lt;D xsi:type="xsd:long"&gt;45063&lt;/D&gt;&lt;D xsi:type="xsd:long"&gt;45093&lt;/D&gt;&lt;D xsi:type="xsd:long"&gt;45124&lt;/D&gt;&lt;D xsi:type="xsd:long"&gt;45155&lt;/D&gt;&lt;D xsi:type="xsd:long"&gt;45184&lt;/D&gt;&lt;D xsi:type="xsd:long"&gt;45216&lt;/D&gt;&lt;D xsi:type="xsd:long"&gt;45247&lt;/D&gt;&lt;D xsi:type="xsd:long"&gt;45275&lt;/D&gt;&lt;D xsi:type="xsd:long"&gt;45308&lt;/D&gt;&lt;D xsi:type="xsd:long"&gt;45338&lt;/D&gt;&lt;D xsi:type="xsd:long"&gt;45366&lt;/D&gt;&lt;D xsi:type="xsd:long"&gt;45399&lt;/D&gt;&lt;D xsi:type="xsd:long"&gt;45427&lt;/D&gt;&lt;/FQL&gt;&lt;FQL&gt;&lt;Q&gt;COPP-FDS^FG_PRICE(0)/MAX(FG_PRICE(0,-1AY))&lt;/Q&gt;&lt;R&gt;1&lt;/R&gt;&lt;C&gt;1&lt;/C&gt;&lt;D xsi:type="xsd:double"&gt;1&lt;/D&gt;&lt;/FQL&gt;&lt;FQL&gt;&lt;Q&gt;FC0000AU^FG_PRICE(0)&lt;/Q&gt;&lt;R&gt;1&lt;/R&gt;&lt;C&gt;1&lt;/C&gt;&lt;D xsi:type="xsd:double"&gt;365.62497&lt;/D&gt;&lt;/FQL&gt;&lt;FQL&gt;&lt;Q&gt;EWQ^FG_PRICE_MAVG(0,,,,30)&lt;/Q&gt;&lt;R&gt;1&lt;/R&gt;&lt;C&gt;1&lt;/C&gt;&lt;D xsi:type="xsd:double"&gt;40.794&lt;/D&gt;&lt;/FQL&gt;&lt;FQL&gt;&lt;Q&gt;URTH^PERCENT_CHANGE(FMA_EPS(+1,0,,,,"PORTAGG","MEAN"),FMA_EPS(+1,-1AM,,,,"PORTAGG","MEAN"))&lt;/Q&gt;&lt;R&gt;1&lt;/R&gt;&lt;C&gt;1&lt;/C&gt;&lt;D xsi:type="xsd:double"&gt;1.08652550668134&lt;/D&gt;&lt;/FQL&gt;&lt;FQL&gt;&lt;Q&gt;EWN^P_PRICE(0)/P_PRICE_LOW_PR(0,,,,,,"PRICE","INTRA","52W")-1&lt;/Q&gt;&lt;R&gt;1&lt;/R&gt;&lt;C&gt;1&lt;/C&gt;&lt;D xsi:type="xsd:double"&gt;0.42518604&lt;/D&gt;&lt;/FQL&gt;&lt;FQL&gt;&lt;Q&gt;SPY^FG_TOTAL_RETURNC(0,-3AM)&lt;/Q&gt;&lt;R&gt;1&lt;/R&gt;&lt;C&gt;1&lt;/C&gt;&lt;D xsi:type="xsd:double"&gt;6.3254595&lt;/D&gt;&lt;/FQL&gt;&lt;FQL&gt;&lt;Q&gt;EWG^FG_TOTAL_RETURNC(0,-12AM)&lt;/Q&gt;&lt;R&gt;1&lt;/R&gt;&lt;C&gt;1&lt;/C&gt;&lt;D xsi:type="xsd:double"&gt;15.027475&lt;/D&gt;&lt;/FQL&gt;&lt;FQL&gt;&lt;Q&gt;EWN^SIZE(FG_CONSTITUENTS)&lt;/Q&gt;&lt;R&gt;1&lt;/R&gt;&lt;C&gt;1&lt;/C&gt;&lt;D xsi:type="xsd:long"&gt;54&lt;/D&gt;&lt;/FQL&gt;&lt;FQL&gt;&lt;Q&gt;REFCHMPR-FDS^(SUBARRAY(NOT_NA(NO_REPEAT_F(FG_YIELD(NOW,-10AY,D))),0,1)-SUBARRAY(NOT_NA(NO_REPEAT_F(FG_YIELD(NOW,-10AY,D))),1,1))*100&lt;/Q&gt;&lt;R&gt;1&lt;/R&gt;&lt;C&gt;1&lt;/C&gt;&lt;D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xsi:type="xsd:double"&gt;-25&lt;/D&gt;&lt;/FQL&gt;&lt;FQL&gt;&lt;Q&gt;VGK^JULIAN(FMA_DIV_YLD(NTMA,NOW,NOW,M,"PORTAGG","MEANR").DATES)&lt;/Q&gt;&lt;R&gt;1&lt;/R&gt;&lt;C&gt;1&lt;/C&gt;&lt;D xsi:type="xsd:long"&gt;45379&lt;/D&gt;&lt;/FQL&gt;&lt;FQL&gt;&lt;Q&gt;EWN^FMA_PE(NTMA,0,,,"PORTAGG","MEANR")&lt;/Q&gt;&lt;R&gt;1&lt;/R&gt;&lt;C&gt;1&lt;/C&gt;&lt;D xsi:type="xsd:double"&gt;16.3473139763207&lt;/D&gt;&lt;/FQL&gt;&lt;FQL&gt;&lt;Q&gt;QQQ^FMA_DIV_YLD(NTMA,NOW,NOW,M,"PORTAGG","MEANR")&lt;/Q&gt;&lt;R&gt;1&lt;/R&gt;&lt;C&gt;1&lt;/C&gt;&lt;D xsi:type="xsd:double"&gt;0.943896880301974&lt;/D&gt;&lt;/FQL&gt;&lt;FQL&gt;&lt;Q&gt;SPY^FG_COMPANY_NAME&lt;/Q&gt;&lt;R&gt;1&lt;/R&gt;&lt;C&gt;1&lt;/C&gt;&lt;D xsi:type="xsd:string"&gt;SPDR S&amp;amp;P 500 ETF Trust&lt;/D&gt;&lt;/FQL&gt;&lt;FQL&gt;&lt;Q&gt;TLT^FG_TOTAL_RETURNC(0,-3AM)&lt;/Q&gt;&lt;R&gt;1&lt;/R&gt;&lt;C&gt;1&lt;/C&gt;&lt;D xsi:type="xsd:double"&gt;-0.4908085&lt;/D&gt;&lt;/FQL&gt;&lt;FQL&gt;&lt;Q&gt;GLD^FG_TOTAL_RETURNC(0,-3AM)&lt;/Q&gt;&lt;R&gt;1&lt;/R&gt;&lt;C&gt;1&lt;/C&gt;&lt;D xsi:type="xsd:double"&gt;20.027912&lt;/D&gt;&lt;/FQL&gt;&lt;FQL&gt;&lt;Q&gt;EWI^FMA_ROE(NTMA,-20AY,NOW,FY,"PORTAGG","MEANR")&lt;/Q&gt;&lt;R&gt;20&lt;/R&gt;&lt;C&gt;1&lt;/C&gt;&lt;D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xsi:type="xsd:double"&gt;8.95&lt;/D&gt;&lt;/FQL&gt;&lt;FQL&gt;&lt;Q&gt;CAGDPY@US^EE_ACTUAL_ANNUAL(MED,+1)&lt;/Q&gt;&lt;R&gt;1&lt;/R&gt;&lt;C&gt;1&lt;/C&gt;&lt;D xsi:type="xsd:double"&gt;-3&lt;/D&gt;&lt;/FQL&gt;&lt;FQL&gt;&lt;Q&gt;USDSEK^FG_COMPANY_NAME&lt;/Q&gt;&lt;R&gt;1&lt;/R&gt;&lt;C&gt;1&lt;/C&gt;&lt;D xsi:type="xsd:string"&gt;Swedish Krona per U.S. Dollar&lt;/D&gt;&lt;/FQL&gt;&lt;FQL&gt;&lt;Q&gt;USDCAD^STD(FG_PRICE_CHANGE(0,-3AY,M))&lt;/Q&gt;&lt;R&gt;1&lt;/R&gt;&lt;C&gt;1&lt;/C&gt;&lt;D xsi:type="xsd:double"&gt;1.84677137832339&lt;/D&gt;&lt;/FQL&gt;&lt;FQL&gt;&lt;Q&gt;USDNZD^FG_COMPANY_NAME&lt;/Q&gt;&lt;R&gt;1&lt;/R&gt;&lt;C&gt;1&lt;/C&gt;&lt;D xsi:type="xsd:string"&gt;New Zealand Dollar per U.S. Dollar&lt;/D&gt;&lt;/FQL&gt;&lt;FQL&gt;&lt;Q&gt;ENZL^JULIAN(FG_TOTAL_RETURNC(-10AY,0,AM).DATES)&lt;/Q&gt;&lt;R&gt;121&lt;/R&gt;&lt;C&gt;1&lt;/C&gt;&lt;D xsi:type="xsd:long"&gt;41775&lt;/D&gt;&lt;D xsi:type="xsd:long"&gt;41807&lt;/D&gt;&lt;D xsi:type="xsd:long"&gt;41837&lt;/D&gt;&lt;D xsi:type="xsd:long"&gt;41866&lt;/D&gt;&lt;D xsi:type="xsd:long"&gt;41899&lt;/D&gt;&lt;D xsi:type="xsd:long"&gt;41929&lt;/D&gt;&lt;D xsi:type="xsd:long"&gt;41960&lt;/D&gt;&lt;D xsi:type="xsd:long"&gt;41990&lt;/D&gt;&lt;D xsi:type="xsd:long"&gt;42020&lt;/D&gt;&lt;D xsi:type="xsd:long"&gt;42052&lt;/D&gt;&lt;D xsi:type="xsd:long"&gt;42080&lt;/D&gt;&lt;D xsi:type="xsd:long"&gt;42111&lt;/D&gt;&lt;D xsi:type="xsd:long"&gt;42139&lt;/D&gt;&lt;D xsi:type="xsd:long"&gt;42172&lt;/D&gt;&lt;D xsi:type="xsd:long"&gt;42202&lt;/D&gt;&lt;D xsi:type="xsd:long"&gt;42233&lt;/D&gt;&lt;D xsi:type="xsd:long"&gt;42264&lt;/D&gt;&lt;D xsi:type="xsd:long"&gt;42293&lt;/D&gt;&lt;D xsi:type="xsd:long"&gt;42325&lt;/D&gt;&lt;D xsi:type="xsd:long"&gt;42355&lt;/D&gt;&lt;D xsi:type="xsd:long"&gt;42384&lt;/D&gt;&lt;D xsi:type="xsd:long"&gt;42417&lt;/D&gt;&lt;D xsi:type="xsd:long"&gt;42446&lt;/D&gt;&lt;D xsi:type="xsd:long"&gt;42475&lt;/D&gt;&lt;D xsi:type="xsd:long"&gt;42507&lt;/D&gt;&lt;D xsi:type="xsd:long"&gt;42538&lt;/D&gt;&lt;D xsi:type="xsd:long"&gt;42566&lt;/D&gt;&lt;D xsi:type="xsd:long"&gt;42599&lt;/D&gt;&lt;D xsi:type="xsd:long"&gt;42629&lt;/D&gt;&lt;D xsi:type="xsd:long"&gt;42660&lt;/D&gt;&lt;D xsi:type="xsd:long"&gt;42691&lt;/D&gt;&lt;D xsi:type="xsd:long"&gt;42720&lt;/D&gt;&lt;D xsi:type="xsd:long"&gt;42752&lt;/D&gt;&lt;D xsi:type="xsd:long"&gt;42783&lt;/D&gt;&lt;D xsi:type="xsd:long"&gt;42811&lt;/D&gt;&lt;D xsi:type="xsd:long"&gt;42842&lt;/D&gt;&lt;D xsi:type="xsd:long"&gt;42872&lt;/D&gt;&lt;D xsi:type="xsd:long"&gt;42902&lt;/D&gt;&lt;D xsi:type="xsd:long"&gt;42933&lt;/D&gt;&lt;D xsi:type="xsd:long"&gt;42964&lt;/D&gt;&lt;D xsi:type="xsd:long"&gt;42993&lt;/D&gt;&lt;D xsi:type="xsd:long"&gt;43025&lt;/D&gt;&lt;D xsi:type="xsd:long"&gt;43056&lt;/D&gt;&lt;D xsi:type="xsd:long"&gt;43084&lt;/D&gt;&lt;D xsi:type="xsd:long"&gt;43117&lt;/D&gt;&lt;D xsi:type="xsd:long"&gt;43147&lt;/D&gt;&lt;D xsi:type="xsd:long"&gt;43175&lt;/D&gt;&lt;D xsi:type="xsd:long"&gt;43207&lt;/D&gt;&lt;D xsi:type="xsd:long"&gt;43237&lt;/D&gt;&lt;D xsi:type="xsd:long"&gt;43266&lt;/D&gt;&lt;D xsi:type="xsd:long"&gt;43298&lt;/D&gt;&lt;D xsi:type="xsd:long"&gt;43329&lt;/D&gt;&lt;D xsi:type="xsd:long"&gt;43360&lt;/D&gt;&lt;D xsi:type="xsd:long"&gt;43390&lt;/D&gt;&lt;D xsi:type="xsd:long"&gt;43420&lt;/D&gt;&lt;D xsi:type="xsd:long"&gt;43451&lt;/D&gt;&lt;D xsi:type="xsd:long"&gt;43482&lt;/D&gt;&lt;D xsi:type="xsd:long"&gt;43511&lt;/D&gt;&lt;D xsi:type="xsd:long"&gt;43539&lt;/D&gt;&lt;D xsi:type="xsd:long"&gt;43572&lt;/D&gt;&lt;D xsi:type="xsd:long"&gt;43602&lt;/D&gt;&lt;D xsi:type="xsd:long"&gt;43633&lt;/D&gt;&lt;D xsi:type="xsd:long"&gt;43663&lt;/D&gt;&lt;D xsi:type="xsd:long"&gt;43693&lt;/D&gt;&lt;D xsi:type="xsd:long"&gt;43725&lt;/D&gt;&lt;D xsi:type="xsd:long"&gt;43755&lt;/D&gt;&lt;D xsi:type="xsd:long"&gt;43784&lt;/D&gt;&lt;D xsi:type="xsd:long"&gt;43816&lt;/D&gt;&lt;D xsi:type="xsd:long"&gt;43847&lt;/D&gt;&lt;D xsi:type="xsd:long"&gt;43875&lt;/D&gt;&lt;D xsi:type="xsd:long"&gt;43907&lt;/D&gt;&lt;D xsi:type="xsd:long"&gt;43938&lt;/D&gt;&lt;D xsi:type="xsd:long"&gt;43966&lt;/D&gt;&lt;D xsi:type="xsd:long"&gt;43999&lt;/D&gt;&lt;D xsi:type="xsd:long"&gt;44029&lt;/D&gt;&lt;D xsi:type="xsd:long"&gt;44060&lt;/D&gt;&lt;D xsi:type="xsd:long"&gt;44091&lt;/D&gt;&lt;D xsi:type="xsd:long"&gt;44120&lt;/D&gt;&lt;D xsi:type="xsd:long"&gt;44152&lt;/D&gt;&lt;D xsi:type="xsd:long"&gt;44182&lt;/D&gt;&lt;D xsi:type="xsd:long"&gt;44211&lt;/D&gt;&lt;D xsi:type="xsd:long"&gt;44244&lt;/D&gt;&lt;D xsi:type="xsd:long"&gt;44272&lt;/D&gt;&lt;D xsi:type="xsd:long"&gt;44302&lt;/D&gt;&lt;D xsi:type="xsd:long"&gt;44333&lt;/D&gt;&lt;D xsi:type="xsd:long"&gt;44364&lt;/D&gt;&lt;D xsi:type="xsd:long"&gt;44393&lt;/D&gt;&lt;D xsi:type="xsd:long"&gt;44425&lt;/D&gt;&lt;D xsi:type="xsd:long"&gt;44456&lt;/D&gt;&lt;D xsi:type="xsd:long"&gt;44484&lt;/D&gt;&lt;D xsi:type="xsd:long"&gt;44517&lt;/D&gt;&lt;D xsi:type="xsd:long"&gt;44547&lt;/D&gt;&lt;D xsi:type="xsd:long"&gt;44575&lt;/D&gt;&lt;D xsi:type="xsd:long"&gt;44609&lt;/D&gt;&lt;D xsi:type="xsd:long"&gt;44637&lt;/D&gt;&lt;D xsi:type="xsd:long"&gt;44665&lt;/D&gt;&lt;D xsi:type="xsd:long"&gt;44698&lt;/D&gt;&lt;D xsi:type="xsd:long"&gt;44729&lt;/D&gt;&lt;D xsi:type="xsd:long"&gt;44757&lt;/D&gt;&lt;D xsi:type="xsd:long"&gt;44790&lt;/D&gt;&lt;D xsi:type="xsd:long"&gt;44820&lt;/D&gt;&lt;D xsi:type="xsd:long"&gt;44851&lt;/D&gt;&lt;D xsi:type="xsd:long"&gt;44882&lt;/D&gt;&lt;D xsi:type="xsd:long"&gt;44911&lt;/D&gt;&lt;D xsi:type="xsd:long"&gt;44943&lt;/D&gt;&lt;D xsi:type="xsd:long"&gt;44974&lt;/D&gt;&lt;D xsi:type="xsd:long"&gt;45002&lt;/D&gt;&lt;D xsi:type="xsd:long"&gt;45033&lt;/D&gt;&lt;D xsi:type="xsd:long"&gt;45063&lt;/D&gt;&lt;D xsi:type="xsd:long"&gt;45093&lt;/D&gt;&lt;D xsi:type="xsd:long"&gt;45124&lt;/D&gt;&lt;D xsi:type="xsd:long"&gt;45155&lt;/D&gt;&lt;D xsi:type="xsd:long"&gt;45184&lt;/D&gt;&lt;D xsi:type="xsd:long"&gt;45216&lt;/D&gt;&lt;D xsi:type="xsd:long"&gt;45247&lt;/D&gt;&lt;D xsi:type="xsd:long"&gt;45275&lt;/D&gt;&lt;D xsi:type="xsd:long"&gt;45308&lt;/D&gt;&lt;D xsi:type="xsd:long"&gt;45338&lt;/D&gt;&lt;D xsi:type="xsd:long"&gt;45366&lt;/D&gt;&lt;D xsi:type="xsd:long"&gt;45399&lt;/D&gt;&lt;D xsi:type="xsd:long"&gt;45429&lt;/D&gt;&lt;/FQL&gt;&lt;FQL&gt;&lt;Q&gt;EWL^FMA_PE(NTMA,-10AY,0,AM,"PORTAGG","MEANR")&lt;/Q&gt;&lt;R&gt;121&lt;/R&gt;&lt;C&gt;1&lt;/C&gt;&lt;D xsi:type="xsd:double"&gt;16.3823125354432&lt;/D&gt;&lt;D xsi:type="xsd:double"&gt;16.2557317582537&lt;/D&gt;&lt;D xsi:type="xsd:double"&gt;15.9947630102833&lt;/D&gt;&lt;D xsi:type="xsd:double"&gt;15.773685737102&lt;/D&gt;&lt;D xsi:type="xsd:double"&gt;16.1744269323025&lt;/D&gt;&lt;D xsi:type="xsd:double"&gt;14.9560518475671&lt;/D&gt;&lt;D xsi:type="xsd:double"&gt;16.0111012474491&lt;/D&gt;&lt;D xsi:type="xsd:double"&gt;15.4992929113838&lt;/D&gt;&lt;D xsi:type="xsd:double"&gt;15.0684969938974&lt;/D&gt;&lt;D xsi:type="xsd:double"&gt;17.1793909816404&lt;/D&gt;&lt;D xsi:type="xsd:double"&gt;17.5873779740239&lt;/D&gt;&lt;D xsi:type="xsd:double"&gt;18.0300186729242&lt;/D&gt;&lt;D xsi:type="xsd:double"&gt;17.6683527102667&lt;/D&gt;&lt;D xsi:type="xsd:double"&gt;17.0603113153489&lt;/D&gt;&lt;D xsi:type="xsd:double"&gt;17.7916840278546&lt;/D&gt;&lt;D xsi:type="xsd:double"&gt;17.4564781155338&lt;/D&gt;&lt;D xsi:type="xsd:double"&gt;16.6012960029672&lt;/D&gt;&lt;D xsi:type="xsd:double"&gt;16.6347215803529&lt;/D&gt;&lt;D xsi:type="xsd:double"&gt;16.9440107884159&lt;/D&gt;&lt;D xsi:type="xsd:double"&gt;16.6881854174181&lt;/D&gt;&lt;D xsi:type="xsd:double"&gt;15.6865596623357&lt;/D&gt;&lt;D xsi:type="xsd:double"&gt;16.2753863104144&lt;/D&gt;&lt;D xsi:type="xsd:double"&gt;16.5425825897978&lt;/D&gt;&lt;D xsi:type="xsd:double"&gt;16.842706697084&lt;/D&gt;&lt;D xsi:type="xsd:double"&gt;16.590341985359&lt;/D&gt;&lt;D xsi:type="xsd:double"&gt;16.2081043403575&lt;/D&gt;&lt;D xsi:type="xsd:double"&gt;16.9775403745249&lt;/D&gt;&lt;D xsi:type="xsd:double"&gt;17.3457961528068&lt;/D&gt;&lt;D xsi:type="xsd:double"&gt;17.0451400333788&lt;/D&gt;&lt;D xsi:type="xsd:double"&gt;16.6648471806112&lt;/D&gt;&lt;D xsi:type="xsd:double"&gt;16.5433497321495&lt;/D&gt;&lt;D xsi:type="xsd:double"&gt;16.7363261949343&lt;/D&gt;&lt;D xsi:type="xsd:double"&gt;17.0302142149479&lt;/D&gt;&lt;D xsi:type="xsd:double"&gt;17.5057578485245&lt;/D&gt;&lt;D xsi:type="xsd:double"&gt;17.78664483832&lt;/D&gt;&lt;D xsi:type="xsd:double"&gt;17.3922999533195&lt;/D&gt;&lt;D xsi:type="xsd:double"&gt;17.9666436838711&lt;/D&gt;&lt;D xsi:type="xsd:double"&gt;18.0083303832634&lt;/D&gt;&lt;D xsi:type="xsd:double"&gt;17.9520914153394&lt;/D&gt;&lt;D xsi:type="xsd:double"&gt;17.5513730750833&lt;/D&gt;&lt;D xsi:type="xsd:double"&gt;17.6332706768824&lt;/D&gt;&lt;D xsi:type="xsd:double"&gt;17.8762734620815&lt;/D&gt;&lt;D xsi:type="xsd:double"&gt;17.6075578838931&lt;/D&gt;&lt;D xsi:type="xsd:double"&gt;17.7047337262461&lt;/D&gt;&lt;D xsi:type="xsd:double"&gt;17.8115512757317&lt;/D&gt;&lt;D xsi:type="xsd:double"&gt;16.906642917335&lt;/D&gt;&lt;D xsi:type="xsd:double"&gt;16.3443899736394&lt;/D&gt;&lt;D xsi:type="xsd:double"&gt;16.1196458814487&lt;/D&gt;&lt;D xsi:type="xsd:double"&gt;16.3070688815154&lt;/D&gt;&lt;D xsi:type="xsd:double"&gt;15.6965312297304&lt;/D&gt;&lt;D xsi:type="xsd:double"&gt;15.9201269309466&lt;/D&gt;&lt;D xsi:type="xsd:double"&gt;15.9429735073554&lt;/D&gt;&lt;D xsi:type="xsd:double"&gt;15.9436840354013&lt;/D&gt;&lt;D xsi:type="xsd:double"&gt;15.2694611787673&lt;/D&gt;&lt;D xsi:type="xsd:double"&gt;15.4614244484418&lt;/D&gt;&lt;D xsi:type="xsd:double"&gt;14.8208445157067&lt;/D&gt;&lt;D xsi:type="xsd:double"&gt;15.3772902571275&lt;/D&gt;&lt;D xsi:type="xsd:double"&gt;15.8878373452864&lt;/D&gt;&lt;D xsi:type="xsd:double"&gt;16.5442366262203&lt;/D&gt;&lt;D xsi:type="xsd:double"&gt;16.893968269505&lt;/D&gt;&lt;D xsi:type="xsd:double"&gt;16.7232838614962&lt;/D&gt;&lt;D xsi:type="xsd:double"&gt;16.9665869765532&lt;/D&gt;&lt;D xsi:type="xsd:double"&gt;17.185893108174&lt;/D&gt;&lt;D xsi:type="xsd:double"&gt;16.7193476877597&lt;/D&gt;&lt;D xsi:type="xsd:double"&gt;17.0629599736766&lt;/D&gt;&lt;D xsi:type="xsd:double"&gt;17.0509026558765&lt;/D&gt;&lt;D xsi:type="xsd:double"&gt;17.3912009304368&lt;/D&gt;&lt;D xsi:type="xsd:double"&gt;17.6870070596884&lt;/D&gt;&lt;D xsi:type="xsd:double"&gt;18.2229273399078&lt;/D&gt;&lt;D xsi:type="xsd:double"&gt;18.4790363072254&lt;/D&gt;&lt;D xsi:type="xsd:double"&gt;14.1973632454985&lt;/D&gt;&lt;D xsi:type="xsd:double"&gt;17.8451703911572&lt;/D&gt;&lt;D xsi:type="xsd:double"&gt;18.3521045601686&lt;/D&gt;&lt;D xsi:type="xsd:double"&gt;19.4752636514213&lt;/D&gt;&lt;D xsi:type="xsd:double"&gt;19.9635500254364&lt;/D&gt;&lt;D xsi:type="xsd:double"&gt;19.5977912527095&lt;/D&gt;&lt;D xsi:type="xsd:double"&gt;19.6256595317035&lt;/D&gt;&lt;D xsi:type="xsd:double"&gt;18.8835549768198&lt;/D&gt;&lt;D xsi:type="xsd:double"&gt;19.0876637834366&lt;/D&gt;&lt;D xsi:type="xsd:double"&gt;18.6718861474905&lt;/D&gt;&lt;D xsi:type="xsd:double"&gt;18.9722161656113&lt;/D&gt;&lt;D xsi:type="xsd:double"&gt;18.8324650475801&lt;/D&gt;&lt;D xsi:type="xsd:double"&gt;18.6268898296496&lt;/D&gt;&lt;D xsi:type="xsd:double"&gt;19.5032024652773&lt;/D&gt;&lt;D xsi:type="xsd:double"&gt;18.9599425085748&lt;/D&gt;&lt;D xsi:type="xsd:double"&gt;19.9688885510351&lt;/D&gt;&lt;D xsi:type="xsd:double"&gt;19.7852021477571&lt;/D&gt;&lt;D xsi:type="xsd:double"&gt;20.0658343310763&lt;/D&gt;&lt;D xsi:type="xsd:double"&gt;18.9321525249499&lt;/D&gt;&lt;D xsi:type="xsd:double"&gt;18.7540915189051&lt;/D&gt;&lt;D xsi:type="xsd:double"&gt;19.43120715845&lt;/D&gt;&lt;D xsi:type="xsd:double"&gt;19.4865517036619&lt;/D&gt;&lt;D xsi:type="xsd:double"&gt;18.9367884259307&lt;/D&gt;&lt;D xsi:type="xsd:double"&gt;18.172910785596&lt;/D&gt;&lt;D xsi:type="xsd:double"&gt;18.0885532062789&lt;/D&gt;&lt;D xsi:type="xsd:double"&gt;18.5527374703552&lt;/D&gt;&lt;D xsi:type="xsd:double"&gt;17.0109550209074&lt;/D&gt;&lt;D xsi:type="xsd:double"&gt;15.1852769528944&lt;/D&gt;&lt;D xsi:type="xsd:double"&gt;16.077543019842&lt;/D&gt;&lt;D xsi:type="xsd:double"&gt;16.7206044615237&lt;/D&gt;&lt;D xsi:type="xsd:double"&gt;15.6646012653244&lt;/D&gt;&lt;D xsi:type="xsd:double"&gt;15.3036265691343&lt;/D&gt;&lt;D xsi:type="xsd:double"&gt;16.5818916107256&lt;/D&gt;&lt;D xsi:type="xsd:double"&gt;16.3163836588258&lt;/D&gt;&lt;D xsi:type="xsd:double"&gt;17.4168981024142&lt;/D&gt;&lt;D xsi:type="xsd:double"&gt;17.3205236610997&lt;/D&gt;&lt;D xsi:type="xsd:double"&gt;16.3645322185771&lt;/D&gt;&lt;D xsi:type="xsd:double"&gt;17.409084097089&lt;/D&gt;&lt;D xsi:type="xsd:double"&gt;17.2809802101621&lt;/D&gt;&lt;D xsi:type="xsd:double"&gt;16.6682321101236&lt;/D&gt;&lt;D xsi:type="xsd:double"&gt;16.4772460798562&lt;/D&gt;&lt;D xsi:type="xsd:double"&gt;16.2748398815864&lt;/D&gt;&lt;D xsi:type="xsd:double"&gt;16.6919037520898&lt;/D&gt;&lt;D xsi:type="xsd:double"&gt;16.0311831436355&lt;/D&gt;&lt;D xsi:type="xsd:double"&gt;16.1020436139526&lt;/D&gt;&lt;D xsi:type="xsd:double"&gt;16.8217641597756&lt;/D&gt;&lt;D xsi:type="xsd:double"&gt;16.8284144313578&lt;/D&gt;&lt;D xsi:type="xsd:double"&gt;17.3858455769257&lt;/D&gt;&lt;D xsi:type="xsd:double"&gt;17.7244209932734&lt;/D&gt;&lt;D xsi:type="xsd:double"&gt;16.773200977689&lt;/D&gt;&lt;D xsi:type="xsd:double"&gt;17.3506356712766&lt;/D&gt;&lt;/FQL&gt;&lt;FQL&gt;&lt;Q&gt;PASP-FDS^FG_PRICE_MAVG(0,,,,30)&lt;/Q&gt;&lt;R&gt;1&lt;/R&gt;&lt;C&gt;1&lt;/C&gt;&lt;D xsi:type="xsd:double"&gt;1009.7&lt;/D&gt;&lt;/FQL&gt;&lt;FQL&gt;&lt;Q&gt;CPALM-FDS^FG_PRICE_CHANGE(0,-3AM)&lt;/Q&gt;&lt;R&gt;1&lt;/R&gt;&lt;C&gt;1&lt;/C&gt;&lt;D xsi:type="xsd:double"&gt;-0.383631713554988&lt;/D&gt;&lt;/FQL&gt;&lt;FQL&gt;&lt;Q&gt;FC0000GB^FG_PRICE(0)&lt;/Q&gt;&lt;R&gt;1&lt;/R&gt;&lt;C&gt;1&lt;/C&gt;&lt;D xsi:type="xsd:double"&gt;130.51935&lt;/D&gt;&lt;/FQL&gt;&lt;FQL&gt;&lt;Q&gt;EWG^FG_PRICE_MAVG(0,,,,200)&lt;/Q&gt;&lt;R&gt;1&lt;/R&gt;&lt;C&gt;1&lt;/C&gt;&lt;D xsi:type="xsd:double"&gt;28.80325&lt;/D&gt;&lt;/FQL&gt;&lt;FQL&gt;&lt;Q&gt;EWI^FG_TOTAL_RETURNC(0,-12AM)&lt;/Q&gt;&lt;R&gt;1&lt;/R&gt;&lt;C&gt;1&lt;/C&gt;&lt;D xsi:type="xsd:double"&gt;30.897331&lt;/D&gt;&lt;/FQL&gt;&lt;FQL&gt;&lt;Q&gt;EWU^PERCENT_CHANGE(FMA_EPS(+1,0,,,,"PORTAGG","MEAN"),FMA_EPS(+1,-1AM,,,,"PORTAGG","MEAN"))&lt;/Q&gt;&lt;R&gt;1&lt;/R&gt;&lt;C&gt;1&lt;/C&gt;&lt;D xsi:type="xsd:double"&gt;2.45885723311205&lt;/D&gt;&lt;/FQL&gt;&lt;FQL&gt;&lt;Q&gt;EWA^P_PRICE(0)/P_PRICE_HIGH_PR(0,,,,,,"PRICE","INTRA","52W")&lt;/Q&gt;&lt;R&gt;1&lt;/R&gt;&lt;C&gt;1&lt;/C&gt;&lt;D xsi:type="xsd:double"&gt;1&lt;/D&gt;&lt;/FQL&gt;&lt;FQL&gt;&lt;Q&gt;EWJ^FMA_COS_UP("EPS","1M",+1,0,,,"PORTAGG","MEANR")&lt;/Q&gt;&lt;R&gt;1&lt;/R&gt;&lt;C&gt;1&lt;/C&gt;&lt;D xsi:type="xsd:double"&gt;106&lt;/D&gt;&lt;/FQL&gt;&lt;FQL&gt;&lt;Q&gt;EWD^FG_ROE(0)&lt;/Q&gt;&lt;R&gt;1&lt;/R&gt;&lt;C&gt;1&lt;/C&gt;&lt;D xsi:type="xsd:double"&gt;16.884260777642&lt;/D&gt;&lt;/FQL&gt;&lt;FQL&gt;&lt;Q&gt;TRYSE10Y-FDS^PCTCHG(FG_YIELD(0,,,,"YTM"),FG_YIELD(-3AM,,,,"YTM"))&lt;/Q&gt;&lt;R&gt;1&lt;/R&gt;&lt;C&gt;1&lt;/C&gt;&lt;D xsi:type="xsd:double"&gt;-3.331966&lt;/D&gt;&lt;/FQL&gt;&lt;FQL&gt;&lt;Q&gt;TRYAU10Y-FDS^PCTCHG(FG_YIELD(0,,,,"YTM"),FG_YIELD(-3AM,,,,"YTM"))&lt;/Q&gt;&lt;R&gt;1&lt;/R&gt;&lt;C&gt;1&lt;/C&gt;&lt;D xsi:type="xsd:double"&gt;0.42907387&lt;/D&gt;&lt;/FQL&gt;&lt;FQL&gt;&lt;Q&gt;CC_CH^IMF_IFS_RCPI_Q(0)&lt;/Q&gt;&lt;R&gt;1&lt;/R&gt;&lt;C&gt;1&lt;/C&gt;&lt;D xsi:type="xsd:double"&gt;1.1636324&lt;/D&gt;&lt;/FQL&gt;&lt;FQL&gt;&lt;Q&gt;QQQ^FMA_PE(NTMA,0,,,"PORTAGG","MEANR")&lt;/Q&gt;&lt;R&gt;1&lt;/R&gt;&lt;C&gt;1&lt;/C&gt;&lt;D xsi:type="xsd:double"&gt;26.1382196721619&lt;/D&gt;&lt;/FQL&gt;&lt;FQL&gt;&lt;Q&gt;EWJ^FG_FCF_YIELD_NTM(0)&lt;/Q&gt;&lt;R&gt;1&lt;/R&gt;&lt;C&gt;1&lt;/C&gt;&lt;D xsi:type="xsd:double"&gt;4.20406753952172&lt;/D&gt;&lt;/FQL&gt;&lt;FQL&gt;&lt;Q&gt;EWA^FMA_EVAL_EBIT(LTMA,NOW,NOW,M,"PORTAGG","MEANR")&lt;/Q&gt;&lt;R&gt;1&lt;/R&gt;&lt;C&gt;1&lt;/C&gt;&lt;D xsi:type="xsd:double"&gt;12.3737151238296&lt;/D&gt;&lt;/FQL&gt;&lt;FQL&gt;&lt;Q&gt;GLD^FG_TOTAL_RETURNC(0,-1AM)&lt;/Q&gt;&lt;R&gt;1&lt;/R&gt;&lt;C&gt;1&lt;/C&gt;&lt;D xsi:type="xsd:double"&gt;1.8534541&lt;/D&gt;&lt;/FQL&gt;&lt;FQL&gt;&lt;Q&gt;EWN^FMA_ROE(NTMA,-20AY,NOW,FY,"PORTAGG","MEANR")&lt;/Q&gt;&lt;R&gt;20&lt;/R&gt;&lt;C&gt;1&lt;/C&gt;&lt;D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xsi:type="xsd:double"&gt;13.091763606586&lt;/D&gt;&lt;D xsi:type="xsd:double"&gt;9.77856565542044&lt;/D&gt;&lt;D xsi:type="xsd:double"&gt;10.8991459502058&lt;/D&gt;&lt;D xsi:type="xsd:double"&gt;12.0158891729577&lt;/D&gt;&lt;D xsi:type="xsd:double"&gt;12.7459856653411&lt;/D&gt;&lt;/FQL&gt;&lt;FQL&gt;&lt;Q&gt;TRYTR7Y-FDS^FG_YIELD(-10AY,0,Y,,"YTM")&lt;/Q&gt;&lt;R&gt;10&lt;/R&gt;&lt;C&gt;1&lt;/C&gt;&lt;D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xsi:type="xsd:double"&gt;21.984322&lt;/D&gt;&lt;/FQL&gt;&lt;FQL&gt;&lt;Q&gt;CC_CH^FG_COMPANY_NAME&lt;/Q&gt;&lt;R&gt;1&lt;/R&gt;&lt;C&gt;1&lt;/C&gt;&lt;D xsi:type="xsd:string"&gt;Switzerland&lt;/D&gt;&lt;/FQL&gt;&lt;FQL&gt;&lt;Q&gt;USDCHF^FG_PRICE_CHANGE(0,-3AM)&lt;/Q&gt;&lt;R&gt;1&lt;/R&gt;&lt;C&gt;1&lt;/C&gt;&lt;D xsi:type="xsd:double"&gt;2.9860973&lt;/D&gt;&lt;/FQL&gt;&lt;FQL&gt;&lt;Q&gt;EWU^P_PRICE_RETURNS_PR('52W',2,-10AY,0,AM)&lt;/Q&gt;&lt;R&gt;121&lt;/R&gt;&lt;C&gt;1&lt;/C&gt;&lt;D xsi:type="xsd:double"&gt;16.718887&lt;/D&gt;&lt;D xsi:type="xsd:double"&gt;19.060825&lt;/D&gt;&lt;D xsi:type="xsd:double"&gt;17.99649&lt;/D&gt;&lt;D xsi:type="xsd:double"&gt;13.30862&lt;/D&gt;&lt;D xsi:type="xsd:double"&gt;7.933438&lt;/D&gt;&lt;D xsi:type="xsd:double"&gt;-2.7335227&lt;/D&gt;&lt;D xsi:type="xsd:double"&gt;-0.8888304&lt;/D&gt;&lt;D xsi:type="xsd:double"&gt;-3.7154555&lt;/D&gt;&lt;D xsi:type="xsd:double"&gt;-8.800268&lt;/D&gt;&lt;D xsi:type="xsd:double"&gt;-2.8772235&lt;/D&gt;&lt;D xsi:type="xsd:double"&gt;-4.974246&lt;/D&gt;&lt;D xsi:type="xsd:double"&gt;-3.5561144&lt;/D&gt;&lt;D xsi:type="xsd:double"&gt;-2.40615&lt;/D&gt;&lt;D xsi:type="xsd:double"&gt;-6.01635&lt;/D&gt;&lt;D xsi:type="xsd:double"&gt;-5.934888&lt;/D&gt;&lt;D xsi:type="xsd:double"&gt;-6.458819&lt;/D&gt;&lt;D xsi:type="xsd:double"&gt;-11.030525&lt;/D&gt;&lt;D xsi:type="xsd:double"&gt;1.6426563&lt;/D&gt;&lt;D xsi:type="xsd:double"&gt;-6.9391847&lt;/D&gt;&lt;D xsi:type="xsd:double"&gt;-6.6722574&lt;/D&gt;&lt;D xsi:type="xsd:double"&gt;-13.99728&lt;/D&gt;&lt;D xsi:type="xsd:double"&gt;-16.530794&lt;/D&gt;&lt;D xsi:type="xsd:double"&gt;-8.53129&lt;/D&gt;&lt;D xsi:type="xsd:double"&gt;-12.320352&lt;/D&gt;&lt;D xsi:type="xsd:double"&gt;-17.135298&lt;/D&gt;&lt;D xsi:type="xsd:double"&gt;-15.396923&lt;/D&gt;&lt;D xsi:type="xsd:double"&gt;-13.584882&lt;/D&gt;&lt;D xsi:type="xsd:double"&gt;-9.329945&lt;/D&gt;&lt;D xsi:type="xsd:double"&gt;-6.252199&lt;/D&gt;&lt;D xsi:type="xsd:double"&gt;-11.187065&lt;/D&gt;&lt;D xsi:type="xsd:double"&gt;-7.890415&lt;/D&gt;&lt;D xsi:type="xsd:double"&gt;-1.5744865&lt;/D&gt;&lt;D xsi:type="xsd:double"&gt;12.376595&lt;/D&gt;&lt;D xsi:type="xsd:double"&gt;9.255278&lt;/D&gt;&lt;D xsi:type="xsd:double"&gt;6.36158&lt;/D&gt;&lt;D xsi:type="xsd:double"&gt;6.1279893&lt;/D&gt;&lt;D xsi:type="xsd:double"&gt;12.778926&lt;/D&gt;&lt;D xsi:type="xsd:double"&gt;16.438652&lt;/D&gt;&lt;D xsi:type="xsd:double"&gt;13.207256&lt;/D&gt;&lt;D xsi:type="xsd:double"&gt;8.825434&lt;/D&gt;&lt;D xsi:type="xsd:double"&gt;13.702035&lt;/D&gt;&lt;D xsi:type="xsd:double"&gt;21.223461&lt;/D&gt;&lt;D xsi:type="xsd:double"&gt;19.00035&lt;/D&gt;&lt;D xsi:type="xsd:double"&gt;18.371487&lt;/D&gt;&lt;D xsi:type="xsd:double"&gt;23.668312&lt;/D&gt;&lt;D xsi:type="xsd:double"&gt;15.814948&lt;/D&gt;&lt;D xsi:type="xsd:double"&gt;11.670923&lt;/D&gt;&lt;D xsi:type="xsd:double"&gt;15.622389&lt;/D&gt;&lt;D xsi:type="xsd:double"&gt;12.388921&lt;/D&gt;&lt;D xsi:type="xsd:double"&gt;10.635864&lt;/D&gt;&lt;D xsi:type="xsd:double"&gt;6.998825&lt;/D&gt;&lt;D xsi:type="xsd:double"&gt;5.03397&lt;/D&gt;&lt;D xsi:type="xsd:double"&gt;0.65772533&lt;/D&gt;&lt;D xsi:type="xsd:double"&gt;-3.482163&lt;/D&gt;&lt;D xsi:type="xsd:double"&gt;-3.8719296&lt;/D&gt;&lt;D xsi:type="xsd:double"&gt;-11.841875&lt;/D&gt;&lt;D xsi:type="xsd:double"&gt;-13.812041&lt;/D&gt;&lt;D xsi:type="xsd:double"&gt;-5.44883&lt;/D&gt;&lt;D xsi:type="xsd:double"&gt;0.525856&lt;/D&gt;&lt;D xsi:type="xsd:double"&gt;-2.1057963&lt;/D&gt;&lt;D xsi:type="xsd:double"&gt;-7.79739&lt;/D&gt;&lt;D xsi:type="xsd:double"&gt;-5.7681084&lt;/D&gt;&lt;D xsi:type="xsd:double"&gt;-3.2351136&lt;/D&gt;&lt;D xsi:type="xsd:double"&gt;-6.3761415&lt;/D&gt;&lt;D xsi:type="xsd:double"&gt;-0.6018162&lt;/D&gt;&lt;D xsi:type="xsd:double"&gt;3.4192085&lt;/D&gt;&lt;D xsi:type="xsd:double"&gt;7.3406935&lt;/D&gt;&lt;D xsi:type="xsd:double"&gt;20.040857&lt;/D&gt;&lt;D xsi:type="xsd:double"&gt;15.96154&lt;/D&gt;&lt;D xsi:type="xsd:double"&gt;8.037626&lt;/D&gt;&lt;D xsi:type="xsd:double"&gt;-31.14357&lt;/D&gt;&lt;D xsi:type="xsd:double"&gt;-23.566305&lt;/D&gt;&lt;D xsi:type="xsd:double"&gt;-22.908646&lt;/D&gt;&lt;D xsi:type="xsd:double"&gt;-14.075011&lt;/D&gt;&lt;D xsi:type="xsd:double"&gt;-14.137566&lt;/D&gt;&lt;D xsi:type="xsd:double"&gt;-6.377578&lt;/D&gt;&lt;D xsi:type="xsd:double"&gt;-13.606394&lt;/D&gt;&lt;D xsi:type="xsd:double"&gt;-16.592163&lt;/D&gt;&lt;D xsi:type="xsd:double"&gt;-9.713435&lt;/D&gt;&lt;D xsi:type="xsd:double"&gt;-9.178042&lt;/D&gt;&lt;D xsi:type="xsd:double"&gt;-7.303733&lt;/D&gt;&lt;D xsi:type="xsd:double"&gt;-2.7481914&lt;/D&gt;&lt;D xsi:type="xsd:double"&gt;48.360588&lt;/D&gt;&lt;D xsi:type="xsd:double"&gt;40.19542&lt;/D&gt;&lt;D xsi:type="xsd:double"&gt;44.31127&lt;/D&gt;&lt;D xsi:type="xsd:double"&gt;30.457615&lt;/D&gt;&lt;D xsi:type="xsd:double"&gt;25.689804&lt;/D&gt;&lt;D xsi:type="xsd:double"&gt;26.578796&lt;/D&gt;&lt;D xsi:type="xsd:double"&gt;25.93193&lt;/D&gt;&lt;D xsi:type="xsd:double"&gt;36.55976&lt;/D&gt;&lt;D xsi:type="xsd:double"&gt;20.483934&lt;/D&gt;&lt;D xsi:type="xsd:double"&gt;11.977732&lt;/D&gt;&lt;D xsi:type="xsd:double"&gt;16.181135&lt;/D&gt;&lt;D xsi:type="xsd:double"&gt;14.944696&lt;/D&gt;&lt;D xsi:type="xsd:double"&gt;8.4902525&lt;/D&gt;&lt;D xsi:type="xsd:double"&gt;10.448801&lt;/D&gt;&lt;D xsi:type="xsd:double"&gt;0.090539455&lt;/D&gt;&lt;D xsi:type="xsd:double"&gt;-8.362007&lt;/D&gt;&lt;D xsi:type="xsd:double"&gt;-6.7874613&lt;/D&gt;&lt;D xsi:type="xsd:double"&gt;-2.4435937&lt;/D&gt;&lt;D xsi:type="xsd:double"&gt;-9.768391&lt;/D&gt;&lt;D xsi:type="xsd:double"&gt;-16.319477&lt;/D&gt;&lt;D xsi:type="xsd:double"&gt;-5.6930246&lt;/D&gt;&lt;D xsi:type="xsd:double"&gt;-2.2646487&lt;/D&gt;&lt;D xsi:type="xsd:double"&gt;-2.3194075&lt;/D&gt;&lt;D xsi:type="xsd:double"&gt;-1.130259&lt;/D&gt;&lt;D xsi:type="xsd:double"&gt;-4.9203215&lt;/D&gt;&lt;D xsi:type="xsd:double"&gt;1.5713811&lt;/D&gt;&lt;D xsi:type="xsd:double"&gt;5.80554&lt;/D&gt;&lt;D xsi:type="xsd:double"&gt;15.131187&lt;/D&gt;&lt;D xsi:type="xsd:double"&gt;16.437017&lt;/D&gt;&lt;D xsi:type="xsd:double"&gt;5.404377&lt;/D&gt;&lt;D xsi:type="xsd:double"&gt;17.66441&lt;/D&gt;&lt;D xsi:type="xsd:double"&gt;23.019075&lt;/D&gt;&lt;D xsi:type="xsd:double"&gt;10.269558&lt;/D&gt;&lt;D xsi:type="xsd:double"&gt;8.406711&lt;/D&gt;&lt;D xsi:type="xsd:double"&gt;1.3534904&lt;/D&gt;&lt;D xsi:type="xsd:double"&gt;4.385245&lt;/D&gt;&lt;D xsi:type="xsd:double"&gt;14.273846&lt;/D&gt;&lt;D xsi:type="xsd:double"&gt;3.9782166&lt;/D&gt;&lt;D xsi:type="xsd:double"&gt;15.028334&lt;/D&gt;&lt;/FQL&gt;&lt;FQL&gt;&lt;Q&gt;DDR3512M-FDS^FG_PRICE(0)/MAX(FG_PRICE(0,-1AY))&lt;/Q&gt;&lt;R&gt;1&lt;/R&gt;&lt;C&gt;1&lt;/C&gt;&lt;D xsi:type="xsd:double"&gt;0.917507758065823&lt;/D&gt;&lt;/FQL&gt;&lt;FQL&gt;&lt;Q&gt;COPP-FDS^FG_PRICE_CHANGE(0,-6AM)&lt;/Q&gt;&lt;R&gt;1&lt;/R&gt;&lt;C&gt;1&lt;/C&gt;&lt;D xsi:type="xsd:double"&gt;35.304347826087&lt;/D&gt;&lt;/FQL&gt;&lt;FQL&gt;&lt;Q&gt;SPY^FG_PRICE_MAVG(0,,,,200)&lt;/Q&gt;&lt;R&gt;1&lt;/R&gt;&lt;C&gt;1&lt;/C&gt;&lt;D xsi:type="xsd:double"&gt;472.548&lt;/D&gt;&lt;/FQL&gt;&lt;FQL&gt;&lt;Q&gt;URTH^FMA_PCT_ABOVE_MAVG(200,0,,,,"PORTAGG")&lt;/Q&gt;&lt;R&gt;1&lt;/R&gt;&lt;C&gt;1&lt;/C&gt;&lt;D xsi:type="xsd:double"&gt;76.1122518822724&lt;/D&gt;&lt;/FQL&gt;&lt;FQL&gt;&lt;Q&gt;EWN^FG_TOTAL_RETURNC(0,-6AM)&lt;/Q&gt;&lt;R&gt;1&lt;/R&gt;&lt;C&gt;1&lt;/C&gt;&lt;D xsi:type="xsd:double"&gt;24.012875&lt;/D&gt;&lt;/FQL&gt;&lt;FQL&gt;&lt;Q&gt;EWG^P_PRICE(0)/P_PRICE_LOW_PR(0,,,,,,"PRICE","INTRA","52W")-1&lt;/Q&gt;&lt;R&gt;1&lt;/R&gt;&lt;C&gt;1&lt;/C&gt;&lt;D xsi:type="xsd:double"&gt;0.31228495&lt;/D&gt;&lt;/FQL&gt;&lt;FQL&gt;&lt;Q&gt;EWA^FG_TOTAL_RETURNC(0,-6AM)&lt;/Q&gt;&lt;R&gt;1&lt;/R&gt;&lt;C&gt;1&lt;/C&gt;&lt;D xsi:type="xsd:double"&gt;15.98391</t>
        </r>
      </text>
    </comment>
    <comment ref="A7" authorId="0" shapeId="0" xr:uid="{C19C5B4E-E48F-4070-973F-7F3C783CFFF5}">
      <text>
        <r>
          <rPr>
            <b/>
            <sz val="9"/>
            <color indexed="81"/>
            <rFont val="Tahoma"/>
            <charset val="1"/>
          </rPr>
          <t>5&lt;/D&gt;&lt;/FQL&gt;&lt;FQL&gt;&lt;Q&gt;EWN^FMA_COS_DOWN("EPS","1M",+1,0,,,"PORTAGG","MEANR")&lt;/Q&gt;&lt;R&gt;1&lt;/R&gt;&lt;C&gt;1&lt;/C&gt;&lt;D xsi:type="xsd:double"&gt;25&lt;/D&gt;&lt;/FQL&gt;&lt;FQL&gt;&lt;Q&gt;CAGDPY@US^EE_ACTUAL_ANNUAL(MED,0)&lt;/Q&gt;&lt;R&gt;1&lt;/R&gt;&lt;C&gt;1&lt;/C&gt;&lt;D xsi:type="xsd:double"&gt;-2.99561673751749&lt;/D&gt;&lt;/FQL&gt;&lt;FQL&gt;&lt;Q&gt;USDCAD^FG_COMPANY_NAME&lt;/Q&gt;&lt;R&gt;1&lt;/R&gt;&lt;C&gt;1&lt;/C&gt;&lt;D xsi:type="xsd:string"&gt;Canadian Dollar per U.S. Dollar&lt;/D&gt;&lt;/FQL&gt;&lt;FQL&gt;&lt;Q&gt;EWG^FMA_PE(NTMA,-10AY,0,AM,"PORTAGG","MEANR")&lt;/Q&gt;&lt;R&gt;121&lt;/R&gt;&lt;C&gt;1&lt;/C&gt;&lt;D xsi:type="xsd:double"&gt;12.9439513438682&lt;/D&gt;&lt;D xsi:type="xsd:double"&gt;13.3025843189932&lt;/D&gt;&lt;D xsi:type="xsd:double"&gt;12.9562748574416&lt;/D&gt;&lt;D xsi:type="xsd:double"&gt;12.1483594899213&lt;/D&gt;&lt;D xsi:type="xsd:double"&gt;12.7604412129831&lt;/D&gt;&lt;D xsi:type="xsd:double"&gt;11.6960462198589&lt;/D&gt;&lt;D xsi:type="xsd:double"&gt;12.2655159849545&lt;/D&gt;&lt;D xsi:type="xsd:double"&gt;12.5381171335856&lt;/D&gt;&lt;D xsi:type="xsd:double"&gt;13.3310697659629&lt;/D&gt;&lt;D xsi:type="xsd:double"&gt;14.1741004122175&lt;/D&gt;&lt;D xsi:type="xsd:double"&gt;15.5102362291618&lt;/D&gt;&lt;D xsi:type="xsd:double"&gt;15.0004046304314&lt;/D&gt;&lt;D xsi:type="xsd:double"&gt;14.279960880956&lt;/D&gt;&lt;D xsi:type="xsd:double"&gt;13.4240847942759&lt;/D&gt;&lt;D xsi:type="xsd:double"&gt;14.150343345255&lt;/D&gt;&lt;D xsi:type="xsd:double"&gt;13.2168541080246&lt;/D&gt;&lt;D xsi:type="xsd:double"&gt;12.3770680223011&lt;/D&gt;&lt;D xsi:type="xsd:double"&gt;12.4512656761967&lt;/D&gt;&lt;D xsi:type="xsd:double"&gt;13.6673287507798&lt;/D&gt;&lt;D xsi:type="xsd:double"&gt;13.3659979254572&lt;/D&gt;&lt;D xsi:type="xsd:double"&gt;11.9224051099086&lt;/D&gt;&lt;D xsi:type="xsd:double"&gt;11.9205148625941&lt;/D&gt;&lt;D xsi:type="xsd:double"&gt;12.6184919796358&lt;/D&gt;&lt;D xsi:type="xsd:double"&gt;12.8184334767625&lt;/D&gt;&lt;D xsi:type="xsd:double"&gt;12.3634323088268&lt;/D&gt;&lt;D xsi:type="xsd:double"&gt;11.8602820036598&lt;/D&gt;&lt;D xsi:type="xsd:double"&gt;12.4206475282759&lt;/D&gt;&lt;D xsi:type="xsd:double"&gt;12.9270920762679&lt;/D&gt;&lt;D xsi:type="xsd:double"&gt;12.6510087153016&lt;/D&gt;&lt;D xsi:type="xsd:double"&gt;12.8254366667048&lt;/D&gt;&lt;D xsi:type="xsd:double"&gt;12.7912908323617&lt;/D&gt;&lt;D xsi:type="xsd:double"&gt;13.582688290161&lt;/D&gt;&lt;D xsi:type="xsd:double"&gt;13.6586678685665&lt;/D&gt;&lt;D xsi:type="xsd:double"&gt;13.3332944813125&lt;/D&gt;&lt;D xsi:type="xsd:double"&gt;13.9558543848311&lt;/D&gt;&lt;D xsi:type="xsd:double"&gt;13.7938766494491&lt;/D&gt;&lt;D xsi:type="xsd:double"&gt;13.8186826860609&lt;/D&gt;&lt;D xsi:type="xsd:double"&gt;13.7864069181796&lt;/D&gt;&lt;D xsi:type="xsd:double"&gt;13.5324722627136&lt;/D&gt;&lt;D xsi:type="xsd:double"&gt;13.0845965522314&lt;/D&gt;&lt;D xsi:type="xsd:double"&gt;13.3674365898591&lt;/D&gt;&lt;D xsi:type="xsd:double"&gt;13.83837855163&lt;/D&gt;&lt;D xsi:type="xsd:double"&gt;13.8003083422623&lt;/D&gt;&lt;D xsi:type="xsd:double"&gt;13.9771902174272&lt;/D&gt;&lt;D xsi:type="xsd:double"&gt;14.0128517688751&lt;/D&gt;&lt;D xsi:type="xsd:double"&gt;13.1979830615009&lt;/D&gt;&lt;D xsi:type="xsd:double"&gt;13.0514223679959&lt;/D&gt;&lt;D xsi:type="xsd:double"&gt;13.2036547509328&lt;/D&gt;&lt;D xsi:type="xsd:double"&gt;13.5419648508248&lt;/D&gt;&lt;D xsi:type="xsd:double"&gt;13.4527270584679&lt;/D&gt;&lt;D xsi:type="xsd:double"&gt;13.0859540369535&lt;/D&gt;&lt;D xsi:type="xsd:double"&gt;12.66424486454&lt;/D&gt;&lt;D xsi:type="xsd:double"&gt;12.5544808444337&lt;/D&gt;&lt;D xsi:type="xsd:double"&gt;12.0909193612062&lt;/D&gt;&lt;D xsi:type="xsd:double"&gt;11.6359773118956&lt;/D&gt;&lt;D xsi:type="xsd:double"&gt;11.1547706400406&lt;/D&gt;&lt;D xsi:type="xsd:double"&gt;11.390296151052&lt;/D&gt;&lt;D xsi:type="xsd:double"&gt;11.9185768447603&lt;/D&gt;&lt;D xsi:type="xsd:double"&gt;12.352694185309&lt;/D&gt;&lt;D xsi:type="xsd:double"&gt;12.8339798501163&lt;/D&gt;&lt;D xsi:type="xsd:double"&gt;12.6271601906133&lt;/D&gt;&lt;D xsi:type="xsd:double"&gt;12.322551705071&lt;/D&gt;&lt;D xsi:type="xsd:double"&gt;12.8561927987922&lt;/D&gt;&lt;D xsi:type="xsd:double"&gt;12.2222510663755&lt;/D&gt;&lt;D xsi:type="xsd:double"&gt;13.0315137071226&lt;/D&gt;&lt;D xsi:type="xsd:double"&gt;13.2927529023525&lt;/D&gt;&lt;D xsi:type="xsd:double"&gt;14.011704126437&lt;/D&gt;&lt;D xsi:type="xsd:double"&gt;14.2085684138432&lt;/D&gt;&lt;D xsi:type="xsd:double"&gt;14.3807475088946&lt;/D&gt;&lt;D xsi:type="xsd:double"&gt;14.5433827283186&lt;/D&gt;&lt;D xsi:type="xsd:double"&gt;9.67373176386267&lt;/D&gt;&lt;D xsi:type="xsd:double"&gt;13.9304384358285&lt;/D&gt;&lt;D xsi:type="xsd:double"&gt;15.0000202006832&lt;/D&gt;&lt;D xsi:type="xsd:double"&gt;17.9590863445892&lt;/D&gt;&lt;D xsi:type="xsd:double"&gt;18.5494296933798&lt;/D&gt;&lt;D xsi:type="xsd:double"&gt;17.9657169346586&lt;/D&gt;&lt;D xsi:type="xsd:double"&gt;17.6568788259458&lt;/D&gt;&lt;D xsi:type="xsd:double"&gt;16.6823550704092&lt;/D&gt;&lt;D xsi:type="xsd:double"&gt;16.0734085099548&lt;/D&gt;&lt;D xsi:type="xsd:double"&gt;16.2096435532601&lt;/D&gt;&lt;D xsi:type="xsd:double"&gt;15.9906949715668&lt;/D&gt;&lt;D xsi:type="xsd:double"&gt;15.7254202637822&lt;/D&gt;&lt;D xsi:type="xsd:double"&gt;15.9727352929189&lt;/D&gt;&lt;D xsi:type="xsd:double"&gt;16.1946485060954&lt;/D&gt;&lt;D xsi:type="xsd:double"&gt;14.8230567942447&lt;/D&gt;&lt;D xsi:type="xsd:double"&gt;15.0080815017476&lt;/D&gt;&lt;D xsi:type="xsd:double"&gt;14.4734767396826&lt;/D&gt;&lt;D xsi:type="xsd:double"&gt;14.3190958332168&lt;/D&gt;&lt;D xsi:type="xsd:double"&gt;13.857473215634&lt;/D&gt;&lt;D xsi:type="xsd:double"&gt;13.8077968042399&lt;/D&gt;&lt;D xsi:type="xsd:double"&gt;13.8895985905094&lt;/D&gt;&lt;D xsi:type="xsd:double"&gt;13.1674918642206&lt;/D&gt;&lt;D xsi:type="xsd:double"&gt;13.345287722235&lt;/D&gt;&lt;D xsi:type="xsd:double"&gt;12.5700139433153&lt;/D&gt;&lt;D xsi:type="xsd:double"&gt;11.7153395164369&lt;/D&gt;&lt;D xsi:type="xsd:double"&gt;11.3205300335341&lt;/D&gt;&lt;D xsi:type="xsd:double"&gt;10.8732902867424&lt;/D&gt;&lt;D xsi:type="xsd:double"&gt;10.0151253326242&lt;/D&gt;&lt;D xsi:type="xsd:double"&gt;9.79799769835039&lt;/D&gt;&lt;D xsi:type="xsd:double"&gt;10.1690596700317&lt;/D&gt;&lt;D xsi:type="xsd:double"&gt;9.51145341615123&lt;/D&gt;&lt;D xsi:type="xsd:double"&gt;9.40279876040204&lt;/D&gt;&lt;D xsi:type="xsd:double"&gt;10.6554026222638&lt;/D&gt;&lt;D xsi:type="xsd:double"&gt;10.3649605417887&lt;/D&gt;&lt;D xsi:type="xsd:double"&gt;11.5011162652354&lt;/D&gt;&lt;D xsi:type="xsd:double"&gt;11.6785490345113&lt;/D&gt;&lt;D xsi:type="xsd:double"&gt;10.8973712366829&lt;/D&gt;&lt;D xsi:type="xsd:double"&gt;11.4173475563841&lt;/D&gt;&lt;D xsi:type="xsd:double"&gt;10.9811986530312&lt;/D&gt;&lt;D xsi:type="xsd:double"&gt;11.0080179765166&lt;/D&gt;&lt;D xsi:type="xsd:double"&gt;10.7388513726983&lt;/D&gt;&lt;D xsi:type="xsd:double"&gt;10.5295795972085&lt;/D&gt;&lt;D xsi:type="xsd:double"&gt;10.6727163695252&lt;/D&gt;&lt;D xsi:type="xsd:double"&gt;10.1595903441114&lt;/D&gt;&lt;D xsi:type="xsd:double"&gt;10.7773131184925&lt;/D&gt;&lt;D xsi:type="xsd:double"&gt;11.2278706626176&lt;/D&gt;&lt;D xsi:type="xsd:double"&gt;10.9147213937444&lt;/D&gt;&lt;D xsi:type="xsd:double"&gt;11.6613299894699&lt;/D&gt;&lt;D xsi:type="xsd:double"&gt;12.0905727547375&lt;/D&gt;&lt;D xsi:type="xsd:double"&gt;11.8432905204315&lt;/D&gt;&lt;D xsi:type="xsd:double"&gt;12.2653757637992&lt;/D&gt;&lt;/FQL&gt;&lt;FQL&gt;&lt;Q&gt;PLATI-FDS^FG_PRICE_CHANGE(0,-6AM)&lt;/Q&gt;&lt;R&gt;1&lt;/R&gt;&lt;C&gt;1&lt;/C&gt;&lt;D xsi:type="xsd:double"&gt;17.7900552486188&lt;/D&gt;&lt;/FQL&gt;&lt;FQL&gt;&lt;Q&gt;BRENT-FDS^FG_PRICE_CHANGE(0,-1AM)&lt;/Q&gt;&lt;R&gt;1&lt;/R&gt;&lt;C&gt;1&lt;/C&gt;&lt;D xsi:type="xsd:double"&gt;0&lt;/D&gt;&lt;/FQL&gt;&lt;FQL&gt;&lt;Q&gt;FC0000CH^FG_PRICE(0)&lt;/Q&gt;&lt;R&gt;1&lt;/R&gt;&lt;C&gt;1&lt;/C&gt;&lt;D xsi:type="xsd:double"&gt;328.3533&lt;/D&gt;&lt;/FQL&gt;&lt;FQL&gt;&lt;Q&gt;EWL^FG_PRICE_MAVG(0,,,,60)&lt;/Q&gt;&lt;R&gt;1&lt;/R&gt;&lt;C&gt;1&lt;/C&gt;&lt;D xsi:type="xsd:double"&gt;47.0045&lt;/D&gt;&lt;/FQL&gt;&lt;FQL&gt;&lt;Q&gt;EWD^FMA_PCT_ABOVE_MAVG(200,0,,,,"PORTAGG")&lt;/Q&gt;&lt;R&gt;1&lt;/R&gt;&lt;C&gt;1&lt;/C&gt;&lt;D xsi:type="xsd:double"&gt;90.6976744186046&lt;/D&gt;&lt;/FQL&gt;&lt;FQL&gt;&lt;Q&gt;FXI^SIZE(FG_CONSTITUENTS)&lt;/Q&gt;&lt;R&gt;1&lt;/R&gt;&lt;C&gt;1&lt;/C&gt;&lt;D xsi:type="xsd:long"&gt;53&lt;/D&gt;&lt;/FQL&gt;&lt;FQL&gt;&lt;Q&gt;QQQ^FMA_RBICS_REV_CURRENT(30, LOC, "PORTAGG")&lt;/Q&gt;&lt;R&gt;1&lt;/R&gt;&lt;C&gt;1&lt;/C&gt;&lt;D xsi:type="xsd:double"&gt;0.907617891806809&lt;/D&gt;&lt;/FQL&gt;&lt;FQL&gt;&lt;Q&gt;TRYFR10Y-FDS^FG_YIELD_NAME&lt;/Q&gt;&lt;R&gt;1&lt;/R&gt;&lt;C&gt;1&lt;/C&gt;&lt;D xsi:type="xsd:string"&gt;France Benchmark Bond - 10 Year&lt;/D&gt;&lt;/FQL&gt;&lt;FQL&gt;&lt;Q&gt;TRYFR10Y-FDS^PCTCHG(FG_YIELD(0,,,,"YTM"),FG_YIELD(-1AM,,,,"YTM"))&lt;/Q&gt;&lt;R&gt;1&lt;/R&gt;&lt;C&gt;1&lt;/C&gt;&lt;D xsi:type="xsd:double"&gt;-0.30080426&lt;/D&gt;&lt;/FQL&gt;&lt;FQL&gt;&lt;Q&gt;TRYNL10Y-FDS^FG_YIELD(0,,,,"YTM")&lt;/Q&gt;&lt;R&gt;1&lt;/R&gt;&lt;C&gt;1&lt;/C&gt;&lt;D xsi:type="xsd:double"&gt;2.797&lt;/D&gt;&lt;/FQL&gt;&lt;FQL&gt;&lt;Q&gt;VGK^FG_FCF_YIELD_NTM(0)&lt;/Q&gt;&lt;R&gt;1&lt;/R&gt;&lt;C&gt;1&lt;/C&gt;&lt;D xsi:type="xsd:double"&gt;5.1994556289638&lt;/D&gt;&lt;/FQL&gt;&lt;FQL&gt;&lt;Q&gt;EWN^FMA_PE(LTM,0,,,"PORTAGG","MEANR")&lt;/Q&gt;&lt;R&gt;1&lt;/R&gt;&lt;C&gt;1&lt;/C&gt;&lt;D xsi:type="xsd:double"&gt;20.4736607226512&lt;/D&gt;&lt;/FQL&gt;&lt;FQL&gt;&lt;Q&gt;EWU^FMA_EVAL_EBIT(LTMA,NOW,NOW,M,"PORTAGG","MEANR")&lt;/Q&gt;&lt;R&gt;1&lt;/R&gt;&lt;C&gt;1&lt;/C&gt;&lt;D xsi:type="xsd:double"&gt;10.5369204198928&lt;/D&gt;&lt;/FQL&gt;&lt;FQL&gt;&lt;Q&gt;ENZL^FMA_PE(LTM,0,,,"PORTAGG","MEANR")&lt;/Q&gt;&lt;R&gt;1&lt;/R&gt;&lt;C&gt;1&lt;/C&gt;&lt;D xsi:type="xsd:double"&gt;29.5687262934188&lt;/D&gt;&lt;/FQL&gt;&lt;FQL&gt;&lt;Q&gt;TRYBR10Y-FDS^FG_YIELD(-10AY,0,Y,,"YTM")&lt;/Q&gt;&lt;R&gt;10&lt;/R&gt;&lt;C&gt;1&lt;/C&gt;&lt;D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xsi:type="xsd:double"&gt;10.455909&lt;/D&gt;&lt;/FQL&gt;&lt;FQL&gt;&lt;Q&gt;PLATI-FDS^FG_PRICE_CHANGE(0,-3AM)&lt;/Q&gt;&lt;R&gt;1&lt;/R&gt;&lt;C&gt;1&lt;/C&gt;&lt;D xsi:type="xsd:double"&gt;18.4444444444444&lt;/D&gt;&lt;/FQL&gt;&lt;FQL&gt;&lt;Q&gt;EWN^FG_TOTAL_RETURNC(0,-12AM)&lt;/Q&gt;&lt;R&gt;1&lt;/R&gt;&lt;C&gt;1&lt;/C&gt;&lt;D xsi:type="xsd:double"&gt;23.927652&lt;/D&gt;&lt;/FQL&gt;&lt;FQL&gt;&lt;Q&gt;EWL^PERCENT_CHANGE(FMA_EPS(+1,0,,,,"PORTAGG","MEAN"),FMA_EPS(+1,-1AM,,,,"PORTAGG","MEAN"))&lt;/Q&gt;&lt;R&gt;1&lt;/R&gt;&lt;C&gt;1&lt;/C&gt;&lt;D xsi:type="xsd:double"&gt;3.29480773650591&lt;/D&gt;&lt;/FQL&gt;&lt;FQL&gt;&lt;Q&gt;EWU^FMA_RBICS_REV_CURRENT(30, LOC, "PORTAGG")&lt;/Q&gt;&lt;R&gt;1&lt;/R&gt;&lt;C&gt;1&lt;/C&gt;&lt;D xsi:type="xsd:double"&gt;18.8933168361866&lt;/D&gt;&lt;/FQL&gt;&lt;FQL&gt;&lt;Q&gt;VGK^FMA_DIV_YLD(NTMA,NOW,NOW,M,"PORTAGG","MEANR")&lt;/Q&gt;&lt;R&gt;1&lt;/R&gt;&lt;C&gt;1&lt;/C&gt;&lt;D xsi:type="xsd:double"&gt;3.44816244250881&lt;/D&gt;&lt;/FQL&gt;&lt;FQL&gt;&lt;Q&gt;ENZL^JULIAN(FMA_DIV_YLD(NTMA,NOW,NOW,M,"PORTAGG","MEANR").DATES)&lt;/Q&gt;&lt;R&gt;1&lt;/R&gt;&lt;C&gt;1&lt;/C&gt;&lt;D xsi:type="xsd:long"&gt;45412&lt;/D&gt;&lt;/FQL&gt;&lt;FQL&gt;&lt;Q&gt;USO^FG_TOTAL_RETURNC(0,-1AM)&lt;/Q&gt;&lt;R&gt;1&lt;/R&gt;&lt;C&gt;1&lt;/C&gt;&lt;D xsi:type="xsd:double"&gt;-2.4585009&lt;/D&gt;&lt;/FQL&gt;&lt;FQL&gt;&lt;Q&gt;USDSEK^STD(FG_PRICE_CHANGE(0,-3AY,M))&lt;/Q&gt;&lt;R&gt;1&lt;/R&gt;&lt;C&gt;1&lt;/C&gt;&lt;D xsi:type="xsd:double"&gt;2.91505747000306&lt;/D&gt;&lt;/FQL&gt;&lt;FQL&gt;&lt;Q&gt;USDUSD^STD(FG_PRICE_CHANGE(0,-1AY,AM))&lt;/Q&gt;&lt;R&gt;1&lt;/R&gt;&lt;C&gt;1&lt;/C&gt;&lt;D xsi:type="xsd:double"&gt;0&lt;/D&gt;&lt;/FQL&gt;&lt;FQL&gt;&lt;Q&gt;USDCHF^FG_PRICE_CHANGE(0,-1AY)&lt;/Q&gt;&lt;R&gt;1&lt;/R&gt;&lt;C&gt;1&lt;/C&gt;&lt;D xsi:type="xsd:double"&gt;0.8786082&lt;/D&gt;&lt;/FQL&gt;&lt;FQL&gt;&lt;Q&gt;EWI^P_PRICE_RETURNS_PR('52W',2,-10AY,0,AM)&lt;/Q&gt;&lt;R&gt;121&lt;/R&gt;&lt;C&gt;1&lt;/C&gt;&lt;D xsi:type="xsd:double"&gt;28.849852&lt;/D&gt;&lt;D xsi:type="xsd:double"&gt;41.840317&lt;/D&gt;&lt;D xsi:type="xsd:double"&gt;37.49702&lt;/D&gt;&lt;D xsi:type="xsd:double"&gt;14.121819&lt;/D&gt;&lt;D xsi:type="xsd:double"&gt;17.927635&lt;/D&gt;&lt;D xsi:type="xsd:double"&gt;-7.6397896&lt;/D&gt;&lt;D xsi:type="xsd:double"&gt;-2.6052356&lt;/D&gt;&lt;D xsi:type="xsd:double"&gt;-3.7339747&lt;/D&gt;&lt;D xsi:type="xsd:double"&gt;-15.6409855&lt;/D&gt;&lt;D xsi:type="xsd:double"&gt;-10.481196&lt;/D&gt;&lt;D xsi:type="xsd:double"&gt;-14.595151&lt;/D&gt;&lt;D xsi:type="xsd:double"&gt;-14.8165045&lt;/D&gt;&lt;D xsi:type="xsd:double"&gt;-1.4556348&lt;/D&gt;&lt;D xsi:type="xsd:double"&gt;-13.965643&lt;/D&gt;&lt;D xsi:type="xsd:double"&gt;-4.063618&lt;/D&gt;&lt;D xsi:type="xsd:double"&gt;3.7315965&lt;/D&gt;&lt;D xsi:type="xsd:double"&gt;-4.299015&lt;/D&gt;&lt;D xsi:type="xsd:double"&gt;13.138235&lt;/D&gt;&lt;D xsi:type="xsd:double"&gt;0.40682554&lt;/D&gt;&lt;D xsi:type="xsd:double"&gt;2.5007844&lt;/D&gt;&lt;D xsi:type="xsd:double"&gt;-2.026105&lt;/D&gt;&lt;D xsi:type="xsd:double"&gt;-19.282675&lt;/D&gt;&lt;D xsi:type="xsd:double"&gt;-11.000145&lt;/D&gt;&lt;D xsi:type="xsd:double"&gt;-18.545372&lt;/D&gt;&lt;D xsi:type="xsd:double"&gt;-25.276386&lt;/D&gt;&lt;D xsi:type="xsd:double"&gt;-21.443718&lt;/D&gt;&lt;D xsi:type="xsd:double"&gt;-25.23269&lt;/D&gt;&lt;D xsi:type="xsd:double"&gt;-25.983889&lt;/D&gt;&lt;D xsi:type="xsd:double"&gt;-25.625664&lt;/D&gt;&lt;D xsi:type="xsd:double"&gt;-26.09235&lt;/D&gt;&lt;D xsi:type="xsd:double"&gt;-21.82638&lt;/D&gt;&lt;D xsi:type="xsd:double"&gt;-12.321388&lt;/D&gt;&lt;D xsi:type="xsd:double"&gt;2.3797393&lt;/D&gt;&lt;D xsi:type="xsd:double"&gt;6.9940567&lt;/D&gt;&lt;D xsi:type="xsd:double"&gt;5.2064657&lt;/D&gt;&lt;D xsi:type="xsd:double"&gt;6.2716126&lt;/D&gt;&lt;D xsi:type="xsd:double"&gt;23.188568&lt;/D&gt;&lt;D xsi:type="xsd:double"&gt;29.839754&lt;/D&gt;&lt;D xsi:type="xsd:double"&gt;34.349335&lt;/D&gt;&lt;D xsi:type="xsd:double"&gt;36.202335&lt;/D&gt;&lt;D xsi:type="xsd:double"&gt;43.043934&lt;/D&gt;&lt;D xsi:type="xsd:double"&gt;44.18281&lt;/D&gt;&lt;D xsi:type="xsd:double"&gt;45.736156&lt;/D&gt;&lt;D xsi:type="xsd:double"&gt;30.741882&lt;/D&gt;&lt;D xsi:type="xsd:double"&gt;39.38781&lt;/D&gt;&lt;D xsi:type="xsd:double"&gt;40.240894&lt;/D&gt;&lt;D xsi:type="xsd:double"&gt;30.625105&lt;/D&gt;&lt;D xsi:type="xsd:double"&gt;39.521957&lt;/D&gt;&lt;D xsi:type="xsd:double"&gt;18.937672&lt;/D&gt;&lt;D xsi:type="xsd:double"&gt;11.173117&lt;/D&gt;&lt;D xsi:type="xsd:double"&gt;5.120766&lt;/D&gt;&lt;D xsi:type="xsd:double"&gt;-6.414014&lt;/D&gt;&lt;D xsi:type="xsd:double"&gt;-5.9129295&lt;/D&gt;&lt;D xsi:type="xsd:double"&gt;-12.52327&lt;/D&gt;&lt;D xsi:type="xsd:double"&gt;-14.491522&lt;/D&gt;&lt;D xsi:type="xsd:double"&gt;-15.895414&lt;/D&gt;&lt;D xsi:type="xsd:double"&gt;-19.661587&lt;/D&gt;&lt;D xsi:type="xsd:double"&gt;-15.668732&lt;/D&gt;&lt;D xsi:type="xsd:double"&gt;-11.610657&lt;/D&gt;&lt;D xsi:type="xsd:double"&gt;-12.378377&lt;/D&gt;&lt;D xsi:type="xsd:double"&gt;-12.9154625&lt;/D&gt;&lt;D xsi:type="xsd:double"&gt;-6.3540754&lt;/D&gt;&lt;D xsi:type="xsd:double"&gt;0.45477152&lt;/D&gt;&lt;D xsi:type="xsd:double"&gt;-0.1401782&lt;/D&gt;&lt;D xsi:type="xsd:double"&gt;2.059865&lt;/D&gt;&lt;D xsi:type="xsd:double"&gt;14.080334&lt;/D&gt;&lt;D xsi:type="xsd:double"&gt;22.504734&lt;/D&gt;&lt;D xsi:type="xsd:double"&gt;25.90369&lt;/D&gt;&lt;D xsi:type="xsd:double"&gt;21.176386&lt;/D&gt;&lt;D xsi:type="xsd:double"&gt;20.175625&lt;/D&gt;&lt;D xsi:type="xsd:double"&gt;-28.830475&lt;/D&gt;&lt;D xsi:type="xsd:double"&gt;-25.14928&lt;/D&gt;&lt;D xsi:type="xsd:double"&gt;-22.968912&lt;/D&gt;&lt;D xsi:type="xsd:double"&gt;-7.0829988&lt;/D&gt;&lt;D xsi:type="xsd:double"&gt;-6.768531&lt;/D&gt;&lt;D xsi:type="xsd:double"&gt;3.2168865&lt;/D&gt;&lt;D xsi:type="xsd:double"&gt;-5.6025743&lt;/D&gt;&lt;D xsi:type="xsd:double"&gt;-10.75725&lt;/D&gt;&lt;D xsi:type="xsd:double"&gt;-3.772664&lt;/D&gt;&lt;D xsi:type="xsd:double"&gt;1.8462181&lt;/D&gt;&lt;D xsi:type="xsd:double"&gt;1.4656425&lt;/D&gt;&lt;D xsi:type="xsd:double"&gt;3.3099651&lt;/D&gt;&lt;D xsi:type="xsd:double"&gt;71.58869&lt;/D&gt;&lt;D xsi:type="xsd:double"&gt;64.71742&lt;/D&gt;&lt;D xsi:type="xsd:double"&gt;68.49121&lt;/D&gt;&lt;D xsi:type="xsd:double"&gt;40.31013&lt;/D&gt;&lt;D xsi:type="xsd:double"&gt;25.71392&lt;/D&gt;&lt;D xsi:type="xsd:double"&gt;29.892122&lt;/D&gt;&lt;D xsi:type="xsd:double"&gt;28.577673&lt;/D&gt;&lt;D xsi:type="xsd:double"&gt;37.67246&lt;/D&gt;&lt;D xsi:type="xsd:double"&gt;23.249685&lt;/D&gt;&lt;D xsi:type="xsd:double"&gt;10.115361&lt;/D&gt;&lt;D xsi:type="xsd:double"&gt;14.752352&lt;/D&gt;&lt;D xsi:type="xsd:double"&gt;8.747125&lt;/D&gt;&lt;D xsi:type="xsd:double"&gt;-6.9638968&lt;/D&gt;&lt;D xsi:type="xsd:double"&gt;-6.5641284&lt;/D&gt;&lt;D xsi:type="xsd:double"&gt;-13.635778&lt;/D&gt;&lt;D xsi:type="xsd:double"&gt;-22.954416&lt;/D&gt;&lt;D xsi:type="xsd:double"&gt;-26.003706&lt;/D&gt;&lt;D xsi:type="xsd:double"&gt;-21.463108&lt;/D&gt;&lt;D xsi:type="xsd:double"&gt;-23.981773&lt;/D&gt;&lt;D xsi:type="xsd:double"&gt;-28.714651&lt;/D&gt;&lt;D xsi:type="xsd:double"&gt;-15.768022&lt;/D&gt;&lt;D xsi:type="xsd:double"&gt;-13.165337&lt;/D&gt;&lt;D xsi:type="xsd:double"&gt;-7.560265&lt;/D&gt;&lt;D xsi:type="xsd:double"&gt;0.22763014&lt;/D&gt;&lt;D xsi:type="xsd:double"&gt;2.360022&lt;/D&gt;&lt;D xsi:type="xsd:double"&gt;13.292587&lt;/D&gt;&lt;D xsi:type="xsd:double"&gt;17.465961&lt;/D&gt;&lt;D xsi:type="xsd:double"&gt;33.944332&lt;/D&gt;&lt;D xsi:type="xsd:double"&gt;53.07448&lt;/D&gt;&lt;D xsi:type="xsd:double"&gt;29.773558&lt;/D&gt;&lt;D xsi:type="xsd:double"&gt;37.68568&lt;/D&gt;&lt;D xsi:type="xsd:double"&gt;41.04606&lt;/D&gt;&lt;D xsi:type="xsd:double"&gt;24.770176&lt;/D&gt;&lt;D xsi:type="xsd:double"&gt;28.583633&lt;/D&gt;&lt;D xsi:type="xsd:double"&gt;16.29398&lt;/D&gt;&lt;D xsi:type="xsd:double"&gt;16.098642&lt;/D&gt;&lt;D xsi:type="xsd:double"&gt;35.9069&lt;/D&gt;&lt;D xsi:type="xsd:double"&gt;18.807293&lt;/D&gt;&lt;D xsi:type="xsd:double"&gt;30.897331&lt;/D&gt;&lt;/FQL&gt;&lt;FQL&gt;&lt;Q&gt;ENZL^FG_TOTAL_RETURNC(-10AY,0,AM)&lt;/Q&gt;&lt;R&gt;121&lt;/R&gt;&lt;C&gt;1&lt;/C&gt;&lt;D xsi:type="xsd:double"&gt;2.3922324&lt;/D&gt;&lt;D xsi:type="xsd:double"&gt;-0.7402241&lt;/D&gt;&lt;D xsi:type="xsd:double"&gt;-1.6122341&lt;/D&gt;&lt;D xsi:type="xsd:double"&gt;-2.2049904&lt;/D&gt;&lt;D xsi:type="xsd:double"&gt;-3.4687877&lt;/D&gt;&lt;D xsi:type="xsd:double"&gt;-1.232034&lt;/D&gt;&lt;D xsi:type="xsd:double"&gt;7.146573&lt;/D&gt;&lt;D xsi:type="xsd:double"&gt;-2.256459&lt;/D&gt;&lt;D xsi:type="xsd:double"&gt;3.8775563&lt;/D&gt;&lt;D xsi:type="xsd:double"&gt;-1.4980376&lt;/D&gt;&lt;D xsi:type="xsd:double"&gt;-0.7978082&lt;/D&gt;&lt;D xsi:type="xsd:double"&gt;3.7949204&lt;/D&gt;&lt;D xsi:type="xsd:double"&gt;-3.728813&lt;/D&gt;&lt;D xsi:type="xsd:double"&gt;-6.5643787&lt;/D&gt;&lt;D xsi:type="xsd:double"&gt;-5.917835&lt;/D&gt;&lt;D xsi:type="xsd:double"&gt;-0.93953013&lt;/D&gt;&lt;D xsi:type="xsd:double"&gt;-4.147869&lt;/D&gt;&lt;D xsi:type="xsd:double"&gt;9.69398&lt;/D&gt;&lt;D xsi:type="xsd:double"&gt;-2.440405&lt;/D&gt;&lt;D xsi:type="xsd:double"&gt;5.2859664&lt;/D&gt;&lt;D xsi:type="xsd:double"&gt;-3.663063&lt;/D&gt;&lt;D xsi:type="xsd:double"&gt;3.233099&lt;/D&gt;&lt;D xsi:type="xsd:double"&gt;10.767508&lt;/D&gt;&lt;D xsi:type="xsd:double"&gt;5.7868004&lt;/D&gt;&lt;D xsi:type="xsd:double"&gt;0.19193888&lt;/D&gt;&lt;D xsi:type="xsd:double"&gt;2.7538299999999998&lt;/D&gt;&lt;D xsi:type="xsd:double"&gt;4.4378757&lt;/D&gt;&lt;D xsi:type="xsd:double"&gt;5.649495&lt;/D&gt;&lt;D xsi:type="xsd:double"&gt;-1.7538011&lt;/D&gt;&lt;D xsi:type="xsd:double"&gt;-5.203569&lt;/D&gt;&lt;D xsi:type="xsd:double"&gt;-4.8920574&lt;/D&gt;&lt;D xsi:type="xsd:double"&gt;-1.9318998&lt;/D&gt;&lt;D xsi:type="xsd:double"&gt;8.24399&lt;/D&gt;&lt;D xsi:type="xsd:double"&gt;0.28241873&lt;/D&gt;&lt;D xsi:type="xsd:double"&gt;-1.7366827&lt;/D&gt;&lt;D xsi:type="xsd:double"&gt;1.5285373&lt;/D&gt;&lt;D xsi:type="xsd:double"&gt;1.1056304&lt;/D&gt;&lt;D xsi:type="xsd:double"&gt;7.8873873&lt;/D&gt;&lt;D xsi:type="xsd:double"&gt;2.438748&lt;/D&gt;&lt;D xsi:type="xsd:double"&gt;0.5575776&lt;/D&gt;&lt;D xsi:type="xsd:double"&gt;-0.40519834&lt;/D&gt;&lt;D xsi:type="xsd:double"&gt;1.970017&lt;/D&gt;&lt;D xsi:type="xsd:double"&gt;-5.693823&lt;/D&gt;&lt;D xsi:type="xsd:double"&gt;6.260276&lt;/D&gt;&lt;D xsi:type="xsd:double"&gt;3.9712906&lt;/D&gt;&lt;D xsi:type="xsd:double"&gt;-1.3763368&lt;/D&gt;&lt;D xsi:type="xsd:double"&gt;2.7286053&lt;/D&gt;&lt;D xsi:type="xsd:double"&gt;0.040555&lt;/D&gt;&lt;D xsi:type="xsd:double"&gt;-3.7292242&lt;/D&gt;&lt;D xsi:type="xsd:double"&gt;6.336844&lt;/D&gt;&lt;D xsi:type="xsd:double"&gt;-2.9670238&lt;/D&gt;&lt;D xsi:type="xsd:double"&gt;-1.0788381&lt;/D&gt;&lt;D xsi:type="xsd:double"&gt;1.0591507&lt;/D&gt;&lt;D xsi:type="xsd:double"&gt;-4.4308424&lt;/D&gt;&lt;D xsi:type="xsd:double"&gt;4.3865323&lt;/D&gt;&lt;D xsi:type="xsd:double"&gt;-3.2244623&lt;/D&gt;&lt;D xsi:type="xsd:double"&gt;5.5843353&lt;/D&gt;&lt;D xsi:type="xsd:double"&gt;3.1502604&lt;/D&gt;&lt;D xsi:type="xsd:double"&gt;1.5270233&lt;/D&gt;&lt;D xsi:type="xsd:double"&gt;3.3841372&lt;/D&gt;&lt;D xsi:type="xsd:double"&gt;-1.301688&lt;/D&gt;&lt;D xsi:type="xsd:double"&gt;-1.0869682&lt;/D&gt;&lt;D xsi:type="xsd:double"&gt;8.857477&lt;/D&gt;&lt;D xsi:type="xsd:double"&gt;-4.6809254&lt;/D&gt;&lt;D xsi:type="xsd:double"&gt;1.361978&lt;/D&gt;&lt;D xsi:type="xsd:double"&gt;1.6275525&lt;/D&gt;&lt;D xsi:type="xsd:double"&gt;-0.6890118&lt;/D&gt;&lt;D xsi:type="xsd:double"&gt;5.6740165&lt;/D&gt;&lt;D xsi:type="xsd:double"&gt;5.9260607&lt;/D&gt;&lt;D xsi:type="xsd:double"&gt;-2.1556914&lt;/D&gt;&lt;D xsi:type="xsd:double"&gt;-24.095118&lt;/D&gt;&lt;D xsi:type="xsd:double"&gt;13.314903&lt;/D&gt;&lt;D xsi:type="xsd:double"&gt;-0.22361875&lt;/D&gt;&lt;D xsi:type="xsd:double"&gt;13.129783&lt;/D&gt;&lt;D xsi:type="xsd:double"&gt;4.8413396&lt;/D&gt;&lt;D xsi:type="xsd:double"&gt;0.7782817&lt;/D&gt;&lt;D xsi:type="xsd:double"&gt;2.3167968&lt;/D&gt;&lt;D xsi:type="xsd:double"&gt;2.9855847&lt;/D&gt;&lt;D xsi:type="xsd:double"&gt;6.807816&lt;/D&gt;&lt;D xsi:type="xsd:double"&gt;3.6536336&lt;/D&gt;&lt;D xsi:type="xsd:double"&gt;-1.1160731&lt;/D&gt;&lt;D xsi:type="xsd:double"&gt;-1.8961549&lt;/D&gt;&lt;D xsi:type="xsd:double"&gt;0.38349628&lt;/D&gt;&lt;D xsi:type="xsd:double"&gt;-1.4517188&lt;/D&gt;&lt;D xsi:type="xsd:double"&gt;-2.7135909&lt;/D&gt;&lt;D xsi:type="xsd:double"&gt;-1.8934429&lt;/D&gt;&lt;D xsi:type="xsd:double"&gt;0.72131157&lt;/D&gt;&lt;D xsi:type="xsd:double"&gt;-1.8717408&lt;/D&gt;&lt;D xsi:type="xsd:double"&gt;5.0091267&lt;/D&gt;&lt;D xsi:type="xsd:double"&gt;-0.3632903&lt;/D&gt;&lt;D xsi:type="xsd:double"&gt;-3.646171&lt;/D&gt;&lt;D xsi:type="xsd:double"&gt;-5.394995&lt;/D&gt;&lt;D xsi:type="xsd:double"&gt;1.9184828&lt;/D&gt;&lt;D xsi:type="xsd:double"&gt;-6.063753&lt;/D&gt;&lt;D xsi:type="xsd:double"&gt;3.0247092&lt;/D&gt;&lt;D xsi:type="xsd:double"&gt;-4.869318&lt;/D&gt;&lt;D xsi:type="xsd:double"&gt;-12.006026&lt;/D&gt;&lt;D xsi:type="xsd:double"&gt;-6.1831474&lt;/D&gt;&lt;D xsi:type="xsd:double"&gt;4.2896748&lt;/D&gt;&lt;D xsi:type="xsd:double"&gt;9.155237&lt;/D&gt;&lt;D xsi:type="xsd:double"&gt;-6.8476496&lt;/D&gt;&lt;D xsi:type="xsd:double"&gt;-11.613745&lt;/D&gt;&lt;D xsi:type="xsd:double"&gt;13.115168&lt;/D&gt;&lt;D xsi:type="xsd:double"&gt;6.561613&lt;/D&gt;&lt;D xsi:type="xsd:double"&gt;5.1897407&lt;/D&gt;&lt;D xsi:type="xsd:double"&gt;-0.54602027&lt;/D&gt;&lt;D xsi:type="xsd:double"&gt;-4.2352915&lt;/D&gt;&lt;D xsi:type="xsd:double"&gt;1.1261225&lt;/D&gt;&lt;D xsi:type="xsd:double"&gt;2.6017427&lt;/D&gt;&lt;D xsi:type="xsd:double"&gt;-2.616477&lt;/D&gt;&lt;D xsi:type="xsd:double"&gt;3.1518698&lt;/D&gt;&lt;D xsi:type="xsd:double"&gt;-9.464288&lt;/D&gt;&lt;D xsi:type="xsd:double"&gt;-3.374976&lt;/D&gt;&lt;D xsi:type="xsd:double"&gt;-0.9979546&lt;/D&gt;&lt;D xsi:type="xsd:double"&gt;1.5349269&lt;/D&gt;&lt;D xsi:type="xsd:double"&gt;6.79152&lt;/D&gt;&lt;D xsi:type="xsd:double"&gt;0.2693057&lt;/D&gt;&lt;D xsi:type="xsd:double"&gt;-1.84986&lt;/D&gt;&lt;D xsi:type="xsd:double"&gt;-1.1615217&lt;/D&gt;&lt;D xsi:type="xsd:double"&gt;-0.9756088&lt;/D&gt;&lt;D xsi:type="xsd:double"&gt;2.75414&lt;/D&gt;&lt;/FQL&gt;&lt;FQL&gt;&lt;Q&gt;EWN^FG_PRICE_MAVG(0,,,,200)&lt;/Q&gt;&lt;R&gt;1&lt;/R&gt;&lt;C&gt;1&lt;/C&gt;&lt;D xsi:type="xsd:double"&gt;43.924603&lt;/D&gt;&lt;/FQL&gt;&lt;FQL&gt;&lt;Q&gt;EWL^FG_PRICE(0)&lt;/Q&gt;&lt;R&gt;1&lt;/R&gt;&lt;C&gt;1&lt;/C&gt;&lt;D xsi:type="xsd:double"&gt;48.97&lt;/D&gt;&lt;/FQL&gt;&lt;FQL&gt;&lt;Q&gt;EWJ^PERCENT_CHANGE(FMA_EPS(+1,0,,,,"PORTAGG","MEAN"),FMA_EPS(+1,-1AM,,,,"PORTAGG","MEAN"))&lt;/Q&gt;&lt;R&gt;1&lt;/R&gt;&lt;C&gt;1&lt;/C&gt;&lt;D xsi:type="xsd:double"&gt;0.305703693981954&lt;/D&gt;&lt;/FQL&gt;&lt;FQL&gt;&lt;Q&gt;VGK^FG_TOTAL_RETURNC(0,-1AM)&lt;/Q&gt;&lt;R&gt;1&lt;/R&gt;&lt;C&gt;1&lt;/C&gt;&lt;D xsi:type="xsd:double"&gt;8.381009&lt;/D&gt;&lt;/FQL&gt;&lt;FQL&gt;&lt;Q&gt;QQQ^P_PRICE(0)/P_PRICE_LOW_PR(0,,,,,,"PRICE","INTRA","52W")-1&lt;/Q&gt;&lt;R&gt;1&lt;/R&gt;&lt;C&gt;1&lt;/C&gt;&lt;D xsi:type="xsd:double"&gt;0.37079751&lt;/D&gt;&lt;/FQL&gt;&lt;FQL&gt;&lt;Q&gt;FXI^FMA_COS_UP("EPS","1M",+1,0,,,"PORTAGG","MEANR")&lt;/Q&gt;&lt;R&gt;1&lt;/R&gt;&lt;C&gt;1&lt;/C&gt;&lt;D xsi:type="xsd:double"&gt;18&lt;/D&gt;&lt;/FQL&gt;&lt;FQL&gt;&lt;Q&gt;REFSEREPO-FDS^(SUBARRAY(NOT_NA(NO_REPEAT_F(FG_YIELD(NOW,-10AY,D))),0,1)-SUBARRAY(NOT_NA(NO_REPEAT_F(FG_YIELD(NOW,-10AY,D))),1,1))*100&lt;/Q&gt;&lt;R&gt;1&lt;/R&gt;&lt;C&gt;1&lt;/C&gt;&lt;D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xsi:type="xsd:double"&gt;-25&lt;/D&gt;&lt;/FQL&gt;&lt;FQL&gt;&lt;Q&gt;CC_NL^IMF_IFS_RCPI_Q(0)&lt;/Q&gt;&lt;R&gt;1&lt;/R&gt;&lt;C&gt;1&lt;/C&gt;&lt;D xsi:type="xsd:double"&gt;3.0237906&lt;/D&gt;&lt;/FQL&gt;&lt;FQL&gt;&lt;Q&gt;EWQ^FMA_EVAL_EBITDA(NTMA,0,,,"PORTAGG","MEANR")&lt;/Q&gt;&lt;R&gt;1&lt;/R&gt;&lt;C&gt;1&lt;/C&gt;&lt;D xsi:type="xsd:double"&gt;9.55105740295096&lt;/D&gt;&lt;/FQL&gt;&lt;FQL&gt;&lt;Q&gt;CAGDPY@JP^EE_ACTUAL_ANNUAL(MED,+1)&lt;/Q&gt;&lt;R&gt;1&lt;/R&gt;&lt;C&gt;1&lt;/C&gt;&lt;D xsi:type="xsd:double"&gt;3.5&lt;/D&gt;&lt;/FQL&gt;&lt;FQL&gt;&lt;Q&gt;USDAUD^FG_PRICE_CHANGE(0,-3AM)&lt;/Q&gt;&lt;R&gt;1&lt;/R&gt;&lt;C&gt;1&lt;/C&gt;&lt;D xsi:type="xsd:double"&gt;-2.4220705&lt;/D&gt;&lt;/FQL&gt;&lt;FQL&gt;&lt;Q&gt;ENZL^FMA_PE(NTMA,-10AY,0,AM,"PORTAGG","MEANR")&lt;/Q&gt;&lt;R&gt;121&lt;/R&gt;&lt;C&gt;1&lt;/C&gt;&lt;D xsi:type="xsd:double"&gt;17.465533554149&lt;/D&gt;&lt;D xsi:type="xsd:double"&gt;17.3852383414272&lt;/D&gt;&lt;D xsi:type="xsd:double"&gt;17.1979026352548&lt;/D&gt;&lt;D xsi:type="xsd:double"&gt;17.0640200899694&lt;/D&gt;&lt;D xsi:type="xsd:double"&gt;16.8087624405425&lt;/D&gt;&lt;D xsi:type="xsd:double"&gt;16.7401097983836&lt;/D&gt;&lt;D xsi:type="xsd:double"&gt;18.087948344297&lt;/D&gt;&lt;D xsi:type="xsd:double"&gt;17.9777120553576&lt;/D&gt;&lt;D xsi:type="xsd:double"&gt;18.5478301470677&lt;/D&gt;&lt;D xsi:type="xsd:double"&gt;18.8906162156397&lt;/D&gt;&lt;D xsi:type="xsd:double"&gt;18.9932458427906&lt;/D&gt;&lt;D xsi:type="xsd:double"&gt;18.4332732653751&lt;/D&gt;&lt;D xsi:type="xsd:double"&gt;18.1577481272639&lt;/D&gt;&lt;D xsi:type="xsd:double"&gt;17.9732996728695&lt;/D&gt;&lt;D xsi:type="xsd:double"&gt;18.1715087899683&lt;/D&gt;&lt;D xsi:type="xsd:double"&gt;17.727762767233&lt;/D&gt;&lt;D xsi:type="xsd:double"&gt;17.5262901960773&lt;/D&gt;&lt;D xsi:type="xsd:double"&gt;17.6236065596109&lt;/D&gt;&lt;D xsi:type="xsd:double"&gt;17.8704791748612&lt;/D&gt;&lt;D xsi:type="xsd:double"&gt;17.8803278471895&lt;/D&gt;&lt;D xsi:type="xsd:double"&gt;17.7346036848985&lt;/D&gt;&lt;D xsi:type="xsd:double"&gt;17.1618560315853&lt;/D&gt;&lt;D xsi:type="xsd:double"&gt;18.2344763863005&lt;/D&gt;&lt;D xsi:type="xsd:double"&gt;18.8865434485466&lt;/D&gt;&lt;D xsi:type="xsd:double"&gt;19.3979302352709&lt;/D&gt;&lt;D xsi:type="xsd:double"&gt;18.9217504725008&lt;/D&gt;&lt;D xsi:type="xsd:double"&gt;19.4934640363663&lt;/D&gt;&lt;D xsi:type="xsd:double"&gt;20.3164672382887&lt;/D&gt;&lt;D xsi:type="xsd:double"&gt;20.1995497998947&lt;/D&gt;&lt;D xsi:type="xsd:double"&gt;19.359698198093&lt;/D&gt;&lt;D xsi:type="xsd:double"&gt;18.6058518359801&lt;/D&gt;&lt;D xsi:type="xsd:double"&gt;18.1634957042499&lt;/D&gt;&lt;D xsi:type="xsd:double"&gt;18.9483913194195&lt;/D&gt;&lt;D xsi:type="xsd:double"&gt;18.9227869332119&lt;/D&gt;&lt;D xsi:type="xsd:double"&gt;18.7962032498598&lt;/D&gt;&lt;D xsi:type="xsd:double"&gt;19.1187013641172&lt;/D&gt;&lt;D xsi:type="xsd:double"&gt;19.5439333819339&lt;/D&gt;&lt;D xsi:type="xsd:double"&gt;19.5568107789944&lt;/D&gt;&lt;D xsi:type="xsd:double"&gt;19.7184872054705&lt;/D&gt;&lt;D xsi:type="xsd:double"&gt;20.2298144438357&lt;/D&gt;&lt;D xsi:type="xsd:double"&gt;19.6407115554074&lt;/D&gt;&lt;D xsi:type="xsd:double"&gt;20.0977372815808&lt;/D&gt;&lt;D xsi:type="xsd:double"&gt;20.1973244525382&lt;/D&gt;&lt;D xsi:type="xsd:double"&gt;20.8536530945937&lt;/D&gt;&lt;D xsi:type="xsd:double"&gt;20.6039143731727&lt;/D&gt;&lt;D xsi:type="xsd:double"&gt;20.2818365986933&lt;/D&gt;&lt;D xsi:type="xsd:double"&gt;20.4977190042163&lt;/D&gt;&lt;D xsi:type="xsd:double"&gt;19.9717328035122&lt;/D&gt;&lt;D xsi:type="xsd:double"&gt;20.382122572994&lt;/D&gt;&lt;D xsi:type="xsd:double"&gt;21.3804673046245&lt;/D&gt;&lt;D xsi:type="xsd:double"&gt;21.1301044112151&lt;/D&gt;&lt;D xsi:type="xsd:double"&gt;21.3168575086892&lt;/D&gt;&lt;D xsi:type="xsd:double"&gt;21.5936576068083&lt;/D&gt;&lt;D xsi:type="xsd:double"&gt;20.5072692874385&lt;/D&gt;&lt;D xsi:type="xsd:double"&gt;20.0735276404331&lt;/D&gt;&lt;D xsi:type="xsd:double"&gt;19.9210382367884&lt;/D&gt;&lt;D xsi:type="xsd:double"&gt;20.619215457781&lt;/D&gt;&lt;D xsi:type="xsd:double"&gt;21.018988736511&lt;/D&gt;&lt;D xsi:type="xsd:double"&gt;21.6177622744923&lt;/D&gt;&lt;D xsi:type="xsd:double"&gt;22.6337556137101&lt;/D&gt;&lt;D xsi:type="xsd:double"&gt;23.1098901534411&lt;/D&gt;&lt;D xsi:type="xsd:double"&gt;22.8403552267355&lt;/D&gt;&lt;D xsi:type="xsd:double"&gt;24.2149800090142&lt;/D&gt;&lt;D xsi:type="xsd:double"&gt;24.0303312312609&lt;/D&gt;&lt;D xsi:type="xsd:double"&gt;25.8572589813813&lt;/D&gt;&lt;D xsi:type="xsd:double"&gt;25.6704580291783&lt;/D&gt;&lt;D xsi:type="xsd:double"&gt;24.6853752436586&lt;/D&gt;&lt;D xsi:type="xsd:double"&gt;25.5184699995349&lt;/D&gt;&lt;D xsi:type="xsd:double"&gt;26.3438275426871&lt;/D&gt;&lt;D xsi:type="xsd:double"&gt;26.9623565295904&lt;/D&gt;&lt;D xsi:type="xsd:double"&gt;21.5445529605157&lt;/D&gt;&lt;D xsi:type="xsd:double"&gt;29.2371303809708&lt;/D&gt;&lt;D xsi:type="xsd:double"&gt;30.4586867154365&lt;/D&gt;&lt;D xsi:type="xsd:double"&gt;31.0092221110197&lt;/D&gt;&lt;D xsi:type="xsd:double"&gt;31.8749262772598&lt;/D&gt;&lt;D xsi:type="xsd:double"&gt;32.1220151227866&lt;/D&gt;&lt;D xsi:type="xsd:double"&gt;31.9251021600585&lt;/D&gt;&lt;D xsi:type="xsd:double"&gt;33.0706454167922&lt;/D&gt;&lt;D xsi:type="xsd:double"&gt;33.3649165008848&lt;/D&gt;&lt;D xsi:type="xsd:double"&gt;32.905702507102&lt;/D&gt;&lt;D xsi:type="xsd:double"&gt;33.6408252776016&lt;/D&gt;&lt;D xsi:type="xsd:double"&gt;31.889159319866&lt;/D&gt;&lt;D xsi:type="xsd:double"&gt;32.8145421750344&lt;/D&gt;&lt;D xsi:type="xsd:double"&gt;32.3808061431811&lt;/D&gt;&lt;D xsi:type="xsd:double"&gt;32.338105452348&lt;/D&gt;&lt;D xsi:type="xsd:double"&gt;33.5494765716689&lt;/D&gt;&lt;D xsi:type="xsd:double"&gt;34.2078054989961&lt;/D&gt;&lt;D xsi:type="xsd:double"&gt;33.6220926005801&lt;/D&gt;&lt;D xsi:type="xsd:double"&gt;34.9638427182766&lt;/D&gt;&lt;D xsi:type="xsd:double"&gt;33.6539615726834&lt;/D&gt;&lt;D xsi:type="xsd:double"&gt;32.7651838249352&lt;/D&gt;&lt;D xsi:type="xsd:double"&gt;31.9105486234566&lt;/D&gt;&lt;D xsi:type="xsd:double"&gt;31.1557608205407&lt;/D&gt;&lt;D xsi:type="xsd:double"&gt;29.7994328834568&lt;/D&gt;&lt;D xsi:type="xsd:double"&gt;28.9151016686445&lt;/D&gt;&lt;D xsi:type="xsd:double"&gt;28.2102626122451&lt;/D&gt;&lt;D xsi:type="xsd:double"&gt;27.1458039886079&lt;/D&gt;&lt;D xsi:type="xsd:double"&gt;25.0638707867245&lt;/D&gt;&lt;D xsi:type="xsd:double"&gt;25.9082971592332&lt;/D&gt;&lt;D xsi:type="xsd:double"&gt;27.0271851962796&lt;/D&gt;&lt;D xsi:type="xsd:double"&gt;26.2433274484386&lt;/D&gt;&lt;D xsi:type="xsd:double"&gt;23.263266955029&lt;/D&gt;&lt;D xsi:type="xsd:double"&gt;23.4635517603236&lt;/D&gt;&lt;D xsi:type="xsd:double"&gt;23.4464203034506&lt;/D&gt;&lt;D xsi:type="xsd:double"&gt;23.8814587706329&lt;/D&gt;&lt;D xsi:type="xsd:double"&gt;24.8437661889129&lt;/D&gt;&lt;D xsi:type="xsd:double"&gt;22.7621783174531&lt;/D&gt;&lt;D xsi:type="xsd:double"&gt;23.3751321938364&lt;/D&gt;&lt;D xsi:type="xsd:double"&gt;23.5133110585707&lt;/D&gt;&lt;D xsi:type="xsd:double"&gt;20.8172027291688&lt;/D&gt;&lt;D xsi:type="xsd:double"&gt;20.9889504112708&lt;/D&gt;&lt;D xsi:type="xsd:double"&gt;20.1199805957764&lt;/D&gt;&lt;D xsi:type="xsd:double"&gt;20.2764060189715&lt;/D&gt;&lt;D xsi:type="xsd:double"&gt;19.7006318407927&lt;/D&gt;&lt;D xsi:type="xsd:double"&gt;20.1270027042033&lt;/D&gt;&lt;D xsi:type="xsd:double"&gt;22.5581462534968&lt;/D&gt;&lt;D xsi:type="xsd:double"&gt;22.3456253162104&lt;/D&gt;&lt;D xsi:type="xsd:double"&gt;22.2964802939291&lt;/D&gt;&lt;D xsi:type="xsd:double"&gt;24.8757284096406&lt;/D&gt;&lt;D xsi:type="xsd:double"&gt;24.8653056417122&lt;/D&gt;&lt;D xsi:type="xsd:double"&gt;25.0413691820602&lt;/D&gt;&lt;/FQL&gt;&lt;FQL&gt;&lt;Q&gt;PLATI-FDS^FG_PRICE_CHANGE(0,-1AM)&lt;/Q&gt;&lt;R&gt;1&lt;/R&gt;&lt;C&gt;1&lt;/C&gt;&lt;D xsi:type="xsd:double"&gt;11.6230366492147&lt;/D&gt;&lt;/FQL&gt;&lt;FQL&gt;&lt;Q&gt;FXI^P_PRICE(0)/P_PRICE_HIGH_PR(0,,,,,,"PRICE","INTRA","52W")&lt;/Q&gt;&lt;R&gt;1&lt;/R&gt;&lt;C&gt;1&lt;/C&gt;&lt;D xsi:type="xsd:double"&gt;0.9603798&lt;/D&gt;&lt;/FQL&gt;&lt;FQL&gt;&lt;Q&gt;EWN^FG_TOTAL_RETURNC(0,-3AM)&lt;/Q&gt;&lt;R&gt;1&lt;/R&gt;&lt;C&gt;1&lt;/C&gt;&lt;D xsi:type="xsd:double"&gt;9.414005&lt;/D&gt;&lt;/FQL&gt;&lt;FQL&gt;&lt;Q&gt;EWL^FMA_PCT_ABOVE_MAVG(200,0,,,,"PORTAGG")&lt;/Q&gt;&lt;R&gt;1&lt;/R&gt;&lt;C&gt;1&lt;/C&gt;&lt;D xsi:type="xsd:double"&gt;68.8888888888889&lt;/D&gt;&lt;/FQL&gt;&lt;FQL&gt;&lt;Q&gt;EWL^FMA_RBICS_REV_CURRENT(30, LOC, "PORTAGG")&lt;/Q&gt;&lt;R&gt;1&lt;/R&gt;&lt;C&gt;1&lt;/C&gt;&lt;D xsi:type="xsd:double"&gt;17.8649112648431&lt;/D&gt;&lt;/FQL&gt;&lt;FQL&gt;&lt;Q&gt;TRYID10Y-FDS^FG_YIELD(-10AY,0,Y,,"YTM")&lt;/Q&gt;&lt;R&gt;10&lt;/R&gt;&lt;C&gt;1&lt;/C&gt;&lt;D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xsi:type="xsd:double"&gt;6.498571&lt;/D&gt;&lt;/FQL&gt;&lt;FQL&gt;&lt;Q&gt;USDUSD^FG_PRICE_CHANGE(0,-6AM)&lt;/Q&gt;&lt;R&gt;1&lt;/R&gt;&lt;C&gt;1&lt;/C&gt;&lt;D xsi:type="xsd:double"&gt;0&lt;/D&gt;&lt;/FQL&gt;&lt;FQL&gt;&lt;Q&gt;EWD^P_PRICE_RETURNS_PR('52W',2,-10AY,0,AM)&lt;/Q&gt;&lt;R&gt;121&lt;/R&gt;&lt;C&gt;1&lt;/C&gt;&lt;D xsi:type="xsd:double"&gt;16.322994&lt;/D&gt;&lt;D xsi:type="xsd:double"&gt;15.51013&lt;/D&gt;&lt;D xsi:type="xsd:double"&gt;10.116804&lt;/D&gt;&lt;D xsi:type="xsd:double"&gt;5.2990794&lt;/D&gt;&lt;D xsi:type="xsd:double"&gt;0.54843426&lt;/D&gt;&lt;D xsi:type="xsd:double"&gt;-6.463897&lt;/D&gt;&lt;D xsi:type="xsd:double"&gt;0.34689903&lt;/D&gt;&lt;D xsi:type="xsd:double"&gt;-1.49315&lt;/D&gt;&lt;D xsi:type="xsd:double"&gt;-10.660702&lt;/D&gt;&lt;D xsi:type="xsd:double"&gt;-2.097702&lt;/D&gt;&lt;D xsi:type="xsd:double"&gt;-5.770254&lt;/D&gt;&lt;D xsi:type="xsd:double"&gt;-3.2470107&lt;/D&gt;&lt;D xsi:type="xsd:double"&gt;-3.289318&lt;/D&gt;&lt;D xsi:type="xsd:double"&gt;-4.044342&lt;/D&gt;&lt;D xsi:type="xsd:double"&gt;-1.6176641&lt;/D&gt;&lt;D xsi:type="xsd:double"&gt;-2.2101164&lt;/D&gt;&lt;D xsi:type="xsd:double"&gt;-3.5639882&lt;/D&gt;&lt;D xsi:type="xsd:double"&gt;4.554367&lt;/D&gt;&lt;D xsi:type="xsd:double"&gt;-5.7316422&lt;/D&gt;&lt;D xsi:type="xsd:double"&gt;-5.1327705&lt;/D&gt;&lt;D xsi:type="xsd:double"&gt;-11.108625&lt;/D&gt;&lt;D xsi:type="xsd:double"&gt;-14.599818&lt;/D&gt;&lt;D xsi:type="xsd:double"&gt;-7.9645214&lt;/D&gt;&lt;D xsi:type="xsd:double"&gt;-8.289856&lt;/D&gt;&lt;D xsi:type="xsd:double"&gt;-13.966454&lt;/D&gt;&lt;D xsi:type="xsd:double"&gt;-13.97242&lt;/D&gt;&lt;D xsi:type="xsd:double"&gt;-9.95183&lt;/D&gt;&lt;D xsi:type="xsd:double"&gt;-6.4026537&lt;/D&gt;&lt;D xsi:type="xsd:double"&gt;-4.077154&lt;/D&gt;&lt;D xsi:type="xsd:double"&gt;-3.4274638&lt;/D&gt;&lt;D xsi:type="xsd:double"&gt;-3.6548674&lt;/D&gt;&lt;D xsi:type="xsd:double"&gt;0.7576823&lt;/D&gt;&lt;D xsi:type="xsd:double"&gt;16.621017&lt;/D&gt;&lt;D xsi:type="xsd:double"&gt;15.342844&lt;/D&gt;&lt;D xsi:type="xsd:double"&gt;11.540043&lt;/D&gt;&lt;D xsi:type="xsd:double"&gt;8.175802&lt;/D&gt;&lt;D xsi:type="xsd:double"&gt;20.891523&lt;/D&gt;&lt;D xsi:type="xsd:double"&gt;27.272964&lt;/D&gt;&lt;D xsi:type="xsd:double"&gt;29.131067&lt;/D&gt;&lt;D xsi:type="xsd:double"&gt;19.44349&lt;/D&gt;&lt;D xsi:type="xsd:double"&gt;25.243425&lt;/D&gt;&lt;D xsi:type="xsd:double"&gt;29.68669&lt;/D&gt;&lt;D xsi:type="xsd:double"&gt;28.140938&lt;/D&gt;&lt;D xsi:type="xsd:double"&gt;21.149313&lt;/D&gt;&lt;D xsi:type="xsd:double"&gt;26.679766&lt;/D&gt;&lt;D xsi:type="xsd:double"&gt;16.028059&lt;/D&gt;&lt;D xsi:type="xsd:double"&gt;12.890768&lt;/D&gt;&lt;D xsi:type="xsd:double"&gt;10.328007&lt;/D&gt;&lt;D xsi:type="xsd:double"&gt;4.7124147&lt;/D&gt;&lt;D xsi:type="xsd:double"&gt;1.2093663&lt;/D&gt;&lt;D xsi:type="xsd:double"&gt;-6.3795147&lt;/D&gt;&lt;D xsi:type="xsd:double"&gt;-1.9781649&lt;/D&gt;&lt;D xsi:type="xsd:double"&gt;-4.114085&lt;/D&gt;&lt;D xsi:type="xsd:double"&gt;-9.812575&lt;/D&gt;&lt;D xsi:type="xsd:double"&gt;-10.933739&lt;/D&gt;&lt;D xsi:type="xsd:double"&gt;-11.821211&lt;/D&gt;&lt;D xsi:type="xsd:double"&gt;-14.958662&lt;/D&gt;&lt;D xsi:type="xsd:double"&gt;-8.968502&lt;/D&gt;&lt;D xsi:type="xsd:double"&gt;-7.1313915&lt;/D&gt;&lt;D xsi:type="xsd:double"&gt;1.8834829&lt;/D&gt;&lt;D xsi:type="xsd:double"&gt;-6.3725176&lt;/D&gt;&lt;D xsi:type="xsd:double"&gt;-2.929014&lt;/D&gt;&lt;D xsi:type="xsd:double"&gt;0.8362293&lt;/D&gt;&lt;D xsi:type="xsd:double"&gt;-6.611514&lt;/D&gt;&lt;D xsi:type="xsd:double"&gt;-3.3595324&lt;/D&gt;&lt;D xsi:type="xsd:double"&gt;3.093636&lt;/D&gt;&lt;D xsi:type="xsd:double"&gt;13.53991&lt;/D&gt;&lt;D xsi:type="xsd:double"&gt;24.37011&lt;/D&gt;&lt;D xsi:type="xsd:double"&gt;20.021034&lt;/D&gt;&lt;D xsi:type="xsd:double"&gt;18.558502&lt;/D&gt;&lt;D xsi:type="xsd:double"&gt;-18.4469&lt;/D&gt;&lt;D xsi:type="xsd:double"&gt;-14.797693&lt;/D&gt;&lt;D xsi:type="xsd:double"&gt;-9.42145&lt;/D&gt;&lt;D xsi:type="xsd:double"&gt;6.5065384&lt;/D&gt;&lt;D xsi:type="xsd:double"&gt;14.498579&lt;/D&gt;&lt;D xsi:type="xsd:double"&gt;30.492926&lt;/D&gt;&lt;D xsi:type="xsd:double"&gt;22.420132&lt;/D&gt;&lt;D xsi:type="xsd:double"&gt;22.095537&lt;/D&gt;&lt;D xsi:type="xsd:double"&gt;23.604477&lt;/D&gt;&lt;D xsi:type="xsd:double"&gt;21.478712&lt;/D&gt;&lt;D xsi:type="xsd:double"&gt;25.66353&lt;/D&gt;&lt;D xsi:type="xsd:double"&gt;27.009905&lt;/D&gt;&lt;D xsi:type="xsd:double"&gt;90.732635&lt;/D&gt;&lt;D xsi:type="xsd:double"&gt;91.84918&lt;/D&gt;&lt;D xsi:type="xsd:double"&gt;83.65029&lt;/D&gt;&lt;D xsi:type="xsd:double"&gt;54.475952&lt;/D&gt;&lt;D xsi:type="xsd:double"&gt;43.627693&lt;/D&gt;&lt;D xsi:type="xsd:double"&gt;37.903416&lt;/D&gt;&lt;D xsi:type="xsd:double"&gt;33.79811&lt;/D&gt;&lt;D xsi:type="xsd:double"&gt;36.65148&lt;/D&gt;&lt;D xsi:type="xsd:double"&gt;28.372395&lt;/D&gt;&lt;D xsi:type="xsd:double"&gt;15.623236&lt;/D&gt;&lt;D xsi:type="xsd:double"&gt;13.879311&lt;/D&gt;&lt;D xsi:type="xsd:double"&gt;-0.4511714&lt;/D&gt;&lt;D xsi:type="xsd:double"&gt;-7.719934&lt;/D&gt;&lt;D xsi:type="xsd:double"&gt;-13.973671&lt;/D&gt;&lt;D xsi:type="xsd:double"&gt;-21.84304&lt;/D&gt;&lt;D xsi:type="xsd:double"&gt;-29.330439&lt;/D&gt;&lt;D xsi:type="xsd:double"&gt;-32.041145&lt;/D&gt;&lt;D xsi:type="xsd:double"&gt;-26.565039&lt;/D&gt;&lt;D xsi:type="xsd:double"&gt;-34.721733&lt;/D&gt;&lt;D xsi:type="xsd:double"&gt;-36.470097&lt;/D&gt;&lt;D xsi:type="xsd:double"&gt;-28.977268&lt;/D&gt;&lt;D xsi:type="xsd:double"&gt;-24.389011&lt;/D&gt;&lt;D xsi:type="xsd:double"&gt;-19.050491&lt;/D&gt;&lt;D xsi:type="xsd:double"&gt;-7.7748537&lt;/D&gt;&lt;D xsi:type="xsd:double"&gt;-14.603853&lt;/D&gt;&lt;D xsi:type="xsd:double"&gt;-1.4462471&lt;/D&gt;&lt;D xsi:type="xsd:double"&gt;5.2041054&lt;/D&gt;&lt;D xsi:type="xsd:double"&gt;16.528261&lt;/D&gt;&lt;D xsi:type="xsd:double"&gt;21.037663&lt;/D&gt;&lt;D xsi:type="xsd:double"&gt;0.29699802&lt;/D&gt;&lt;D xsi:type="xsd:double"&gt;10.7131&lt;/D&gt;&lt;D xsi:type="xsd:double"&gt;18.167316&lt;/D&gt;&lt;D xsi:type="xsd:double"&gt;9.610451&lt;/D&gt;&lt;D xsi:type="xsd:double"&gt;18.323814&lt;/D&gt;&lt;D xsi:type="xsd:double"&gt;5.586934&lt;/D&gt;&lt;D xsi:type="xsd:double"&gt;9.983277&lt;/D&gt;&lt;D xsi:type="xsd:double"&gt;26.763748&lt;/D&gt;&lt;D xsi:type="xsd:double"&gt;8.298278&lt;/D&gt;&lt;D xsi:type="xsd:double"&gt;16.81968&lt;/D&gt;&lt;/FQL&gt;&lt;FQL&gt;&lt;Q&gt;EWN^FG_PRICE_MAVG(0,,,,60)&lt;/Q&gt;&lt;R&gt;1&lt;/R&gt;&lt;C&gt;1&lt;/C&gt;&lt;D xsi:type="xsd:double"&gt;48.94975&lt;/D&gt;&lt;/FQL&gt;&lt;FQL&gt;&lt;Q&gt;SPY^SIZE(FG_CONSTITUENTS)&lt;/Q&gt;&lt;R&gt;1&lt;/R&gt;&lt;C&gt;1&lt;/C&gt;&lt;D xsi:type="xsd:long"&gt;504&lt;/D&gt;&lt;/FQL&gt;&lt;FQL&gt;&lt;Q&gt;REFJPTON-FDS^PROPER_NAME(0,,,"SECURITY","NAME")&lt;/Q&gt;&lt;R&gt;1&lt;/R&gt;&lt;C&gt;1&lt;/C&gt;&lt;D xsi:type="xsd:string"&gt;Japan Policy Rate&lt;/D&gt;&lt;/FQL&gt;&lt;FQL&gt;&lt;Q&gt;EWI^FMA_EVAL_EBIT(LTMA,NOW,NOW,M,"PORTAGG","MEANR")&lt;/Q&gt;&lt;R&gt;1&lt;/R&gt;&lt;C&gt;1&lt;/C&gt;&lt;D xsi:type="xsd:double"&gt;10.8386122168817&lt;/D&gt;&lt;/FQL&gt;&lt;FQL&gt;&lt;Q&gt;EWU^FMA_PE(NTMA,0,,,"PORTAGG","MEANR")&lt;/Q&gt;&lt;R&gt;1&lt;/R&gt;&lt;C&gt;1&lt;/C&gt;&lt;D xsi:type="xsd:double"&gt;11.9687261103167&lt;/D&gt;&lt;/FQL&gt;&lt;FQL&gt;&lt;Q&gt;TRYEU10Y-FDS^FG_YIELD(-10AY,0,Y,,"YTM")&lt;/Q&gt;&lt;R&gt;10&lt;/R&gt;&lt;C&gt;1&lt;/C&gt;&lt;D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xsi:type="xsd:double"&gt;2.004&lt;/D&gt;&lt;/FQL&gt;&lt;FQL&gt;&lt;Q&gt;USDITL^FG_COMPANY_NAME&lt;/Q&gt;&lt;R&gt;1&lt;/R&gt;&lt;C&gt;1&lt;/C&gt;&lt;D xsi:type="xsd:string"&gt;Italian Lira per U.S. Dollar&lt;/D&gt;&lt;/FQL&gt;&lt;FQL&gt;&lt;Q&gt;USDUSD^STD(FG_PRICE_CHANGE(0,-3AY,M))&lt;/Q&gt;&lt;R&gt;1&lt;/R&gt;&lt;C&gt;1&lt;/C&gt;&lt;D xsi:type="xsd:double"&gt;0&lt;/D&gt;&lt;/FQL&gt;&lt;FQL&gt;&lt;Q&gt;USDCHF^FG_PRICE_CHANGE(0,-1AM)&lt;/Q&gt;&lt;R&gt;1&lt;/R&gt;&lt;C&gt;1&lt;/C&gt;&lt;D xsi:type="xsd:double"&gt;-0.64625144&lt;/D&gt;&lt;/FQL&gt;&lt;FQL&gt;&lt;Q&gt;EWA^JULIAN(FMA_EPS(NTMA,-20AY,0,CY,,"PORTAGG","MEANR").DATES)&lt;/Q&gt;&lt;R&gt;20&lt;/R&gt;&lt;C&gt;1&lt;/C&gt;&lt;D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</t>
        </r>
      </text>
    </comment>
    <comment ref="A8" authorId="0" shapeId="0" xr:uid="{6CE32CD3-5B68-45F1-81A0-FCA141AA9B01}">
      <text>
        <r>
          <rPr>
            <b/>
            <sz val="9"/>
            <color indexed="81"/>
            <rFont val="Tahoma"/>
            <charset val="1"/>
          </rPr>
          <t>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xsi:type="xsd:long"&gt;45289&lt;/D&gt;&lt;/FQL&gt;&lt;FQL&gt;&lt;Q&gt;EWA^FG_TOTAL_RETURNC(-10AY,0,AM)&lt;/Q&gt;&lt;R&gt;121&lt;/R&gt;&lt;C&gt;1&lt;/C&gt;&lt;D xsi:type="xsd:double"&gt;1.0586023&lt;/D&gt;&lt;D xsi:type="xsd:double"&gt;-2.020198&lt;/D&gt;&lt;D xsi:type="xsd:double"&gt;2.4360418&lt;/D&gt;&lt;D xsi:type="xsd:double"&gt;0.9080529&lt;/D&gt;&lt;D xsi:type="xsd:double"&gt;-5.6242943&lt;/D&gt;&lt;D xsi:type="xsd:double"&gt;-3.4564972&lt;/D&gt;&lt;D xsi:type="xsd:double"&gt;1.6461015&lt;/D&gt;&lt;D xsi:type="xsd:double"&gt;-10.29421&lt;/D&gt;&lt;D xsi:type="xsd:double"&gt;4.0074587&lt;/D&gt;&lt;D xsi:type="xsd:double"&gt;4.7491074&lt;/D&gt;&lt;D xsi:type="xsd:double"&gt;-2.5235176&lt;/D&gt;&lt;D xsi:type="xsd:double"&gt;2.1500707&lt;/D&gt;&lt;D xsi:type="xsd:double"&gt;1.8041253&lt;/D&gt;&lt;D xsi:type="xsd:double"&gt;-6.2025366&lt;/D&gt;&lt;D xsi:type="xsd:double"&gt;-3.0594528&lt;/D&gt;&lt;D xsi:type="xsd:double"&gt;-5.2756667&lt;/D&gt;&lt;D xsi:type="xsd:double"&gt;-6.121433&lt;/D&gt;&lt;D xsi:type="xsd:double"&gt;4.596472&lt;/D&gt;&lt;D xsi:type="xsd:double"&gt;-5.6719484&lt;/D&gt;&lt;D xsi:type="xsd:double"&gt;-0.8125663&lt;/D&gt;&lt;D xsi:type="xsd:double"&gt;-8.772254&lt;/D&gt;&lt;D xsi:type="xsd:double"&gt;8.307695&lt;/D&gt;&lt;D xsi:type="xsd:double"&gt;13.29546&lt;/D&gt;&lt;D xsi:type="xsd:double"&gt;-0.3009081&lt;/D&gt;&lt;D xsi:type="xsd:double"&gt;-1.006031&lt;/D&gt;&lt;D xsi:type="xsd:double"&gt;-2.8963387&lt;/D&gt;&lt;D xsi:type="xsd:double"&gt;8.157802&lt;/D&gt;&lt;D xsi:type="xsd:double"&gt;2.9931307&lt;/D&gt;&lt;D xsi:type="xsd:double"&gt;-5.7170033&lt;/D&gt;&lt;D xsi:type="xsd:double"&gt;4.295087&lt;/D&gt;&lt;D xsi:type="xsd:double"&gt;-2.131778&lt;/D&gt;&lt;D xsi:type="xsd:double"&gt;1.8316746&lt;/D&gt;&lt;D xsi:type="xsd:double"&gt;6.7169666&lt;/D&gt;&lt;D xsi:type="xsd:double"&gt;4.022455&lt;/D&gt;&lt;D xsi:type="xsd:double"&gt;1.1240959&lt;/D&gt;&lt;D xsi:type="xsd:double"&gt;0.31124353&lt;/D&gt;&lt;D xsi:type="xsd:double"&gt;-4.9202085&lt;/D&gt;&lt;D xsi:type="xsd:double"&gt;3.3100247&lt;/D&gt;&lt;D xsi:type="xsd:double"&gt;2.2909641&lt;/D&gt;&lt;D xsi:type="xsd:double"&gt;1.4427423&lt;/D&gt;&lt;D xsi:type="xsd:double"&gt;1.77778&lt;/D&gt;&lt;D xsi:type="xsd:double"&gt;0.7423639&lt;/D&gt;&lt;D xsi:type="xsd:double"&gt;-1.9072413&lt;/D&gt;&lt;D xsi:type="xsd:double"&gt;2.2536516&lt;/D&gt;&lt;D xsi:type="xsd:double"&gt;4.454851&lt;/D&gt;&lt;D xsi:type="xsd:double"&gt;-2.5858462&lt;/D&gt;&lt;D xsi:type="xsd:double"&gt;-0.9138346&lt;/D&gt;&lt;D xsi:type="xsd:double"&gt;-1.1418521&lt;/D&gt;&lt;D xsi:type="xsd:double"&gt;1.5548706&lt;/D&gt;&lt;D xsi:type="xsd:double"&gt;-1.6185522&lt;/D&gt;&lt;D xsi:type="xsd:double"&gt;2.4092674&lt;/D&gt;&lt;D xsi:type="xsd:double"&gt;1.8149614&lt;/D&gt;&lt;D xsi:type="xsd:double"&gt;-4.826087&lt;/D&gt;&lt;D xsi:type="xsd:double"&gt;-4.5226097&lt;/D&gt;&lt;D xsi:type="xsd:double"&gt;0.57417154&lt;/D&gt;&lt;D xsi:type="xsd:double"&gt;-4.662222&lt;/D&gt;&lt;D xsi:type="xsd:double"&gt;6.243384&lt;/D&gt;&lt;D xsi:type="xsd:double"&gt;2.8292656&lt;/D&gt;&lt;D xsi:type="xsd:double"&gt;1.7552257&lt;/D&gt;&lt;D xsi:type="xsd:double"&gt;2.0978928&lt;/D&gt;&lt;D xsi:type="xsd:double"&gt;-2.191776&lt;/D&gt;&lt;D xsi:type="xsd:double"&gt;3.2814384&lt;/D&gt;&lt;D xsi:type="xsd:double"&gt;4.1974187&lt;/D&gt;&lt;D xsi:type="xsd:double"&gt;-6.020367&lt;/D&gt;&lt;D xsi:type="xsd:double"&gt;6.5944433&lt;/D&gt;&lt;D xsi:type="xsd:double"&gt;-1.2372911&lt;/D&gt;&lt;D xsi:type="xsd:double"&gt;2.0581603&lt;/D&gt;&lt;D xsi:type="xsd:double"&gt;1.1049032&lt;/D&gt;&lt;D xsi:type="xsd:double"&gt;4.024768&lt;/D&gt;&lt;D xsi:type="xsd:double"&gt;-1.9983053&lt;/D&gt;&lt;D xsi:type="xsd:double"&gt;-32.494576&lt;/D&gt;&lt;D xsi:type="xsd:double"&gt;8.16195&lt;/D&gt;&lt;D xsi:type="xsd:double"&gt;-1.010102&lt;/D&gt;&lt;D xsi:type="xsd:double"&gt;17.868305&lt;/D&gt;&lt;D xsi:type="xsd:double"&gt;2.945733&lt;/D&gt;&lt;D xsi:type="xsd:double"&gt;4.2670727&lt;/D&gt;&lt;D xsi:type="xsd:double"&gt;-1.9258499&lt;/D&gt;&lt;D xsi:type="xsd:double"&gt;1.8654823&lt;/D&gt;&lt;D xsi:type="xsd:double"&gt;8.722889&lt;/D&gt;&lt;D xsi:type="xsd:double"&gt;8.582127&lt;/D&gt;&lt;D xsi:type="xsd:double"&gt;0.65870285&lt;/D&gt;&lt;D xsi:type="xsd:double"&gt;3.0265808&lt;/D&gt;&lt;D xsi:type="xsd:double"&gt;0.15878677&lt;/D&gt;&lt;D xsi:type="xsd:double"&gt;4.0824413&lt;/D&gt;&lt;D xsi:type="xsd:double"&gt;0.7235408&lt;/D&gt;&lt;D xsi:type="xsd:double"&gt;2.2371411&lt;/D&gt;&lt;D xsi:type="xsd:double"&gt;-4.0119944&lt;/D&gt;&lt;D xsi:type="xsd:double"&gt;0.35156012&lt;/D&gt;&lt;D xsi:type="xsd:double"&gt;-0.9731412&lt;/D&gt;&lt;D xsi:type="xsd:double"&gt;2.8301835&lt;/D&gt;&lt;D xsi:type="xsd:double"&gt;-2.4464786&lt;/D&gt;&lt;D xsi:type="xsd:double"&gt;-3.1752646&lt;/D&gt;&lt;D xsi:type="xsd:double"&gt;3.1844497&lt;/D&gt;&lt;D xsi:type="xsd:double"&gt;-1.7479658&lt;/D&gt;&lt;D xsi:type="xsd:double"&gt;4.9648404&lt;/D&gt;&lt;D xsi:type="xsd:double"&gt;4.0204883&lt;/D&gt;&lt;D xsi:type="xsd:double"&gt;-8.601737&lt;/D&gt;&lt;D xsi:type="xsd:double"&gt;-10.935712&lt;/D&gt;&lt;D xsi:type="xsd:double"&gt;1.2493968&lt;/D&gt;&lt;D xsi:type="xsd:double"&gt;8.258188&lt;/D&gt;&lt;D xsi:type="xsd:double"&gt;-6.882948&lt;/D&gt;&lt;D xsi:type="xsd:double"&gt;-5.9792876&lt;/D&gt;&lt;D xsi:type="xsd:double"&gt;13.570356&lt;/D&gt;&lt;D xsi:type="xsd:double"&gt;-0.24875402&lt;/D&gt;&lt;D xsi:type="xsd:double"&gt;8.64476&lt;/D&gt;&lt;D xsi:type="xsd:double"&gt;-1.8234491&lt;/D&gt;&lt;D xsi:type="xsd:double"&gt;-7.2604537&lt;/D&gt;&lt;D xsi:type="xsd:double"&gt;6.7364693&lt;/D&gt;&lt;D xsi:type="xsd:double"&gt;-2.2601306&lt;/D&gt;&lt;D xsi:type="xsd:double"&gt;3.712809&lt;/D&gt;&lt;D xsi:type="xsd:double"&gt;-0.55722&lt;/D&gt;&lt;D xsi:type="xsd:double"&gt;-7.586205&lt;/D&gt;&lt;D xsi:type="xsd:double"&gt;3.7313342&lt;/D&gt;&lt;D xsi:type="xsd:double"&gt;-2.9676259&lt;/D&gt;&lt;D xsi:type="xsd:double"&gt;2.919364&lt;/D&gt;&lt;D xsi:type="xsd:double"&gt;7.294011&lt;/D&gt;&lt;D xsi:type="xsd:double"&gt;-2.1368563&lt;/D&gt;&lt;D xsi:type="xsd:double"&gt;3.8511992&lt;/D&gt;&lt;D xsi:type="xsd:double"&gt;1.2642264&lt;/D&gt;&lt;D xsi:type="xsd:double"&gt;-2.2055805&lt;/D&gt;&lt;D xsi:type="xsd:double"&gt;7.404256&lt;/D&gt;&lt;/FQL&gt;&lt;FQL&gt;&lt;Q&gt;WL-FDS^FG_PRICE_CHANGE(0,-6AM)&lt;/Q&gt;&lt;R&gt;1&lt;/R&gt;&lt;C&gt;1&lt;/C&gt;&lt;D xsi:type="xsd:double"&gt;-27.4097203366821&lt;/D&gt;&lt;/FQL&gt;&lt;FQL&gt;&lt;Q&gt;EWD^FG_PRICE(0)&lt;/Q&gt;&lt;R&gt;1&lt;/R&gt;&lt;C&gt;1&lt;/C&gt;&lt;D xsi:type="xsd:double"&gt;41.11&lt;/D&gt;&lt;/FQL&gt;&lt;FQL&gt;&lt;Q&gt;EWL^FG_PRICE_MAVG(0,,,,30)&lt;/Q&gt;&lt;R&gt;1&lt;/R&gt;&lt;C&gt;1&lt;/C&gt;&lt;D xsi:type="xsd:double"&gt;46.518665&lt;/D&gt;&lt;/FQL&gt;&lt;FQL&gt;&lt;Q&gt;EWJ^PERCENT_CHANGE(FMA_EPS(+1,0,,,,"PORTAGG","MEAN"),FMA_EPS(+1,-3AM,,,,"PORTAGG","MEAN"))&lt;/Q&gt;&lt;R&gt;1&lt;/R&gt;&lt;C&gt;1&lt;/C&gt;&lt;D xsi:type="xsd:double"&gt;-0.2651715985226&lt;/D&gt;&lt;/FQL&gt;&lt;FQL&gt;&lt;Q&gt;VGK^FG_TOTAL_RETURNC(0,-6AM)&lt;/Q&gt;&lt;R&gt;1&lt;/R&gt;&lt;C&gt;1&lt;/C&gt;&lt;D xsi:type="xsd:double"&gt;16.56642&lt;/D&gt;&lt;/FQL&gt;&lt;FQL&gt;&lt;Q&gt;EWL^PERCENT_CHANGE(FMA_EPS(+1,0,,,,"PORTAGG","MEAN"),FMA_EPS(+1,-3AM,,,,"PORTAGG","MEAN"))&lt;/Q&gt;&lt;R&gt;1&lt;/R&gt;&lt;C&gt;1&lt;/C&gt;&lt;D xsi:type="xsd:double"&gt;2.20399533943541&lt;/D&gt;&lt;/FQL&gt;&lt;FQL&gt;&lt;Q&gt;EWC^FG_TOTAL_RETURNC(0,-3AM)&lt;/Q&gt;&lt;R&gt;1&lt;/R&gt;&lt;C&gt;1&lt;/C&gt;&lt;D xsi:type="xsd:double"&gt;5.207193&lt;/D&gt;&lt;/FQL&gt;&lt;FQL&gt;&lt;Q&gt;FXI^FMA_COS_DOWN("EPS","1M",+1,0,,,"PORTAGG","MEANR")&lt;/Q&gt;&lt;R&gt;1&lt;/R&gt;&lt;C&gt;1&lt;/C&gt;&lt;D xsi:type="xsd:double"&gt;27&lt;/D&gt;&lt;/FQL&gt;&lt;FQL&gt;&lt;Q&gt;EWN^FMA_COS_UP("EPS","1M",+1,0,,,"PORTAGG","MEANR")&lt;/Q&gt;&lt;R&gt;1&lt;/R&gt;&lt;C&gt;1&lt;/C&gt;&lt;D xsi:type="xsd:double"&gt;21&lt;/D&gt;&lt;/FQL&gt;&lt;FQL&gt;&lt;Q&gt;EWC^FMA_COS_UP("EPS","1M",+1,0,,,"PORTAGG","MEANR")&lt;/Q&gt;&lt;R&gt;1&lt;/R&gt;&lt;C&gt;1&lt;/C&gt;&lt;D xsi:type="xsd:double"&gt;41&lt;/D&gt;&lt;/FQL&gt;&lt;FQL&gt;&lt;Q&gt;REFJPTON-FDS^(SUBARRAY(NOT_NA(NO_REPEAT_F(FG_YIELD(NOW,-10AY,D))),0,1)-SUBARRAY(NOT_NA(NO_REPEAT_F(FG_YIELD(NOW,-10AY,D))),1,1))*100&lt;/Q&gt;&lt;R&gt;1&lt;/R&gt;&lt;C&gt;1&lt;/C&gt;&lt;D xsi:type="xsd:double"&gt;10&lt;/D&gt;&lt;/FQL&gt;&lt;FQL&gt;&lt;Q&gt;CC_SE^IMF_IFS_RCPI_Q(0)&lt;/Q&gt;&lt;R&gt;1&lt;/R&gt;&lt;C&gt;1&lt;/C&gt;&lt;D xsi:type="xsd:double"&gt;4.6701536&lt;/D&gt;&lt;/FQL&gt;&lt;FQL&gt;&lt;Q&gt;EWG^FMA_DIV_YLD(NTMA,NOW,NOW,M,"PORTAGG","MEANR")&lt;/Q&gt;&lt;R&gt;1&lt;/R&gt;&lt;C&gt;1&lt;/C&gt;&lt;D xsi:type="xsd:double"&gt;3.3906448019887&lt;/D&gt;&lt;/FQL&gt;&lt;FQL&gt;&lt;Q&gt;USO^FG_TOTAL_RETURNC(0,-3AM)&lt;/Q&gt;&lt;R&gt;1&lt;/R&gt;&lt;C&gt;1&lt;/C&gt;&lt;D xsi:type="xsd:double"&gt;4.8494697&lt;/D&gt;&lt;/FQL&gt;&lt;FQL&gt;&lt;Q&gt;CAGDPY@GB^EE_ACTUAL_ANNUAL(MED,+1)&lt;/Q&gt;&lt;R&gt;1&lt;/R&gt;&lt;C&gt;1&lt;/C&gt;&lt;D xsi:type="xsd:double"&gt;-2.8&lt;/D&gt;&lt;/FQL&gt;&lt;FQL&gt;&lt;Q&gt;USDAUD^FG_PRICE_CHANGE(0,-6AM)&lt;/Q&gt;&lt;R&gt;1&lt;/R&gt;&lt;C&gt;1&lt;/C&gt;&lt;D xsi:type="xsd:double"&gt;-2.7808964&lt;/D&gt;&lt;/FQL&gt;&lt;FQL&gt;&lt;Q&gt;EWA^FMA_PE(NTMA,-10AY,0,AM,"PORTAGG","MEANR")&lt;/Q&gt;&lt;R&gt;121&lt;/R&gt;&lt;C&gt;1&lt;/C&gt;&lt;D xsi:type="xsd:double"&gt;14.3333576955102&lt;/D&gt;&lt;D xsi:type="xsd:double"&gt;14.1678346150587&lt;/D&gt;&lt;D xsi:type="xsd:double"&gt;14.7167900236094&lt;/D&gt;&lt;D xsi:type="xsd:double"&gt;14.7660627172875&lt;/D&gt;&lt;D xsi:type="xsd:double"&gt;14.243817346196&lt;/D&gt;&lt;D xsi:type="xsd:double"&gt;13.9235147185662&lt;/D&gt;&lt;D xsi:type="xsd:double"&gt;14.2464687466853&lt;/D&gt;&lt;D xsi:type="xsd:double"&gt;13.7583780795326&lt;/D&gt;&lt;D xsi:type="xsd:double"&gt;14.4484274764468&lt;/D&gt;&lt;D xsi:type="xsd:double"&gt;16.090318949698&lt;/D&gt;&lt;D xsi:type="xsd:double"&gt;16.0233190833988&lt;/D&gt;&lt;D xsi:type="xsd:double"&gt;16.4311562951369&lt;/D&gt;&lt;D xsi:type="xsd:double"&gt;16.1448385527572&lt;/D&gt;&lt;D xsi:type="xsd:double"&gt;15.440468776302&lt;/D&gt;&lt;D xsi:type="xsd:double"&gt;15.5780870981543&lt;/D&gt;&lt;D xsi:type="xsd:double"&gt;14.9929436043781&lt;/D&gt;&lt;D xsi:type="xsd:double"&gt;14.5474262266479&lt;/D&gt;&lt;D xsi:type="xsd:double"&gt;15.0738126732397&lt;/D&gt;&lt;D xsi:type="xsd:double"&gt;14.7307906198965&lt;/D&gt;&lt;D xsi:type="xsd:double"&gt;15.023046661108&lt;/D&gt;&lt;D xsi:type="xsd:double"&gt;14.5769176103174&lt;/D&gt;&lt;D xsi:type="xsd:double"&gt;15.0624122129682&lt;/D&gt;&lt;D xsi:type="xsd:double"&gt;16.1084890328543&lt;/D&gt;&lt;D xsi:type="xsd:double"&gt;15.9106871610048&lt;/D&gt;&lt;D xsi:type="xsd:double"&gt;16.6294781205913&lt;/D&gt;&lt;D xsi:type="xsd:double"&gt;15.7630738048685&lt;/D&gt;&lt;D xsi:type="xsd:double"&gt;16.3742386509534&lt;/D&gt;&lt;D xsi:type="xsd:double"&gt;16.7900245222431&lt;/D&gt;&lt;D xsi:type="xsd:double"&gt;15.8920567278143&lt;/D&gt;&lt;D xsi:type="xsd:double"&gt;15.9882557260604&lt;/D&gt;&lt;D xsi:type="xsd:double"&gt;15.758628948932&lt;/D&gt;&lt;D xsi:type="xsd:double"&gt;15.5675462201942&lt;/D&gt;&lt;D xsi:type="xsd:double"&gt;15.877336093989&lt;/D&gt;&lt;D xsi:type="xsd:double"&gt;16.0601710720143&lt;/D&gt;&lt;D xsi:type="xsd:double"&gt;15.7588330907249&lt;/D&gt;&lt;D xsi:type="xsd:double"&gt;15.9162673426678&lt;/D&gt;&lt;D xsi:type="xsd:double"&gt;15.507783846841&lt;/D&gt;&lt;D xsi:type="xsd:double"&gt;15.4931070075755&lt;/D&gt;&lt;D xsi:type="xsd:double"&gt;15.6389181479776&lt;/D&gt;&lt;D xsi:type="xsd:double"&gt;15.8324229053055&lt;/D&gt;&lt;D xsi:type="xsd:double"&gt;15.5320446203342&lt;/D&gt;&lt;D xsi:type="xsd:double"&gt;15.8640881806706&lt;/D&gt;&lt;D xsi:type="xsd:double"&gt;15.8505622006117&lt;/D&gt;&lt;D xsi:type="xsd:double"&gt;15.8283542446788&lt;/D&gt;&lt;D xsi:type="xsd:double"&gt;15.8304265045601&lt;/D&gt;&lt;D xsi:type="xsd:double"&gt;15.3536324233092&lt;/D&gt;&lt;D xsi:type="xsd:double"&gt;15.2802382453732&lt;/D&gt;&lt;D xsi:type="xsd:double"&gt;14.9832265955424&lt;/D&gt;&lt;D xsi:type="xsd:double"&gt;15.4540384046873&lt;/D&gt;&lt;D xsi:type="xsd:double"&gt;15.1376985404315&lt;/D&gt;&lt;D xsi:type="xsd:double"&gt;15.4138963198151&lt;/D&gt;&lt;D xsi:type="xsd:double"&gt;15.7882168000345&lt;/D&gt;&lt;D xsi:type="xsd:double"&gt;15.217433593486&lt;/D&gt;&lt;D xsi:type="xsd:double"&gt;14.5516372651255&lt;/D&gt;&lt;D xsi:type="xsd:double"&gt;14.1756193041024&lt;/D&gt;&lt;D xsi:type="xsd:double"&gt;14.0019996496904&lt;/D&gt;&lt;D xsi:type="xsd:double"&gt;14.5965903882186&lt;/D&gt;&lt;D xsi:type="xsd:double"&gt;15.0265526899971&lt;/D&gt;&lt;D xsi:type="xsd:double"&gt;15.221972219089&lt;/D&gt;&lt;D xsi:type="xsd:double"&gt;15.3167910222926&lt;/D&gt;&lt;D xsi:type="xsd:double"&gt;15.4211261748783&lt;/D&gt;&lt;D xsi:type="xsd:double"&gt;15.8484677334089&lt;/D&gt;&lt;D xsi:type="xsd:double"&gt;16.170303901667&lt;/D&gt;&lt;D xsi:type="xsd:double"&gt;15.631555354932&lt;/D&gt;&lt;D xsi:type="xsd:double"&gt;16.6554515266946&lt;/D&gt;&lt;D xsi:type="xsd:double"&gt;16.7862680132803&lt;/D&gt;&lt;D xsi:type="xsd:double"&gt;17.2580255634787&lt;/D&gt;&lt;D xsi:type="xsd:double"&gt;17.5353816499094&lt;/D&gt;&lt;D xsi:type="xsd:double"&gt;18.036642423487&lt;/D&gt;&lt;D xsi:type="xsd:double"&gt;18.2951000082654&lt;/D&gt;&lt;D xsi:type="xsd:double"&gt;13.7289175437103&lt;/D&gt;&lt;D xsi:type="xsd:double"&gt;16.5885771895915&lt;/D&gt;&lt;D xsi:type="xsd:double"&gt;17.2422406215851&lt;/D&gt;&lt;D xsi:type="xsd:double"&gt;19.280340771548&lt;/D&gt;&lt;D xsi:type="xsd:double"&gt;19.1954402161942&lt;/D&gt;&lt;D xsi:type="xsd:double"&gt;19.505196591646&lt;/D&gt;&lt;D xsi:type="xsd:double"&gt;18.509331067711&lt;/D&gt;&lt;D xsi:type="xsd:double"&gt;18.5841508816394&lt;/D&gt;&lt;D xsi:type="xsd:double"&gt;19.3596432213928&lt;/D&gt;&lt;D xsi:type="xsd:double"&gt;19.5880148511413&lt;/D&gt;&lt;D xsi:type="xsd:double"&gt;19.1787307887155&lt;/D&gt;&lt;D xsi:type="xsd:double"&gt;18.8507974460887&lt;/D&gt;&lt;D xsi:type="xsd:double"&gt;18.099385260536&lt;/D&gt;&lt;D xsi:type="xsd:double"&gt;18.2188081801904&lt;/D&gt;&lt;D xsi:type="xsd:double"&gt;17.7161459701908&lt;/D&gt;&lt;D xsi:type="xsd:double"&gt;18.2249813476891&lt;/D&gt;&lt;D xsi:type="xsd:double"&gt;16.7966839522648&lt;/D&gt;&lt;D xsi:type="xsd:double"&gt;17.136483639823&lt;/D&gt;&lt;D xsi:type="xsd:double"&gt;16.9877472327236&lt;/D&gt;&lt;D xsi:type="xsd:double"&gt;17.3944057349906&lt;/D&gt;&lt;D xsi:type="xsd:double"&gt;17.1982418136043&lt;/D&gt;&lt;D xsi:type="xsd:double"&gt;17.1221553450961&lt;/D&gt;&lt;D xsi:type="xsd:double"&gt;17.4562645368735&lt;/D&gt;&lt;D xsi:type="xsd:double"&gt;16.13460542015&lt;/D&gt;&lt;D xsi:type="xsd:double"&gt;15.8936736769059&lt;/D&gt;&lt;D xsi:type="xsd:double"&gt;15.6660050718392&lt;/D&gt;&lt;D xsi:type="xsd:double"&gt;14.2205523891285&lt;/D&gt;&lt;D xsi:type="xsd:double"&gt;12.4496745403917&lt;/D&gt;&lt;D xsi:type="xsd:double"&gt;12.8008512132791&lt;/D&gt;&lt;D xsi:type="xsd:double"&gt;14.1420038424279&lt;/D&gt;&lt;D xsi:type="xsd:double"&gt;13.1795040960223&lt;/D&gt;&lt;D xsi:type="xsd:double"&gt;12.8397848768604&lt;/D&gt;&lt;D xsi:type="xsd:double"&gt;14.18997891708&lt;/D&gt;&lt;D xsi:type="xsd:double"&gt;14.0589367716908&lt;/D&gt;&lt;D xsi:type="xsd:double"&gt;14.7942049375039&lt;/D&gt;&lt;D xsi:type="xsd:double"&gt;14.6878779855471&lt;/D&gt;&lt;D xsi:type="xsd:double"&gt;13.9201466758633&lt;/D&gt;&lt;D xsi:type="xsd:double"&gt;14.7215609674866&lt;/D&gt;&lt;D xsi:type="xsd:double"&gt;14.452441653951&lt;/D&gt;&lt;D xsi:type="xsd:double"&gt;15.0516797816379&lt;/D&gt;&lt;D xsi:type="xsd:double"&gt;15.3492475897202&lt;/D&gt;&lt;D xsi:type="xsd:double"&gt;14.9244119267352&lt;/D&gt;&lt;D xsi:type="xsd:double"&gt;15.4827172883608&lt;/D&gt;&lt;D xsi:type="xsd:double"&gt;14.7931838058152&lt;/D&gt;&lt;D xsi:type="xsd:double"&gt;15.0583792148475&lt;/D&gt;&lt;D xsi:type="xsd:double"&gt;16.0435545593765&lt;/D&gt;&lt;D xsi:type="xsd:double"&gt;15.7936851195428&lt;/D&gt;&lt;D xsi:type="xsd:double"&gt;16.4506059585731&lt;/D&gt;&lt;D xsi:type="xsd:double"&gt;16.4175421260201&lt;/D&gt;&lt;D xsi:type="xsd:double"&gt;16.0709232463279&lt;/D&gt;&lt;D xsi:type="xsd:double"&gt;16.9883581983304&lt;/D&gt;&lt;/FQL&gt;&lt;FQL&gt;&lt;Q&gt;BRENT-FDS^FG_PRICE_MAVG(0,,,,30)&lt;/Q&gt;&lt;R&gt;1&lt;/R&gt;&lt;C&gt;1&lt;/C&gt;&lt;D xsi:type="xsd:double"&gt;85.86&lt;/D&gt;&lt;/FQL&gt;&lt;FQL&gt;&lt;Q&gt;EWA^FMA_COS_UP("EPS","1M",+1,0,,,"PORTAGG","MEANR")&lt;/Q&gt;&lt;R&gt;1&lt;/R&gt;&lt;C&gt;1&lt;/C&gt;&lt;D xsi:type="xsd:double"&gt;21&lt;/D&gt;&lt;/FQL&gt;&lt;FQL&gt;&lt;Q&gt;EWU^FMA_EVAL_EBITDA(NTMA,0,,,"PORTAGG","MEANR")&lt;/Q&gt;&lt;R&gt;1&lt;/R&gt;&lt;C&gt;1&lt;/C&gt;&lt;D xsi:type="xsd:double"&gt;7.71529166284258&lt;/D&gt;&lt;/FQL&gt;&lt;FQL&gt;&lt;Q&gt;WL-FDS^FG_PRICE_CHANGE(0,-3AM)&lt;/Q&gt;&lt;R&gt;1&lt;/R&gt;&lt;C&gt;1&lt;/C&gt;&lt;D xsi:type="xsd:double"&gt;-16.2306125646248&lt;/D&gt;&lt;/FQL&gt;&lt;FQL&gt;&lt;Q&gt;EWC^FG_TOTAL_RETURNC(0,-1AM)&lt;/Q&gt;&lt;R&gt;1&lt;/R&gt;&lt;C&gt;1&lt;/C&gt;&lt;D xsi:type="xsd:double"&gt;4.949689&lt;/D&gt;&lt;/FQL&gt;&lt;FQL&gt;&lt;Q&gt;EWQ^FMA_COS_DOWN("EPS","1M",+1,0,,,"PORTAGG","MEANR")&lt;/Q&gt;&lt;R&gt;1&lt;/R&gt;&lt;C&gt;1&lt;/C&gt;&lt;D xsi:type="xsd:double"&gt;29&lt;/D&gt;&lt;/FQL&gt;&lt;FQL&gt;&lt;Q&gt;REFJPTON-FDS^FG_YIELD(NOW,,,0)&lt;/Q&gt;&lt;R&gt;1&lt;/R&gt;&lt;C&gt;1&lt;/C&gt;&lt;D xsi:type="xsd:double"&gt;0.1&lt;/D&gt;&lt;/FQL&gt;&lt;FQL&gt;&lt;Q&gt;EWG^JULIAN(FMA_DIV_YLD(NTMA,NOW,NOW,M,"PORTAGG","MEANR").DATES)&lt;/Q&gt;&lt;R&gt;1&lt;/R&gt;&lt;C&gt;1&lt;/C&gt;&lt;D xsi:type="xsd:long"&gt;45412&lt;/D&gt;&lt;/FQL&gt;&lt;FQL&gt;&lt;Q&gt;EWI^FMA_DIV_YLD(NTMA,-10AY,0,AM,"PORTAGG","MEANR")&lt;/Q&gt;&lt;R&gt;121&lt;/R&gt;&lt;C&gt;1&lt;/C&gt;&lt;D xsi:type="xsd:double"&gt;3.58048748172727&lt;/D&gt;&lt;D xsi:type="xsd:double"&gt;3.39894822771664&lt;/D&gt;&lt;D xsi:type="xsd:double"&gt;3.51230669406337&lt;/D&gt;&lt;D xsi:type="xsd:double"&gt;3.74477886904525&lt;/D&gt;&lt;D xsi:type="xsd:double"&gt;3.52132177058052&lt;/D&gt;&lt;D xsi:type="xsd:double"&gt;4.08857713429136&lt;/D&gt;&lt;D xsi:type="xsd:double"&gt;3.98224444175814&lt;/D&gt;&lt;D xsi:type="xsd:double"&gt;4.14423952331074&lt;/D&gt;&lt;D xsi:type="xsd:double"&gt;4.04382352170221&lt;/D&gt;&lt;D xsi:type="xsd:double"&gt;3.58866680460773&lt;/D&gt;&lt;D xsi:type="xsd:double"&gt;3.18440561186745&lt;/D&gt;&lt;D xsi:type="xsd:double"&gt;3.16458340530868&lt;/D&gt;&lt;D xsi:type="xsd:double"&gt;3.15673449409564&lt;/D&gt;&lt;D xsi:type="xsd:double"&gt;3.41287592030011&lt;/D&gt;&lt;D xsi:type="xsd:double"&gt;3.1554905469398&lt;/D&gt;&lt;D xsi:type="xsd:double"&gt;3.14287541060564&lt;/D&gt;&lt;D xsi:type="xsd:double"&gt;3.37470316388374&lt;/D&gt;&lt;D xsi:type="xsd:double"&gt;3.55207073737418&lt;/D&gt;&lt;D xsi:type="xsd:double"&gt;3.6104871968993&lt;/D&gt;&lt;D xsi:type="xsd:double"&gt;3.79756886943564&lt;/D&gt;&lt;D xsi:type="xsd:double"&gt;4.30985214745065&lt;/D&gt;&lt;D xsi:type="xsd:double"&gt;4.57786988335187&lt;/D&gt;&lt;D xsi:type="xsd:double"&gt;4.26245505157777&lt;/D&gt;&lt;D xsi:type="xsd:double"&gt;4.40030855249208&lt;/D&gt;&lt;D xsi:type="xsd:double"&gt;4.59754820285586&lt;/D&gt;&lt;D xsi:type="xsd:double"&gt;4.8366151161657&lt;/D&gt;&lt;D xsi:type="xsd:double"&gt;4.76373736596518&lt;/D&gt;&lt;D xsi:type="xsd:double"&gt;4.81416247623389&lt;/D&gt;&lt;D xsi:type="xsd:double"&gt;5.01482055046861&lt;/D&gt;&lt;D xsi:type="xsd:double"&gt;4.94475874675354&lt;/D&gt;&lt;D xsi:type="xsd:double"&gt;4.80576717127564&lt;/D&gt;&lt;D xsi:type="xsd:double"&gt;4.33500027503235&lt;/D&gt;&lt;D xsi:type="xsd:double"&gt;4.34365765797899&lt;/D&gt;&lt;D xsi:type="xsd:double"&gt;4.43891666415069&lt;/D&gt;&lt;D xsi:type="xsd:double"&gt;3.9863165802137&lt;/D&gt;&lt;D xsi:type="xsd:double"&gt;4.05572920104888&lt;/D&gt;&lt;D xsi:type="xsd:double"&gt;3.80750691799234&lt;/D&gt;&lt;D xsi:type="xsd:double"&gt;3.7853080044945&lt;/D&gt;&lt;D xsi:type="xsd:double"&gt;3.74593277896081&lt;/D&gt;&lt;D xsi:type="xsd:double"&gt;3.76520713779544&lt;/D&gt;&lt;D xsi:type="xsd:double"&gt;3.7286494614683&lt;/D&gt;&lt;D xsi:type="xsd:double"&gt;3.84182968323389&lt;/D&gt;&lt;D xsi:type="xsd:double"&gt;3.92266861476023&lt;/D&gt;&lt;D xsi:type="xsd:double"&gt;3.92823341587911&lt;/D&gt;&lt;D xsi:type="xsd:double"&gt;3.74834582711488&lt;/D&gt;&lt;D xsi:type="xsd:double"&gt;3.92503073918298&lt;/D&gt;&lt;D xsi:type="xsd:double"&gt;4.01384244607288&lt;/D&gt;&lt;D xsi:type="xsd:double"&gt;3.93132286555395&lt;/D&gt;&lt;D xsi:type="xsd:double"&gt;3.97223805528952&lt;/D&gt;&lt;D xsi:type="xsd:double"&gt;4.36124904132261&lt;/D&gt;&lt;D xsi:type="xsd:double"&gt;4.45725146927946&lt;/D&gt;&lt;D xsi:type="xsd:double"&gt;4.70533723590552&lt;/D&gt;&lt;D xsi:type="xsd:double"&gt;4.60018157093936&lt;/D&gt;&lt;D xsi:type="xsd:double"&gt;5.0175100579978&lt;/D&gt;&lt;D xsi:type="xsd:double"&gt;5.17219035349407&lt;/D&gt;&lt;D xsi:type="xsd:double"&gt;5.29858007929516&lt;/D&gt;&lt;D xsi:type="xsd:double"&gt;5.12002339473182&lt;/D&gt;&lt;D xsi:type="xsd:double"&gt;4.919361234089&lt;/D&gt;&lt;D xsi:type="xsd:double"&gt;4.73641934350289&lt;/D&gt;&lt;D xsi:type="xsd:double"&gt;4.60630466281944&lt;/D&gt;&lt;D xsi:type="xsd:double"&gt;4.82135189210368&lt;/D&gt;&lt;D xsi:type="xsd:double"&gt;4.96404518660706&lt;/D&gt;&lt;D xsi:type="xsd:double"&gt;4.66768231896851&lt;/D&gt;&lt;D xsi:type="xsd:double"&gt;5.1023895557268&lt;/D&gt;&lt;D xsi:type="xsd:double"&gt;4.78933061360911&lt;/D&gt;&lt;D xsi:type="xsd:double"&gt;4.69186973947116&lt;/D&gt;&lt;D xsi:type="xsd:double"&gt;4.50596041302835&lt;/D&gt;&lt;D xsi:type="xsd:double"&gt;4.46946107635586&lt;/D&gt;&lt;D xsi:type="xsd:double"&gt;4.40434774007868&lt;/D&gt;&lt;D xsi:type="xsd:double"&gt;4.44293913230754&lt;/D&gt;&lt;D xsi:type="xsd:double"&gt;7.03302768108678&lt;/D&gt;&lt;D xsi:type="xsd:double"&gt;5.83046663565816&lt;/D&gt;&lt;D xsi:type="xsd:double"&gt;5.17046189557959&lt;/D&gt;&lt;D xsi:type="xsd:double"&gt;4.26635891528689&lt;/D&gt;&lt;D xsi:type="xsd:double"&gt;4.19572870807577&lt;/D&gt;&lt;D xsi:type="xsd:double"&gt;3.95539639179468&lt;/D&gt;&lt;D xsi:type="xsd:double"&gt;4.05513641136352&lt;/D&gt;&lt;D xsi:type="xsd:double"&gt;4.13893151430475&lt;/D&gt;&lt;D xsi:type="xsd:double"&gt;3.96132141000973&lt;/D&gt;&lt;D xsi:type="xsd:double"&gt;3.95022783047986&lt;/D&gt;&lt;D xsi:type="xsd:double"&gt;3.9855176020305&lt;/D&gt;&lt;D xsi:type="xsd:double"&gt;3.96755109194367&lt;/D&gt;&lt;D xsi:type="xsd:double"&gt;4.02387755707268&lt;/D&gt;&lt;D xsi:type="xsd:double"&gt;4.06134480810066&lt;/D&gt;&lt;D xsi:type="xsd:double"&gt;4.1592984425584&lt;/D&gt;&lt;D xsi:type="xsd:double"&gt;4.04229131694435&lt;/D&gt;&lt;D xsi:type="xsd:double"&gt;4.24017078880966&lt;/D&gt;&lt;D xsi:type="xsd:double"&gt;4.29448564460227&lt;/D&gt;&lt;D xsi:type="xsd:double"&gt;4.54412784350503&lt;/D&gt;&lt;D xsi:type="xsd:double"&gt;4.39499279928703&lt;/D&gt;&lt;D xsi:type="xsd:double"&gt;4.29941420353986&lt;/D&gt;&lt;D xsi:type="xsd:double"&gt;4.69808614891234&lt;/D&gt;&lt;D xsi:type="xsd:double"&gt;4.59371642495364&lt;/D&gt;&lt;D xsi:type="xsd:double"&gt;4.85701055059362&lt;/D&gt;&lt;D xsi:type="xsd:double"&gt;5.23206362685718&lt;/D&gt;&lt;D xsi:type="xsd:double"&gt;5.03558338301538&lt;/D&gt;&lt;D xsi:type="xsd:double"&gt;5.13609150164943&lt;/D&gt;&lt;D xsi:type="xsd:double"&gt;5.82744226824427&lt;/D&gt;&lt;D xsi:type="xsd:double"&gt;6.07793457865442&lt;/D&gt;&lt;D xsi:type="xsd:double"&gt;5.60772030240344&lt;/D&gt;&lt;D xsi:type="xsd:double"&gt;5.64208214212667&lt;/D&gt;&lt;D xsi:type="xsd:double"&gt;6.04118173607543&lt;/D&gt;&lt;D xsi:type="xsd:double"&gt;5.49443520963849&lt;/D&gt;&lt;D xsi:type="xsd:double"&gt;5.93596553972739&lt;/D&gt;&lt;D xsi:type="xsd:double"&gt;5.42791566906989&lt;/D&gt;&lt;D xsi:type="xsd:double"&gt;5.39714647360119&lt;/D&gt;&lt;D xsi:type="xsd:double"&gt;5.76033624159116&lt;/D&gt;&lt;D xsi:type="xsd:double"&gt;5.33008836721591&lt;/D&gt;&lt;D xsi:type="xsd:double"&gt;5.57572541999135&lt;/D&gt;&lt;D xsi:type="xsd:double"&gt;5.31858362174296&lt;/D&gt;&lt;D xsi:type="xsd:double"&gt;5.26291135570044&lt;/D&gt;&lt;D xsi:type="xsd:double"&gt;5.64337973267734&lt;/D&gt;&lt;D xsi:type="xsd:double"&gt;5.36814292405018&lt;/D&gt;&lt;D xsi:type="xsd:double"&gt;5.56246882046333&lt;/D&gt;&lt;D xsi:type="xsd:double"&gt;5.48695311589732&lt;/D&gt;&lt;D xsi:type="xsd:double"&gt;5.46603007772352&lt;/D&gt;&lt;D xsi:type="xsd:double"&gt;5.4426502864547&lt;/D&gt;&lt;D xsi:type="xsd:double"&gt;5.44131822946714&lt;/D&gt;&lt;D xsi:type="xsd:double"&gt;5.16282003662624&lt;/D&gt;&lt;D xsi:type="xsd:double"&gt;5.29528715886279&lt;/D&gt;&lt;D xsi:type="xsd:double"&gt;5.09185776810412&lt;/D&gt;&lt;/FQL&gt;&lt;FQL&gt;&lt;Q&gt;BRENT-FDS^FG_PRICE(0)&lt;/Q&gt;&lt;R&gt;1&lt;/R&gt;&lt;C&gt;1&lt;/C&gt;&lt;D xsi:type="xsd:double"&gt;85.86&lt;/D&gt;&lt;/FQL&gt;&lt;FQL&gt;&lt;Q&gt;ENZL^FMA_COS_DOWN("EPS","1M",+1,0,,,"PORTAGG","MEANR")&lt;/Q&gt;&lt;R&gt;1&lt;/R&gt;&lt;C&gt;1&lt;/C&gt;&lt;D xsi:type="xsd:double"&gt;5&lt;/D&gt;&lt;/FQL&gt;&lt;FQL&gt;&lt;Q&gt;TRYFR10Y-FDS^FG_YIELD(0,,,,"YTM")&lt;/Q&gt;&lt;R&gt;1&lt;/R&gt;&lt;C&gt;1&lt;/C&gt;&lt;D xsi:type="xsd:double"&gt;2.983&lt;/D&gt;&lt;/FQL&gt;&lt;FQL&gt;&lt;Q&gt;VGK^FG_PE(0)&lt;/Q&gt;&lt;R&gt;1&lt;/R&gt;&lt;C&gt;1&lt;/C&gt;&lt;D xsi:type="xsd:double"&gt;13.1440748782258&lt;/D&gt;&lt;/FQL&gt;&lt;FQL&gt;&lt;Q&gt;EWC^FG_COMPANY_NAME&lt;/Q&gt;&lt;R&gt;1&lt;/R&gt;&lt;C&gt;1&lt;/C&gt;&lt;D xsi:type="xsd:string"&gt;iShares MSCI Canada ETF&lt;/D&gt;&lt;/FQL&gt;&lt;FQL&gt;&lt;Q&gt;DBA^P_PRICE(0)/P_PRICE_HIGH_PR(0,,,USD,,,"PRICE","INTRA","52W")&lt;/Q&gt;&lt;R&gt;1&lt;/R&gt;&lt;C&gt;1&lt;/C&gt;&lt;D xsi:type="xsd:double"&gt;0.88291675&lt;/D&gt;&lt;/FQL&gt;&lt;FQL&gt;&lt;Q&gt;USDSEK^STD(FG_PRICE_CHANGE(0,-1AY,AM))&lt;/Q&gt;&lt;R&gt;1&lt;/R&gt;&lt;C&gt;1&lt;/C&gt;&lt;D xsi:type="xsd:double"&gt;3.32939097141583&lt;/D&gt;&lt;/FQL&gt;&lt;FQL&gt;&lt;Q&gt;USDJPY^STD(FG_PRICE_CHANGE(0,-3AY,M))&lt;/Q&gt;&lt;R&gt;1&lt;/R&gt;&lt;C&gt;1&lt;/C&gt;&lt;D xsi:type="xsd:double"&gt;3.04123201183011&lt;/D&gt;&lt;/FQL&gt;&lt;FQL&gt;&lt;Q&gt;WL-FDS^FG_PRICE_CHANGE(0,-1AM)&lt;/Q&gt;&lt;R&gt;1&lt;/R&gt;&lt;C&gt;1&lt;/C&gt;&lt;D xsi:type="xsd:double"&gt;-4.39835508671552&lt;/D&gt;&lt;/FQL&gt;&lt;FQL&gt;&lt;Q&gt;EWJ^FG_PRICE_MAVG(0,,,,200)&lt;/Q&gt;&lt;R&gt;1&lt;/R&gt;&lt;C&gt;1&lt;/C&gt;&lt;D xsi:type="xsd:double"&gt;64.4933&lt;/D&gt;&lt;/FQL&gt;&lt;FQL&gt;&lt;Q&gt;VGK^PERCENT_CHANGE(FMA_EPS(+1,0,,,,"PORTAGG","MEAN"),FMA_EPS(+1,-3AM,,,,"PORTAGG","MEAN"))&lt;/Q&gt;&lt;R&gt;1&lt;/R&gt;&lt;C&gt;1&lt;/C&gt;&lt;D xsi:type="xsd:double"&gt;-1.55445198250733&lt;/D&gt;&lt;/FQL&gt;&lt;FQL&gt;&lt;Q&gt;QQQ^P_PRICE(0)/P_PRICE_HIGH_PR(0,,,,,,"PRICE","INTRA","52W")&lt;/Q&gt;&lt;R&gt;1&lt;/R&gt;&lt;C&gt;1&lt;/C&gt;&lt;D xsi:type="xsd:double"&gt;0.9935561&lt;/D&gt;&lt;/FQL&gt;&lt;FQL&gt;&lt;Q&gt;EWC^PERCENT_CHANGE(FMA_EPS(+1,0,,,,"PORTAGG","MEAN"),FMA_EPS(+1,-3AM,,,,"PORTAGG","MEAN"))&lt;/Q&gt;&lt;R&gt;1&lt;/R&gt;&lt;C&gt;1&lt;/C&gt;&lt;D xsi:type="xsd:double"&gt;-0.9250208721448&lt;/D&gt;&lt;/FQL&gt;&lt;FQL&gt;&lt;Q&gt;EWQ^FMA_COS_UP("EPS","1M",+1,0,,,"PORTAGG","MEANR")&lt;/Q&gt;&lt;R&gt;1&lt;/R&gt;&lt;C&gt;1&lt;/C&gt;&lt;D xsi:type="xsd:double"&gt;31&lt;/D&gt;&lt;/FQL&gt;&lt;FQL&gt;&lt;Q&gt;REFSEREPO-FDS^FG_YIELD(NOW,,,0)&lt;/Q&gt;&lt;R&gt;1&lt;/R&gt;&lt;C&gt;1&lt;/C&gt;&lt;D xsi:type="xsd:double"&gt;3.75&lt;/D&gt;&lt;/FQL&gt;&lt;FQL&gt;&lt;Q&gt;TRYGB10Y-FDS^PCTCHG(FG_YIELD(0,,,,"YTM"),FG_YIELD(-3AM,,,,"YTM"))&lt;/Q&gt;&lt;R&gt;1&lt;/R&gt;&lt;C&gt;1&lt;/C&gt;&lt;D xsi:type="xsd:double"&gt;0.7088684&lt;/D&gt;&lt;/FQL&gt;&lt;FQL&gt;&lt;Q&gt;CC_FR^IMF_IFS_RCPI_Q(0)&lt;/Q&gt;&lt;R&gt;1&lt;/R&gt;&lt;C&gt;1&lt;/C&gt;&lt;D xsi:type="xsd:double"&gt;2.79402&lt;/D&gt;&lt;/FQL&gt;&lt;FQL&gt;&lt;Q&gt;EWQ^FG_FCF_YIELD_NTM(0)&lt;/Q&gt;&lt;R&gt;1&lt;/R&gt;&lt;C&gt;1&lt;/C&gt;&lt;D xsi:type="xsd:double"&gt;5.53922214627607&lt;/D&gt;&lt;/FQL&gt;&lt;FQL&gt;&lt;Q&gt;EWC^FMA_EVAL_EBIT(LTMA,NOW,NOW,M,"PORTAGG","MEANR")&lt;/Q&gt;&lt;R&gt;1&lt;/R&gt;&lt;C&gt;1&lt;/C&gt;&lt;D xsi:type="xsd:double"&gt;16.2285497899407&lt;/D&gt;&lt;/FQL&gt;&lt;FQL&gt;&lt;Q&gt;TRYGB10Y-FDS^FG_YIELD(-10AY,0,Y,,"YTM")&lt;/Q&gt;&lt;R&gt;10&lt;/R&gt;&lt;C&gt;1&lt;/C&gt;&lt;D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xsi:type="xsd:double"&gt;3.534&lt;/D&gt;&lt;/FQL&gt;&lt;FQL&gt;&lt;Q&gt;USDANG^FG_PRICE(0)&lt;/Q&gt;&lt;R&gt;1&lt;/R&gt;&lt;C&gt;1&lt;/C&gt;&lt;D xsi:type="xsd:double"&gt;1.79&lt;/D&gt;&lt;/FQL&gt;&lt;FQL&gt;&lt;Q&gt;USDGBP^FG_PRICE_CHANGE(0,-6AM)&lt;/Q&gt;&lt;R&gt;1&lt;/R&gt;&lt;C&gt;1&lt;/C&gt;&lt;D xsi:type="xsd:double"&gt;-2.08292&lt;/D&gt;&lt;/FQL&gt;&lt;FQL&gt;&lt;Q&gt;EWQ^FG_TOTAL_RETURNC(-10AY,0,AM)&lt;/Q&gt;&lt;R&gt;121&lt;/R&gt;&lt;C&gt;1&lt;/C&gt;&lt;D xsi:type="xsd:double"&gt;0.6261587&lt;/D&gt;&lt;D xsi:type="xsd:double"&gt;1.2445331&lt;/D&gt;&lt;D xsi:type="xsd:double"&gt;-5.3346157&lt;/D&gt;&lt;D xsi:type="xsd:double"&gt;-3.3679724&lt;/D&gt;&lt;D xsi:type="xsd:double"&gt;1.4460564&lt;/D&gt;&lt;D xsi:type="xsd:double"&gt;-10.087723&lt;/D&gt;&lt;D xsi:type="xsd:double"&gt;3.1300783&lt;/D&gt;&lt;D xsi:type="xsd:double"&gt;-2.0942032&lt;/D&gt;&lt;D xsi:type="xsd:double"&gt;-0.40617585&lt;/D&gt;&lt;D xsi:type="xsd:double"&gt;7.01468&lt;/D&gt;&lt;D xsi:type="xsd:double"&gt;-2.248478&lt;/D&gt;&lt;D xsi:type="xsd:double"&gt;3.9766073&lt;/D&gt;&lt;D xsi:type="xsd:double"&gt;4.4994354&lt;/D&gt;&lt;D xsi:type="xsd:double"&gt;-5.0592127&lt;/D&gt;&lt;D xsi:type="xsd:double"&gt;2.4604797&lt;/D&gt;&lt;D xsi:type="xsd:double"&gt;-0.15003085&lt;/D&gt;&lt;D xsi:type="xsd:double"&gt;-4.3200674&lt;/D&gt;&lt;D xsi:type="xsd:double"&gt;1.2563825&lt;/D&gt;&lt;D xsi:type="xsd:double"&gt;-2.7142346&lt;/D&gt;&lt;D xsi:type="xsd:double"&gt;-2.6703894&lt;/D&gt;&lt;D xsi:type="xsd:double"&gt;-9.130579&lt;/D&gt;&lt;D xsi:type="xsd:double"&gt;3.6634922&lt;/D&gt;&lt;D xsi:type="xsd:double"&gt;6.282723&lt;/D&gt;&lt;D xsi:type="xsd:double"&gt;0.49260855&lt;/D&gt;&lt;D xsi:type="xsd:double"&gt;-2.3284316&lt;/D&gt;&lt;D xsi:type="xsd:double"&gt;-1.1292338&lt;/D&gt;&lt;D xsi:type="xsd:double"&gt;1.0162115&lt;/D&gt;&lt;D xsi:type="xsd:double"&gt;3.823018&lt;/D&gt;&lt;D xsi:type="xsd:double"&gt;-3.0202687&lt;/D&gt;&lt;D xsi:type="xsd:double"&gt;1.1945367&lt;/D&gt;&lt;D xsi:type="xsd:double"&gt;-1.4333904&lt;/D&gt;&lt;D xsi:type="xsd:double"&gt;4.191625&lt;/D&gt;&lt;D xsi:type="xsd:double"&gt;3.902471&lt;/D&gt;&lt;D xsi:type="xsd:double"&gt;-0.79301596&lt;/D&gt;&lt;D xsi:type="xsd:double"&gt;4.3565154&lt;/D&gt;&lt;D xsi:type="xsd:double"&gt;0.45958757&lt;/D&gt;&lt;D xsi:type="xsd:double"&gt;10.446048&lt;/D&gt;&lt;D xsi:type="xsd:double"&gt;1.3462305&lt;/D&gt;&lt;D xsi:type="xsd:double"&gt;1.7635703&lt;/D&gt;&lt;D xsi:type="xsd:double"&gt;-0.13619661&lt;/D&gt;&lt;D xsi:type="xsd:double"&gt;4.125476&lt;/D&gt;&lt;D xsi:type="xsd:double"&gt;1.4734745&lt;/D&gt;&lt;D xsi:type="xsd:double"&gt;-0.871253&lt;/D&gt;&lt;D xsi:type="xsd:double"&gt;0.7161498&lt;/D&gt;&lt;D xsi:type="xsd:double"&gt;6.949842&lt;/D&gt;&lt;D xsi:type="xsd:double"&gt;-2.546227&lt;/D&gt;&lt;D xsi:type="xsd:double"&gt;-0.8398235&lt;/D&gt;&lt;D xsi:type="xsd:double"&gt;2.634883&lt;/D&gt;&lt;D xsi:type="xsd:double"&gt;0.122237206&lt;/D&gt;&lt;D xsi:type="xsd:double"&gt;-1.495719&lt;/D&gt;&lt;D xsi:type="xsd:double"&gt;-0.6633103&lt;/D&gt;&lt;D xsi:type="xsd:double"&gt;-3.5987258&lt;/D&gt;&lt;D xsi:type="xsd:double"&gt;1.8830538&lt;/D&gt;&lt;D xsi:type="xsd:double"&gt;-4.8313856&lt;/D&gt;&lt;D xsi:type="xsd:double"&gt;-3.1005085&lt;/D&gt;&lt;D xsi:type="xsd:double"&gt;-5.872011&lt;/D&gt;&lt;D xsi:type="xsd:double"&gt;1.3605237&lt;/D&gt;&lt;D xsi:type="xsd:double"&gt;6.071818&lt;/D&gt;&lt;D xsi:type="xsd:double"&gt;4.991281&lt;/D&gt;&lt;D xsi:type="xsd:double"&gt;2.5930882&lt;/D&gt;&lt;D xsi:type="xsd:double"&gt;-3.078419&lt;/D&gt;&lt;D xsi:type="xsd:double"&gt;0.93774796&lt;/D&gt;&lt;D xsi:type="xsd:double"&gt;3.4623265&lt;/D&gt;&lt;D xsi:type="xsd:double"&gt;-5.7414713&lt;/D&gt;&lt;D xsi:type="xsd:double"&gt;5.5690885&lt;/D&gt;&lt;D xsi:type="xsd:double"&gt;1.4177442&lt;/D&gt;&lt;D xsi:type="xsd:double"&gt;3.8036466&lt;/D&gt;&lt;D xsi:type="xsd:double"&gt;1.5311241&lt;/D&gt;&lt;D xsi:type="xsd:double"&gt;1.8856287&lt;/D&gt;&lt;D xsi:type="xsd:double"&gt;-2.0327628&lt;/D&gt;&lt;D xsi:type="xsd:double"&gt;-33.41592&lt;/D&gt;&lt;D xsi:type="xsd:double"&gt;12.18605&lt;/D&gt;&lt;D xsi:type="xsd:double"&gt;-4.353237&lt;/D&gt;&lt;D xsi:type="xsd:double"&gt;19.675838&lt;/D&gt;&lt;D xsi:type="xsd:double"&gt;4.9945235&lt;/D&gt;&lt;D xsi:type="xsd:double"&gt;1.8055558&lt;/D&gt;&lt;D xsi:type="xsd:double"&gt;0.75035095&lt;/D&gt;&lt;D xsi:type="xsd:double"&gt;-2.6743412&lt;/D&gt;&lt;D xsi:type="xsd:double"&gt;12.382614&lt;/D&gt;&lt;D xsi:type="xsd:double"&gt;4.1651964&lt;/D&gt;&lt;D xsi:type="xsd:double"&gt;-0.059717894&lt;/D&gt;&lt;D xsi:type="xsd:double"&gt;2.5993347&lt;/D&gt;&lt;D xsi:type="xsd:double"&gt;3.756559&lt;/D&gt;&lt;D xsi:type="xsd:double"&gt;4.013467&lt;/D&gt;&lt;D xsi:type="xsd:double"&gt;3.1300545&lt;/D&gt;&lt;D xsi:type="xsd:double"&gt;2.4398685&lt;/D&gt;&lt;D xsi:type="xsd:double"&gt;-3.9256215&lt;/D&gt;&lt;D xsi:type="xsd:double"&gt;4.5161247&lt;/D&gt;&lt;D xsi:type="xsd:double"&gt;-2.2890925&lt;/D&gt;&lt;D xsi:type="xsd:double"&gt;2.026844&lt;/D&gt;&lt;D xsi:type="xsd:double"&gt;3.224969&lt;/D&gt;&lt;D xsi:type="xsd:double"&gt;-4.605275&lt;/D&gt;&lt;D xsi:type="xsd:double"&gt;5.6542873&lt;/D&gt;&lt;D xsi:type="xsd:double"&gt;-4.255867&lt;/D&gt;&lt;D xsi:type="xsd:double"&gt;-6.2283754&lt;/D&gt;&lt;D xsi:type="xsd:double"&gt;-2.668178&lt;/D&gt;&lt;D xsi:type="xsd:double"&gt;-2.537191&lt;/D&gt;&lt;D xsi:type="xsd:double"&gt;-8.509737&lt;/D&gt;&lt;D xsi:type="xsd:double"&gt;-0.97643137&lt;/D&gt;&lt;D xsi:type="xsd:double"&gt;9.316564&lt;/D&gt;&lt;D xsi:type="xsd:double"&gt;-8.646971&lt;/D&gt;&lt;D xsi:type="xsd:double"&gt;-3.1324506&lt;/D&gt;&lt;D xsi:type="xsd:double"&gt;15.254831&lt;/D&gt;&lt;D xsi:type="xsd:double"&gt;0.45250654&lt;/D&gt;&lt;D xsi:type="xsd:double"&gt;11.212671&lt;/D&gt;&lt;D xsi:type="xsd:double"&gt;2.876711&lt;/D&gt;&lt;D xsi:type="xsd:double"&gt;-6.391472&lt;/D&gt;&lt;D xsi:type="xsd:double"&gt;11.152196&lt;/D&gt;&lt;D xsi:type="xsd:double"&gt;-0.563097&lt;/D&gt;&lt;D xsi:type="xsd:double"&gt;0.7619858&lt;/D&gt;&lt;D xsi:type="xsd:double"&gt;2.376604&lt;/D&gt;&lt;D xsi:type="xsd:double"&gt;-5.6122484&lt;/D&gt;&lt;D xsi:type="xsd:double"&gt;0.40540695&lt;/D&gt;&lt;D xsi:type="xsd:double"&gt;-5.51818&lt;/D&gt;&lt;D xsi:type="xsd:double"&gt;6.296301&lt;/D&gt;&lt;D xsi:type="xsd:double"&gt;4.4224024&lt;/D&gt;&lt;D xsi:type="xsd:double"&gt;-3.3530474&lt;/D&gt;&lt;D xsi:type="xsd:double"&gt;4.490781&lt;/D&gt;&lt;D xsi:type="xsd:double"&gt;6.3443303&lt;/D&gt;&lt;D xsi:type="xsd:double"&gt;-4.3781576&lt;/D&gt;&lt;D xsi:type="xsd:double"&gt;6.2893033&lt;/D&gt;&lt;/FQL&gt;&lt;FQL&gt;&lt;Q&gt;NI-FDS^FG_PRICE_CHANGE(0,-1AY)&lt;/Q&gt;&lt;R&gt;1&lt;/R&gt;&lt;C&gt;1&lt;/C&gt;&lt;D xsi:type="xsd:double"&gt;-2.74390243902439&lt;/D&gt;&lt;/FQL&gt;&lt;FQL&gt;&lt;Q&gt;W-FDS^FG_PRICE_CHANGE(0,-1AM)&lt;/Q&gt;&lt;R&gt;1&lt;/R&gt;&lt;C&gt;1&lt;/C&gt;&lt;D xsi:type="xsd:double"&gt;21.2756052141527&lt;/D&gt;&lt;/FQL&gt;&lt;FQL&gt;&lt;Q&gt;QQQ^FG_PRICE_MAVG(0,,,,60)&lt;/Q&gt;&lt;R&gt;1&lt;/R&gt;&lt;C&gt;1&lt;/C&gt;&lt;D xsi:type="xsd:double"&gt;437.8135&lt;/D&gt;&lt;/FQL&gt;&lt;FQL&gt;&lt;Q&gt;VWO^P_PRICE(0)/P_PRICE_HIGH_PR(0,,,,,,"PRICE","INTRA","52W")&lt;/Q&gt;&lt;R&gt;1&lt;/R&gt;&lt;C&gt;1&lt;/C&gt;&lt;D xsi:type="xsd:double"&gt;0.99831206&lt;/D&gt;&lt;/FQL&gt;&lt;FQL&gt;&lt;Q&gt;EWQ^PERCENT_CHANGE(FMA_EPS(+1,0,,,,"PORTAGG","MEAN"),FMA_EPS(+1,-1AM,,,,"PORTAGG","MEAN"))&lt;/Q&gt;&lt;R&gt;1&lt;/R&gt;&lt;C&gt;1&lt;/C&gt;&lt;D xsi:type="xsd:double"&gt;2.62580457706105&lt;/D&gt;&lt;/FQL&gt;&lt;FQL&gt;&lt;Q&gt;EWU^FG_TOTAL_RETURNC(0,-3AM)&lt;/Q&gt;&lt;R&gt;1&lt;/R&gt;&lt;C&gt;1&lt;/C&gt;&lt;D xsi:type="xsd:double"&gt;12.423504&lt;/D&gt;&lt;/FQL&gt;&lt;FQL&gt;&lt;Q&gt;EWG^FG_TOTAL_RETURNC(0,-6AM)&lt;/Q&gt;&lt;R&gt;1&lt;/R&gt;&lt;C&gt;1&lt;/C&gt;&lt;D xsi:type="xsd:double"&gt;15.833128&lt;/D&gt;&lt;/FQL&gt;&lt;FQL&gt;&lt;Q&gt;EWL^FMA_COS_UP("EPS","1M",+1,0,,,"PORTAGG","MEANR")&lt;/Q&gt;&lt;R&gt;1&lt;/R&gt;&lt;C&gt;1&lt;/C&gt;&lt;D xsi:type="xsd:double"&gt;21&lt;/D&gt;&lt;/FQL&gt;&lt;FQL&gt;&lt;Q&gt;REFFFUND-FDS^FG_YIELD(NOW,,,0)&lt;/Q&gt;&lt;R&gt;1&lt;/R&gt;&lt;C&gt;1&lt;/C&gt;&lt;D xsi:type="xsd:double"&gt;5.5&lt;/D&gt;&lt;/FQL&gt;&lt;FQL&gt;&lt;Q&gt;REFNZOCR-FDS^PROPER_NAME(0,,,"SECURITY","NAME")&lt;/Q&gt;&lt;R&gt;1&lt;/R&gt;&lt;C&gt;1&lt;/C&gt;&lt;D xsi:type="xsd:string"&gt;New Zealand Official Cash Rate&lt;/D&gt;&lt;/FQL&gt;&lt;FQL&gt;&lt;Q&gt;TRYAU10Y-FDS^PCTCHG(FG_YIELD(0,,,,"YTM"),FG_YIELD(-1AM,,,,"YTM"))&lt;/Q&gt;&lt;R&gt;1&lt;/R&gt;&lt;C&gt;1&lt;/C&gt;&lt;D xsi:type="xsd:double"&gt;-3.8127923&lt;/D&gt;&lt;/FQL&gt;&lt;FQL&gt;&lt;Q&gt;EWD^FMA_PE(NTMA,0,,,"PORTAGG","MEANR")&lt;/Q&gt;&lt;R&gt;1&lt;/R&gt;&lt;C&gt;1&lt;/C&gt;&lt;D xsi:type="xsd:double"&gt;16.5160691960667&lt;/D&gt;&lt;/FQL&gt;&lt;FQL&gt;&lt;Q&gt;SPY^JULIAN(FMA_DIV_YLD(NTMA,NOW,NOW,M,"PORTAGG","MEANR").DATES)&lt;/Q&gt;&lt;R&gt;1&lt;/R&gt;&lt;C&gt;1&lt;/C&gt;&lt;D xsi:type="xsd:long"&gt;45412&lt;/D&gt;&lt;/FQL&gt;&lt;FQL&gt;&lt;Q&gt;EWJ^FMA_EVAL_EBITDA(NTMA,0,,,"PORTAGG","MEANR")&lt;/Q&gt;&lt;R&gt;1&lt;/R&gt;&lt;C&gt;1&lt;/C&gt;&lt;D xsi:type="xsd:double"&gt;10.4822995469971&lt;/D&gt;&lt;/FQL&gt;&lt;FQL&gt;&lt;Q&gt;EWA^FMA_DIV_YLD(NTMA,NOW,NOW,M,"PORTAGG","MEANR")&lt;/Q&gt;&lt;R&gt;1&lt;/R&gt;&lt;C&gt;1&lt;/C&gt;&lt;D xsi:type="xsd:double"&gt;4.01562454510399&lt;/D&gt;&lt;/FQL&gt;&lt;FQL&gt;&lt;Q&gt;EWU^FMA_ROE(NTMA,-20AY,NOW,FY,"PORTAGG","MEANR")&lt;/Q&gt;&lt;R&gt;20&lt;/R&gt;&lt;C&gt;1&lt;/C&gt;&lt;D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xsi:type="xsd:double"&gt;12.8710545012496&lt;/D&gt;&lt;D xsi:type="xsd:double"&gt;11.2050609808234&lt;/D&gt;&lt;D xsi:type="xsd:double"&gt;13.9227699470217&lt;/D&gt;&lt;D xsi:type="xsd:double"&gt;15.8587444123321&lt;/D&gt;&lt;D xsi:type="xsd:double"&gt;14.7207289002436&lt;/D&gt;&lt;/FQL&gt;&lt;FQL&gt;&lt;Q&gt;CAGDPY@SE^EE_ACTUAL_ANNUAL(MED,+1)&lt;/Q&gt;&lt;R&gt;1&lt;/R&gt;&lt;C&gt;1&lt;/C&gt;&lt;D xsi:type="xsd:double"&gt;5.4&lt;/D&gt;&lt;/FQL&gt;&lt;FQL&gt;&lt;Q&gt;CC_JP^FG_COMPANY_NAME&lt;/Q&gt;&lt;R&gt;1&lt;/R&gt;&lt;C&gt;1&lt;/C&gt;&lt;D xsi:type="xsd:string"&gt;Japan&lt;/D&gt;&lt;/FQL&gt;&lt;FQL&gt;&lt;Q&gt;USDEUR^FG_PRICE_CHANGE(0,-1AY)&lt;/Q&gt;&lt;R&gt;1&lt;/R&gt;&lt;C&gt;1&lt;/C&gt;&lt;D xsi:type="xsd:double"&gt;-0.51029325&lt;/D&gt;&lt;/FQL&gt;&lt;FQL&gt;&lt;Q&gt;EWN^FMA_EPS(NTMA,-20AY,0,CY,,"PORTAGG","MEANR")&lt;/Q&gt;&lt;R&gt;20&lt;/R&gt;&lt;C&gt;1&lt;/C&gt;&lt;D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xsi:type="xsd:double"&gt;1.99085797419876&lt;/D&gt;&lt;D xsi:type="xsd:double"&gt;2.00892945351409&lt;/D&gt;&lt;D xsi:type="xsd:double"&gt;2.43601807668502&lt;/D&gt;&lt;D xsi:type="xsd:double"&gt;2.42941425498409&lt;/D&gt;&lt;D xsi:type="xsd:double"&gt;2.95560750497075&lt;/D&gt;&lt;/FQL&gt;&lt;FQL&gt;&lt;Q&gt;EWD^FMA_PE(NTMA,-10AY,0,AM,"PORTAGG","MEANR")&lt;/Q&gt;&lt;R&gt;121&lt;/R&gt;&lt;C&gt;1&lt;/C&gt;&lt;D xsi:type="xsd:double"&gt;15.8372478736628&lt;/D&gt;&lt;D xsi:type="xsd:double"&gt;15.6232785978946&lt;/D&gt;&lt;D xsi:type="xsd:double"&gt;15.4125313960728&lt;/D&gt;&lt;D xsi:type="xsd:double"&gt;15.0521725222958&lt;/D&gt;&lt;D xsi:type="xsd:double"&gt;14.807665516834&lt;/D&gt;&lt;D xsi:type="xsd:double"&gt;13.6107748756822&lt;/D&gt;&lt;D xsi:type="xsd:double"&gt;15.3049267876028&lt;/D&gt;&lt;D xsi:type="xsd:double"&gt;15.031827701482&lt;/D&gt;&lt;D xsi:type="xsd:double"&gt;15.6294680213848&lt;/D&gt;&lt;D xsi:type="xsd:double"&gt;16.6513081002868&lt;/D&gt;&lt;D xsi:type="xsd:double"&gt;17.0907057649556&lt;/D&gt;&lt;D xsi:type="xsd:double"&gt;16.5876658927194&lt;/D&gt;&lt;D xsi:type="xsd:double"&gt;15.8326662680484&lt;/D&gt;&lt;D xsi:type="xsd:double"&gt;15.6029065097929&lt;/D&gt;&lt;D xsi:type="xsd:double"&gt;16.240203497935&lt;/D&gt;&lt;D xsi:type="xsd:double"&gt;15.9050686279042&lt;/D&gt;&lt;D xsi:type="xsd:double"&gt;14.7613109715605&lt;/D&gt;&lt;D xsi:type="xsd:double"&gt;14.7821973688787&lt;/D&gt;&lt;D xsi:type="xsd:double"&gt;15.4430213220052&lt;/D&gt;&lt;D xsi:type="xsd:double"&gt;14.8716114234542&lt;/D&gt;&lt;D xsi:type="xsd:double"&gt;13.5975182581164&lt;/D&gt;&lt;D xsi:type="xsd:double"&gt;15.1251425475443&lt;/D&gt;&lt;D xsi:type="xsd:double"&gt;15.2978718863344&lt;/D&gt;&lt;D xsi:type="xsd:double"&gt;15.3026492275642&lt;/D&gt;&lt;D xsi:type="xsd:double"&gt;14.6544870342695&lt;/D&gt;&lt;D xsi:type="xsd:double"&gt;14.257975637838&lt;/D&gt;&lt;D xsi:type="xsd:double"&gt;15.0147137725576&lt;/D&gt;&lt;D xsi:type="xsd:double"&gt;15.2765420692986&lt;/D&gt;&lt;D xsi:type="xsd:double"&gt;15.3242835708722&lt;/D&gt;&lt;D xsi:type="xsd:double"&gt;15.9620552939095&lt;/D&gt;&lt;D xsi:type="xsd:double"&gt;16.1208892373641&lt;/D&gt;&lt;D xsi:type="xsd:double"&gt;16.7511997174863&lt;/D&gt;&lt;D xsi:type="xsd:double"&gt;15.9282033359068&lt;/D&gt;&lt;D xsi:type="xsd:double"&gt;16.3751415979077&lt;/D&gt;&lt;D xsi:type="xsd:double"&gt;16.8187429227996&lt;/D&gt;&lt;D xsi:type="xsd:double"&gt;16.9061513709531&lt;/D&gt;&lt;D xsi:type="xsd:double"&gt;18.0112672763498&lt;/D&gt;&lt;D xsi:type="xsd:double"&gt;16.8378806596828&lt;/D&gt;&lt;D xsi:type="xsd:double"&gt;16.7968480908919&lt;/D&gt;&lt;D xsi:type="xsd:double"&gt;15.7142943093165&lt;/D&gt;&lt;D xsi:type="xsd:double"&gt;16.1628726121903&lt;/D&gt;&lt;D xsi:type="xsd:double"&gt;16.7704500336568&lt;/D&gt;&lt;D xsi:type="xsd:double"&gt;16.6859208443406&lt;/D&gt;&lt;D xsi:type="xsd:double"&gt;16.3142436737457&lt;/D&gt;&lt;D xsi:type="xsd:double"&gt;16.6242358696136&lt;/D&gt;&lt;D xsi:type="xsd:double"&gt;16.1561197240843&lt;/D&gt;&lt;D xsi:type="xsd:double"&gt;16.2175354668837&lt;/D&gt;&lt;D xsi:type="xsd:double"&gt;15.8894562531499&lt;/D&gt;&lt;D xsi:type="xsd:double"&gt;16.1373722281664&lt;/D&gt;&lt;D xsi:type="x</t>
        </r>
      </text>
    </comment>
    <comment ref="A9" authorId="0" shapeId="0" xr:uid="{FF177ED1-8688-4D64-931D-879988C13BEE}">
      <text>
        <r>
          <rPr>
            <b/>
            <sz val="9"/>
            <color indexed="81"/>
            <rFont val="Tahoma"/>
            <charset val="1"/>
          </rPr>
          <t>sd:double"&gt;15.3852770529363&lt;/D&gt;&lt;D xsi:type="xsd:double"&gt;15.2627796558754&lt;/D&gt;&lt;D xsi:type="xsd:double"&gt;15.5559387699017&lt;/D&gt;&lt;D xsi:type="xsd:double"&gt;15.6557004422617&lt;/D&gt;&lt;D xsi:type="xsd:double"&gt;14.682484152575&lt;/D&gt;&lt;D xsi:type="xsd:double"&gt;14.1007755286879&lt;/D&gt;&lt;D xsi:type="xsd:double"&gt;13.6520689377627&lt;/D&gt;&lt;D xsi:type="xsd:double"&gt;14.1572387316938&lt;/D&gt;&lt;D xsi:type="xsd:double"&gt;14.9294651026098&lt;/D&gt;&lt;D xsi:type="xsd:double"&gt;15.0133507635527&lt;/D&gt;&lt;D xsi:type="xsd:double"&gt;15.4466789541528&lt;/D&gt;&lt;D xsi:type="xsd:double"&gt;15.0391529814082&lt;/D&gt;&lt;D xsi:type="xsd:double"&gt;14.7222279920857&lt;/D&gt;&lt;D xsi:type="xsd:double"&gt;14.9080449339328&lt;/D&gt;&lt;D xsi:type="xsd:double"&gt;13.5136919098557&lt;/D&gt;&lt;D xsi:type="xsd:double"&gt;14.610609328387&lt;/D&gt;&lt;D xsi:type="xsd:double"&gt;15.3094471875057&lt;/D&gt;&lt;D xsi:type="xsd:double"&gt;15.8540238937633&lt;/D&gt;&lt;D xsi:type="xsd:double"&gt;16.2936138235111&lt;/D&gt;&lt;D xsi:type="xsd:double"&gt;16.4910119251613&lt;/D&gt;&lt;D xsi:type="xsd:double"&gt;17.0111020961098&lt;/D&gt;&lt;D xsi:type="xsd:double"&gt;12.3317579025851&lt;/D&gt;&lt;D xsi:type="xsd:double"&gt;16.4726400498131&lt;/D&gt;&lt;D xsi:type="xsd:double"&gt;16.9778015302842&lt;/D&gt;&lt;D xsi:type="xsd:double"&gt;19.132959912106&lt;/D&gt;&lt;D xsi:type="xsd:double"&gt;19.9218035469405&lt;/D&gt;&lt;D xsi:type="xsd:double"&gt;18.2402797121983&lt;/D&gt;&lt;D xsi:type="xsd:double"&gt;18.4767096134691&lt;/D&gt;&lt;D xsi:type="xsd:double"&gt;17.3761396484462&lt;/D&gt;&lt;D xsi:type="xsd:double"&gt;17.3000753236265&lt;/D&gt;&lt;D xsi:type="xsd:double"&gt;17.183305698441&lt;/D&gt;&lt;D xsi:type="xsd:double"&gt;18.7174238345529&lt;/D&gt;&lt;D xsi:type="xsd:double"&gt;18.7322918488377&lt;/D&gt;&lt;D xsi:type="xsd:double"&gt;20.0906732334059&lt;/D&gt;&lt;D xsi:type="xsd:double"&gt;20.7635329700299&lt;/D&gt;&lt;D xsi:type="xsd:double"&gt;17.8519106042731&lt;/D&gt;&lt;D xsi:type="xsd:double"&gt;18.7205013864306&lt;/D&gt;&lt;D xsi:type="xsd:double"&gt;18.5991830699659&lt;/D&gt;&lt;D xsi:type="xsd:double"&gt;18.5219788827135&lt;/D&gt;&lt;D xsi:type="xsd:double"&gt;18.3781669243357&lt;/D&gt;&lt;D xsi:type="xsd:double"&gt;18.4247497039251&lt;/D&gt;&lt;D xsi:type="xsd:double"&gt;18.9715657039886&lt;/D&gt;&lt;D xsi:type="xsd:double"&gt;17.726244849041&lt;/D&gt;&lt;D xsi:type="xsd:double"&gt;17.508578081126&lt;/D&gt;&lt;D xsi:type="xsd:double"&gt;15.8480586284327&lt;/D&gt;&lt;D xsi:type="xsd:double"&gt;15.4927662298018&lt;/D&gt;&lt;D xsi:type="xsd:double"&gt;15.0156689571829&lt;/D&gt;&lt;D xsi:type="xsd:double"&gt;16.0032448364999&lt;/D&gt;&lt;D xsi:type="xsd:double"&gt;14.2161411551396&lt;/D&gt;&lt;D xsi:type="xsd:double"&gt;14.3974504453474&lt;/D&gt;&lt;D xsi:type="xsd:double"&gt;14.9753142940966&lt;/D&gt;&lt;D xsi:type="xsd:double"&gt;13.6121127952201&lt;/D&gt;&lt;D xsi:type="xsd:double"&gt;13.4204153051181&lt;/D&gt;&lt;D xsi:type="xsd:double"&gt;12.8097416302275&lt;/D&gt;&lt;D xsi:type="xsd:double"&gt;12.7426217494804&lt;/D&gt;&lt;D xsi:type="xsd:double"&gt;13.6735403078766&lt;/D&gt;&lt;D xsi:type="xsd:double"&gt;14.1822357395213&lt;/D&gt;&lt;D xsi:type="xsd:double"&gt;13.0936615977277&lt;/D&gt;&lt;D xsi:type="xsd:double"&gt;13.9145405888543&lt;/D&gt;&lt;D xsi:type="xsd:double"&gt;13.493566958891&lt;/D&gt;&lt;D xsi:type="xsd:double"&gt;13.8305195227812&lt;/D&gt;&lt;D xsi:type="xsd:double"&gt;13.3547720106994&lt;/D&gt;&lt;D xsi:type="xsd:double"&gt;12.7050952799792&lt;/D&gt;&lt;D xsi:type="xsd:double"&gt;13.0759801560556&lt;/D&gt;&lt;D xsi:type="xsd:double"&gt;13.2155143227738&lt;/D&gt;&lt;D xsi:type="xsd:double"&gt;13.3425651866105&lt;/D&gt;&lt;D xsi:type="xsd:double"&gt;15.6541221045383&lt;/D&gt;&lt;D xsi:type="xsd:double"&gt;15.0854276017912&lt;/D&gt;&lt;D xsi:type="xsd:double"&gt;16.0428926950517&lt;/D&gt;&lt;D xsi:type="xsd:double"&gt;16.7422910308327&lt;/D&gt;&lt;D xsi:type="xsd:double"&gt;16.0790013341507&lt;/D&gt;&lt;D xsi:type="xsd:double"&gt;16.5160691960667&lt;/D&gt;&lt;/FQL&gt;&lt;FQL&gt;&lt;Q&gt;ENZL^FMA_PE(LTMA,-10AY,0,AM,"PORTAGG","MEANR")&lt;/Q&gt;&lt;R&gt;121&lt;/R&gt;&lt;C&gt;1&lt;/C&gt;&lt;D xsi:type="xsd:double"&gt;18.0539441924434&lt;/D&gt;&lt;D xsi:type="xsd:double"&gt;18.0386470031418&lt;/D&gt;&lt;D xsi:type="xsd:double"&gt;17.9430115885267&lt;/D&gt;&lt;D xsi:type="xsd:double"&gt;17.91548203036&lt;/D&gt;&lt;D xsi:type="xsd:double"&gt;17.6623483294229&lt;/D&gt;&lt;D xsi:type="xsd:double"&gt;17.6385485902579&lt;/D&gt;&lt;D xsi:type="xsd:double"&gt;18.8058948832647&lt;/D&gt;&lt;D xsi:type="xsd:double"&gt;18.9116195535112&lt;/D&gt;&lt;D xsi:type="xsd:double"&gt;19.4178331283541&lt;/D&gt;&lt;D xsi:type="xsd:double"&gt;19.847655522089&lt;/D&gt;&lt;D xsi:type="xsd:double"&gt;20.4262468310093&lt;/D&gt;&lt;D xsi:type="xsd:double"&gt;20.1863890287462&lt;/D&gt;&lt;D xsi:type="xsd:double"&gt;19.999759491272&lt;/D&gt;&lt;D xsi:type="xsd:double"&gt;19.7860371155205&lt;/D&gt;&lt;D xsi:type="xsd:double"&gt;19.7907254696102&lt;/D&gt;&lt;D xsi:type="xsd:double"&gt;19.4085881322736&lt;/D&gt;&lt;D xsi:type="xsd:double"&gt;19.1395379239398&lt;/D&gt;&lt;D xsi:type="xsd:double"&gt;19.1368195551428&lt;/D&gt;&lt;D xsi:type="xsd:double"&gt;19.3384218505228&lt;/D&gt;&lt;D xsi:type="xsd:double"&gt;19.451937963844&lt;/D&gt;&lt;D xsi:type="xsd:double"&gt;19.2866706508681&lt;/D&gt;&lt;D xsi:type="xsd:double"&gt;18.9845504713983&lt;/D&gt;&lt;D xsi:type="xsd:double"&gt;19.3353490407983&lt;/D&gt;&lt;D xsi:type="xsd:double"&gt;19.4643361268665&lt;/D&gt;&lt;D xsi:type="xsd:double"&gt;19.6960128517959&lt;/D&gt;&lt;D xsi:type="xsd:double"&gt;19.6036139677742&lt;/D&gt;&lt;D xsi:type="xsd:double"&gt;19.9812940631355&lt;/D&gt;&lt;D xsi:type="xsd:double"&gt;20.6923972559132&lt;/D&gt;&lt;D xsi:type="xsd:double"&gt;20.7799639113457&lt;/D&gt;&lt;D xsi:type="xsd:double"&gt;20.3246479195504&lt;/D&gt;&lt;D xsi:type="xsd:double"&gt;19.8638665716367&lt;/D&gt;&lt;D xsi:type="xsd:double"&gt;19.550714252456&lt;/D&gt;&lt;D xsi:type="xsd:double"&gt;20.4352111885537&lt;/D&gt;&lt;D xsi:type="xsd:double"&gt;20.3505065577855&lt;/D&gt;&lt;D xsi:type="xsd:double"&gt;19.7516889647336&lt;/D&gt;&lt;D xsi:type="xsd:double"&gt;19.8114463260487&lt;/D&gt;&lt;D xsi:type="xsd:double"&gt;19.9817101960841&lt;/D&gt;&lt;D xsi:type="xsd:double"&gt;20.0777917390615&lt;/D&gt;&lt;D xsi:type="xsd:double"&gt;20.260539831321&lt;/D&gt;&lt;D xsi:type="xsd:double"&gt;20.7924781317785&lt;/D&gt;&lt;D xsi:type="xsd:double"&gt;20.4498936561367&lt;/D&gt;&lt;D xsi:type="xsd:double"&gt;20.9558888365954&lt;/D&gt;&lt;D xsi:type="xsd:double"&gt;21.3020750296269&lt;/D&gt;&lt;D xsi:type="xsd:double"&gt;22.1789336898757&lt;/D&gt;&lt;D xsi:type="xsd:double"&gt;22.0497653092405&lt;/D&gt;&lt;D xsi:type="xsd:double"&gt;21.8745133611313&lt;/D&gt;&lt;D xsi:type="xsd:double"&gt;22.5700914670495&lt;/D&gt;&lt;D xsi:type="xsd:double"&gt;22.3172137081459&lt;/D&gt;&lt;D xsi:type="xsd:double"&gt;22.3843692778253&lt;/D&gt;&lt;D xsi:type="xsd:double"&gt;22.8371320171852&lt;/D&gt;&lt;D xsi:type="xsd:double"&gt;22.8610728055252&lt;/D&gt;&lt;D xsi:type="xsd:double"&gt;23.1392678848738&lt;/D&gt;&lt;D xsi:type="xsd:double"&gt;23.5763314118709&lt;/D&gt;&lt;D xsi:type="xsd:double"&gt;22.8834785090376&lt;/D&gt;&lt;D xsi:type="xsd:double"&gt;22.7207778810362&lt;/D&gt;&lt;D xsi:type="xsd:double"&gt;22.7240869914216&lt;/D&gt;&lt;D xsi:type="xsd:double"&gt;23.5805466428672&lt;/D&gt;&lt;D xsi:type="xsd:double"&gt;23.8210197523605&lt;/D&gt;&lt;D xsi:type="xsd:double"&gt;24.0857067825863&lt;/D&gt;&lt;D xsi:type="xsd:double"&gt;24.2083973569735&lt;/D&gt;&lt;D xsi:type="xsd:double"&gt;24.3509707040085&lt;/D&gt;&lt;D xsi:type="xsd:double"&gt;24.2278455337647&lt;/D&gt;&lt;D xsi:type="xsd:double"&gt;24.9988189933315&lt;/D&gt;&lt;D xsi:type="xsd:double"&gt;25.0322735008327&lt;/D&gt;&lt;D xsi:type="xsd:double"&gt;28.6151502715447&lt;/D&gt;&lt;D xsi:type="xsd:double"&gt;29.2606526539808&lt;/D&gt;&lt;D xsi:type="xsd:double"&gt;29.1945792851556&lt;/D&gt;&lt;D xsi:type="xsd:double"&gt;31.533379139167&lt;/D&gt;&lt;D xsi:type="xsd:double"&gt;33.0303770825293&lt;/D&gt;&lt;D xsi:type="xsd:double"&gt;33.3238883850852&lt;/D&gt;&lt;D xsi:type="xsd:double"&gt;29.9328432543309&lt;/D&gt;&lt;D xsi:type="xsd:double"&gt;31.6003858512158&lt;/D&gt;&lt;D xsi:type="xsd:double"&gt;32.1124216166842&lt;/D&gt;&lt;D xsi:type="xsd:double"&gt;32.6017129187029&lt;/D&gt;&lt;D xsi:type="xsd:double"&gt;33.4813234171559&lt;/D&gt;&lt;D xsi:type="xsd:double"&gt;34.0110321778751&lt;/D&gt;&lt;D xsi:type="xsd:double"&gt;33.6994525416084&lt;/D&gt;&lt;D xsi:type="xsd:double"&gt;35.1876283192318&lt;/D&gt;&lt;D xsi:type="xsd:double"&gt;36.3464823155504&lt;/D&gt;&lt;D xsi:type="xsd:double"&gt;36.9193215854827&lt;/D&gt;&lt;D xsi:type="xsd:double"&gt;37.4582800177366&lt;/D&gt;&lt;D xsi:type="xsd:double"&gt;35.1507032615899&lt;/D&gt;&lt;D xsi:type="xsd:double"&gt;34.5732422327528&lt;/D&gt;&lt;D xsi:type="xsd:double"&gt;34.5250602156161&lt;/D&gt;&lt;D xsi:type="xsd:double"&gt;34.7321579407932&lt;/D&gt;&lt;D xsi:type="xsd:double"&gt;35.7060545658777&lt;/D&gt;&lt;D xsi:type="xsd:double"&gt;36.4841007473112&lt;/D&gt;&lt;D xsi:type="xsd:double"&gt;36.8726785625568&lt;/D&gt;&lt;D xsi:type="xsd:double"&gt;38.7933502573113&lt;/D&gt;&lt;D xsi:type="xsd:double"&gt;38.6004902660686&lt;/D&gt;&lt;D xsi:type="xsd:double"&gt;38.6542133783006&lt;/D&gt;&lt;D xsi:type="xsd:double"&gt;38.3685357986647&lt;/D&gt;&lt;D xsi:type="xsd:double"&gt;38.1292729645446&lt;/D&gt;&lt;D xsi:type="xsd:double"&gt;36.4248168455633&lt;/D&gt;&lt;D xsi:type="xsd:double"&gt;35.0362815948191&lt;/D&gt;&lt;D xsi:type="xsd:double"&gt;34.4962054461311&lt;/D&gt;&lt;D xsi:type="xsd:double"&gt;33.9030441382049&lt;/D&gt;&lt;D xsi:type="xsd:double"&gt;32.7121800483975&lt;/D&gt;&lt;D xsi:type="xsd:double"&gt;33.0101111533586&lt;/D&gt;&lt;D xsi:type="xsd:double"&gt;33.9011438569564&lt;/D&gt;&lt;D xsi:type="xsd:double"&gt;33.7357829928235&lt;/D&gt;&lt;D xsi:type="xsd:double"&gt;30.9250117281863&lt;/D&gt;&lt;D xsi:type="xsd:double"&gt;30.269457475607&lt;/D&gt;&lt;D xsi:type="xsd:double"&gt;29.5795507733525&lt;/D&gt;&lt;D xsi:type="xsd:double"&gt;29.9524633146445&lt;/D&gt;&lt;D xsi:type="xsd:double"&gt;30.1787104647234&lt;/D&gt;&lt;D xsi:type="xsd:double"&gt;29.0741108410498&lt;/D&gt;&lt;D xsi:type="xsd:double"&gt;28.6397034488609&lt;/D&gt;&lt;D xsi:type="xsd:double"&gt;28.1779734988938&lt;/D&gt;&lt;D xsi:type="xsd:double"&gt;26.3616757506225&lt;/D&gt;&lt;D xsi:type="xsd:double"&gt;25.6857218257937&lt;/D&gt;&lt;D xsi:type="xsd:double"&gt;24.4784015021311&lt;/D&gt;&lt;D xsi:type="xsd:double"&gt;23.9950206249763&lt;/D&gt;&lt;D xsi:type="xsd:double"&gt;23.1811494140217&lt;/D&gt;&lt;D xsi:type="xsd:double"&gt;22.2681538231345&lt;/D&gt;&lt;D xsi:type="xsd:double"&gt;23.8792270297255&lt;/D&gt;&lt;D xsi:type="xsd:double"&gt;23.2791194602107&lt;/D&gt;&lt;D xsi:type="xsd:double"&gt;23.0635498826774&lt;/D&gt;&lt;D xsi:type="xsd:double"&gt;23.8400640936247&lt;/D&gt;&lt;D xsi:type="xsd:double"&gt;24.1182506614568&lt;/D&gt;&lt;D xsi:type="xsd:double"&gt;24.4754216451111&lt;/D&gt;&lt;/FQL&gt;&lt;FQL&gt;&lt;Q&gt;TIOS-FDS^FG_PRICE(0)&lt;/Q&gt;&lt;R&gt;1&lt;/R&gt;&lt;C&gt;1&lt;/C&gt;&lt;D xsi:type="xsd:double"&gt;116.85&lt;/D&gt;&lt;/FQL&gt;&lt;FQL&gt;&lt;Q&gt;EWU^FG_PRICE_MAVG(0,,,,200)&lt;/Q&gt;&lt;R&gt;1&lt;/R&gt;&lt;C&gt;1&lt;/C&gt;&lt;D xsi:type="xsd:double"&gt;32.70075&lt;/D&gt;&lt;/FQL&gt;&lt;FQL&gt;&lt;Q&gt;EWA^FG_PRICE(0)&lt;/Q&gt;&lt;R&gt;1&lt;/R&gt;&lt;C&gt;1&lt;/C&gt;&lt;D xsi:type="xsd:double"&gt;25.24&lt;/D&gt;&lt;/FQL&gt;&lt;FQL&gt;&lt;Q&gt;SPY^PERCENT_CHANGE(FMA_EPS(+1,0,,,,"PORTAGG","MEAN"),FMA_EPS(+1,-3AM,,,,"PORTAGG","MEAN"))&lt;/Q&gt;&lt;R&gt;1&lt;/R&gt;&lt;C&gt;1&lt;/C&gt;&lt;D xsi:type="xsd:double"&gt;0.249402650864249&lt;/D&gt;&lt;/FQL&gt;&lt;FQL&gt;&lt;Q&gt;EWD^FG_TOTAL_RETURNC(0,-6AM)&lt;/Q&gt;&lt;R&gt;1&lt;/R&gt;&lt;C&gt;1&lt;/C&gt;&lt;D xsi:type="xsd:double"&gt;18.964088&lt;/D&gt;&lt;/FQL&gt;&lt;FQL&gt;&lt;Q&gt;ENZL^FG_TOTAL_RETURNC(0,-6AM)&lt;/Q&gt;&lt;R&gt;1&lt;/R&gt;&lt;C&gt;1&lt;/C&gt;&lt;D xsi:type="xsd:double"&gt;5.697143&lt;/D&gt;&lt;/FQL&gt;&lt;FQL&gt;&lt;Q&gt;EWI^SIZE(FG_CONSTITUENTS)&lt;/Q&gt;&lt;R&gt;1&lt;/R&gt;&lt;C&gt;1&lt;/C&gt;&lt;D xsi:type="xsd:long"&gt;26&lt;/D&gt;&lt;/FQL&gt;&lt;FQL&gt;&lt;Q&gt;TRYIT10Y-FDS^PCTCHG(FG_YIELD(0,,,,"YTM"),FG_YIELD(-3AM,,,,"YTM"))&lt;/Q&gt;&lt;R&gt;1&lt;/R&gt;&lt;C&gt;1&lt;/C&gt;&lt;D xsi:type="xsd:double"&gt;-2.0139382&lt;/D&gt;&lt;/FQL&gt;&lt;FQL&gt;&lt;Q&gt;TRYDE10Y-FDS^FG_YIELD(0,,,,"YTM")&lt;/Q&gt;&lt;R&gt;1&lt;/R&gt;&lt;C&gt;1&lt;/C&gt;&lt;D xsi:type="xsd:double"&gt;2.507&lt;/D&gt;&lt;/FQL&gt;&lt;FQL&gt;&lt;Q&gt;VWO^FG_PE_NTM(0,,,90,0)&lt;/Q&gt;&lt;R&gt;1&lt;/R&gt;&lt;C&gt;1&lt;/C&gt;&lt;D xsi:type="xsd:double"&gt;12.7459216412636&lt;/D&gt;&lt;/FQL&gt;&lt;FQL&gt;&lt;Q&gt;GLD^P_PRICE(0)/P_PRICE_HIGH_PR(0,,,USD,,,"PRICE","INTRA","52W")&lt;/Q&gt;&lt;R&gt;1&lt;/R&gt;&lt;C&gt;1&lt;/C&gt;&lt;D xsi:type="xsd:double"&gt;0.99364704&lt;/D&gt;&lt;/FQL&gt;&lt;FQL&gt;&lt;Q&gt;SPY^FG_TOTAL_RETURNC(-10AY,0,AM)&lt;/Q&gt;&lt;R&gt;121&lt;/R&gt;&lt;C&gt;1&lt;/C&gt;&lt;D xsi:type="xsd:double"&gt;0.8906126&lt;/D&gt;&lt;D xsi:type="xsd:double"&gt;3.6054254&lt;/D&gt;&lt;D xsi:type="xsd:double"&gt;0.93188286&lt;/D&gt;&lt;D xsi:type="xsd:double"&gt;0.0051021576&lt;/D&gt;&lt;D xsi:type="xsd:double"&gt;2.5699973&lt;/D&gt;&lt;D xsi:type="xsd:double"&gt;-5.6777296&lt;/D&gt;&lt;D xsi:type="xsd:double"&gt;8.4363575&lt;/D&gt;&lt;D xsi:type="xsd:double"&gt;-1.2624145&lt;/D&gt;&lt;D xsi:type="xsd:double"&gt;0.46982765&lt;/D&gt;&lt;D xsi:type="xsd:double"&gt;4.2057157&lt;/D&gt;&lt;D xsi:type="xsd:double"&gt;-1.0232687&lt;/D&gt;&lt;D xsi:type="xsd:double"&gt;0.43754578&lt;/D&gt;&lt;D xsi:type="xsd:double"&gt;2.1591783&lt;/D&gt;&lt;D xsi:type="xsd:double"&gt;-0.8708358&lt;/D&gt;&lt;D xsi:type="xsd:double"&gt;1.390481&lt;/D&gt;&lt;D xsi:type="xsd:double"&gt;-0.889498&lt;/D&gt;&lt;D xsi:type="xsd:double"&gt;-5.1569405&lt;/D&gt;&lt;D xsi:type="xsd:double"&gt;2.3105025&lt;/D&gt;&lt;D xsi:type="xsd:double"&gt;1.0823011&lt;/D&gt;&lt;D xsi:type="xsd:double"&gt;-0.2968788&lt;/D&gt;&lt;D xsi:type="xsd:double"&gt;-7.767457&lt;/D&gt;&lt;D xsi:type="xsd:double"&gt;2.699542&lt;/D&gt;&lt;D xsi:type="xsd:double"&gt;6.091869&lt;/D&gt;&lt;D xsi:type="xsd:double"&gt;2.0608187&lt;/D&gt;&lt;D xsi:type="xsd:double"&gt;-1.4097571&lt;/D&gt;&lt;D xsi:type="xsd:double"&gt;1.3412952&lt;/D&gt;&lt;D xsi:type="xsd:double"&gt;4.5080423&lt;/D&gt;&lt;D xsi:type="xsd:double"&gt;1.176846&lt;/D&gt;&lt;D xsi:type="xsd:double"&gt;-1.7941713&lt;/D&gt;&lt;D xsi:type="xsd:double"&gt;-0.46398044&lt;/D&gt;&lt;D xsi:type="xsd:double"&gt;3.112352&lt;/D&gt;&lt;D xsi:type="xsd:double"&gt;3.369522&lt;/D&gt;&lt;D xsi:type="xsd:double"&gt;0.5376816&lt;/D&gt;&lt;D xsi:type="xsd:double"&gt;3.9071798&lt;/D&gt;&lt;D xsi:type="xsd:double"&gt;1.2646675&lt;/D&gt;&lt;D xsi:type="xsd:double"&gt;-1.037842&lt;/D&gt;&lt;D xsi:type="xsd:double"&gt;0.53288937&lt;/D&gt;&lt;D xsi:type="xsd:double"&gt;3.3937335&lt;/D&gt;&lt;D xsi:type="xsd:double"&gt;1.1910677&lt;/D&gt;&lt;D xsi:type="xsd:double"&gt;-0.99377036&lt;/D&gt;&lt;D xsi:type="xsd:double"&gt;3.017223&lt;/D&gt;&lt;D xsi:type="xsd:double"&gt;2.5201678&lt;/D&gt;&lt;D xsi:type="xsd:double"&gt;0.93551874&lt;/D&gt;&lt;D xsi:type="xsd:double"&gt;3.8785934&lt;/D&gt;&lt;D xsi:type="xsd:double"&gt;4.9153805&lt;/D&gt;&lt;D xsi:type="xsd:double"&gt;-2.3246646&lt;/D&gt;&lt;D xsi:type="xsd:double"&gt;0.80070496&lt;/D&gt;&lt;D xsi:type="xsd:double"&gt;-1.4624417&lt;/D&gt;&lt;D xsi:type="xsd:double"&gt;0.673604&lt;/D&gt;&lt;D xsi:type="xsd:double"&gt;2.3401856&lt;/D&gt;&lt;D xsi:type="xsd:double"&gt;1.2052059&lt;/D&gt;&lt;D xsi:type="xsd:double"&gt;1.6365409&lt;/D&gt;&lt;D xsi:type="xsd:double"&gt;1.501441&lt;/D&gt;&lt;D xsi:type="xsd:double"&gt;-2.6334584&lt;/D&gt;&lt;D xsi:type="xsd:double"&gt;-2.3961484&lt;/D&gt;&lt;D xsi:type="xsd:double"&gt;-6.7109942&lt;/D&gt;&lt;D xsi:type="xsd:double"&gt;3.5902977&lt;/D&gt;&lt;D xsi:type="xsd:double"&gt;5.47992&lt;/D&gt;&lt;D xsi:type="xsd:double"&gt;1.8650651&lt;/D&gt;&lt;D xsi:type="xsd:double"&gt;2.8936148&lt;/D&gt;&lt;D xsi:type="xsd:double"&gt;-1.2471974&lt;/D&gt;&lt;D xsi:type="xsd:double"&gt;1.2349606&lt;/D&gt;&lt;D xsi:type="xsd:double"&gt;3.393519&lt;/D&gt;&lt;D xsi:type="xsd:double"&gt;-2.9858232&lt;/D&gt;&lt;D xsi:type="xsd:double"&gt;4.178643&lt;/D&gt;&lt;D xsi:type="xsd:double"&gt;-0.08366704&lt;/D&gt;&lt;D xsi:type="xsd:double"&gt;4.180038&lt;/D&gt;&lt;D xsi:type="xsd:double"&gt;2.495265&lt;/D&gt;&lt;D xsi:type="xsd:double"&gt;4.3824315&lt;/D&gt;&lt;D xsi:type="xsd:double"&gt;1.7020583&lt;/D&gt;&lt;D xsi:type="xsd:double"&gt;-25.118483&lt;/D&gt;&lt;D xsi:type="xsd:double"&gt;14.082634&lt;/D&gt;&lt;D xsi:type="xsd:double"&gt;-0.12559891&lt;/D&gt;&lt;D xsi:type="xsd:double"&gt;8.865452&lt;/D&gt;&lt;D xsi:type="xsd:double"&gt;3.6848307&lt;/D&gt;&lt;D xsi:type="xsd:double"&gt;5.032325&lt;/D&gt;&lt;D xsi:type="xsd:double"&gt;-0.6125927&lt;/D&gt;&lt;D xsi:type="xsd:double"&gt;3.8282037&lt;/D&gt;&lt;D xsi:type="xsd:double"&gt;3.8382888&lt;/D&gt;&lt;D xsi:type="xsd:double"&gt;3.222227&lt;/D&gt;&lt;D xsi:type="xsd:double"&gt;1.3614774&lt;/D&gt;&lt;D xsi:type="xsd:double"&gt;4.44237&lt;/D&gt;&lt;D xsi:type="xsd:double"&gt;1.2411118&lt;/D&gt;&lt;D xsi:type="xsd:double"&gt;5.379081&lt;/D&gt;&lt;D xsi:type="xsd:double"&gt;-0.41701198&lt;/D&gt;&lt;D xsi:type="xsd:double"&gt;1.5522718&lt;/D&gt;&lt;D xsi:type="xsd:double"&gt;2.559507&lt;/D&gt;&lt;D xsi:type="xsd:double"&gt;2.9443145&lt;/D&gt;&lt;D xsi:type="xsd:double"&gt;-0.2729237&lt;/D&gt;&lt;D xsi:type="xsd:double"&gt;1.0126829&lt;/D&gt;&lt;D xsi:type="xsd:double"&gt;4.994738&lt;/D&gt;&lt;D xsi:type="xsd:double"&gt;-1.417011&lt;/D&gt;&lt;D xsi:type="xsd:double"&gt;1.0546446&lt;/D&gt;&lt;D xsi:type="xsd:double"&gt;-5.951971&lt;/D&gt;&lt;D xsi:type="xsd:double"&gt;0.9174943&lt;/D&gt;&lt;D xsi:type="xsd:double"&gt;-0.43863654&lt;/D&gt;&lt;D xsi:type="xsd:double"&gt;-6.7315397&lt;/D&gt;&lt;D xsi:type="xsd:double"&gt;-10.012526&lt;/D&gt;&lt;D xsi:type="xsd:double"&gt;5.267048&lt;/D&gt;&lt;D xsi:type="xsd:double"&gt;10.780775&lt;/D&gt;&lt;D xsi:type="xsd:double"&gt;-9.256679&lt;/D&gt;&lt;D xsi:type="xsd:double"&gt;-4.8604608&lt;/D&gt;&lt;D xsi:type="xsd:double"&gt;7.4750543&lt;/D&gt;&lt;D xsi:type="xsd:double"&gt;-2.3307145&lt;/D&gt;&lt;D xsi:type="xsd:double"&gt;3.783238&lt;/D&gt;&lt;D xsi:type="xsd:double"&gt;2.385807&lt;/D&gt;&lt;D xsi:type="xsd:double"&gt;-3.8706958&lt;/D&gt;&lt;D xsi:type="xsd:double"&gt;6.1411858&lt;/D&gt;&lt;D xsi:type="xsd:double"&gt;0.31163692&lt;/D&gt;&lt;D xsi:type="xsd:double"&gt;6.2298894&lt;/D&gt;&lt;D xsi:type="xsd:double"&gt;2.5895476&lt;/D&gt;&lt;D xsi:type="xsd:double"&gt;-3.2273054&lt;/D&gt;&lt;D xsi:type="xsd:double"&gt;1.9856453&lt;/D&gt;&lt;D xsi:type="xsd:double"&gt;-1.6577601&lt;/D&gt;&lt;D xsi:type="xsd:double"&gt;3.387463&lt;/D&gt;&lt;D xsi:type="xsd:double"&gt;4.5356154&lt;/D&gt;&lt;D xsi:type="xsd:double"&gt;0.63068867&lt;/D&gt;&lt;D xsi:type="xsd:double"&gt;5.7634115&lt;/D&gt;&lt;D xsi:type="xsd:double"&gt;2.3853183&lt;/D&gt;&lt;D xsi:type="xsd:double"&gt;-1.8202126&lt;/D&gt;&lt;D xsi:type="xsd:double"&gt;5.7736516&lt;/D&gt;&lt;/FQL&gt;&lt;FQL&gt;&lt;Q&gt;NI-FDS^FG_PRICE_CHANGE(0,-3AM)&lt;/Q&gt;&lt;R&gt;1&lt;/R&gt;&lt;C&gt;1&lt;/C&gt;&lt;D xsi:type="xsd:double"&gt;28.8688626476072&lt;/D&gt;&lt;/FQL&gt;&lt;FQL&gt;&lt;Q&gt;W-FDS^FG_PRICE_MAVG(0,,,,30)&lt;/Q&gt;&lt;R&gt;1&lt;/R&gt;&lt;C&gt;1&lt;/C&gt;&lt;D xsi:type="xsd:double"&gt;5.95525&lt;/D&gt;&lt;/FQL&gt;&lt;FQL&gt;&lt;Q&gt;EWQ^FMA_PCT_ABOVE_MAVG(200,0,,,,"PORTAGG")&lt;/Q&gt;&lt;R&gt;1&lt;/R&gt;&lt;C&gt;1&lt;/C&gt;&lt;D xsi:type="xsd:double"&gt;74.6031746031746&lt;/D&gt;&lt;/FQL&gt;&lt;FQL&gt;&lt;Q&gt;EWU^PERCENT_CHANGE(FMA_EPS(+1,0,,,,"PORTAGG","MEAN"),FMA_EPS(+1,-3AM,,,,"PORTAGG","MEAN"))&lt;/Q&gt;&lt;R&gt;1&lt;/R&gt;&lt;C&gt;1&lt;/C&gt;&lt;D xsi:type="xsd:double"&gt;2.75952318864936&lt;/D&gt;&lt;/FQL&gt;&lt;FQL&gt;&lt;Q&gt;EWG^FG_TOTAL_RETURNC(0,-3AM)&lt;/Q&gt;&lt;R&gt;1&lt;/R&gt;&lt;C&gt;1&lt;/C&gt;&lt;D xsi:type="xsd:double"&gt;9.861052&lt;/D&gt;&lt;/FQL&gt;&lt;FQL&gt;&lt;Q&gt;EWC^FG_ROE(0)&lt;/Q&gt;&lt;R&gt;1&lt;/R&gt;&lt;C&gt;1&lt;/C&gt;&lt;D xsi:type="xsd:double"&gt;11.0299205534767&lt;/D&gt;&lt;/FQL&gt;&lt;FQL&gt;&lt;Q&gt;TRYNZ10Y-FDS^PCTCHG(FG_YIELD(0,,,,"YTM"),FG_YIELD(-3AM,,,,"YTM"))&lt;/Q&gt;&lt;R&gt;1&lt;/R&gt;&lt;C&gt;1&lt;/C&gt;&lt;D xsi:type="xsd:double"&gt;-5.169005&lt;/D&gt;&lt;/FQL&gt;&lt;FQL&gt;&lt;Q&gt;EWD^FMA_PE(LTM,0,,,"PORTAGG","MEANR")&lt;/Q&gt;&lt;R&gt;1&lt;/R&gt;&lt;C&gt;1&lt;/C&gt;&lt;D xsi:type="xsd:double"&gt;14.2956725538571&lt;/D&gt;&lt;/FQL&gt;&lt;FQL&gt;&lt;Q&gt;QQQ^FMA_EVAL_EBIT(LTMA,NOW,NOW,M,"PORTAGG","MEANR")&lt;/Q&gt;&lt;R&gt;1&lt;/R&gt;&lt;C&gt;1&lt;/C&gt;&lt;D xsi:type="xsd:double"&gt;24.2429002536143&lt;/D&gt;&lt;/FQL&gt;&lt;FQL&gt;&lt;Q&gt;EWJ^FMA_DIV_YLD(NTMA,NOW,NOW,M,"PORTAGG","MEANR")&lt;/Q&gt;&lt;R&gt;1&lt;/R&gt;&lt;C&gt;1&lt;/C&gt;&lt;D xsi:type="xsd:double"&gt;2.20531765496706&lt;/D&gt;&lt;/FQL&gt;&lt;FQL&gt;&lt;Q&gt;EWA^FMA_PE(NTMA,0,,,"PORTAGG","MEANR")&lt;/Q&gt;&lt;R&gt;1&lt;/R&gt;&lt;C&gt;1&lt;/C&gt;&lt;D xsi:type="xsd:double"&gt;16.9883581983304&lt;/D&gt;&lt;/FQL&gt;&lt;FQL&gt;&lt;Q&gt;EWL^FMA_ROE(NTMA,-20AY,NOW,FY,"PORTAGG","MEANR")&lt;/Q&gt;&lt;R&gt;20&lt;/R&gt;&lt;C&gt;1&lt;/C&gt;&lt;D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xsi:type="xsd:double"&gt;19.2996868127809&lt;/D&gt;&lt;/FQL&gt;&lt;FQL&gt;&lt;Q&gt;CAGDPY@NL^EE_ACTUAL_ANNUAL(MED,+1)&lt;/Q&gt;&lt;R&gt;1&lt;/R&gt;&lt;C&gt;1&lt;/C&gt;&lt;D xsi:type="xsd:double"&gt;8.35&lt;/D&gt;&lt;/FQL&gt;&lt;FQL&gt;&lt;Q&gt;CC_DE^FG_COMPANY_NAME&lt;/Q&gt;&lt;R&gt;1&lt;/R&gt;&lt;C&gt;1&lt;/C&gt;&lt;D xsi:type="xsd:string"&gt;Germany&lt;/D&gt;&lt;/FQL&gt;&lt;FQL&gt;&lt;Q&gt;USDGBP^FG_PRICE_CHANGE(0,-1AY)&lt;/Q&gt;&lt;R&gt;1&lt;/R&gt;&lt;C&gt;1&lt;/C&gt;&lt;D xsi:type="xsd:double"&gt;-1.8269897&lt;/D&gt;&lt;/FQL&gt;&lt;FQL&gt;&lt;Q&gt;USDEUR^FG_COMPANY_NAME&lt;/Q&gt;&lt;R&gt;1&lt;/R&gt;&lt;C&gt;1&lt;/C&gt;&lt;D xsi:type="xsd:string"&gt;Euro per U.S. Dollar&lt;/D&gt;&lt;/FQL&gt;&lt;FQL&gt;&lt;Q&gt;EWQ^FMA_EPS(NTMA,-20AY,0,CY,,"PORTAGG","MEANR")&lt;/Q&gt;&lt;R&gt;20&lt;/R&gt;&lt;C&gt;1&lt;/C&gt;&lt;D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xsi:type="xsd:double"&gt;2.19705971714274&lt;/D&gt;&lt;D xsi:type="xsd:double"&gt;1.85109750880863&lt;/D&gt;&lt;D xsi:type="xsd:double"&gt;2.46081746914008&lt;/D&gt;&lt;D xsi:type="xsd:double"&gt;2.80266518938636&lt;/D&gt;&lt;D xsi:type="xsd:double"&gt;2.92070468127568&lt;/D&gt;&lt;/FQL&gt;&lt;FQL&gt;&lt;Q&gt;EWN^FMA_PE(NTMA,-10AY,0,AM,"PORTAGG","MEANR")&lt;/Q&gt;&lt;R&gt;121&lt;/R&gt;&lt;C&gt;1&lt;/C&gt;&lt;D xsi:type="xsd:double"&gt;14.0213257835973&lt;/D&gt;&lt;D xsi:type="xsd:double"&gt;14.5213360454277&lt;/D&gt;&lt;D xsi:type="xsd:double"&gt;14.1186707770005&lt;/D&gt;&lt;D xsi:type="xsd:double"&gt;13.8064364414521&lt;/D&gt;&lt;D xsi:type="xsd:double"&gt;14.5533414070829&lt;/D&gt;&lt;D xsi:type="xsd:double"&gt;13.5006858606735&lt;/D&gt;&lt;D xsi:type="xsd:double"&gt;14.8213942161515&lt;/D&gt;&lt;D xsi:type="xsd:double"&gt;14.2188501220215&lt;/D&gt;&lt;D xsi:type="xsd:double"&gt;15.0926858747339&lt;/D&gt;&lt;D xsi:type="xsd:double"&gt;16.1697807863808&lt;/D&gt;&lt;D xsi:type="xsd:double"&gt;17.505408652678&lt;/D&gt;&lt;D xsi:type="xsd:double"&gt;17.1777104831432&lt;/D&gt;&lt;D xsi:type="xsd:double"&gt;16.8797772619537&lt;/D&gt;&lt;D xsi:type="xsd:double"&gt;16.1145578559084&lt;/D&gt;&lt;D xsi:type="xsd:double"&gt;17.0950567755387&lt;/D&gt;&lt;D xsi:type="xsd:double"&gt;15.9009564703212&lt;/D&gt;&lt;D xsi:type="xsd:double"&gt;14.8593586606607&lt;/D&gt;&lt;D xsi:type="xsd:double"&gt;15.1715846055331&lt;/D&gt;&lt;D xsi:type="xsd:double"&gt;16.3029917507159&lt;/D&gt;&lt;D xsi:type="xsd:double"&gt;15.6177966755793&lt;/D&gt;&lt;D xsi:type="xsd:double"&gt;14.1271977719314&lt;/D&gt;&lt;D xsi:type="xsd:double"&gt;14.3662466390366&lt;/D&gt;&lt;D xsi:type="xsd:double"&gt;15.3012109048266&lt;/D&gt;&lt;D xsi:type="xsd:double"&gt;15.3767111388957&lt;/D&gt;&lt;D xsi:type="xsd:double"&gt;14.6485763463555&lt;/D&gt;&lt;D xsi:type="xsd:double"&gt;13.9513203304134&lt;/D&gt;&lt;D xsi:type="xsd:double"&gt;14.5185581145417&lt;/D&gt;&lt;D xsi:type="xsd:double"&gt;14.7616373707354&lt;/D&gt;&lt;D xsi:type="xsd:double"&gt;14.4750377367676&lt;/D&gt;&lt;D xsi:type="xsd:double"&gt;14.6796794456718&lt;/D&gt;&lt;D xsi:type="xsd:double"&gt;14.5539644147704&lt;/D&gt;&lt;D xsi:type="xsd:double"&gt;14.946536712276&lt;/D&gt;&lt;D xsi:type="xsd:double"&gt;14.8695147329732&lt;/D&gt;&lt;D xsi:type="xsd:double"&gt;15.6782842710407&lt;/D&gt;&lt;D xsi:type="xsd:double"&gt;16.0975580919081&lt;/D&gt;&lt;D xsi:type="xsd:double"&gt;16.1140664043186&lt;/D&gt;&lt;D xsi:type="xsd:double"&gt;16.2959785850899&lt;/D&gt;&lt;D xsi:type="xsd:double"&gt;16.0596069330318&lt;/D&gt;&lt;D xsi:type="xsd:double"&gt;15.9874685450655&lt;/D&gt;&lt;D xsi:type="xsd:double"&gt;15.8939023504967&lt;/D&gt;&lt;D xsi:type="xsd:double"&gt;15.8558988987342&lt;/D&gt;&lt;D xsi:type="xsd:double"&gt;16.2069115460991&lt;/D&gt;&lt;D xsi:type="xsd:double"&gt;15.9378221525605&lt;/D&gt;&lt;D xsi:type="xsd:double"&gt;16.065092497502&lt;/D&gt;&lt;D xsi:type="xsd:double"&gt;16.3000182368144&lt;/D&gt;&lt;D xsi:type="xsd:double"&gt;15.5175437484168&lt;/D&gt;&lt;D xsi:type="xsd:double"&gt;15.691995133409&lt;/D&gt;&lt;D xsi:type="xsd:double"&gt;15.7357082126623&lt;/D&gt;&lt;D xsi:type="xsd:double"&gt;15.8378122681843&lt;/D&gt;&lt;D xsi:type="xsd:double"&gt;15.9589231399567&lt;/D&gt;&lt;D xsi:type="xsd:double"&gt;15.688615610116&lt;/D&gt;&lt;D xsi:type="xsd:double"&gt;15.3546322799965&lt;/D&gt;&lt;D xsi:type="xsd:double"&gt;14.9123348124348&lt;/D&gt;&lt;D xsi:type="xsd:double"&gt;14.3047584671485&lt;/D&gt;&lt;D xsi:type="xsd:double"&gt;14.1917440632078&lt;/D&gt;&lt;D xsi:type="xsd:double"&gt;13.4424698509564&lt;/D&gt;&lt;D xsi:type="xsd:double"&gt;13.4031411426171&lt;/D&gt;&lt;D xsi:type="xsd:double"&gt;14.8547936676726&lt;/D&gt;&lt;D xsi:type="xsd:double"&gt;15.3325260907041&lt;/D&gt;&lt;D xsi:type="xsd:double"&gt;15.6722203848157&lt;/D&gt;&lt;D xsi:type="xsd:double"&gt;15.3786629098857&lt;/D&gt;&lt;D xsi:type="xsd:double"&gt;15.1739942918827&lt;/D&gt;&lt;D xsi:type="xsd:double"&gt;15.691393018889&lt;/D&gt;&lt;D xsi:type="xsd:double"&gt;15.0658977755566&lt;/D&gt;&lt;D xsi:type="xsd:double"&gt;16.2495048310335&lt;/D&gt;&lt;D xsi:type="xsd:double"&gt;16.1936526619442&lt;/D&gt;&lt;D xsi:type="xsd:double"&gt;16.7938144432127&lt;/D&gt;&lt;D xsi:type="xsd:double"&gt;17.0525839379843&lt;/D&gt;&lt;D xsi:type="xsd:double"&gt;17.3617062024702&lt;/D&gt;&lt;D xsi:type="xsd:double"&gt;18.2286010756931&lt;/D&gt;&lt;D xsi:type="xsd:double"&gt;12.4362673552714&lt;/D&gt;&lt;D xsi:type="xsd:double"&gt;16.3937241111353&lt;/D&gt;&lt;D xsi:type="xsd:double"&gt;17.0226616116547&lt;/D&gt;&lt;D xsi:type="xsd:double"&gt;19.6863674243035&lt;/D&gt;&lt;D xsi:type="xsd:double"&gt;20.1912886143877&lt;/D&gt;&lt;D xsi:type="xsd:double"&gt;20.0236566075275&lt;/D&gt;&lt;D xsi:type="xsd:double"&gt;19.4713580426131&lt;/D&gt;&lt;D xsi:type="xsd:double"&gt;19.9240631261243&lt;/D&gt;&lt;D xsi:type="xsd:double"&gt;20.6445033969618&lt;/D&gt;&lt;D xsi:type="xsd:double"&gt;20.6616662254063&lt;/D&gt;&lt;D xsi:type="xsd:double"&gt;21.2620504012239&lt;/D&gt;&lt;D xsi:type="xsd:double"&gt;22.5690066496178&lt;/D&gt;&lt;D xsi:type="xsd:double"&gt;21.7943106814571&lt;/D&gt;&lt;D xsi:type="xsd:double"&gt;22.8318428446414&lt;/D&gt;&lt;D xsi:type="xsd:double"&gt;21.0759633969031&lt;/D&gt;&lt;D xsi:type="xsd:double"&gt;21.6444537693328&lt;/D&gt;&lt;D xsi:type="xsd:double"&gt;21.0801286046273&lt;/D&gt;&lt;D xsi:type="xsd:double"&gt;21.5444403712093&lt;/D&gt;&lt;D xsi:type="xsd:double"&gt;21.5889952107946&lt;/D&gt;&lt;D xsi:type="xsd:double"&gt;20.86090939743&lt;/D&gt;&lt;D xsi:type="xsd:double"&gt;21.6648583273122&lt;/D&gt;&lt;D xsi:type="xsd:double"&gt;19.7594203094328&lt;/D&gt;&lt;D xsi:type="xsd:double"&gt;19.7897495125527&lt;/D&gt;&lt;D xsi:type="xsd:double"&gt;18.2873289003663&lt;/D&gt;&lt;D xsi:type="xsd:double"&gt;17.7638923372773&lt;/D&gt;&lt;D xsi:type="xsd:double"&gt;17.6621551515907&lt;/D&gt;&lt;D xsi:type="xsd:double"&gt;17.0694446239157&lt;/D&gt;&lt;D xsi:type="xsd:double"&gt;15.4267058557653&lt;/D&gt;&lt;D xsi:type="xsd:double"&gt;16.1955689888153&lt;/D&gt;&lt;D xsi:type="xsd:double"&gt;17.6764195262705&lt;/D&gt;&lt;D xsi:type="xsd:double"&gt;15.4635639706857&lt;/D&gt;&lt;D xsi:type="xsd:double"&gt;14.3353611986602&lt;/D&gt;&lt;D xsi:type="xsd:double"&gt;16.3397031800225&lt;/D&gt;&lt;D xsi:type="xsd:double"&gt;15.7371948245057&lt;/D&gt;&lt;D xsi:type="xsd:double"&gt;17.0223600744079&lt;/D&gt;&lt;D xsi:type="xsd:double"&gt;17.0390917970217&lt;/D&gt;&lt;D xsi:type="xsd:double"&gt;15.7458410321025&lt;/D&gt;&lt;D xsi:type="xsd:double"&gt;16.2188525171416&lt;/D&gt;&lt;D xsi:type="xsd:double"&gt;15.6758435744553&lt;/D&gt;&lt;D xsi:type="xsd:double"&gt;15.8433562183007&lt;/D&gt;&lt;D xsi:type="xsd:double"&gt;16.0790210694695&lt;/D&gt;&lt;D xsi:type="xsd:double"&gt;14.7167486431369&lt;/D&gt;&lt;D xsi:type="xsd:double"&gt;14.0528618100331&lt;/D&gt;&lt;D xsi:type="xsd:double"&gt;13.5023973850358&lt;/D&gt;&lt;D xsi:type="xsd:double"&gt;14.6755630986315&lt;/D&gt;&lt;D xsi:type="xsd:double"&gt;15.3102962951797&lt;/D&gt;&lt;D xsi:type="xsd:double"&gt;14.6111769451801&lt;/D&gt;&lt;D xsi:type="xsd:double"&gt;16.3679145741274&lt;/D&gt;&lt;D xsi:type="xsd:double"&gt;15.9000570265375&lt;/D&gt;&lt;D xsi:type="xsd:double"&gt;15.6218023009577&lt;/D&gt;&lt;D xsi:type="xsd:double"&gt;16.3473139763207&lt;/D&gt;&lt;/FQL&gt;&lt;FQL&gt;&lt;Q&gt;EWU^FG_PRICE_MAVG(0,,,,60)&lt;/Q&gt;&lt;R&gt;1&lt;/R&gt;&lt;C&gt;1&lt;/C&gt;&lt;D xsi:type="xsd:double"&gt;34.182835&lt;/D&gt;&lt;/FQL&gt;&lt;FQL&gt;&lt;Q&gt;ENZL^FG_PRICE_MAVG(0,,,,200)&lt;/Q&gt;&lt;R&gt;1&lt;/R&gt;&lt;C&gt;1&lt;/C&gt;&lt;D xsi:type="xsd:double"&gt;45.40844&lt;/D&gt;&lt;/FQL&gt;&lt;FQL&gt;&lt;Q&gt;VWO^PERCENT_CHANGE(FMA_EPS(+1,0,,,,"PORTAGG","MEAN"),FMA_EPS(+1,-3AM,,,,"PORTAGG","MEAN"))&lt;/Q&gt;&lt;R&gt;1&lt;/R&gt;&lt;C&gt;1&lt;/C&gt;&lt;D xsi:type="xsd:double"&gt;-4.18848910287059&lt;/D&gt;&lt;/FQL&gt;&lt;FQL&gt;&lt;Q&gt;EWD^FG_TOTAL_RETURNC(0,-3AM)&lt;/Q&gt;&lt;R&gt;1&lt;/R&gt;&lt;C&gt;1&lt;/C&gt;&lt;D xsi:type="xsd:double"&gt;7.1968794&lt;/D&gt;&lt;/FQL&gt;&lt;FQL&gt;&lt;Q&gt;EWL^FG_TOTAL_RETURNC(0,-12AM)&lt;/Q&gt;&lt;R&gt;1&lt;/R&gt;&lt;C&gt;1&lt;/C&gt;&lt;D xsi:type="xsd:double"&gt;4.485297&lt;/D&gt;&lt;/FQL&gt;&lt;FQL&gt;&lt;Q&gt;EWG^FG_TOTAL_RETURNC(0,-1AM)&lt;/Q&gt;&lt;R&gt;1&lt;/R&gt;&lt;C&gt;1&lt;/C&gt;&lt;D xsi:type="xsd:double"&gt;7.5290203&lt;/D&gt;&lt;/FQL&gt;&lt;FQL&gt;&lt;Q&gt;ENZL^FG_TOTAL_RETURNC(0,-3AM)&lt;/Q&gt;&lt;R&gt;1&lt;/R&gt;&lt;C&gt;1&lt;/C&gt;&lt;D xsi:type="xsd:double"&gt;0.56979656&lt;/D&gt;&lt;/FQL&gt;&lt;FQL&gt;&lt;Q&gt;EWI^FMA_COS_DOWN("EPS","1M",+1,0,,,"PORTAGG","MEANR")&lt;/Q&gt;&lt;R&gt;1&lt;/R&gt;&lt;C&gt;1&lt;/C&gt;&lt;D xsi:type="xsd:double"&gt;5&lt;/D&gt;&lt;/FQL&gt;&lt;FQL&gt;&lt;Q&gt;REFGBBANK-FDS^(SUBARRAY(NOT_NA(NO_REPEAT_F(FG_YIELD(NOW,-10AY,D))),0,1)-SUBARRAY(NOT_NA(NO_REPEAT_F(FG_YIELD(NOW,-10AY,D))),1,1))*100&lt;/Q&gt;&lt;R&gt;1&lt;/R&gt;&lt;C&gt;1&lt;/C&gt;&lt;D xsi:type="xsd:double"&gt;25&lt;/D&gt;&lt;/FQL&gt;&lt;FQL&gt;&lt;Q&gt;TRYIT10Y-FDS^PCTCHG(FG_YIELD(0,,,,"YTM"),FG_YIELD(-1AM,,,,"YTM"))&lt;/Q&gt;&lt;R&gt;1&lt;/R&gt;&lt;C&gt;1&lt;/C&gt;&lt;D xsi:type="xsd:double"&gt;-2.0897794&lt;/D&gt;&lt;/FQL&gt;&lt;FQL&gt;&lt;Q&gt;VWO^FG_PE(0)&lt;/Q&gt;&lt;R&gt;1&lt;/R&gt;&lt;C&gt;1&lt;/C&gt;&lt;D xsi:type="xsd:double"&gt;14.39065830733&lt;/D&gt;&lt;/FQL&gt;&lt;FQL&gt;&lt;Q&gt;TRYAU10Y-FDS^FG_YIELD(-10AY,0,Y,,"YTM")&lt;/Q&gt;&lt;R&gt;10&lt;/R&gt;&lt;C&gt;1&lt;/C&gt;&lt;D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xsi:type="xsd:double"&gt;3.955&lt;/D&gt;&lt;/FQL&gt;&lt;FQL&gt;&lt;Q&gt;USDCAD^FG_PRICE_CHANGE(0,-6AM)&lt;/Q&gt;&lt;R&gt;1&lt;/R&gt;&lt;C&gt;1&lt;/C&gt;&lt;D xsi:type="xsd:double"&gt;-0.9140551&lt;/D&gt;&lt;/FQL&gt;&lt;FQL&gt;&lt;Q&gt;QQQ^FG_TOTAL_RETURNC(-10AY,0,AM)&lt;/Q&gt;&lt;R&gt;121&lt;/R&gt;&lt;C&gt;1&lt;/C&gt;&lt;D xsi:type="xsd:double"&gt;1.7517447&lt;/D&gt;&lt;D xsi:type="xsd:double"&gt;5.4041743&lt;/D&gt;&lt;D xsi:type="xsd:double"&gt;2.6209593&lt;/D&gt;&lt;D xsi:type="xsd:double"&gt;2.9391527&lt;/D&gt;&lt;D xsi:type="xsd:double"&gt;2.1868587&lt;/D&gt;&lt;D xsi:type="xsd:double"&gt;-6.3385963&lt;/D&gt;&lt;D xsi:type="xsd:double"&gt;10.655916&lt;/D&gt;&lt;D xsi:type="xsd:double"&gt;-1.0786116&lt;/D&gt;&lt;D xsi:type="xsd:double"&gt;-0.5954504&lt;/D&gt;&lt;D xsi:type="xsd:double"&gt;6.13966&lt;/D&gt;&lt;D xsi:type="xsd:double"&gt;-0.13082623&lt;/D&gt;&lt;D xsi:type="xsd:double"&gt;-0.5779922&lt;/D&gt;&lt;D xsi:type="xsd:double"&gt;3.3676028&lt;/D&gt;&lt;D xsi:type="xsd:double"&gt;-0.4380405&lt;/D&gt;&lt;D xsi:type="xsd:double"&gt;4.356289&lt;/D&gt;&lt;D xsi:type="xsd:double"&gt;-1.901573&lt;/D&gt;&lt;D xsi:type="xsd:double"&gt;-3.8589299&lt;/D&gt;&lt;D xsi:type="xsd:double"&gt;1.1732101&lt;/D&gt;&lt;D xsi:type="xsd:double"&gt;3.1169057&lt;/D&gt;&lt;D xsi:type="xsd:double"&gt;0.744462&lt;/D&gt;&lt;D xsi:type="xsd:double"&gt;-9.940964&lt;/D&gt;&lt;D xsi:type="xsd:double"&gt;1.646173&lt;/D&gt;&lt;D xsi:type="xsd:double"&gt;4.8975587&lt;/D&gt;&lt;D xsi:type="xsd:double"&gt;3.2063603&lt;/D&gt;&lt;D xsi:type="xsd:double"&gt;-4.6637716&lt;/D&gt;&lt;D xsi:type="xsd:double"&gt;1.2292862&lt;/D&gt;&lt;D xsi:type="xsd:double"&gt;4.9863935&lt;/D&gt;&lt;D xsi:type="xsd:double"&gt;4.8837185&lt;/D&gt;&lt;D xsi:type="xsd:double"&gt;0.276196&lt;/D&gt;&lt;D xsi:type="xsd:double"&gt;-0.40071607&lt;/D&gt;&lt;D xsi:type="xsd:double"&gt;0.8046627&lt;/D&gt;&lt;D xsi:type="xsd:double"&gt;1.8639088&lt;/D&gt;&lt;D xsi:type="xsd:double"&gt;2.6672244&lt;/D&gt;&lt;D xsi:type="xsd:double"&gt;5.717075&lt;/D&gt;&lt;D xsi:type="xsd:double"&gt;1.6594648&lt;/D&gt;&lt;D xsi:type="xsd:double"&gt;-0.15947223&lt;/D&gt;&lt;D xsi:type="xsd:double"&gt;3.4910321&lt;/D&gt;&lt;D xsi:type="xsd:double"&gt;1.8067241&lt;/D&gt;&lt;D xsi:type="xsd:double"&gt;2.9243588&lt;/D&gt;&lt;D xsi:type="xsd:double"&gt;-0.6048262&lt;/D&gt;&lt;D xsi:type="xsd:double"&gt;3.346777&lt;/D&gt;&lt;D xsi:type="xsd:double"&gt;2.2641659&lt;/D&gt;&lt;D xsi:type="xsd:double"&gt;3.2944202&lt;/D&gt;&lt;D xsi:type="xsd:double"&gt;2.4033785&lt;/D&gt;&lt;D xsi:type="xsd:double"&gt;5.3817034&lt;/D&gt;&lt;D xsi:type="xsd:double"&gt;-0.5006254&lt;/D&gt;&lt;D xsi:type="xsd:double"&gt;3.673613&lt;/D&gt;&lt;D xsi:type="xsd:double"&gt;-2.7161121&lt;/D&gt;&lt;D xsi:type="xsd:double"&gt;1.3425589&lt;/D&gt;&lt;D xsi:type="xsd:double"&gt;5.138707&lt;/D&gt;&lt;D xsi:type="xsd:double"&gt;2.0773292&lt;/D&gt;&lt;D xsi:type="xsd:double"&gt;-0.2274394&lt;/D&gt;&lt;D xsi:type="xsd:double"&gt;0.82285404&lt;/D&gt;&lt;D xsi:type="xsd:double"&gt;-2.058059&lt;/D&gt;&lt;D xsi:type="xsd:double"&gt;-5.5220246&lt;/D&gt;&lt;D xsi:type="xsd:double"&gt;-6.011945&lt;/D&gt;&lt;D xsi:type="xsd:double"&gt;4.242921&lt;/D&gt;&lt;D xsi:type="xsd:double"&gt;5.0785303&lt;/D&gt;&lt;D xsi:type="xsd:double"&gt;3.728044&lt;/D&gt;&lt;D xsi:type="xsd:double"&gt;5.1247597&lt;/D&gt;&lt;D xsi:type="xsd:double"&gt;-2.1960974&lt;/D&gt;&lt;D xsi:type="xsd:double"&gt;0.38243532&lt;/D&gt;&lt;D xsi:type="xsd:double"&gt;4.8353553&lt;/D&gt;&lt;D xsi:type="xsd:double"&gt;-3.4963608&lt;/D&gt;&lt;D xsi:type="xsd:double"&gt;3.838694&lt;/D&gt;&lt;D xsi:type="xsd:double"&gt;0.69589615&lt;/D&gt;&lt;D xsi:type="xsd:double"&gt;4.8359632&lt;/D&gt;&lt;D xsi:type="xsd:double"&gt;3.1935334&lt;/D&gt;&lt;D xsi:type="xsd:double"&gt;6.911814&lt;/D&gt;&lt;D xsi:type="xsd:double"&gt;5.040741&lt;/D&gt;&lt;D xsi:type="xsd:double"&gt;-22.374702&lt;/D&gt;&lt;D xsi:type="xsd:double"&gt;18.451786&lt;/D&gt;&lt;D xsi:type="xsd:double"&gt;3.706634&lt;/D&gt;&lt;D xsi:type="xsd:double"&gt;9.114515&lt;/D&gt;&lt;D xsi:type="xsd:double"&gt;6.6686153&lt;/D&gt;&lt;D xsi:type="xsd:double"&gt;6.1290503&lt;/D&gt;&lt;D xsi:type="xsd:double"&gt;-1.8160701&lt;/D&gt;&lt;D xsi:type="xsd:double"&gt;6.883955&lt;/D&gt;&lt;D xsi:type="xsd:double"&gt;1.3032436&lt;/D&gt;&lt;D xsi:type="xsd:double"&gt;6.408465&lt;/D&gt;&lt;D xsi:type="xsd:double"&gt;0.45872927&lt;/D&gt;&lt;D xsi:type="xsd:double"&gt;7.076895&lt;/D&gt;&lt;D xsi:type="xsd:double"&gt;-3.6025524&lt;/D&gt;&lt;D xsi:type="xsd:double"&gt;6.378901&lt;/D&gt;&lt;D xsi:type="xsd:double"&gt;-5.1460505&lt;/D&gt;&lt;D xsi:type="xsd:double"&gt;6.451714&lt;/D&gt;&lt;D xsi:type="xsd:double"&gt;3.6694407&lt;/D&gt;&lt;D xsi:type="xsd:double"&gt;2.273488&lt;/D&gt;&lt;D xsi:type="xsd:double"&gt;2.2147417&lt;/D&gt;&lt;D xsi:type="xsd:double"&gt;-1.1963665&lt;/D&gt;&lt;D xsi:type="xsd:double"&gt;7.776332&lt;/D&gt;&lt;D xsi:type="xsd:double"&gt;-3.1989515&lt;/D&gt;&lt;D xsi:type="xsd:double"&gt;-1.1455834&lt;/D&gt;&lt;D xsi:type="xsd:double"&gt;-9.094495&lt;/D&gt;&lt;D xsi:type="xsd:double"&gt;-0.2923727&lt;/D&gt;&lt;D xsi:type="xsd:double"&gt;-1.6231477&lt;/D&gt;&lt;D xsi:type="xsd:double"&gt;-9.532243&lt;/D&gt;&lt;D xsi:type="xsd:double"&gt;-10.281873&lt;/D&gt;&lt;D xsi:type="xsd:double"&gt;6.453681&lt;/D&gt;&lt;D xsi:type="xsd:double"&gt;12.546682&lt;/D&gt;&lt;D xsi:type="xsd:double"&gt;-11.924255&lt;/D&gt;&lt;D xsi:type="xsd:double"&gt;-6.736529&lt;/D&gt;&lt;D xsi:type="xsd:double"&gt;5.7397366&lt;/D&gt;&lt;D xsi:type="xsd:double"&gt;-3.7077367&lt;/D&gt;&lt;D xsi:type="xsd:double"&gt;2.907586&lt;/D&gt;&lt;D xsi:type="xsd:double"&gt;6.968808&lt;/D&gt;&lt;D xsi:type="xsd:double"&gt;1.3946056&lt;/D&gt;&lt;D xsi:type="xsd:double"&gt;4.57561&lt;/D&gt;&lt;D xsi:type="xsd:double"&gt;3.8514614&lt;/D&gt;&lt;D xsi:type="xsd:double"&gt;11.116815&lt;/D&gt;&lt;D xsi:type="xsd:double"&gt;4.132724&lt;/D&gt;&lt;D xsi:type="xsd:double"&gt;-6.280547&lt;/D&gt;&lt;D xsi:type="xsd:double"&gt;3.4106731&lt;/D&gt;&lt;D xsi:type="xsd:double"&gt;-0.56039095&lt;/D&gt;&lt;D xsi:type="xsd:double"&gt;4.84519&lt;/D&gt;&lt;D xsi:type="xsd:double"&gt;4.9994826&lt;/D&gt;&lt;D xsi:type="xsd:double"&gt;0.71361065&lt;/D&gt;&lt;D xsi:type="xsd:double"&gt;5.7366014&lt;/D&gt;&lt;D xsi:type="xsd:double"&gt;0.77804327&lt;/D&gt;&lt;D xsi:type="xsd:double"&gt;-1.733464&lt;/D&gt;&lt;D xsi:type="xsd:double"&gt;6.0867906&lt;/D&gt;&lt;/FQL&gt;&lt;FQL&gt;&lt;Q&gt;DDR3512M-FDS^FG_PRICE_CHANGE(0,-6AM)&lt;/Q&gt;&lt;R&gt;1&lt;/R&gt;&lt;C&gt;1&lt;/C&gt;&lt;D xsi:type="xsd:double"&gt;-6.8781177028952&lt;/D&gt;&lt;/FQL&gt;&lt;FQL&gt;&lt;Q&gt;NI-FDS^FG_PRICE_CHANGE(0,-1AM)&lt;/Q&gt;&lt;R&gt;1&lt;/R&gt;&lt;C&gt;1&lt;/C&gt;&lt;D xsi:type="xsd:double"&gt;16.0324566312255&lt;/D&gt;&lt;/FQL&gt;&lt;FQL&gt;&lt;Q&gt;SPY^FG_TOTAL_RETURNC(0,-12AM)&lt;/Q&gt;&lt;R&gt;1&lt;/R&gt;&lt;C&gt;1&lt;/C&gt;&lt;D xsi:type="xsd:double"&gt;29.365086&lt;/D&gt;&lt;/FQL&gt;&lt;FQL&gt;&lt;Q&gt;USDJPY^FG_PRICE_CHANGE(0,-1AY)&lt;/Q&gt;&lt;R&gt;1&lt;/R&gt;&lt;C&gt;1&lt;/C&gt;&lt;D xsi:type="xsd:double"&gt;13.094414&lt;/D&gt;&lt;/FQL&gt;&lt;FQL&gt;&lt;Q&gt;SPY^FMA_DIV_YLD(NTMA,-10AY,0,AM,"PORTAGG","MEANR")&lt;/Q&gt;&lt;R&gt;121&lt;/R&gt;&lt;C&gt;1&lt;/C&gt;&lt;D xsi:type="xsd:double"&gt;2.16876791286314&lt;/D&gt;&lt;D xsi:type="xsd:double"&gt;2.11211723243811&lt;/D&gt;&lt;D xsi:type="xsd:double"&gt;2.11214086873996&lt;/D&gt;&lt;D xsi:type="xsd:double"&gt;2.13136459463603&lt;/D&gt;&lt;D xsi:type="xsd:double"&gt;2.09838587608009&lt;/D&gt;&lt;D xsi:type="xsd:double"&gt;2.23666301759582&lt;/D&gt;&lt;D xsi:type="xsd:double"&gt;2.08961862768217&lt;/D&gt;&lt;D xsi:type="xsd:double"&gt;2.142601879424&lt;/D&gt;&lt;D xsi:type="xsd:double"&gt;2.15191508541109&lt;/D&gt;&lt;D xsi:type="xsd:double"&gt;2.104536082835&lt;/D&gt;&lt;D xsi:type="xsd:double"&gt;2.18209103888304&lt;/D&gt;&lt;D xsi:type="xsd:double"&gt;2.17146331957043&lt;/D&gt;&lt;D xsi:type="xsd:double"&gt;2.14130476720364&lt;/D&gt;&lt;D xsi:type="xsd:double"&gt;2.17094679831331&lt;/D&gt;&lt;D xsi:type="xsd:double"&gt;2.14742936463874&lt;/D&gt;&lt;D xsi:type="xsd:double"&gt;2.20024142224174&lt;/D&gt;&lt;D xsi:type="xsd:double"&gt;2.33624275749565&lt;/D&gt;&lt;D xsi:type="xsd:double"&gt;2.29143583581959&lt;/D&gt;&lt;D xsi:type="xsd:double"&gt;2.30583810997221&lt;/D&gt;&lt;D xsi:type="xsd:double"&gt;2.31266401587863&lt;/D&gt;&lt;D xsi:type="xsd:double"&gt;2.52577322652888&lt;/D&gt;&lt;D xsi:type="xsd:double"&gt;2.45182025901469&lt;/D&gt;&lt;D xsi:type="xsd:double"&gt;2.47519773454617&lt;/D&gt;&lt;D xsi:type="xsd:double"&gt;2.29179874134034&lt;/D&gt;&lt;D xsi:type="xsd:double"&gt;2.29270141173246&lt;/D&gt;&lt;D xsi:type="xsd:double"&gt;2.30651609115288&lt;/D&gt;&lt;D xsi:type="xsd:double"&gt;2.21862376707666&lt;/D&gt;&lt;D xsi:type="xsd:double"&gt;2.20572176652498&lt;/D&gt;&lt;D xsi:type="xsd:double"&gt;2.25397209924511&lt;/D&gt;&lt;D xsi:type="xsd:double"&gt;2.26798416878474&lt;/D&gt;&lt;D xsi:type="xsd:double"&gt;2.22274358469171&lt;/D&gt;&lt;D xsi:type="xsd:double"&gt;2.16622740508032&lt;/D&gt;&lt;D xsi:type="xsd:double"&gt;2.17095338845889&lt;/D&gt;&lt;D xsi:type="xsd:double"&gt;2.11331848463476&lt;/D&gt;&lt;D xsi:type="xsd:double"&gt;2.09887528084817&lt;/D&gt;&lt;D xsi:type="xsd:double"&gt;2.13455315330618&lt;/D&gt;&lt;D xsi:type="xsd:double"&gt;2.14244462076144&lt;/D&gt;&lt;D xsi:type="xsd:double"&gt;2.08657704583377&lt;/D&gt;&lt;D xsi:type="xsd:double"&gt;2.08936558450349&lt;/D&gt;&lt;D xsi:type="xsd:double"&gt;2.12738884375202&lt;/D&gt;&lt;D xsi:type="xsd:double"&gt;2.07624463005682&lt;/D&gt;&lt;D xsi:type="xsd:double"&gt;2.03605310921774&lt;/D&gt;&lt;D xsi:type="xsd:double"&gt;2.01951765321519&lt;/D</t>
        </r>
      </text>
    </comment>
    <comment ref="A10" authorId="0" shapeId="0" xr:uid="{2F7F135D-F437-4EF0-8F9F-9191D0DFDCF7}">
      <text>
        <r>
          <rPr>
            <b/>
            <sz val="9"/>
            <color indexed="81"/>
            <rFont val="Tahoma"/>
            <charset val="1"/>
          </rPr>
          <t>&gt;&lt;D xsi:type="xsd:double"&gt;1.95603580738629&lt;/D&gt;&lt;D xsi:type="xsd:double"&gt;1.88278325583447&lt;/D&gt;&lt;D xsi:type="xsd:double"&gt;1.96390334886112&lt;/D&gt;&lt;D xsi:type="xsd:double"&gt;1.96977148500469&lt;/D&gt;&lt;D xsi:type="xsd:double"&gt;2.0191336343392&lt;/D&gt;&lt;D xsi:type="xsd:double"&gt;2.02963063074249&lt;/D&gt;&lt;D xsi:type="xsd:double"&gt;1.99631000648542&lt;/D&gt;&lt;D xsi:type="xsd:double"&gt;2.00100125367302&lt;/D&gt;&lt;D xsi:type="xsd:double"&gt;1.98834390657188&lt;/D&gt;&lt;D xsi:type="xsd:double"&gt;1.9696603480496&lt;/D&gt;&lt;D xsi:type="xsd:double"&gt;2.03827955381116&lt;/D&gt;&lt;D xsi:type="xsd:double"&gt;2.09826917852094&lt;/D&gt;&lt;D xsi:type="xsd:double"&gt;2.27384329085059&lt;/D&gt;&lt;D xsi:type="xsd:double"&gt;2.20955197588808&lt;/D&gt;&lt;D xsi:type="xsd:double"&gt;2.10816995418462&lt;/D&gt;&lt;D xsi:type="xsd:double"&gt;2.08796241289004&lt;/D&gt;&lt;D xsi:type="xsd:double"&gt;2.05088364630928&lt;/D&gt;&lt;D xsi:type="xsd:double"&gt;2.09084825743899&lt;/D&gt;&lt;D xsi:type="xsd:double"&gt;2.0823917066129&lt;/D&gt;&lt;D xsi:type="xsd:double"&gt;2.02603877120736&lt;/D&gt;&lt;D xsi:type="xsd:double"&gt;2.10223589074752&lt;/D&gt;&lt;D xsi:type="xsd:double"&gt;2.03206147635345&lt;/D&gt;&lt;D xsi:type="xsd:double"&gt;2.04612637841639&lt;/D&gt;&lt;D xsi:type="xsd:double"&gt;1.98048412643462&lt;/D&gt;&lt;D xsi:type="xsd:double"&gt;1.95421722669715&lt;/D&gt;&lt;D xsi:type="xsd:double"&gt;1.88474252253525&lt;/D&gt;&lt;D xsi:type="xsd:double"&gt;1.86880880375892&lt;/D&gt;&lt;D xsi:type="xsd:double"&gt;2.50273995654745&lt;/D&gt;&lt;D xsi:type="xsd:double"&gt;2.14012061352184&lt;/D&gt;&lt;D xsi:type="xsd:double"&gt;2.11694031392647&lt;/D&gt;&lt;D xsi:type="xsd:double"&gt;1.93495124874811&lt;/D&gt;&lt;D xsi:type="xsd:double"&gt;1.84429243146746&lt;/D&gt;&lt;D xsi:type="xsd:double"&gt;1.76164992070016&lt;/D&gt;&lt;D xsi:type="xsd:double"&gt;1.77900571093823&lt;/D&gt;&lt;D xsi:type="xsd:double"&gt;1.71781403298747&lt;/D&gt;&lt;D xsi:type="xsd:double"&gt;1.65775307076658&lt;/D&gt;&lt;D xsi:type="xsd:double"&gt;1.61590923554761&lt;/D&gt;&lt;D xsi:type="xsd:double"&gt;1.57750184465775&lt;/D&gt;&lt;D xsi:type="xsd:double"&gt;1.52711000125142&lt;/D&gt;&lt;D xsi:type="xsd:double"&gt;1.52114149431172&lt;/D&gt;&lt;D xsi:type="xsd:double"&gt;1.4540453797793&lt;/D&gt;&lt;D xsi:type="xsd:double"&gt;1.46876044929784&lt;/D&gt;&lt;D xsi:type="xsd:double"&gt;1.46203026564466&lt;/D&gt;&lt;D xsi:type="xsd:double"&gt;1.44720079783146&lt;/D&gt;&lt;D xsi:type="xsd:double"&gt;1.41803914544335&lt;/D&gt;&lt;D xsi:type="xsd:double"&gt;1.43173901762723&lt;/D&gt;&lt;D xsi:type="xsd:double"&gt;1.42808819316149&lt;/D&gt;&lt;D xsi:type="xsd:double"&gt;1.36942062343558&lt;/D&gt;&lt;D xsi:type="xsd:double"&gt;1.39732266311598&lt;/D&gt;&lt;D xsi:type="xsd:double"&gt;1.38895755050417&lt;/D&gt;&lt;D xsi:type="xsd:double"&gt;1.50164440848221&lt;/D&gt;&lt;D xsi:type="xsd:double"&gt;1.49479590774159&lt;/D&gt;&lt;D xsi:type="xsd:double"&gt;1.5008506802326&lt;/D&gt;&lt;D xsi:type="xsd:double"&gt;1.6232519373139&lt;/D&gt;&lt;D xsi:type="xsd:double"&gt;1.81982012931444&lt;/D&gt;&lt;D xsi:type="xsd:double"&gt;1.74236654775506&lt;/D&gt;&lt;D xsi:type="xsd:double"&gt;1.59098927790707&lt;/D&gt;&lt;D xsi:type="xsd:double"&gt;1.76800327044546&lt;/D&gt;&lt;D xsi:type="xsd:double"&gt;1.86880117593391&lt;/D&gt;&lt;D xsi:type="xsd:double"&gt;1.75567166727358&lt;/D&gt;&lt;D xsi:type="xsd:double"&gt;1.80075888719772&lt;/D&gt;&lt;D xsi:type="xsd:double"&gt;1.74462376518179&lt;/D&gt;&lt;D xsi:type="xsd:double"&gt;1.71910330452271&lt;/D&gt;&lt;D xsi:type="xsd:double"&gt;1.79417115463615&lt;/D&gt;&lt;D xsi:type="xsd:double"&gt;1.70234603800699&lt;/D&gt;&lt;D xsi:type="xsd:double"&gt;1.69677430585852&lt;/D&gt;&lt;D xsi:type="xsd:double"&gt;1.6115774763234&lt;/D&gt;&lt;D xsi:type="xsd:double"&gt;1.57470984225742&lt;/D&gt;&lt;D xsi:type="xsd:double"&gt;1.6421379188715&lt;/D&gt;&lt;D xsi:type="xsd:double"&gt;1.6191735487945&lt;/D&gt;&lt;D xsi:type="xsd:double"&gt;1.66199359484277&lt;/D&gt;&lt;D xsi:type="xsd:double"&gt;1.61436840193809&lt;/D&gt;&lt;D xsi:type="xsd:double"&gt;1.56169628293303&lt;/D&gt;&lt;D xsi:type="xsd:double"&gt;1.55728196819633&lt;/D&gt;&lt;D xsi:type="xsd:double"&gt;1.49615544129767&lt;/D&gt;&lt;D xsi:type="xsd:double"&gt;1.47019473228904&lt;/D&gt;&lt;D xsi:type="xsd:double"&gt;1.50255111370406&lt;/D&gt;&lt;D xsi:type="xsd:double"&gt;1.44269359141051&lt;/D&gt;&lt;/FQL&gt;&lt;FQL&gt;&lt;Q&gt;EWA^FMA_PE(LTMA,-10AY,0,AM,"PORTAGG","MEANR")&lt;/Q&gt;&lt;R&gt;121&lt;/R&gt;&lt;C&gt;1&lt;/C&gt;&lt;D xsi:type="xsd:double"&gt;15.2273361141073&lt;/D&gt;&lt;D xsi:type="xsd:double"&gt;15.0982652380645&lt;/D&gt;&lt;D xsi:type="xsd:double"&gt;15.3450707206443&lt;/D&gt;&lt;D xsi:type="xsd:double"&gt;15.3712255328928&lt;/D&gt;&lt;D xsi:type="xsd:double"&gt;14.9988098877562&lt;/D&gt;&lt;D xsi:type="xsd:double"&gt;14.770733588586&lt;/D&gt;&lt;D xsi:type="xsd:double"&gt;14.9879592084817&lt;/D&gt;&lt;D xsi:type="xsd:double"&gt;13.9774345735545&lt;/D&gt;&lt;D xsi:type="xsd:double"&gt;14.4967175436913&lt;/D&gt;&lt;D xsi:type="xsd:double"&gt;15.955139324417&lt;/D&gt;&lt;D xsi:type="xsd:double"&gt;16.1846624762491&lt;/D&gt;&lt;D xsi:type="xsd:double"&gt;16.3460728609376&lt;/D&gt;&lt;D xsi:type="xsd:double"&gt;16.3076344332637&lt;/D&gt;&lt;D xsi:type="xsd:double"&gt;16.0513866538864&lt;/D&gt;&lt;D xsi:type="xsd:double"&gt;16.1138307346702&lt;/D&gt;&lt;D xsi:type="xsd:double"&gt;15.7735836927051&lt;/D&gt;&lt;D xsi:type="xsd:double"&gt;15.4153366482868&lt;/D&gt;&lt;D xsi:type="xsd:double"&gt;15.673842823259&lt;/D&gt;&lt;D xsi:type="xsd:double"&gt;15.2659876484591&lt;/D&gt;&lt;D xsi:type="xsd:double"&gt;15.3469990543685&lt;/D&gt;&lt;D xsi:type="xsd:double"&gt;14.6889113285286&lt;/D&gt;&lt;D xsi:type="xsd:double"&gt;14.9553300208525&lt;/D&gt;&lt;D xsi:type="xsd:double"&gt;15.183454918889&lt;/D&gt;&lt;D xsi:type="xsd:double"&gt;15.2776322262357&lt;/D&gt;&lt;D xsi:type="xsd:double"&gt;15.737806969957&lt;/D&gt;&lt;D xsi:type="xsd:double"&gt;15.5692454246995&lt;/D&gt;&lt;D xsi:type="xsd:double"&gt;16.1015151874223&lt;/D&gt;&lt;D xsi:type="xsd:double"&gt;16.6652431572865&lt;/D&gt;&lt;D xsi:type="xsd:double"&gt;16.2787634815342&lt;/D&gt;&lt;D xsi:type="xsd:double"&gt;16.6929613024722&lt;/D&gt;&lt;D xsi:type="xsd:double"&gt;16.9288694068373&lt;/D&gt;&lt;D xsi:type="xsd:double"&gt;17.2656872029063&lt;/D&gt;&lt;D xsi:type="xsd:double"&gt;17.8138327256553&lt;/D&gt;&lt;D xsi:type="xsd:double"&gt;17.9848459005171&lt;/D&gt;&lt;D xsi:type="xsd:double"&gt;17.4331567442892&lt;/D&gt;&lt;D xsi:type="xsd:double"&gt;17.3276709311797&lt;/D&gt;&lt;D xsi:type="xsd:double"&gt;17.0544152014309&lt;/D&gt;&lt;D xsi:type="xsd:double"&gt;16.881450139886&lt;/D&gt;&lt;D xsi:type="xsd:double"&gt;16.8261294688803&lt;/D&gt;&lt;D xsi:type="xsd:double"&gt;16.8069844571299&lt;/D&gt;&lt;D xsi:type="xsd:double"&gt;16.4972615287132&lt;/D&gt;&lt;D xsi:type="xsd:double"&gt;16.6905370069238&lt;/D&gt;&lt;D xsi:type="xsd:double"&gt;16.6239095729351&lt;/D&gt;&lt;D xsi:type="xsd:double"&gt;16.614390611766&lt;/D&gt;&lt;D xsi:type="xsd:double"&gt;16.6400679723534&lt;/D&gt;&lt;D xsi:type="xsd:double"&gt;16.348062710048&lt;/D&gt;&lt;D xsi:type="xsd:double"&gt;16.4564602181154&lt;/D&gt;&lt;D xsi:type="xsd:double"&gt;16.2743790824568&lt;/D&gt;&lt;D xsi:type="xsd:double"&gt;16.339100869208&lt;/D&gt;&lt;D xsi:type="xsd:double"&gt;16.1526942397189&lt;/D&gt;&lt;D xsi:type="xsd:double"&gt;16.2168796784495&lt;/D&gt;&lt;D xsi:type="xsd:double"&gt;16.4391420629147&lt;/D&gt;&lt;D xsi:type="xsd:double"&gt;16.0233318794338&lt;/D&gt;&lt;D xsi:type="xsd:double"&gt;15.5181508830192&lt;/D&gt;&lt;D xsi:type="xsd:double"&gt;15.0557026032624&lt;/D&gt;&lt;D xsi:type="xsd:double"&gt;14.71609898342&lt;/D&gt;&lt;D xsi:type="xsd:double"&gt;15.171032756432&lt;/D&gt;&lt;D xsi:type="xsd:double"&gt;15.6489885190806&lt;/D&gt;&lt;D xsi:type="xsd:double"&gt;15.8646953066049&lt;/D&gt;&lt;D xsi:type="xsd:double"&gt;15.8564441021006&lt;/D&gt;&lt;D xsi:type="xsd:double"&gt;15.8752874777956&lt;/D&gt;&lt;D xsi:type="xsd:double"&gt;16.0711034020743&lt;/D&gt;&lt;D xsi:type="xsd:double"&gt;16.3004274781149&lt;/D&gt;&lt;D xsi:type="xsd:double"&gt;16.0557846265606&lt;/D&gt;&lt;D xsi:type="xsd:double"&gt;16.7871910733341&lt;/D&gt;&lt;D xsi:type="xsd:double"&gt;17.0790843639433&lt;/D&gt;&lt;D xsi:type="xsd:double"&gt;17.5972383718938&lt;/D&gt;&lt;D xsi:type="xsd:double"&gt;17.99895347762&lt;/D&gt;&lt;D xsi:type="xsd:double"&gt;18.6674392411147&lt;/D&gt;&lt;D xsi:type="xsd:double"&gt;18.8899791188243&lt;/D&gt;&lt;D xsi:type="xsd:double"&gt;16.3484983758212&lt;/D&gt;&lt;D xsi:type="xsd:double"&gt;17.0030600708912&lt;/D&gt;&lt;D xsi:type="xsd:double"&gt;17.3859288224522&lt;/D&gt;&lt;D xsi:type="xsd:double"&gt;18.5538036486075&lt;/D&gt;&lt;D xsi:type="xsd:double"&gt;18.8459457604042&lt;/D&gt;&lt;D xsi:type="xsd:double"&gt;19.5132500766288&lt;/D&gt;&lt;D xsi:type="xsd:double"&gt;19.3170916040055&lt;/D&gt;&lt;D xsi:type="xsd:double"&gt;19.8796482913867&lt;/D&gt;&lt;D xsi:type="xsd:double"&gt;21.5844616418633&lt;/D&gt;&lt;D xsi:type="xsd:double"&gt;23.0635788955997&lt;/D&gt;&lt;D xsi:type="xsd:double"&gt;23.2571726967689&lt;/D&gt;&lt;D xsi:type="xsd:double"&gt;22.9018334089187&lt;/D&gt;&lt;D xsi:type="xsd:double"&gt;21.6031196310603&lt;/D&gt;&lt;D xsi:type="xsd:double"&gt;21.272406053702&lt;/D&gt;&lt;D xsi:type="xsd:double"&gt;20.7208084035851&lt;/D&gt;&lt;D xsi:type="xsd:double"&gt;20.544362751613&lt;/D&gt;&lt;D xsi:type="xsd:double"&gt;19.4227864908401&lt;/D&gt;&lt;D xsi:type="xsd:double"&gt;19.1787452982516&lt;/D&gt;&lt;D xsi:type="xsd:double"&gt;18.7168136681148&lt;/D&gt;&lt;D xsi:type="xsd:double"&gt;18.71975167953&lt;/D&gt;&lt;D xsi:type="xsd:double"&gt;18.0727272466172&lt;/D&gt;&lt;D xsi:type="xsd:double"&gt;17.5953739913474&lt;/D&gt;&lt;D xsi:type="xsd:double"&gt;17.6988894954391&lt;/D&gt;&lt;D xsi:type="xsd:double"&gt;16.3041710533683&lt;/D&gt;&lt;D xsi:type="xsd:double"&gt;15.7347916456554&lt;/D&gt;&lt;D xsi:type="xsd:double"&gt;15.6625557741543&lt;/D&gt;&lt;D xsi:type="xsd:double"&gt;15.0917002706388&lt;/D&gt;&lt;D xsi:type="xsd:double"&gt;14.1163854541898&lt;/D&gt;&lt;D xsi:type="xsd:double"&gt;14.018667418019&lt;/D&gt;&lt;D xsi:type="xsd:double"&gt;14.6035723571857&lt;/D&gt;&lt;D xsi:type="xsd:double"&gt;13.7976637541728&lt;/D&gt;&lt;D xsi:type="xsd:double"&gt;13.2408621151322&lt;/D&gt;&lt;D xsi:type="xsd:double"&gt;14.1110240598228&lt;/D&gt;&lt;D xsi:type="xsd:double"&gt;13.982139251916&lt;/D&gt;&lt;D xsi:type="xsd:double"&gt;14.6830405260499&lt;/D&gt;&lt;D xsi:type="xsd:double"&gt;14.4395982576794&lt;/D&gt;&lt;D xsi:type="xsd:double"&gt;14.1599251896837&lt;/D&gt;&lt;D xsi:type="xsd:double"&gt;14.3617645928222&lt;/D&gt;&lt;D xsi:type="xsd:double"&gt;14.3056177334526&lt;/D&gt;&lt;D xsi:type="xsd:double"&gt;14.6091501741021&lt;/D&gt;&lt;D xsi:type="xsd:double"&gt;14.8552146046573&lt;/D&gt;&lt;D xsi:type="xsd:double"&gt;14.708263695616&lt;/D&gt;&lt;D xsi:type="xsd:double"&gt;15.1881796580514&lt;/D&gt;&lt;D xsi:type="xsd:double"&gt;14.7537079291379&lt;/D&gt;&lt;D xsi:type="xsd:double"&gt;15.020775682626&lt;/D&gt;&lt;D xsi:type="xsd:double"&gt;16.0749661257114&lt;/D&gt;&lt;D xsi:type="xsd:double"&gt;15.881487921544&lt;/D&gt;&lt;D xsi:type="xsd:double"&gt;16.5336526087512&lt;/D&gt;&lt;D xsi:type="xsd:double"&gt;16.5806682286148&lt;/D&gt;&lt;D xsi:type="xsd:double"&gt;16.4867119619429&lt;/D&gt;&lt;D xsi:type="xsd:double"&gt;16.8205263971345&lt;/D&gt;&lt;/FQL&gt;&lt;FQL&gt;&lt;Q&gt;ENZL^FMA_PCT_ABOVE_MAVG(200,0,,,,"PORTAGG")&lt;/Q&gt;&lt;R&gt;1&lt;/R&gt;&lt;C&gt;1&lt;/C&gt;&lt;D xsi:type="xsd:double"&gt;28.5714285714286&lt;/D&gt;&lt;/FQL&gt;&lt;FQL&gt;&lt;Q&gt;EWU^FMA_COS_DOWN("EPS","1M",+1,0,,,"PORTAGG","MEANR")&lt;/Q&gt;&lt;R&gt;1&lt;/R&gt;&lt;C&gt;1&lt;/C&gt;&lt;D xsi:type="xsd:double"&gt;38&lt;/D&gt;&lt;/FQL&gt;&lt;FQL&gt;&lt;Q&gt;TRYJP10Y-FDS^PCTCHG(FG_YIELD(0,,,,"YTM"),FG_YIELD(-3AM,,,,"YTM"))&lt;/Q&gt;&lt;R&gt;1&lt;/R&gt;&lt;C&gt;1&lt;/C&gt;&lt;D xsi:type="xsd:double"&gt;28.472221&lt;/D&gt;&lt;/FQL&gt;&lt;FQL&gt;&lt;Q&gt;TRYAU10Y-FDS^FG_YIELD(0,,,,"YTM")&lt;/Q&gt;&lt;R&gt;1&lt;/R&gt;&lt;C&gt;1&lt;/C&gt;&lt;D xsi:type="xsd:double"&gt;4.213&lt;/D&gt;&lt;/FQL&gt;&lt;FQL&gt;&lt;Q&gt;EWI^FG_FCF_YIELD_NTM(0)&lt;/Q&gt;&lt;R&gt;1&lt;/R&gt;&lt;C&gt;1&lt;/C&gt;&lt;D xsi:type="xsd:double"&gt;6.16310465335211&lt;/D&gt;&lt;/FQL&gt;&lt;FQL&gt;&lt;Q&gt;SPY^FMA_PE(LTM,0,,,"PORTAGG","MEANR")&lt;/Q&gt;&lt;R&gt;1&lt;/R&gt;&lt;C&gt;1&lt;/C&gt;&lt;D xsi:type="xsd:double"&gt;25.4968280850881&lt;/D&gt;&lt;/FQL&gt;&lt;FQL&gt;&lt;Q&gt;EWC^FMA_EVAL_EBITDA(NTMA,0,,,"PORTAGG","MEANR")&lt;/Q&gt;&lt;R&gt;1&lt;/R&gt;&lt;C&gt;1&lt;/C&gt;&lt;D xsi:type="xsd:double"&gt;9.87004454601187&lt;/D&gt;&lt;/FQL&gt;&lt;FQL&gt;&lt;Q&gt;UUP^FG_TOTAL_RETURNC(0,-6AM)&lt;/Q&gt;&lt;R&gt;1&lt;/R&gt;&lt;C&gt;1&lt;/C&gt;&lt;D xsi:type="xsd:double"&gt;3.6976814&lt;/D&gt;&lt;/FQL&gt;&lt;FQL&gt;&lt;Q&gt;EWL^FMA_EPS(NTMA,-20AY,0,CY,,"PORTAGG","MEANR")&lt;/Q&gt;&lt;R&gt;20&lt;/R&gt;&lt;C&gt;1&lt;/C&gt;&lt;D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xsi:type="xsd:double"&gt;2.86429657487096&lt;/D&gt;&lt;/FQL&gt;&lt;FQL&gt;&lt;Q&gt;EWU^FMA_DIV_YLD(NTMA,-10AY,0,AM,"PORTAGG","MEANR")&lt;/Q&gt;&lt;R&gt;121&lt;/R&gt;&lt;C&gt;1&lt;/C&gt;&lt;D xsi:type="xsd:double"&gt;3.81462633313556&lt;/D&gt;&lt;D xsi:type="xsd:double"&gt;3.86936111881605&lt;/D&gt;&lt;D xsi:type="xsd:double"&gt;3.88548889792172&lt;/D&gt;&lt;D xsi:type="xsd:double"&gt;3.96993651600935&lt;/D&gt;&lt;D xsi:type="xsd:double"&gt;3.93460188830571&lt;/D&gt;&lt;D xsi:type="xsd:double"&gt;4.26193567242097&lt;/D&gt;&lt;D xsi:type="xsd:double"&gt;4.05607134744466&lt;/D&gt;&lt;D xsi:type="xsd:double"&gt;4.27574032753064&lt;/D&gt;&lt;D xsi:type="xsd:double"&gt;4.18156400273836&lt;/D&gt;&lt;D xsi:type="xsd:double"&gt;3.96523591978435&lt;/D&gt;&lt;D xsi:type="xsd:double"&gt;4.01447145100103&lt;/D&gt;&lt;D xsi:type="xsd:double"&gt;3.91161015513181&lt;/D&gt;&lt;D xsi:type="xsd:double"&gt;3.87309130827091&lt;/D&gt;&lt;D xsi:type="xsd:double"&gt;4.07041163638628&lt;/D&gt;&lt;D xsi:type="xsd:double"&gt;4.0630025934882&lt;/D&gt;&lt;D xsi:type="xsd:double"&gt;4.16078300304997&lt;/D&gt;&lt;D xsi:type="xsd:double"&gt;4.42274526307413&lt;/D&gt;&lt;D xsi:type="xsd:double"&gt;4.23594083779223&lt;/D&gt;&lt;D xsi:type="xsd:double"&gt;4.27285669351196&lt;/D&gt;&lt;D xsi:type="xsd:double"&gt;4.39300156405288&lt;/D&gt;&lt;D xsi:type="xsd:double"&gt;4.64280909726162&lt;/D&gt;&lt;D xsi:type="xsd:double"&gt;4.54325455000734&lt;/D&gt;&lt;D xsi:type="xsd:double"&gt;4.32318215280733&lt;/D&gt;&lt;D xsi:type="xsd:double"&gt;4.25146207823085&lt;/D&gt;&lt;D xsi:type="xsd:double"&gt;4.35008815062913&lt;/D&gt;&lt;D xsi:type="xsd:double"&gt;4.45903070632523&lt;/D&gt;&lt;D xsi:type="xsd:double"&gt;4.15498306968487&lt;/D&gt;&lt;D xsi:type="xsd:double"&gt;4.08998737795741&lt;/D&gt;&lt;D xsi:type="xsd:double"&gt;4.23036913893178&lt;/D&gt;&lt;D xsi:type="xsd:double"&gt;4.31958627530607&lt;/D&gt;&lt;D xsi:type="xsd:double"&gt;4.4160943306575&lt;/D&gt;&lt;D xsi:type="xsd:double"&gt;4.33122110045207&lt;/D&gt;&lt;D xsi:type="xsd:double"&gt;4.27463171861432&lt;/D&gt;&lt;D xsi:type="xsd:double"&gt;4.25662329518705&lt;/D&gt;&lt;D xsi:type="xsd:double"&gt;4.28516865662913&lt;/D&gt;&lt;D xsi:type="xsd:double"&gt;4.33475207832787&lt;/D&gt;&lt;D xsi:type="xsd:double"&gt;4.21469459880663&lt;/D&gt;&lt;D xsi:type="xsd:double"&gt;4.28056827801387&lt;/D&gt;&lt;D xsi:type="xsd:double"&gt;4.27927423207102&lt;/D&gt;&lt;D xsi:type="xsd:double"&gt;4.3464368688582&lt;/D&gt;&lt;D xsi:type="xsd:double"&gt;4.37096960893152&lt;/D&gt;&lt;D xsi:type="xsd:double"&gt;4.28361423072321&lt;/D&gt;&lt;D xsi:type="xsd:double"&gt;4.39059439903521&lt;/D&gt;&lt;D xsi:type="xsd:double"&gt;4.32399199067573&lt;/D&gt;&lt;D xsi:type="xsd:double"&gt;4.17487779415006&lt;/D&gt;&lt;D xsi:type="xsd:double"&gt;4.38697091576425&lt;/D&gt;&lt;D xsi:type="xsd:double"&gt;4.50795766771815&lt;/D&gt;&lt;D xsi:type="xsd:double"&gt;4.43923742483089&lt;/D&gt;&lt;D xsi:type="xsd:double"&gt;4.23583930723134&lt;/D&gt;&lt;D xsi:type="xsd:double"&gt;4.38166360624528&lt;/D&gt;&lt;D xsi:type="xsd:double"&gt;4.42811707082304&lt;/D&gt;&lt;D xsi:type="xsd:double"&gt;4.52744387050127&lt;/D&gt;&lt;D xsi:type="xsd:double"&gt;4.62555731340181&lt;/D&gt;&lt;D xsi:type="xsd:double"&gt;4.81736274953075&lt;/D&gt;&lt;D xsi:type="xsd:double"&gt;4.92840173717671&lt;/D&gt;&lt;D xsi:type="xsd:double"&gt;5.18210637856609&lt;/D&gt;&lt;D xsi:type="xsd:double"&gt;5.21776321723221&lt;/D&gt;&lt;D xsi:type="xsd:double"&gt;4.94298950696693&lt;/D&gt;&lt;D xsi:type="xsd:double"&gt;4.89774516118383&lt;/D&gt;&lt;D xsi:type="xsd:double"&gt;4.80616319721735&lt;/D&gt;&lt;D xsi:type="xsd:double"&gt;4.93330965937235&lt;/D&gt;&lt;D xsi:type="xsd:double"&gt;4.84577699449706&lt;/D&gt;&lt;D xsi:type="xsd:double"&gt;4.79185165980156&lt;/D&gt;&lt;D xsi:type="xsd:double"&gt;5.154273864531&lt;/D&gt;&lt;D xsi:type="xsd:double"&gt;4.92907962107809&lt;/D&gt;&lt;D xsi:type="xsd:double"&gt;4.91872277760598&lt;/D&gt;&lt;D xsi:type="xsd:double"&gt;4.81774144859148&lt;/D&gt;&lt;D xsi:type="xsd:double"&gt;4.59818524078513&lt;/D&gt;&lt;D xsi:type="xsd:double"&gt;4.52679493648737&lt;/D&gt;&lt;D xsi:type="xsd:double"&gt;4.70109236989143&lt;/D&gt;&lt;D xsi:type="xsd:double"&gt;6.80944191855915&lt;/D&gt;&lt;D xsi:type="xsd:double"&gt;5.69010277774933&lt;/D&gt;&lt;D xsi:type="xsd:double"&gt;4.59227630150381&lt;/D&gt;&lt;D xsi:type="xsd:double"&gt;4.05783213631467&lt;/D&gt;&lt;D xsi:type="xsd:double"&gt;3.97825903614762&lt;/D&gt;&lt;D xsi:type="xsd:double"&gt;3.95151130071422&lt;/D&gt;&lt;D xsi:type="xsd:double"&gt;4.07749602997295&lt;/D&gt;&lt;D xsi:type="xsd:double"&gt;4.2950204318513&lt;/D&gt;&lt;D xsi:type="xsd:double"&gt;4.00428155358607&lt;/D&gt;&lt;D xsi:type="xsd:double"&gt;3.87536701671452&lt;/D&gt;&lt;D xsi:type="xsd:double"&gt;3.89198157155813&lt;/D&gt;&lt;D xsi:type="xsd:double"&gt;3.96233090556938&lt;/D&gt;&lt;D xsi:type="xsd:double"&gt;3.96840575555433&lt;/D&gt;&lt;D xsi:type="xsd:double"&gt;3.92799163757249&lt;/D&gt;&lt;D xsi:type="xsd:double"&gt;3.90033215988022&lt;/D&gt;&lt;D xsi:type="xsd:double"&gt;3.88360540252622&lt;/D&gt;&lt;D xsi:type="xsd:double"&gt;4.08296883083518&lt;/D&gt;&lt;D xsi:type="xsd:double"&gt;4.15742545195113&lt;/D&gt;&lt;D xsi:type="xsd:double"&gt;4.28533185486775&lt;/D&gt;&lt;D xsi:type="xsd:double"&gt;4.03933234360614&lt;/D&gt;&lt;D xsi:type="xsd:double"&gt;4.03092549343318&lt;/D&gt;&lt;D xsi:type="xsd:double"&gt;4.01747250688556&lt;/D&gt;&lt;D xsi:type="xsd:double"&gt;3.82058456617092&lt;/D&gt;&lt;D xsi:type="xsd:double"&gt;3.83281825447522&lt;/D&gt;&lt;D xsi:type="xsd:double"&gt;4.00373147623754&lt;/D&gt;&lt;D xsi:type="xsd:double"&gt;3.93120684931638&lt;/D&gt;&lt;D xsi:type="xsd:double"&gt;4.07767596696712&lt;/D&gt;&lt;D xsi:type="xsd:double"&gt;4.42962623091787&lt;/D&gt;&lt;D xsi:type="xsd:double"&gt;4.38533390473609&lt;/D&gt;&lt;D xsi:type="xsd:double"&gt;4.18800898899166&lt;/D&gt;&lt;D xsi:type="xsd:double"&gt;4.49657460456604&lt;/D&gt;&lt;D xsi:type="xsd:double"&gt;4.61316594516338&lt;/D&gt;&lt;D xsi:type="xsd:double"&gt;4.35735683641588&lt;/D&gt;&lt;D xsi:type="xsd:double"&gt;4.34259529796147&lt;/D&gt;&lt;D xsi:type="xsd:double"&gt;4.0383891735613&lt;/D&gt;&lt;D xsi:type="xsd:double"&gt;4.05750645684777&lt;/D&gt;&lt;D xsi:type="xsd:double"&gt;4.44024378096336&lt;/D&gt;&lt;D xsi:type="xsd:double"&gt;4.15885903072706&lt;/D&gt;&lt;D xsi:type="xsd:double"&gt;4.29894847475756&lt;/D&gt;&lt;D xsi:type="xsd:double"&gt;4.30850629619613&lt;/D&gt;&lt;D xsi:type="xsd:double"&gt;4.39832343990656&lt;/D&gt;&lt;D xsi:type="xsd:double"&gt;4.54861251207572&lt;/D&gt;&lt;D xsi:type="xsd:double"&gt;4.38159886683758&lt;/D&gt;&lt;D xsi:type="xsd:double"&gt;4.42607379433875&lt;/D&gt;&lt;D xsi:type="xsd:double"&gt;4.49231529840904&lt;/D&gt;&lt;D xsi:type="xsd:double"&gt;4.35688341568893&lt;/D&gt;&lt;D xsi:type="xsd:double"&gt;4.45264811821738&lt;/D&gt;&lt;D xsi:type="xsd:double"&gt;4.2261218750813&lt;/D&gt;&lt;D xsi:type="xsd:double"&gt;4.12986387059795&lt;/D&gt;&lt;D xsi:type="xsd:double"&gt;4.0974481917831&lt;/D&gt;&lt;D xsi:type="xsd:double"&gt;3.80206715041527&lt;/D&gt;&lt;/FQL&gt;&lt;FQL&gt;&lt;Q&gt;CPALM-FDS^FG_PRICE_MAVG(0,,,,30)&lt;/Q&gt;&lt;R&gt;1&lt;/R&gt;&lt;C&gt;1&lt;/C&gt;&lt;D xsi:type="xsd:double"&gt;4062.9666&lt;/D&gt;&lt;/FQL&gt;&lt;FQL&gt;&lt;Q&gt;SPY^FMA_COS_UP("EPS","1M",+1,0,,,"PORTAGG","MEANR")&lt;/Q&gt;&lt;R&gt;1&lt;/R&gt;&lt;C&gt;1&lt;/C&gt;&lt;D xsi:type="xsd:double"&gt;276&lt;/D&gt;&lt;/FQL&gt;&lt;FQL&gt;&lt;Q&gt;TRYJP10Y-FDS^PCTCHG(FG_YIELD(0,,,,"YTM"),FG_YIELD(-1AM,,,,"YTM"))&lt;/Q&gt;&lt;R&gt;1&lt;/R&gt;&lt;C&gt;1&lt;/C&gt;&lt;D xsi:type="xsd:double"&gt;7.4601326&lt;/D&gt;&lt;/FQL&gt;&lt;FQL&gt;&lt;Q&gt;QQQ^FG_FCF_YIELD_NTM(0)&lt;/Q&gt;&lt;R&gt;1&lt;/R&gt;&lt;C&gt;1&lt;/C&gt;&lt;D xsi:type="xsd:double"&gt;3.6256338771031&lt;/D&gt;&lt;/FQL&gt;&lt;FQL&gt;&lt;Q&gt;EWC^FG_FCF_YIELD_NTM(0)&lt;/Q&gt;&lt;R&gt;1&lt;/R&gt;&lt;C&gt;1&lt;/C&gt;&lt;D xsi:type="xsd:double"&gt;5.02957228114558&lt;/D&gt;&lt;/FQL&gt;&lt;FQL&gt;&lt;Q&gt;EWJ^FMA_DIV_YLD(NTMA,-10AY,0,AM,"PORTAGG","MEANR")&lt;/Q&gt;&lt;R&gt;121&lt;/R&gt;&lt;C&gt;1&lt;/C&gt;&lt;D xsi:type="xsd:double"&gt;2.2299672182645&lt;/D&gt;&lt;D xsi:type="xsd:double"&gt;2.10819571379157&lt;/D&gt;&lt;D xsi:type="xsd:double"&gt;2.06257415085679&lt;/D&gt;&lt;D xsi:type="xsd:double"&gt;2.08472050245872&lt;/D&gt;&lt;D xsi:type="xsd:double"&gt;2.04806776707064&lt;/D&gt;&lt;D xsi:type="xsd:double"&gt;2.29140445203823&lt;/D&gt;&lt;D xsi:type="xsd:double"&gt;1.98539761588564&lt;/D&gt;&lt;D xsi:type="xsd:double"&gt;2.05778113786536&lt;/D&gt;&lt;D xsi:type="xsd:double"&gt;2.06373440990518&lt;/D&gt;&lt;D xsi:type="xsd:double"&gt;1.95462023917372&lt;/D&gt;&lt;D xsi:type="xsd:double"&gt;1.83684167386705&lt;/D&gt;&lt;D xsi:type="xsd:double"&gt;1.84768452478315&lt;/D&gt;&lt;D xsi:type="xsd:double"&gt;1.87935906282022&lt;/D&gt;&lt;D xsi:type="xsd:double"&gt;1.90798335130449&lt;/D&gt;&lt;D xsi:type="xsd:double"&gt;1.89250052145139&lt;/D&gt;&lt;D xsi:type="xsd:double"&gt;1.90090034470918&lt;/D&gt;&lt;D xsi:type="xsd:double"&gt;2.13898180947968&lt;/D&gt;&lt;D xsi:type="xsd:double"&gt;2.1166005519027&lt;/D&gt;&lt;D xsi:type="xsd:double"&gt;2.02404306551396&lt;/D&gt;&lt;D xsi:type="xsd:double"&gt;2.06178374741203&lt;/D&gt;&lt;D xsi:type="xsd:double"&gt;2.32247062199098&lt;/D&gt;&lt;D xsi:type="xsd:double"&gt;2.53480219304706&lt;/D&gt;&lt;D xsi:type="xsd:double"&gt;2.37623418888204&lt;/D&gt;&lt;D xsi:type="xsd:double"&gt;2.36099736972325&lt;/D&gt;&lt;D xsi:type="xsd:double"&gt;2.39878974778303&lt;/D&gt;&lt;D xsi:type="xsd:double"&gt;2.52035690022553&lt;/D&gt;&lt;D xsi:type="xsd:double"&gt;2.38563066876829&lt;/D&gt;&lt;D xsi:type="xsd:double"&gt;2.39853104550845&lt;/D&gt;&lt;D xsi:type="xsd:double"&gt;2.41694927701799&lt;/D&gt;&lt;D xsi:type="xsd:double"&gt;2.36166812320165&lt;/D&gt;&lt;D xsi:type="xsd:double"&gt;2.25294312789954&lt;/D&gt;&lt;D xsi:type="xsd:double"&gt;2.07486561142846&lt;/D&gt;&lt;D xsi:type="xsd:double"&gt;2.15273352873064&lt;/D&gt;&lt;D xsi:type="xsd:double"&gt;2.14000132546178&lt;/D&gt;&lt;D xsi:type="xsd:double"&gt;2.13465831319679&lt;/D&gt;&lt;D xsi:type="xsd:double"&gt;2.29979875228329&lt;/D&gt;&lt;D xsi:type="xsd:double"&gt;2.17163494998426&lt;/D&gt;&lt;D xsi:type="xsd:double"&gt;2.18180930940393&lt;/D&gt;&lt;D xsi:type="xsd:double"&gt;2.15841532597922&lt;/D&gt;&lt;D xsi:type="xsd:double"&gt;2.19342734612086&lt;/D&gt;&lt;D xsi:type="xsd:double"&gt;2.19615754400665&lt;/D&gt;&lt;D xsi:type="xsd:double"&gt;2.10540176109901&lt;/D&gt;&lt;D xsi:type="xsd:double"&gt;2.08956127012899&lt;/D&gt;&lt;D xsi:type="xsd:double"&gt;2.08153751100606&lt;/D&gt;&lt;D xsi:type="xsd:double"&gt;1.98099871668057&lt;/D&gt;&lt;D xsi:type="xsd:double"&gt;2.19871468312943&lt;/D&gt;&lt;D xsi:type="xsd:double"&gt;2.23127629619239&lt;/D&gt;&lt;D xsi:type="xsd:double"&gt;2.25738066972883&lt;/D&gt;&lt;D xsi:type="xsd:double"&gt;2.18261228639577&lt;/D&gt;&lt;D xsi:type="xsd:double"&gt;2.22636608489503&lt;/D&gt;&lt;D xsi:type="xsd:double"&gt;2.28176367670179&lt;/D&gt;&lt;D xsi:type="xsd:double"&gt;2.35713631676121&lt;/D&gt;&lt;D xsi:type="xsd:double"&gt;2.3238431642672&lt;/D&gt;&lt;D xsi:type="xsd:double"&gt;2.3555185362408&lt;/D&gt;&lt;D xsi:type="xsd:double"&gt;2.50288888893973&lt;/D&gt;&lt;D xsi:type="xsd:double"&gt;2.55748257136695&lt;/D&gt;&lt;D xsi:type="xsd:double"&gt;2.67172242859856&lt;/D&gt;&lt;D xsi:type="xsd:double"&gt;2.61644662750196&lt;/D&gt;&lt;D xsi:type="xsd:double"&gt;2.57260235034742&lt;/D&gt;&lt;D xsi:type="xsd:double"&gt;2.54594449750995&lt;/D&gt;&lt;D xsi:type="xsd:double"&gt;2.66662261397865&lt;/D&gt;&lt;D xsi:type="xsd:double"&gt;2.70877031246855&lt;/D&gt;&lt;D xsi:type="xsd:double"&gt;2.66184255057824&lt;/D&gt;&lt;D xsi:type="xsd:double"&gt;2.80384153415463&lt;/D&gt;&lt;D xsi:type="xsd:double"&gt;2.57378237254749&lt;/D&gt;&lt;D xsi:type="xsd:double"&gt;2.56839328605329&lt;/D&gt;&lt;D xsi:type="xsd:double"&gt;2.47439402376846&lt;/D&gt;&lt;D xsi:type="xsd:double"&gt;2.40495637023537&lt;/D&gt;&lt;D xsi:type="xsd:double"&gt;2.42292587578415&lt;/D&gt;&lt;D xsi:type="xsd:double"&gt;2.46803100926422&lt;/D&gt;&lt;D xsi:type="xsd:double"&gt;3.29700418909165&lt;/D&gt;&lt;D xsi:type="xsd:double"&gt;2.84660463131857&lt;/D&gt;&lt;D xsi:type="xsd:double"&gt;2.81172202272342&lt;/D&gt;&lt;D xsi:type="xsd:double"&gt;2.47198957793049&lt;/D&gt;&lt;D xsi:type="xsd:double"&gt;2.48300212684211&lt;/D&gt;&lt;D xsi:type="xsd:double"&gt;2.40626219468307&lt;/D&gt;&lt;D xsi:type="xsd:double"&gt;2.35893155213543&lt;/D&gt;&lt;D xsi:type="xsd:double"&gt;2.39945095146996&lt;/D&gt;&lt;D xsi:type="xsd:double"&gt;2.23512310250671&lt;/D&gt;&lt;D xsi:type="xsd:double"&gt;2.15330734388738&lt;/D&gt;&lt;D xsi:type="xsd:double"&gt;2.08552419611279&lt;/D&gt;&lt;D xsi:type="xsd:double"&gt;2.00486632932475&lt;/D&gt;&lt;D xsi:type="xsd:double"&gt;2.03305282463041&lt;/D&gt;&lt;D xsi:type="xsd:double"&gt;2.07493649251302&lt;/D&gt;&lt;D xsi:type="xsd:double"&gt;2.21579400944364&lt;/D&gt;&lt;D xsi:type="xsd:double"&gt;2.15514154867296&lt;/D&gt;&lt;D xsi:type="xsd:double"&gt;2.22545572346547&lt;/D&gt;&lt;D xsi:type="xsd:double"&gt;2.27472032582877&lt;/D&gt;&lt;D xsi:type="xsd:double"&gt;2.126903605541&lt;/D&gt;&lt;D xsi:type="xsd:double"&gt;2.21193642467743&lt;/D&gt;&lt;D xsi:type="xsd:double"&gt;2.21770455812481&lt;/D&gt;&lt;D xsi:type="xsd:double"&gt;2.31808799382376&lt;/D&gt;&lt;D xsi:type="xsd:double"&gt;2.34939976924856&lt;/D&gt;&lt;D xsi:type="xsd:double"&gt;2.46416899152198&lt;/D&gt;&lt;D xsi:type="xsd:double"&gt;2.5742626257526&lt;/D&gt;&lt;D xsi:type="xsd:double"&gt;2.5738579416217&lt;/D&gt;&lt;D xsi:type="xsd:double"&gt;2.6475282968091&lt;/D&gt;&lt;D xsi:type="xsd:double"&gt;2.7456988663404&lt;/D&gt;&lt;D xsi:type="xsd:double"&gt;2.67298735053845&lt;/D&gt;&lt;D xsi:type="xsd:double"&gt;2.53209917233677&lt;/D&gt;&lt;D xsi:type="xsd:double"&gt;2.6438689368175&lt;/D&gt;&lt;D xsi:type="xsd:double"&gt;2.74309457427892&lt;/D&gt;&lt;D xsi:type="xsd:double"&gt;2.61862410860482&lt;/D&gt;&lt;D xsi:type="xsd:double"&gt;2.66612795135148&lt;/D&gt;&lt;D xsi:type="xsd:double"&gt;2.72287759551094&lt;/D&gt;&lt;D xsi:type="xsd:double"&gt;2.60860207529793&lt;/D&gt;&lt;D xsi:type="xsd:double"&gt;2.66443171995121&lt;/D&gt;&lt;D xsi:type="xsd:double"&gt;2.58889654041208&lt;/D&gt;&lt;D xsi:type="xsd:double"&gt;2.48493299335173&lt;/D&gt;&lt;D xsi:type="xsd:double"&gt;2.30802488085196&lt;/D&gt;&lt;D xsi:type="xsd:double"&gt;2.39720726670917&lt;/D&gt;&lt;D xsi:type="xsd:double"&gt;2.42694828721799&lt;/D&gt;&lt;D xsi:type="xsd:double"&gt;2.26900521279962&lt;/D&gt;&lt;D xsi:type="xsd:double"&gt;2.41319779660631&lt;/D&gt;&lt;D xsi:type="xsd:double"&gt;2.34741320685269&lt;/D&gt;&lt;D xsi:type="xsd:double"&gt;2.45378710894387&lt;/D&gt;&lt;D xsi:type="xsd:double"&gt;2.29847000400982&lt;/D&gt;&lt;D xsi:type="xsd:double"&gt;2.22345772778756&lt;/D&gt;&lt;D xsi:type="xsd:double"&gt;2.22095082434736&lt;/D&gt;&lt;D xsi:type="xsd:double"&gt;2.26012932368353&lt;/D&gt;&lt;D xsi:type="xsd:double"&gt;2.23002057401505&lt;/D&gt;&lt;/FQL&gt;&lt;FQL&gt;&lt;Q&gt;FC0000CA^FG_PRICE(0)&lt;/Q&gt;&lt;R&gt;1&lt;/R&gt;&lt;C&gt;1&lt;/C&gt;&lt;D xsi:type="xsd:double"&gt;297.2645&lt;/D&gt;&lt;/FQL&gt;&lt;FQL&gt;&lt;Q&gt;EWI^FG_TOTAL_RETURNC(0,-1AM)&lt;/Q&gt;&lt;R&gt;1&lt;/R&gt;&lt;C&gt;1&lt;/C&gt;&lt;D xsi:type="xsd:double"&gt;9.126223&lt;/D&gt;&lt;/FQL&gt;&lt;FQL&gt;&lt;Q&gt;EWI^FMA_PE(LTM,0,,,"PORTAGG","MEANR")&lt;/Q&gt;&lt;R&gt;1&lt;/R&gt;&lt;C&gt;1&lt;/C&gt;&lt;D xsi:type="xsd:double"&gt;10.4754552902725&lt;/D&gt;&lt;/FQL&gt;&lt;FQL&gt;&lt;Q&gt;USDJPY^FG_COMPANY_NAME&lt;/Q&gt;&lt;R&gt;1&lt;/R&gt;&lt;C&gt;1&lt;/C&gt;&lt;D xsi:type="xsd:string"&gt;Japanese Yen per U.S. Dollar&lt;/D&gt;&lt;/FQL&gt;&lt;FQL&gt;&lt;Q&gt;CPALM-FDS^FG_PRICE(0)&lt;/Q&gt;&lt;R&gt;1&lt;/R&gt;&lt;C&gt;1&lt;/C&gt;&lt;D xsi:type="xsd:double"&gt;3895&lt;/D&gt;&lt;/FQL&gt;&lt;FQL&gt;&lt;Q&gt;EWI^PERCENT_CHANGE(FMA_EPS(+1,0,,,,"PORTAGG","MEAN"),FMA_EPS(+1,-3AM,,,,"PORTAGG","MEAN"))&lt;/Q&gt;&lt;R&gt;1&lt;/R&gt;&lt;C&gt;1&lt;/C&gt;&lt;D xsi:type="xsd:double"&gt;1.799232382439&lt;/D&gt;&lt;/FQL&gt;&lt;FQL&gt;&lt;Q&gt;EWL^FMA_COS_DOWN("EPS","1M",+1,0,,,"PORTAGG","MEANR")&lt;/Q&gt;&lt;R&gt;1&lt;/R&gt;&lt;C&gt;1&lt;/C&gt;&lt;D xsi:type="xsd:double"&gt;18&lt;/D&gt;&lt;/FQL&gt;&lt;FQL&gt;&lt;Q&gt;REFCHMPR-FDS^PROPER_NAME(0,,,"SECURITY","NAME")&lt;/Q&gt;&lt;R&gt;1&lt;/R&gt;&lt;C&gt;1&lt;/C&gt;&lt;D xsi:type="xsd:string"&gt;Swiss Policy Rate - Sight Deposit Rate&lt;/D&gt;&lt;/FQL&gt;&lt;FQL&gt;&lt;Q&gt;TRYDE10Y-FDS^PCTCHG(FG_YIELD(0,,,,"YTM"),FG_YIELD(-3AM,,,,"YTM"))&lt;/Q&gt;&lt;R&gt;1&lt;/R&gt;&lt;C&gt;1&lt;/C&gt;&lt;D xsi:type="xsd:double"&gt;4.5018773&lt;/D&gt;&lt;/FQL&gt;&lt;FQL&gt;&lt;Q&gt;TRYNZ10Y-FDS^FG_YIELD(0,,,,"YTM")&lt;/Q&gt;&lt;R&gt;1&lt;/R&gt;&lt;C&gt;1&lt;/C&gt;&lt;D xsi:type="xsd:double"&gt;4.6012&lt;/D&gt;&lt;/FQL&gt;&lt;FQL&gt;&lt;Q&gt;EWC^FMA_DIV_YLD(NTMA,NOW,NOW,M,"PORTAGG","MEANR")&lt;/Q&gt;&lt;R&gt;1&lt;/R&gt;&lt;C&gt;1&lt;/C&gt;&lt;D xsi:type="xsd:double"&gt;3.14136477279701&lt;/D&gt;&lt;/FQL&gt;&lt;FQL&gt;&lt;Q&gt;EWG^FMA_DIV_YLD(NTMA,-10AY,0,AM,"PORTAGG","MEANR")&lt;/Q&gt;&lt;R&gt;121&lt;/R&gt;&lt;C&gt;1&lt;/C&gt;&lt;D xsi:type="xsd:double"&gt;3.03334147898869&lt;/D&gt;&lt;D xsi:type="xsd:double"&gt;2.9822504090362&lt;/D&gt;&lt;D xsi:type="xsd:double"&gt;3.07839427778471&lt;/D&gt;&lt;D xsi:type="xsd:double"&gt;3.29029701786883&lt;/D&gt;&lt;D xsi:type="xsd:double"&gt;3.12315280875699&lt;/D&gt;&lt;D xsi:type="xsd:double"&gt;3.4220880623056&lt;/D&gt;&lt;D xsi:type="xsd:double"&gt;3.33766434572747&lt;/D&gt;&lt;D xsi:type="xsd:double"&gt;3.27415461496892&lt;/D&gt;&lt;D xsi:type="xsd:double"&gt;3.08590128961542&lt;/D&gt;&lt;D xsi:type="xsd:double"&gt;2.89391030725495&lt;/D&gt;&lt;D xsi:type="xsd:double"&gt;2.65937638936591&lt;/D&gt;&lt;D xsi:type="xsd:double"&gt;2.76424074100679&lt;/D&gt;&lt;D xsi:type="xsd:double"&gt;2.90181671971747&lt;/D&gt;&lt;D xsi:type="xsd:double"&gt;3.07414829389468&lt;/D&gt;&lt;D xsi:type="xsd:double"&gt;2.91049228103939&lt;/D&gt;&lt;D xsi:type="xsd:double"&gt;3.1189953051873&lt;/D&gt;&lt;D xsi:type="xsd:double"&gt;3.34331608495496&lt;/D&gt;&lt;D xsi:type="xsd:double"&gt;3.31652362997191&lt;/D&gt;&lt;D xsi:type="xsd:double"&gt;2.95231352071766&lt;/D&gt;&lt;D xsi:type="xsd:double"&gt;3.03601539926771&lt;/D&gt;&lt;D xsi:type="xsd:double"&gt;3.42500558004797&lt;/D&gt;&lt;D xsi:type="xsd:double"&gt;3.50378866151531&lt;/D&gt;&lt;D xsi:type="xsd:double"&gt;3.32495387634508&lt;/D&gt;&lt;D xsi:type="xsd:double"&gt;3.27147176838217&lt;/D&gt;&lt;D xsi:type="xsd:double"&gt;3.377263844866&lt;/D&gt;&lt;D xsi:type="xsd:double"&gt;3.50515725063525&lt;/D&gt;&lt;D xsi:type="xsd:double"&gt;3.34943967450248&lt;/D&gt;&lt;D xsi:type="xsd:double"&gt;3.19587171725376&lt;/D&gt;&lt;D xsi:type="xsd:double"&gt;3.26531861693927&lt;/D&gt;&lt;D xsi:type="xsd:double"&gt;3.16662439678489&lt;/D&gt;&lt;D xsi:type="xsd:double"&gt;3.17332129650143&lt;/D&gt;&lt;D xsi:type="xsd:double"&gt;2.98869973323847&lt;/D&gt;&lt;D xsi:type="xsd:double"&gt;2.96813223730057&lt;/D&gt;&lt;D xsi:type="xsd:double"&gt;2.93697685304883&lt;/D&gt;&lt;D xsi:type="xsd:double"&gt;2.93582510261744&lt;/D&gt;&lt;D xsi:type="xsd:double"&gt;2.9452275126634&lt;/D&gt;&lt;D xsi:type="xsd:double"&gt;2.91572606443074&lt;/D&gt;&lt;D xsi:type="xsd:double"&gt;2.92392191708105&lt;/D&gt;&lt;D xsi:type="xsd:double"&gt;2.97743348136203&lt;/D&gt;&lt;D xsi:type="xsd:double"&gt;3.10646670478287&lt;/D&gt;&lt;D xsi:type="xsd:double"&gt;3.05111248768786&lt;/D&gt;&lt;D xsi:type="xsd:double"&gt;2.95560221044008&lt;/D&gt;&lt;D xsi:type="xsd:double"&gt;2.95719677474329&lt;/D&gt;&lt;D xsi:type="xsd:double"&gt;2.90620998132894&lt;/D&gt;&lt;D xsi:type="xsd:double"&gt;2.89932449269679&lt;/D&gt;&lt;D xsi:type="xsd:double"&gt;3.11430430654098&lt;/D&gt;&lt;D xsi:type="xsd:double"&gt;3.16067180542612&lt;/D&gt;&lt;D xsi:type="xsd:double"&gt;3.15129899043625&lt;/D&gt;&lt;D xsi:type="xsd:double"&gt;3.07400208495899&lt;/D&gt;&lt;D xsi:type="xsd:double"&gt;3.09404234501938&lt;/D&gt;&lt;D xsi:type="xsd:double"&gt;3.1879151466192&lt;/D&gt;&lt;D xsi:type="xsd:double"&gt;3.30404631047552&lt;/D&gt;&lt;D xsi:type="xsd:double"&gt;3.33685805459652&lt;/D&gt;&lt;D xsi:type="xsd:double"&gt;3.48270216761147&lt;/D&gt;&lt;D xsi:type="xsd:double"&gt;3.63652245238099&lt;/D&gt;&lt;D xsi:type="xsd:double"&gt;3.8774738419001&lt;/D&gt;&lt;D xsi:type="xsd:double"&gt;3.8078894224418&lt;/D&gt;&lt;D xsi:type="xsd:double"&gt;3.67149104071305&lt;/D&gt;&lt;D xsi:type="xsd:double"&gt;3.56416045099729&lt;/D&gt;&lt;D xsi:type="xsd:double"&gt;3.43191849882321&lt;/D&gt;&lt;D xsi:type="xsd:double"&gt;3.50502238892625&lt;/D&gt;&lt;D xsi:type="xsd:double"&gt;3.58277856754564&lt;/D&gt;&lt;D xsi:type="xsd:double"&gt;3.45301648448343&lt;/D&gt;&lt;D xsi:type="xsd:double"&gt;3.63925440864288&lt;/D&gt;&lt;D xsi:type="xsd:double"&gt;3.40465084504137&lt;/D&gt;&lt;D xsi:type="xsd:double"&gt;3.33132374218044&lt;/D&gt;&lt;D xsi:type="xsd:double"&gt;3.11184165228227&lt;/D&gt;&lt;D xsi:type="xsd:double"&gt;3.08124621635535&lt;/D&gt;&lt;D xsi:type="xsd:double"&gt;3.0382588387476&lt;/D&gt;&lt;D xsi:type="xsd:double"&gt;2.99908874490686&lt;/D&gt;&lt;D xsi:type="xsd:double"&gt;4.58975569920696&lt;/D&gt;&lt;D xsi:type="xsd:double"&gt;3.49349703415107&lt;/D&gt;&lt;D xsi:type="xsd:double"&gt;3.44679168415506&lt;/D&gt;&lt;D xsi:type="xsd:double"&gt;2.88329807712354&lt;/D&gt;&lt;D xsi:type="xsd:double"&gt;2.80681755893814&lt;/D&gt;&lt;D xsi:type="xsd:double"&gt;2.82076942340025&lt;/D&gt;&lt;D xsi:type="xsd:double"&gt;2.79523245804597&lt;/D&gt;&lt;D xsi:type="xsd:double"&gt;2.81305167363034&lt;/D&gt;&lt;D xsi:type="xsd:double"&gt;2.84282299295598&lt;/D&gt;&lt;D xsi:type="xsd:double"&gt;2.72502537337562&lt;/D&gt;&lt;D xsi:type="xsd:double"&gt;2.73319995329037&lt;/D&gt;&lt;D xsi:type="xsd:double"&gt;2.75707418993364&lt;/D&gt;&lt;D xsi:type="xsd:double"&gt;2.74720528685031&lt;/D&gt;&lt;D xsi:type="xsd:double"&gt;2.66769544526082&lt;/D&gt;&lt;D xsi:type="xsd:double"&gt;2.81983611581787&lt;/D&gt;&lt;D xsi:type="xsd:double"&gt;2.77455915835165&lt;/D&gt;&lt;D xsi:type="xsd:double"&gt;2.83447633691451&lt;/D&gt;&lt;D xsi:type="xsd:double"&gt;2.83263804918936&lt;/D&gt;&lt;D xsi:type="xsd:double"&gt;2.9137904762881&lt;/D&gt;&lt;D xsi:type="xsd:double"&gt;2.92216524600561&lt;/D&gt;&lt;D xsi:type="xsd:double"&gt;2.9230576124951&lt;/D&gt;&lt;D xsi:type="xsd:double"&gt;3.08326122309408&lt;/D&gt;&lt;D xsi:type="xsd:double"&gt;3.05806517225756&lt;/D&gt;&lt;D xsi:type="xsd:double"&gt;3.24833433966863&lt;/D&gt;&lt;D xsi:type="xsd:double"&gt;3.49161093735588&lt;/D&gt;&lt;D xsi:type="xsd:double"&gt;3.62626382635699&lt;/D&gt;&lt;D xsi:type="xsd:double"&gt;3.79628426846804&lt;/D&gt;&lt;D xsi:type="xsd:double"&gt;4.09883634768671&lt;/D&gt;&lt;D xsi:type="xsd:double"&gt;4.20054900548066&lt;/D&gt;&lt;D xsi:type="xsd:double"&gt;3.96917887566877&lt;/D&gt;&lt;D xsi:type="xsd:double"&gt;4.24125825017283&lt;/D&gt;&lt;D xsi:type="xsd:double"&gt;4.27822006447899&lt;/D&gt;&lt;D xsi:type="xsd:double"&gt;3.79297198606341&lt;/D&gt;&lt;D xsi:type="xsd:double"&gt;3.87110529147815&lt;/D&gt;&lt;D xsi:type="xsd:double"&gt;3.50694720332434&lt;/D&gt;&lt;D xsi:type="xsd:double"&gt;3.45665631255926&lt;/D&gt;&lt;D xsi:type="xsd:double"&gt;3.72225811670849&lt;/D&gt;&lt;D xsi:type="xsd:double"&gt;3.51593903844668&lt;/D&gt;&lt;D xsi:type="xsd:double"&gt;3.59739634255615&lt;/D&gt;&lt;D xsi:type="xsd:double"&gt;3.56402672129097&lt;/D&gt;&lt;D xsi:type="xsd:double"&gt;3.66485256778483&lt;/D&gt;&lt;D xsi:type="xsd:double"&gt;3.75732545601435&lt;/D&gt;&lt;D xsi:type="xsd:double"&gt;3.71799435439466&lt;/D&gt;&lt;D xsi:type="xsd:double"&gt;3.91438684251383&lt;/D&gt;&lt;D xsi:type="xsd:double"&gt;3.70744938261105&lt;/D&gt;&lt;D xsi:type="xsd:double"&gt;3.54079926243294&lt;/D&gt;&lt;D xsi:type="xsd:double"&gt;3.65605302104275&lt;/D&gt;&lt;D xsi:type="xsd:double"&gt;3.48692752684115&lt;/D&gt;&lt;D xsi:type="xsd:double"&gt;3.31417317965386&lt;/D&gt;&lt;D xsi:type="xsd:double"&gt;3.40490087240007&lt;/D&gt;&lt;D xsi:type="xsd:double"&gt;3.27025100734637&lt;/D&gt;&lt;/FQL&gt;&lt;FQL&gt;&lt;Q&gt;QQQ^FG_TOTAL_RETURNC(0,-1AM)&lt;/Q&gt;&lt;R&gt;1&lt;/R&gt;&lt;C&gt;1&lt;/C&gt;&lt;D xsi:type="xsd:double"&gt;6.0867906&lt;/D&gt;&lt;/FQL&gt;&lt;FQL&gt;&lt;Q&gt;EWG^P_PRICE(0)/P_PRICE_HIGH_PR(0,,,,,,"PRICE","INTRA","52W")&lt;/Q&gt;&lt;R&gt;1&lt;/R&gt;&lt;C&gt;1&lt;/C&gt;&lt;D xsi:type="xsd:double"&gt;0.9899991&lt;/D&gt;&lt;/FQL&gt;&lt;FQL&gt;&lt;Q&gt;EWG^FMA_RBICS_REV_CURRENT(30, LOC, "PORTAGG")&lt;/Q&gt;&lt;R&gt;1&lt;/R&gt;&lt;C&gt;1&lt;/C&gt;&lt;D xsi:type="xsd:double"&gt;23.0857495662059&lt;/D&gt;&lt;/FQL&gt;&lt;FQL&gt;&lt;Q&gt;EWC^FMA_PE(NTMA,0,,,"PORTAGG","MEANR")&lt;/Q&gt;&lt;R&gt;1&lt;/R&gt;&lt;C&gt;1&lt;/C&gt;&lt;D xsi:type="xsd:double"&gt;14.4303426373267&lt;/D&gt;&lt;/FQL&gt;&lt;FQL&gt;&lt;Q&gt;UUP^FG_TOTAL_RETURNC(0,-1AM)&lt;/Q&gt;&lt;R&gt;1&lt;/R&gt;&lt;C&gt;1&lt;/C&gt;&lt;D xsi:type="xsd:double"&gt;-0.9708762&lt;/D&gt;&lt;/FQL&gt;&lt;FQL&gt;&lt;Q&gt;EWC^FMA_EPS(NTMA,-20AY,0,CY,,"PORTAGG","MEANR")&lt;/Q&gt;&lt;R&gt;20&lt;/R&gt;&lt;C&gt;1&lt;/C&gt;&lt;D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xsi:type="xsd:double"&gt;2.68263358415049&lt;/D&gt;&lt;/FQL&gt;&lt;FQL&gt;&lt;Q&gt;W-FDS^MAX(FG_PRICE(0,-5AY))&lt;/Q&gt;&lt;R&gt;1&lt;/R&gt;&lt;C&gt;1&lt;/C&gt;&lt;D xsi:type="xsd:double"&gt;14.2525&lt;/D&gt;&lt;/FQL&gt;&lt;FQL&gt;&lt;Q&gt;EWJ^FMA_COS_DOWN("EPS","1M",+1,0,,,"PORTAGG","MEANR")&lt;/Q&gt;&lt;R&gt;1&lt;/R&gt;&lt;C&gt;1&lt;/C&gt;&lt;D xsi:type="xsd:double"&gt;86&lt;/D&gt;&lt;/FQL&gt;&lt;FQL&gt;&lt;Q&gt;EWA^FMA_RBICS_REV_CURRENT(30, LOC, "PORTAGG")&lt;/Q&gt;&lt;R&gt;1&lt;/R&gt;&lt;C&gt;1&lt;/C&gt;&lt;D xsi:type="xsd:double"&gt;40.9994250737971&lt;/D&gt;&lt;/FQL&gt;&lt;FQL&gt;&lt;Q&gt;TRYGR10Y-FDS^FG_YIELD(-10AY,0,Y,,"YTM")&lt;/Q&gt;&lt;R&gt;10&lt;/R&gt;&lt;C&gt;1&lt;/C&gt;&lt;D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xsi:type="xsd:double"&gt;3.099&lt;/D&gt;&lt;/FQL&gt;&lt;FQL&gt;&lt;Q&gt;EWC^FMA_DIV_YLD(NTMA,-10AY,0,AM,"PORTAGG","MEANR")&lt;/Q&gt;&lt;R&gt;121&lt;/R&gt;&lt;C&gt;1&lt;/C&gt;&lt;D xsi:type="xsd:double"&gt;2.904279209262&lt;/D&gt;&lt;D xsi:type="xsd:double"&gt;2.82016382041474&lt;/D&gt;&lt;D xsi:type="xsd:double"&gt;2.78700729773711&lt;/D&gt;&lt;D xsi:type="xsd:double"&gt;2.79609921799111&lt;/D&gt;&lt;D xsi:type="xsd:double"&gt;2.77099452392765&lt;/D&gt;&lt;D xsi:type="xsd:double"&gt;3.04579480898147&lt;/D&gt;&lt;D xsi:type="xsd:double"&gt;2.92311921876323&lt;/D&gt;&lt;D xsi:type="xsd:double"&gt;3.02891366613463&lt;/D&gt;&lt;D xsi:type="xsd:double"&gt;3.02490215774651&lt;/D&gt;&lt;D xsi:type="xsd:double"&gt;2.83770467492813&lt;/D&gt;&lt;D xsi:type="xsd:double"&gt;2.91371445335753&lt;/D&gt;&lt;D xsi:type="xsd:double"&gt;2.83053741302833&lt;/D&gt;&lt;D xsi:type="xsd:double"&gt;2.87728232371908&lt;/D&gt;&lt;D xsi:type="xsd:double"&gt;2.95865478933279&lt;/D&gt;&lt;D xsi:type="xsd:double"&gt;3.00539281565567&lt;/D&gt;&lt;D xsi:type="xsd:double"&gt;3.07687857292212&lt;/D&gt;&lt;D xsi:type="xsd:double"&gt;3.18165330634181&lt;/D&gt;&lt;D xsi:type="xsd:double"&gt;3.17867320621897&lt;/D&gt;&lt;D xsi:type="xsd:double"&gt;3.32836478049613&lt;/D&gt;&lt;D xsi:type="xsd:double"&gt;3.38445922248454&lt;/D&gt;&lt;D xsi:type="xsd:double"&gt;3.64412404871095&lt;/D&gt;&lt;D xsi:type="xsd:double"&gt;3.32106283614221&lt;/D&gt;&lt;D xsi:type="xsd:double"&gt;3.11114776039523&lt;/D&gt;&lt;D xsi:ty</t>
        </r>
      </text>
    </comment>
    <comment ref="A11" authorId="0" shapeId="0" xr:uid="{04A8497D-4DFF-441A-97FA-7016E56CD7A0}">
      <text>
        <r>
          <rPr>
            <b/>
            <sz val="9"/>
            <color indexed="81"/>
            <rFont val="Tahoma"/>
            <charset val="1"/>
          </rPr>
          <t>pe="xsd:double"&gt;3.11844869880289&lt;/D&gt;&lt;D xsi:type="xsd:double"&gt;3.05792092505624&lt;/D&gt;&lt;D xsi:type="xsd:double"&gt;3.0980306284358&lt;/D&gt;&lt;D xsi:type="xsd:double"&gt;2.99632552911268&lt;/D&gt;&lt;D xsi:type="xsd:double"&gt;2.95410841831812&lt;/D&gt;&lt;D xsi:type="xsd:double"&gt;3.00052497913214&lt;/D&gt;&lt;D xsi:type="xsd:double"&gt;2.96565732763351&lt;/D&gt;&lt;D xsi:type="xsd:double"&gt;2.91583040772689&lt;/D&gt;&lt;D xsi:type="xsd:double"&gt;2.8392288205718&lt;/D&gt;&lt;D xsi:type="xsd:double"&gt;2.82550184482125&lt;/D&gt;&lt;D xsi:type="xsd:double"&gt;2.7799235385461&lt;/D&gt;&lt;D xsi:type="xsd:double"&gt;2.91681891170469&lt;/D&gt;&lt;D xsi:type="xsd:double"&gt;2.90618928111236&lt;/D&gt;&lt;D xsi:type="xsd:double"&gt;3.01540466197008&lt;/D&gt;&lt;D xsi:type="xsd:double"&gt;3.03561012837462&lt;/D&gt;&lt;D xsi:type="xsd:double"&gt;3.04375967880026&lt;/D&gt;&lt;D xsi:type="xsd:double"&gt;3.07525171495922&lt;/D&gt;&lt;D xsi:type="xsd:double"&gt;3.07622990165703&lt;/D&gt;&lt;D xsi:type="xsd:double"&gt;2.94883672327038&lt;/D&gt;&lt;D xsi:type="xsd:double"&gt;2.92741102375636&lt;/D&gt;&lt;D xsi:type="xsd:double"&gt;2.92599443589103&lt;/D&gt;&lt;D xsi:type="xsd:double"&gt;2.89656300623123&lt;/D&gt;&lt;D xsi:type="xsd:double"&gt;3.11203558435758&lt;/D&gt;&lt;D xsi:type="xsd:double"&gt;3.10563011661686&lt;/D&gt;&lt;D xsi:type="xsd:double"&gt;3.20407768940493&lt;/D&gt;&lt;D xsi:type="xsd:double"&gt;3.05037705380593&lt;/D&gt;&lt;D xsi:type="xsd:double"&gt;3.05347109642868&lt;/D&gt;&lt;D xsi:type="xsd:double"&gt;3.04006919223512&lt;/D&gt;&lt;D xsi:type="xsd:double"&gt;3.0875653910289&lt;/D&gt;&lt;D xsi:type="xsd:double"&gt;3.17063888971521&lt;/D&gt;&lt;D xsi:type="xsd:double"&gt;3.31394102319248&lt;/D&gt;&lt;D xsi:type="xsd:double"&gt;3.39395448359306&lt;/D&gt;&lt;D xsi:type="xsd:double"&gt;3.58309280336358&lt;/D&gt;&lt;D xsi:type="xsd:double"&gt;3.38818561884061&lt;/D&gt;&lt;D xsi:type="xsd:double"&gt;3.30233583513369&lt;/D&gt;&lt;D xsi:type="xsd:double"&gt;3.2621944306028&lt;/D&gt;&lt;D xsi:type="xsd:double"&gt;3.17692930468363&lt;/D&gt;&lt;D xsi:type="xsd:double"&gt;3.29691206358231&lt;/D&gt;&lt;D xsi:type="xsd:double"&gt;3.32410948875359&lt;/D&gt;&lt;D xsi:type="xsd:double"&gt;3.31671915096764&lt;/D&gt;&lt;D xsi:type="xsd:double"&gt;3.43608433709241&lt;/D&gt;&lt;D xsi:type="xsd:double"&gt;3.29293572318402&lt;/D&gt;&lt;D xsi:type="xsd:double"&gt;3.36994183814982&lt;/D&gt;&lt;D xsi:type="xsd:double"&gt;3.24121717299692&lt;/D&gt;&lt;D xsi:type="xsd:double"&gt;3.2481479394798&lt;/D&gt;&lt;D xsi:type="xsd:double"&gt;3.21137301370799&lt;/D&gt;&lt;D xsi:type="xsd:double"&gt;3.2083159761728&lt;/D&gt;&lt;D xsi:type="xsd:double"&gt;4.58055592925542&lt;/D&gt;&lt;D xsi:type="xsd:double"&gt;4.01732741148533&lt;/D&gt;&lt;D xsi:type="xsd:double"&gt;3.80079386087974&lt;/D&gt;&lt;D xsi:type="xsd:double"&gt;3.5624395471794&lt;/D&gt;&lt;D xsi:type="xsd:double"&gt;3.42392078339805&lt;/D&gt;&lt;D xsi:type="xsd:double"&gt;3.32617786247749&lt;/D&gt;&lt;D xsi:type="xsd:double"&gt;3.42842427903649&lt;/D&gt;&lt;D xsi:type="xsd:double"&gt;3.39720943577472&lt;/D&gt;&lt;D xsi:type="xsd:double"&gt;3.27426764853698&lt;/D&gt;&lt;D xsi:type="xsd:double"&gt;3.09544482261238&lt;/D&gt;&lt;D xsi:type="xsd:double"&gt;3.03471458206327&lt;/D&gt;&lt;D xsi:type="xsd:double"&gt;2.93836218305377&lt;/D&gt;&lt;D xsi:type="xsd:double"&gt;2.81564948446752&lt;/D&gt;&lt;D xsi:type="xsd:double"&gt;2.7377678768976&lt;/D&gt;&lt;D xsi:type="xsd:double"&gt;2.7146726589006&lt;/D&gt;&lt;D xsi:type="xsd:double"&gt;2.56444040683179&lt;/D&gt;&lt;D xsi:type="xsd:double"&gt;2.7423913748421&lt;/D&gt;&lt;D xsi:type="xsd:double"&gt;2.70907250132508&lt;/D&gt;&lt;D xsi:type="xsd:double"&gt;2.77061552746887&lt;/D&gt;&lt;D xsi:type="xsd:double"&gt;2.71414416444172&lt;/D&gt;&lt;D xsi:type="xsd:double"&gt;2.69222056811276&lt;/D&gt;&lt;D xsi:type="xsd:double"&gt;2.84314354829194&lt;/D&gt;&lt;D xsi:type="xsd:double"&gt;2.76472550600423&lt;/D&gt;&lt;D xsi:type="xsd:double"&gt;2.84692979292293&lt;/D&gt;&lt;D xsi:type="xsd:double"&gt;2.80534123057991&lt;/D&gt;&lt;D xsi:type="xsd:double"&gt;2.84438195246634&lt;/D&gt;&lt;D xsi:type="xsd:double"&gt;3.13436251116155&lt;/D&gt;&lt;D xsi:type="xsd:double"&gt;3.41604206723269&lt;/D&gt;&lt;D xsi:type="xsd:double"&gt;3.52693570596011&lt;/D&gt;&lt;D xsi:type="xsd:double"&gt;3.30110830179878&lt;/D&gt;&lt;D xsi:type="xsd:double"&gt;3.45322396694688&lt;/D&gt;&lt;D xsi:type="xsd:double"&gt;3.60140545884748&lt;/D&gt;&lt;D xsi:type="xsd:double"&gt;3.35084493192491&lt;/D&gt;&lt;D xsi:type="xsd:double"&gt;3.46249639725673&lt;/D&gt;&lt;D xsi:type="xsd:double"&gt;3.3336033376245&lt;/D&gt;&lt;D xsi:type="xsd:double"&gt;3.29751361090514&lt;/D&gt;&lt;D xsi:type="xsd:double"&gt;3.49150030663514&lt;/D&gt;&lt;D xsi:type="xsd:double"&gt;3.24047647720775&lt;/D&gt;&lt;D xsi:type="xsd:double"&gt;3.28201913764476&lt;/D&gt;&lt;D xsi:type="xsd:double"&gt;3.29944235753295&lt;/D&gt;&lt;D xsi:type="xsd:double"&gt;3.22288715113695&lt;/D&gt;&lt;D xsi:type="xsd:double"&gt;3.57680751426308&lt;/D&gt;&lt;D xsi:type="xsd:double"&gt;3.43828310067102&lt;/D&gt;&lt;D xsi:type="xsd:double"&gt;3.61487837797554&lt;/D&gt;&lt;D xsi:type="xsd:double"&gt;3.50362291855412&lt;/D&gt;&lt;D xsi:type="xsd:double"&gt;3.43438134094618&lt;/D&gt;&lt;D xsi:type="xsd:double"&gt;3.39667160090367&lt;/D&gt;&lt;D xsi:type="xsd:double"&gt;3.28414205413457&lt;/D&gt;&lt;D xsi:type="xsd:double"&gt;3.1526340202902&lt;/D&gt;&lt;D xsi:type="xsd:double"&gt;3.16460931496625&lt;/D&gt;&lt;D xsi:type="xsd:double"&gt;3.04629649946898&lt;/D&gt;&lt;/FQL&gt;&lt;FQL&gt;&lt;Q&gt;REFCATARG-FDS^FG_YIELD(NOW,,,0)&lt;/Q&gt;&lt;R&gt;1&lt;/R&gt;&lt;C&gt;1&lt;/C&gt;&lt;D xsi:type="xsd:double"&gt;5&lt;/D&gt;&lt;/FQL&gt;&lt;FQL&gt;&lt;Q&gt;USDEUR^STD(FG_PRICE_CHANGE(0,-1AY,AM))&lt;/Q&gt;&lt;R&gt;1&lt;/R&gt;&lt;C&gt;1&lt;/C&gt;&lt;D xsi:type="xsd:double"&gt;1.93362295760013&lt;/D&gt;&lt;/FQL&gt;&lt;FQL&gt;&lt;Q&gt;WL-FDS^FG_PRICE_MAVG(0,,,,30)&lt;/Q&gt;&lt;R&gt;1&lt;/R&gt;&lt;C&gt;1&lt;/C&gt;&lt;D xsi:type="xsd:double"&gt;577.73&lt;/D&gt;&lt;/FQL&gt;&lt;FQL&gt;&lt;Q&gt;W-FDS^FG_PRICE(0)/MAX(FG_PRICE(0,-1AY))&lt;/Q&gt;&lt;R&gt;1&lt;/R&gt;&lt;C&gt;1&lt;/C&gt;&lt;D xsi:type="xsd:double"&gt;0.856626109832292&lt;/D&gt;&lt;/FQL&gt;&lt;FQL&gt;&lt;Q&gt;EWG^FMA_PCT_ABOVE_MAVG(200,0,,,,"PORTAGG")&lt;/Q&gt;&lt;R&gt;1&lt;/R&gt;&lt;C&gt;1&lt;/C&gt;&lt;D xsi:type="xsd:double"&gt;82.4561403508772&lt;/D&gt;&lt;/FQL&gt;&lt;FQL&gt;&lt;Q&gt;TRYCA10Y-FDS^PCTCHG(FG_YIELD(0,,,,"YTM"),FG_YIELD(-3AM,,,,"YTM"))&lt;/Q&gt;&lt;R&gt;1&lt;/R&gt;&lt;C&gt;1&lt;/C&gt;&lt;D xsi:type="xsd:double"&gt;0.97713745&lt;/D&gt;&lt;/FQL&gt;&lt;FQL&gt;&lt;Q&gt;EWD^FG_FCF_YIELD_NTM(0)&lt;/Q&gt;&lt;R&gt;1&lt;/R&gt;&lt;C&gt;1&lt;/C&gt;&lt;D xsi:type="xsd:double"&gt;4.91521715753322&lt;/D&gt;&lt;/FQL&gt;&lt;FQL&gt;&lt;Q&gt;SPY^FG_TOTAL_RETURNC(0,-6AM)&lt;/Q&gt;&lt;R&gt;1&lt;/R&gt;&lt;C&gt;1&lt;/C&gt;&lt;D xsi:type="xsd:double"&gt;18.295288&lt;/D&gt;&lt;/FQL&gt;&lt;FQL&gt;&lt;Q&gt;TRYCH10Y-FDS^FG_YIELD(-10AY,0,Y,,"YTM")&lt;/Q&gt;&lt;R&gt;10&lt;/R&gt;&lt;C&gt;1&lt;/C&gt;&lt;D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xsi:type="xsd:double"&gt;0.703&lt;/D&gt;&lt;/FQL&gt;&lt;FQL&gt;&lt;Q&gt;QQQ^PERCENT_CHANGE(FMA_EPS(+1,0,,,,"PORTAGG","MEAN"),FMA_EPS(+1,-1AM,,,,"PORTAGG","MEAN"))&lt;/Q&gt;&lt;R&gt;1&lt;/R&gt;&lt;C&gt;1&lt;/C&gt;&lt;D xsi:type="xsd:double"&gt;-0.441653169618854&lt;/D&gt;&lt;/FQL&gt;&lt;FQL&gt;&lt;Q&gt;REFCATARG-FDS^PROPER_NAME(0,,,"SECURITY","NAME")&lt;/Q&gt;&lt;R&gt;1&lt;/R&gt;&lt;C&gt;1&lt;/C&gt;&lt;D xsi:type="xsd:string"&gt;Canada Target Rate&lt;/D&gt;&lt;/FQL&gt;&lt;FQL&gt;&lt;Q&gt;EWU^FMA_PE(LTM,0,,,"PORTAGG","MEANR")&lt;/Q&gt;&lt;R&gt;1&lt;/R&gt;&lt;C&gt;1&lt;/C&gt;&lt;D xsi:type="xsd:double"&gt;12.7435732439648&lt;/D&gt;&lt;/FQL&gt;&lt;FQL&gt;&lt;Q&gt;EWC^JULIAN(FMA_DIV_YLD(NTMA,NOW,NOW,M,"PORTAGG","MEANR").DATES)&lt;/Q&gt;&lt;R&gt;1&lt;/R&gt;&lt;C&gt;1&lt;/C&gt;&lt;D xsi:type="xsd:long"&gt;45412&lt;/D&gt;&lt;/FQL&gt;&lt;FQL&gt;&lt;Q&gt;EWI^FG_PRICE_MAVG(0,,,,200)&lt;/Q&gt;&lt;R&gt;1&lt;/R&gt;&lt;C&gt;1&lt;/C&gt;&lt;D xsi:type="xsd:double"&gt;33.6466&lt;/D&gt;&lt;/FQL&gt;&lt;FQL&gt;&lt;Q&gt;EWD^PERCENT_CHANGE(FMA_EPS(+1,0,,,,"PORTAGG","MEAN"),FMA_EPS(+1,-3AM,,,,"PORTAGG","MEAN"))&lt;/Q&gt;&lt;R&gt;1&lt;/R&gt;&lt;C&gt;1&lt;/C&gt;&lt;D xsi:type="xsd:double"&gt;3.9252832312353&lt;/D&gt;&lt;/FQL&gt;&lt;FQL&gt;&lt;Q&gt;EWC^FG_TOTAL_RETURNC(0,-12AM)&lt;/Q&gt;&lt;R&gt;1&lt;/R&gt;&lt;C&gt;1&lt;/C&gt;&lt;D xsi:type="xsd:double"&gt;13.410198&lt;/D&gt;&lt;/FQL&gt;&lt;FQL&gt;&lt;Q&gt;EWI^FG_ROE(0)&lt;/Q&gt;&lt;R&gt;1&lt;/R&gt;&lt;C&gt;1&lt;/C&gt;&lt;D xsi:type="xsd:double"&gt;14.0767645953124&lt;/D&gt;&lt;/FQL&gt;&lt;FQL&gt;&lt;Q&gt;EWI^FMA_PE(NTMA,-10AY,0,AM,"PORTAGG","MEANR")&lt;/Q&gt;&lt;R&gt;121&lt;/R&gt;&lt;C&gt;1&lt;/C&gt;&lt;D xsi:type="xsd:double"&gt;13.5752952232511&lt;/D&gt;&lt;D xsi:type="xsd:double"&gt;14.5345461299792&lt;/D&gt;&lt;D xsi:type="xsd:double"&gt;13.798845279625&lt;/D&gt;&lt;D xsi:type="xsd:double"&gt;13.0386173985438&lt;/D&gt;&lt;D xsi:type="xsd:double"&gt;14.0523637299818&lt;/D&gt;&lt;D xsi:type="xsd:double"&gt;12.1588940617381&lt;/D&gt;&lt;D xsi:type="xsd:double"&gt;12.7439780484957&lt;/D&gt;&lt;D xsi:type="xsd:double"&gt;12.1798685909369&lt;/D&gt;&lt;D xsi:type="xsd:double"&gt;12.9713912814776&lt;/D&gt;&lt;D xsi:type="xsd:double"&gt;14.723183643786&lt;/D&gt;&lt;D xsi:type="xsd:double"&gt;15.5150295405526&lt;/D&gt;&lt;D xsi:type="xsd:double"&gt;15.6874618983984&lt;/D&gt;&lt;D xsi:type="xsd:double"&gt;15.8818995502097&lt;/D&gt;&lt;D xsi:type="xsd:double"&gt;14.7161983701988&lt;/D&gt;&lt;D xsi:type="xsd:double"&gt;15.5309850173596&lt;/D&gt;&lt;D xsi:type="xsd:double"&gt;15.3783470989985&lt;/D&gt;&lt;D xsi:type="xsd:double"&gt;14.5329857002314&lt;/D&gt;&lt;D xsi:type="xsd:double"&gt;14.6660591370084&lt;/D&gt;&lt;D xsi:type="xsd:double"&gt;14.8388297420109&lt;/D&gt;&lt;D xsi:type="xsd:double"&gt;14.187914728014&lt;/D&gt;&lt;D xsi:type="xsd:double"&gt;12.9375630811572&lt;/D&gt;&lt;D xsi:type="xsd:double"&gt;12.5017985665501&lt;/D&gt;&lt;D xsi:type="xsd:double"&gt;13.4405156703774&lt;/D&gt;&lt;D xsi:type="xsd:double"&gt;13.2821762419877&lt;/D&gt;&lt;D xsi:type="xsd:double"&gt;13.3850728730183&lt;/D&gt;&lt;D xsi:type="xsd:double"&gt;12.3419643320221&lt;/D&gt;&lt;D xsi:type="xsd:double"&gt;12.3935258935753&lt;/D&gt;&lt;D xsi:type="xsd:double"&gt;12.4021493483137&lt;/D&gt;&lt;D xsi:type="xsd:double"&gt;11.6759630743512&lt;/D&gt;&lt;D xsi:type="xsd:double"&gt;11.8223360278613&lt;/D&gt;&lt;D xsi:type="xsd:double"&gt;11.6212527463336&lt;/D&gt;&lt;D xsi:type="xsd:double"&gt;13.4700170878655&lt;/D&gt;&lt;D xsi:type="xsd:double"&gt;13.2806848233235&lt;/D&gt;&lt;D xsi:type="xsd:double"&gt;13.0803427844456&lt;/D&gt;&lt;D xsi:type="xsd:double"&gt;13.5188472491037&lt;/D&gt;&lt;D xsi:type="xsd:double"&gt;12.9826947920323&lt;/D&gt;&lt;D xsi:type="xsd:double"&gt;13.6802727916233&lt;/D&gt;&lt;D xsi:type="xsd:double"&gt;13.356857243235&lt;/D&gt;&lt;D xsi:type="xsd:double"&gt;13.5616738185724&lt;/D&gt;&lt;D xsi:type="xsd:double"&gt;13.3454382550225&lt;/D&gt;&lt;D xsi:type="xsd:double"&gt;13.4115433631384&lt;/D&gt;&lt;D xsi:type="xsd:double"&gt;13.4865148687932&lt;/D&gt;&lt;D xsi:type="xsd:double"&gt;13.1060458015238&lt;/D&gt;&lt;D xsi:type="xsd:double"&gt;13.2084720865987&lt;/D&gt;&lt;D xsi:type="xsd:double"&gt;13.6224851252248&lt;/D&gt;&lt;D xsi:type="xsd:double"&gt;12.7056101915544&lt;/D&gt;&lt;D xsi:type="xsd:double"&gt;12.70020595427&lt;/D&gt;&lt;D xsi:type="xsd:double"&gt;12.9451431018274&lt;/D&gt;&lt;D xsi:type="xsd:double"&gt;12.6702916898284&lt;/D&gt;&lt;D xsi:type="xsd:double"&gt;11.6888328349106&lt;/D&gt;&lt;D xsi:type="xsd:double"&gt;11.4451235160109&lt;/D&gt;&lt;D xsi:type="xsd:double"&gt;10.7085908329166&lt;/D&gt;&lt;D xsi:type="xsd:double"&gt;10.8536523702006&lt;/D&gt;&lt;D xsi:type="xsd:double"&gt;9.96585683891102&lt;/D&gt;&lt;D xsi:type="xsd:double"&gt;9.58884661010097&lt;/D&gt;&lt;D xsi:type="xsd:double"&gt;9.38902010207708&lt;/D&gt;&lt;D xsi:type="xsd:double"&gt;9.79330836187121&lt;/D&gt;&lt;D xsi:type="xsd:double"&gt;10.3589539345726&lt;/D&gt;&lt;D xsi:type="xsd:double"&gt;10.6705866578494&lt;/D&gt;&lt;D xsi:type="xsd:double"&gt;10.9966626808465&lt;/D&gt;&lt;D xsi:type="xsd:double"&gt;10.4634374155735&lt;/D&gt;&lt;D xsi:type="xsd:double"&gt;10.2081596596077&lt;/D&gt;&lt;D xsi:type="xsd:double"&gt;10.8976797400085&lt;/D&gt;&lt;D xsi:type="xsd:double"&gt;10.0166494519419&lt;/D&gt;&lt;D xsi:type="xsd:double"&gt;10.7175279020229&lt;/D&gt;&lt;D xsi:type="xsd:double"&gt;10.9166142439954&lt;/D&gt;&lt;D xsi:type="xsd:double"&gt;11.3768361901244&lt;/D&gt;&lt;D xsi:type="xsd:double"&gt;11.4816358504231&lt;/D&gt;&lt;D xsi:type="xsd:double"&gt;11.6649048548083&lt;/D&gt;&lt;D xsi:type="xsd:double"&gt;11.8433227288521&lt;/D&gt;&lt;D xsi:type="xsd:double"&gt;7.73953506982402&lt;/D&gt;&lt;D xsi:type="xsd:double"&gt;11.1768083775679&lt;/D&gt;&lt;D xsi:type="xsd:double"&gt;14.359446378954&lt;/D&gt;&lt;D xsi:type="xsd:double"&gt;17.4997128352626&lt;/D&gt;&lt;D xsi:type="xsd:double"&gt;17.8707721558781&lt;/D&gt;&lt;D xsi:type="xsd:double"&gt;16.3394317648155&lt;/D&gt;&lt;D xsi:type="xsd:double"&gt;15.4907437946668&lt;/D&gt;&lt;D xsi:type="xsd:double"&gt;14.6175666502017&lt;/D&gt;&lt;D xsi:type="xsd:double"&gt;15.0836901459744&lt;/D&gt;&lt;D xsi:type="xsd:double"&gt;14.9105730140231&lt;/D&gt;&lt;D xsi:type="xsd:double"&gt;14.5483480324116&lt;/D&gt;&lt;D xsi:type="xsd:double"&gt;14.1339837890919&lt;/D&gt;&lt;D xsi:type="xsd:double"&gt;14.0702401622382&lt;/D&gt;&lt;D xsi:type="xsd:double"&gt;13.9800235170131&lt;/D&gt;&lt;D xsi:type="xsd:double"&gt;13.3583104835587&lt;/D&gt;&lt;D xsi:type="xsd:double"&gt;13.7759654466976&lt;/D&gt;&lt;D xsi:type="xsd:double"&gt;12.968662598616&lt;/D&gt;&lt;D xsi:type="xsd:double"&gt;12.2429377468842&lt;/D&gt;&lt;D xsi:type="xsd:double"&gt;11.6240744240396&lt;/D&gt;&lt;D xsi:type="xsd:double"&gt;11.7498462835517&lt;/D&gt;&lt;D xsi:type="xsd:double"&gt;11.8213258953336&lt;/D&gt;&lt;D xsi:type="xsd:double"&gt;10.8266698176851&lt;/D&gt;&lt;D xsi:type="xsd:double"&gt;11.077434246242&lt;/D&gt;&lt;D xsi:type="xsd:double"&gt;10.530511456946&lt;/D&gt;&lt;D xsi:type="xsd:double"&gt;9.56361298153518&lt;/D&gt;&lt;D xsi:type="xsd:double"&gt;9.73310447423821&lt;/D&gt;&lt;D xsi:type="xsd:double"&gt;9.03689074559003&lt;/D&gt;&lt;D xsi:type="xsd:double"&gt;7.87479265573353&lt;/D&gt;&lt;D xsi:type="xsd:double"&gt;7.47688408055032&lt;/D&gt;&lt;D xsi:type="xsd:double"&gt;7.69076411807023&lt;/D&gt;&lt;D xsi:type="xsd:double"&gt;7.68022288790052&lt;/D&gt;&lt;D xsi:type="xsd:double"&gt;7.43145269698302&lt;/D&gt;&lt;D xsi:type="xsd:double"&gt;8.14061519079968&lt;/D&gt;&lt;D xsi:type="xsd:double"&gt;7.59605159606092&lt;/D&gt;&lt;D xsi:type="xsd:double"&gt;8.23401012495821&lt;/D&gt;&lt;D xsi:type="xsd:double"&gt;8.4859409152171&lt;/D&gt;&lt;D xsi:type="xsd:double"&gt;7.98715991283366&lt;/D&gt;&lt;D xsi:type="xsd:double"&gt;8.71044814633098&lt;/D&gt;&lt;D xsi:type="xsd:double"&gt;8.28040314270958&lt;/D&gt;&lt;D xsi:type="xsd:double"&gt;8.79828247641717&lt;/D&gt;&lt;D xsi:type="xsd:double"&gt;8.79996684206845&lt;/D&gt;&lt;D xsi:type="xsd:double"&gt;8.13286785726676&lt;/D&gt;&lt;D xsi:type="xsd:double"&gt;8.49895664906106&lt;/D&gt;&lt;D xsi:type="xsd:double"&gt;8.17635501410188&lt;/D&gt;&lt;D xsi:type="xsd:double"&gt;8.32444449997972&lt;/D&gt;&lt;D xsi:type="xsd:double"&gt;8.8535870516537&lt;/D&gt;&lt;D xsi:type="xsd:double"&gt;8.93252225761158&lt;/D&gt;&lt;D xsi:type="xsd:double"&gt;9.00212194058697&lt;/D&gt;&lt;D xsi:type="xsd:double"&gt;9.62361714977697&lt;/D&gt;&lt;D xsi:type="xsd:double"&gt;9.4914068947035&lt;/D&gt;&lt;D xsi:type="xsd:double"&gt;9.96424773195367&lt;/D&gt;&lt;/FQL&gt;&lt;FQL&gt;&lt;Q&gt;QQQ^FMA_PCT_ABOVE_MAVG(200,0,,,,"PORTAGG")&lt;/Q&gt;&lt;R&gt;1&lt;/R&gt;&lt;C&gt;1&lt;/C&gt;&lt;D xsi:type="xsd:double"&gt;70.5882352941177&lt;/D&gt;&lt;/FQL&gt;&lt;FQL&gt;&lt;Q&gt;VWO^FMA_COS_DOWN("EPS","1M",+1,0,,,"PORTAGG","MEANR")&lt;/Q&gt;&lt;R&gt;1&lt;/R&gt;&lt;C&gt;1&lt;/C&gt;&lt;D xsi:type="xsd:double"&gt;1619&lt;/D&gt;&lt;/FQL&gt;&lt;FQL&gt;&lt;Q&gt;EWN^FG_ROE(0)&lt;/Q&gt;&lt;R&gt;1&lt;/R&gt;&lt;C&gt;1&lt;/C&gt;&lt;D xsi:type="xsd:double"&gt;11.5664337352097&lt;/D&gt;&lt;/FQL&gt;&lt;FQL&gt;&lt;Q&gt;EWU^JULIAN(FMA_DIV_YLD(NTMA,NOW,NOW,M,"PORTAGG","MEANR").DATES)&lt;/Q&gt;&lt;R&gt;1&lt;/R&gt;&lt;C&gt;1&lt;/C&gt;&lt;D xsi:type="xsd:long"&gt;45412&lt;/D&gt;&lt;/FQL&gt;&lt;FQL&gt;&lt;Q&gt;TRYTW10Y-FDS^FG_YIELD(-10AY,0,Y,,"YTM")&lt;/Q&gt;&lt;R&gt;10&lt;/R&gt;&lt;C&gt;1&lt;/C&gt;&lt;D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xsi:type="xsd:double"&gt;1.211&lt;/D&gt;&lt;/FQL&gt;&lt;FQL&gt;&lt;Q&gt;CC_US^FG_COMPANY_NAME&lt;/Q&gt;&lt;R&gt;1&lt;/R&gt;&lt;C&gt;1&lt;/C&gt;&lt;D xsi:type="xsd:string"&gt;United States&lt;/D&gt;&lt;/FQL&gt;&lt;FQL&gt;&lt;Q&gt;USDEUR^FG_PRICE_CHANGE(0,-1AM)&lt;/Q&gt;&lt;R&gt;1&lt;/R&gt;&lt;C&gt;1&lt;/C&gt;&lt;D xsi:type="xsd:double"&gt;-2.2020936&lt;/D&gt;&lt;/FQL&gt;&lt;FQL&gt;&lt;Q&gt;PASP-FDS^MAX(FG_PRICE(0,-5AY))&lt;/Q&gt;&lt;R&gt;1&lt;/R&gt;&lt;C&gt;1&lt;/C&gt;&lt;D xsi:type="xsd:double"&gt;3158.12&lt;/D&gt;&lt;/FQL&gt;&lt;FQL&gt;&lt;Q&gt;EWU^FG_TOTAL_RETURNC(0,-12AM)&lt;/Q&gt;&lt;R&gt;1&lt;/R&gt;&lt;C&gt;1&lt;/C&gt;&lt;D xsi:type="xsd:double"&gt;15.028334&lt;/D&gt;&lt;/FQL&gt;&lt;FQL&gt;&lt;Q&gt;EWD^JULIAN(FMA_DIV_YLD(NTMA,NOW,NOW,M,"PORTAGG","MEANR").DATES)&lt;/Q&gt;&lt;R&gt;1&lt;/R&gt;&lt;C&gt;1&lt;/C&gt;&lt;D xsi:type="xsd:long"&gt;45412&lt;/D&gt;&lt;/FQL&gt;&lt;FQL&gt;&lt;Q&gt;EWA^FG_FCF_YIELD_NTM(0)&lt;/Q&gt;&lt;R&gt;1&lt;/R&gt;&lt;C&gt;1&lt;/C&gt;&lt;D xsi:type="xsd:double"&gt;4.8248472596381&lt;/D&gt;&lt;/FQL&gt;&lt;FQL&gt;&lt;Q&gt;CAGDPY@DE^EE_ACTUAL_ANNUAL(MED,0)&lt;/Q&gt;&lt;R&gt;1&lt;/R&gt;&lt;C&gt;1&lt;/C&gt;&lt;D xsi:type="xsd:double"&gt;6.11360061654642&lt;/D&gt;&lt;/FQL&gt;&lt;FQL&gt;&lt;Q&gt;USDANG^FG_PRICE_CHANGE(0,-1AY)&lt;/Q&gt;&lt;R&gt;1&lt;/R&gt;&lt;C&gt;1&lt;/C&gt;&lt;D xsi:type="xsd:double"&gt;0&lt;/D&gt;&lt;/FQL&gt;&lt;FQL&gt;&lt;Q&gt;EWD^FMA_EPS(NTMA,-20AY,0,CY,,"PORTAGG","MEANR")&lt;/Q&gt;&lt;R&gt;20&lt;/R&gt;&lt;C&gt;1&lt;/C&gt;&lt;D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xsi:type="xsd:double"&gt;2.04500090501156&lt;/D&gt;&lt;D xsi:type="xsd:double"&gt;2.21381527791346&lt;/D&gt;&lt;D xsi:type="xsd:double"&gt;2.48981565223205&lt;/D&gt;&lt;D xsi:type="xsd:double"&gt;2.56419574366016&lt;/D&gt;&lt;D xsi:type="xsd:double"&gt;2.51009258677616&lt;/D&gt;&lt;/FQL&gt;&lt;FQL&gt;&lt;Q&gt;CPALM-FDS^FG_PRICE_CHANGE(0,-6AM)&lt;/Q&gt;&lt;R&gt;1&lt;/R&gt;&lt;C&gt;1&lt;/C&gt;&lt;D xsi:type="xsd:double"&gt;2.25781044893674&lt;/D&gt;&lt;/FQL&gt;&lt;FQL&gt;&lt;Q&gt;EWU^FG_PRICE(0)&lt;/Q&gt;&lt;R&gt;1&lt;/R&gt;&lt;C&gt;1&lt;/C&gt;&lt;D xsi:type="xsd:double"&gt;36.74&lt;/D&gt;&lt;/FQL&gt;&lt;FQL&gt;&lt;Q&gt;EWI^FG_TOTAL_RETURNC(0,-3AM)&lt;/Q&gt;&lt;R&gt;1&lt;/R&gt;&lt;C&gt;1&lt;/C&gt;&lt;D xsi:type="xsd:double"&gt;14.360464&lt;/D&gt;&lt;/FQL&gt;&lt;FQL&gt;&lt;Q&gt;SPY^FMA_RBICS_REV_CURRENT(30, LOC, "PORTAGG")&lt;/Q&gt;&lt;R&gt;1&lt;/R&gt;&lt;C&gt;1&lt;/C&gt;&lt;D xsi:type="xsd:double"&gt;12.6373564575531&lt;/D&gt;&lt;/FQL&gt;&lt;FQL&gt;&lt;Q&gt;REFGBBANK-FDS^PROPER_NAME(0,,,"SECURITY","NAME")&lt;/Q&gt;&lt;R&gt;1&lt;/R&gt;&lt;C&gt;1&lt;/C&gt;&lt;D xsi:type="xsd:string"&gt;UK Bank Rate&lt;/D&gt;&lt;/FQL&gt;&lt;FQL&gt;&lt;Q&gt;EWI^FMA_DIV_YLD(NTMA,NOW,NOW,M,"PORTAGG","MEANR")&lt;/Q&gt;&lt;R&gt;1&lt;/R&gt;&lt;C&gt;1&lt;/C&gt;&lt;D xsi:type="xsd:double"&gt;5.30813192252038&lt;/D&gt;&lt;/FQL&gt;&lt;FQL&gt;&lt;Q&gt;USDJPY^FG_PRICE(0)&lt;/Q&gt;&lt;R&gt;1&lt;/R&gt;&lt;C&gt;1&lt;/C&gt;&lt;D xsi:type="xsd:double"&gt;155.42&lt;/D&gt;&lt;/FQL&gt;&lt;FQL&gt;&lt;Q&gt;DDR3512M-FDS^FG_PRICE_CHANGE(0,-3AM)&lt;/Q&gt;&lt;R&gt;1&lt;/R&gt;&lt;C&gt;1&lt;/C&gt;&lt;D xsi:type="xsd:double"&gt;-0.75683058618139&lt;/D&gt;&lt;/FQL&gt;&lt;FQL&gt;&lt;Q&gt;EWL^SIZE(FG_CONSTITUENTS)&lt;/Q&gt;&lt;R&gt;1&lt;/R&gt;&lt;C&gt;1&lt;/C&gt;&lt;D xsi:type="xsd:long"&gt;46&lt;/D&gt;&lt;/FQL&gt;&lt;FQL&gt;&lt;Q&gt;TRYAU10Y-FDS^FG_YIELD_NAME&lt;/Q&gt;&lt;R&gt;1&lt;/R&gt;&lt;C&gt;1&lt;/C&gt;&lt;D xsi:type="xsd:string"&gt;Australia Benchmark Bond - 10 Year&lt;/D&gt;&lt;/FQL&gt;&lt;FQL&gt;&lt;Q&gt;CAGDPY@CA^EE_ACTUAL_ANNUAL(MED,+1)&lt;/Q&gt;&lt;R&gt;1&lt;/R&gt;&lt;C&gt;1&lt;/C&gt;&lt;D xsi:type="xsd:double"&gt;-0.8&lt;/D&gt;&lt;/FQL&gt;&lt;FQL&gt;&lt;Q&gt;EWL^FG_PRICE_MAVG(0,,,,200)&lt;/Q&gt;&lt;R&gt;1&lt;/R&gt;&lt;C&gt;1&lt;/C&gt;&lt;D xsi:type="xsd:double"&gt;45.94505&lt;/D&gt;&lt;/FQL&gt;&lt;FQL&gt;&lt;Q&gt;EWJ^FG_TOTAL_RETURNC(0,-1AM)&lt;/Q&gt;&lt;R&gt;1&lt;/R&gt;&lt;C&gt;1&lt;/C&gt;&lt;D xsi:type="xsd:double"&gt;2.4444938&lt;/D&gt;&lt;/FQL&gt;&lt;FQL&gt;&lt;Q&gt;QQQ^FG_TOTAL_RETURNC(0,-3AM)&lt;/Q&gt;&lt;R&gt;1&lt;/R&gt;&lt;C&gt;1&lt;/C&gt;&lt;D xsi:type="xsd:double"&gt;5.0589204&lt;/D&gt;&lt;/FQL&gt;&lt;FQL&gt;&lt;Q&gt;EWJ^FMA_RBICS_REV_CURRENT(30, LOC, "PORTAGG")&lt;/Q&gt;&lt;R&gt;1&lt;/R&gt;&lt;C&gt;1&lt;/C&gt;&lt;D xsi:type="xsd:double"&gt;18.3501830656636&lt;/D&gt;&lt;/FQL&gt;&lt;FQL&gt;&lt;Q&gt;REFCHMPR-FDS^FG_YIELD(NOW,,,0)&lt;/Q&gt;&lt;R&gt;1&lt;/R&gt;&lt;C&gt;1&lt;/C&gt;&lt;D xsi:type="xsd:double"&gt;1.5&lt;/D&gt;&lt;/FQL&gt;&lt;FQL&gt;&lt;Q&gt;UUP^FG_TOTAL_RETURNC(0,-3AM)&lt;/Q&gt;&lt;R&gt;1&lt;/R&gt;&lt;C&gt;1&lt;/C&gt;&lt;D xsi:type="xsd:double"&gt;1.6731858&lt;/D&gt;&lt;/FQL&gt;&lt;FQL&gt;&lt;Q&gt;EWJ^FMA_EPS(NTMA,-20AY,0,CY,,"PORTAGG","MEANR")&lt;/Q&gt;&lt;R&gt;20&lt;/R&gt;&lt;C&gt;1&lt;/C&gt;&lt;D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xsi:type="xsd:double"&gt;4.07638230861392&lt;/D&gt;&lt;D xsi:type="xsd:double"&gt;3.67789542177964&lt;/D&gt;&lt;D xsi:type="xsd:double"&gt;4.61613856769821&lt;/D&gt;&lt;D xsi:type="xsd:double"&gt;4.46089543101883&lt;/D&gt;&lt;D xsi:type="xsd:double"&gt;4.56664973540762&lt;/D&gt;&lt;/FQL&gt;&lt;FQL&gt;&lt;Q&gt;DDR3512M-FDS^FG_PRICE_CHANGE(0,-1AM)&lt;/Q&gt;&lt;R&gt;1&lt;/R&gt;&lt;C&gt;1&lt;/C&gt;&lt;D xsi:type="xsd:double"&gt;-0.613496451698714&lt;/D&gt;&lt;/FQL&gt;&lt;FQL&gt;&lt;Q&gt;TRYPE10Y-FDS^FG_YIELD(-10AY,0,Y,,"YTM")&lt;/Q&gt;&lt;R&gt;10&lt;/R&gt;&lt;C&gt;1&lt;/C&gt;&lt;D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xsi:type="xsd:double"&gt;6.6087&lt;/D&gt;&lt;/FQL&gt;&lt;FQL&gt;&lt;Q&gt;EWI^FMA_PCT_ABOVE_MAVG(200,0,,,,"PORTAGG")&lt;/Q&gt;&lt;R&gt;1&lt;/R&gt;&lt;C&gt;1&lt;/C&gt;&lt;D xsi:type="xsd:double"&gt;72&lt;/D&gt;&lt;/FQL&gt;&lt;FQL&gt;&lt;Q&gt;QQQ^FMA_PE(LTM,0,,,"PORTAGG","MEANR")&lt;/Q&gt;&lt;R&gt;1&lt;/R&gt;&lt;C&gt;1&lt;/C&gt;&lt;D xsi:type="xsd:double"&gt;33.3995897494224&lt;/D&gt;&lt;/FQL&gt;&lt;FQL&gt;&lt;Q&gt;CAGDPY@NZ^EE_ACTUAL_ANNUAL(MED,+1)&lt;/Q&gt;&lt;R&gt;1&lt;/R&gt;&lt;C&gt;1&lt;/C&gt;&lt;D xsi:type="xsd:double"&gt;-6.05&lt;/D&gt;&lt;/FQL&gt;&lt;FQL&gt;&lt;Q&gt;USDEUR^STD(FG_PRICE_CHANGE(0,-3AY,M))&lt;/Q&gt;&lt;R&gt;1&lt;/R&gt;&lt;C&gt;1&lt;/C&gt;&lt;D xsi:type="xsd:double"&gt;2.17952888526641&lt;/D&gt;&lt;/FQL&gt;&lt;FQL&gt;&lt;Q&gt;DDR3512M-FDS^FG_PRICE_MAVG(0,,,,30)&lt;/Q&gt;&lt;R&gt;1&lt;/R&gt;&lt;C&gt;1&lt;/C&gt;&lt;D xsi:type="xsd:double"&gt;0.96873313&lt;/D&gt;&lt;/FQL&gt;&lt;FQL&gt;&lt;Q&gt;EWJ^FG_PRICE_MAVG(0,,,,30)&lt;/Q&gt;&lt;R&gt;1&lt;/R&gt;&lt;C&gt;1&lt;/C&gt;&lt;D xsi:type="xsd:double"&gt;68.219666&lt;/D&gt;&lt;/FQL&gt;&lt;FQL&gt;&lt;Q&gt;URTH^P_PRICE(0)/P_PRICE_HIGH_PR(0,,,,,,"PRICE","INTRA","52W")&lt;/Q&gt;&lt;R&gt;1&lt;/R&gt;&lt;C&gt;1&lt;/C&gt;&lt;D xsi:type="xsd:double"&gt;0.9978917&lt;/D&gt;&lt;/FQL&gt;&lt;FQL&gt;&lt;Q&gt;TRYDE10Y-FDS^PCTCHG(FG_YIELD(0,,,,"YTM"),FG_YIELD(-1AM,,,,"YTM"))&lt;/Q&gt;&lt;R&gt;1&lt;/R&gt;&lt;C&gt;1&lt;/C&gt;&lt;D xsi:type="xsd:double"&gt;1.1294827&lt;/D&gt;&lt;/FQL&gt;&lt;FQL&gt;&lt;Q&gt;CC_IT^IMF_IFS_RCPI_Q(0)&lt;/Q&gt;&lt;R&gt;1&lt;/R&gt;&lt;C&gt;1&lt;/C&gt;&lt;D xsi:type="xsd:double"&gt;0.92385906&lt;/D&gt;&lt;/FQL&gt;&lt;FQL&gt;&lt;Q&gt;EWD^FMA_EVAL_EBITDA(NTMA,0,,,"PORTAGG","MEANR")&lt;/Q&gt;&lt;R&gt;1&lt;/R&gt;&lt;C&gt;1&lt;/C&gt;&lt;D xsi:type="xsd:double"&gt;11.3521981076277&lt;/D&gt;&lt;/FQL&gt;&lt;FQL&gt;&lt;Q&gt;SPY^P_PRICE(0)/P_PRICE_HIGH_PR(0,,,USD,,,"PRICE","INTRA","52W")&lt;/Q&gt;&lt;R&gt;1&lt;/R&gt;&lt;C&gt;1&lt;/C&gt;&lt;D xsi:type="xsd:double"&gt;0.99610215&lt;/D&gt;&lt;/FQL&gt;&lt;FQL&gt;&lt;Q&gt;EWG^FG_PRICE_MAVG(0,,,,60)&lt;/Q&gt;&lt;R&gt;1&lt;/R&gt;&lt;C&gt;1&lt;/C&gt;&lt;D xsi:type="xsd:double"&gt;31.121834&lt;/D&gt;&lt;/FQL&gt;&lt;FQL&gt;&lt;Q&gt;EWD^P_PRICE(0)/P_PRICE_LOW_PR(0,,,,,,"PRICE","INTRA","52W")-1&lt;/Q&gt;&lt;R&gt;1&lt;/R&gt;&lt;C&gt;1&lt;/C&gt;&lt;D xsi:type="xsd:double"&gt;0.33974254&lt;/D&gt;&lt;/FQL&gt;&lt;FQL&gt;&lt;Q&gt;QQQ^PERCENT_CHANGE(FMA_EPS(+1,0,,,,"PORTAGG","MEAN"),FMA_EPS(+1,-3AM,,,,"PORTAGG","MEAN"))&lt;/Q&gt;&lt;R&gt;1&lt;/R&gt;&lt;C&gt;1&lt;/C&gt;&lt;D xsi:type="xsd:double"&gt;-0.155638988789877&lt;/D&gt;&lt;/FQL&gt;&lt;FQL&gt;&lt;Q&gt;EWG^FMA_COS_DOWN("EPS","1M",+1,0,,,"PORTAGG","MEANR")&lt;/Q&gt;&lt;R&gt;1&lt;/R&gt;&lt;C&gt;1&lt;/C&gt;&lt;D xsi:type="xsd:double"&gt;28&lt;/D&gt;&lt;/FQL&gt;&lt;FQL&gt;&lt;Q&gt;QQQ^JULIAN(FMA_DIV_YLD(NTMA,NOW,NOW,M,"PORTAGG","MEANR").DATES)&lt;/Q&gt;&lt;R&gt;1&lt;/R&gt;&lt;C&gt;1&lt;/C&gt;&lt;D xsi:type="xsd:long"&gt;45412&lt;/D&gt;&lt;/FQL&gt;&lt;FQL&gt;&lt;Q&gt;EWC^FMA_PE(LTM,0,,,"PORTAGG","MEANR")&lt;/Q&gt;&lt;R&gt;1&lt;/R&gt;&lt;C&gt;1&lt;/C&gt;&lt;D xsi:type="xsd:double"&gt;17.2966646849312&lt;/D&gt;&lt;/FQL&gt;&lt;FQL&gt;&lt;Q&gt;CAGDPY@NZ^EE_ACTUAL_ANNUAL(MED,0)&lt;/Q&gt;&lt;R&gt;1&lt;/R&gt;&lt;C&gt;1&lt;/C&gt;&lt;D xsi:type="xsd:double"&gt;-6.9&lt;/D&gt;&lt;/FQL&gt;&lt;FQL&gt;&lt;Q&gt;URTH^FG_TOTAL_RETURNC(0,-6AM)&lt;/Q&gt;&lt;R&gt;1&lt;/R&gt;&lt;C&gt;1&lt;/C&gt;&lt;D xsi:type="xsd:double"&gt;17.144596&lt;/D&gt;&lt;/FQL&gt;&lt;FQL&gt;&lt;Q&gt;EWD^FG_TOTAL_RETURNC(0,-1AM)&lt;/Q&gt;&lt;R&gt;1&lt;/R&gt;&lt;C&gt;1&lt;/C&gt;&lt;D xsi:type="xsd:double"&gt;6.890285&lt;/D&gt;&lt;/FQL&gt;&lt;FQL&gt;&lt;Q&gt;URTH^SIZE(FG_CONSTITUENTS)&lt;/Q&gt;&lt;R&gt;1&lt;/R&gt;&lt;C&gt;1&lt;/C&gt;&lt;D xsi:type="xsd:long"&gt;1468&lt;/D&gt;&lt;/FQL&gt;&lt;FQL&gt;&lt;Q&gt;ENZL^FMA_RBICS_REV_CURRENT(30, LOC, "PORTAGG")&lt;/Q&gt;&lt;R&gt;1&lt;/R&gt;&lt;C&gt;1&lt;/C&gt;&lt;D xsi:type="xsd:double"&gt;14.5670087916151&lt;/D&gt;&lt;/FQL&gt;&lt;FQL&gt;&lt;Q&gt;EWQ^P_PRICE_RETURNS_PR('52W',2,-10AY,0,AM)&lt;/Q&gt;&lt;R&gt;121&lt;/R&gt;&lt;C&gt;1&lt;/C&gt;&lt;D xsi:type="xsd:double"&gt;22.73481&lt;/D&gt;&lt;D xsi:type="xsd:double"&gt;22.250927&lt;/D&gt;&lt;D xsi:type="xsd:double"&gt;17.349232&lt;/D&gt;&lt;D xsi:type="xsd:double"&gt;5.5227637&lt;/D&gt;&lt;D xsi:type="xsd:double"&gt;5.5585384&lt;/D&gt;&lt;D xsi:type="xsd:double"&gt;-9.189707&lt;/D&gt;&lt;D xsi:type="xsd:double"&gt;-6.2797966&lt;/D&gt;&lt;D xsi:type="xsd:double"&gt;-5.79924&lt;/D&gt;&lt;D xsi:type="xsd:double"&gt;-10.725755&lt;/D&gt;&lt;D xsi:type="xsd:double"&gt;-5.233902&lt;/D&gt;&lt;D xsi:type="xsd:double"&gt;-7.591498&lt;/D&gt;&lt;D xsi:type="xsd:double"&gt;-7.022524&lt;/D&gt;&lt;D xsi:type="xsd:double"&gt;-3.3461332&lt;/D&gt;&lt;D xsi:type="xsd:double"&gt;-9.455514&lt;/D&gt;&lt;D xsi:type="xsd:double"&gt;-1.9997418&lt;/D&gt;&lt;D xsi:type="xsd:double"&gt;1.2637496&lt;/D&gt;&lt;D xsi:type="xsd:double"&gt;-4.4920025&lt;/D&gt;&lt;D xsi:type="xsd:double"&gt;10.109425&lt;/D&gt;&lt;D xsi:type="xsd:double"&gt;1.462853&lt;/D&gt;&lt;D xsi:type="xsd:double"&gt;0.86574554&lt;/D&gt;&lt;D xsi:type="xsd:double"&gt;-6.1715784&lt;/D&gt;&lt;D xsi:type="xsd:double"&gt;-10.852015&lt;/D&gt;&lt;D xsi:type="xsd:double"&gt;-3.0716896&lt;/D&gt;&lt;D xsi:type="xsd:double"&gt;-7.2928247&lt;/D&gt;&lt;D xsi:type="xsd:double"&gt;-12.440491&lt;/D&gt;&lt;D xsi:type="xsd:double"&gt;-8.816057&lt;/D&gt;&lt;D xsi:type="xsd:double"&gt;-9.38763&lt;/D&gt;&lt;D xsi:type="xsd:double"&gt;-6.524295&lt;/D&gt;&lt;D xsi:type="xsd:double"&gt;-4.1632595&lt;/D&gt;&lt;D xsi:type="xsd:double"&gt;-5.312318&lt;/D&gt;&lt;D xsi:type="xsd:double"&gt;-4.0656805&lt;/D&gt;&lt;D xsi:type="xsd:double"&gt;1.2059689&lt;/D&gt;&lt;D xsi:type="xsd:double"&gt;17.427528&lt;/D&gt;&lt;D xsi:type="xsd:double"&gt;12.379289&lt;/D&gt;&lt;D xsi:type="xsd:double"&gt;10.342598&lt;/D&gt;&lt;D xsi:type="xsd:double"&gt;10.306347&lt;/D&gt;&lt;D xsi:type="xsd:double"&gt;24.733341&lt;/D&gt;&lt;D xsi:type="xsd:double"&gt;29.555225&lt;/D&gt;&lt;D xsi:type="xsd:double"&gt;28.802252&lt;/D&gt;&lt;D xsi:type="xsd:double"&gt;23.890472&lt;/D&gt;&lt;D xsi:type="xsd:double"&gt;30.952024&lt;/D&gt;&lt;D xsi:type="xsd:double"&gt;33.385742&lt;/D&gt;&lt;D xsi:type="xsd:double"&gt;34.146477&lt;/D&gt;&lt;D xsi:type="xsd:double"&gt;30.206299&lt;/D&gt;&lt;D xsi:type="xsd:double"&gt;33.474968&lt;/D&gt;&lt;D xsi:type="xsd:double"&gt;29.562653&lt;/D&gt;&lt;D xsi:type="xsd:double"&gt;24.492&lt;/D&gt;&lt;D xsi:type="xsd:double"&gt;27.28511&lt;/D&gt;&lt;D xsi:type="xsd:double"&gt;15.387285&lt;/D&gt;&lt;D xsi:type="xsd:double"&gt;13.582981&lt;/D&gt;&lt;D xsi:type="xsd:double"&gt;9.476984&lt;/D&gt;&lt;D xsi:type="xsd:double"&gt;5.681145&lt;/D&gt;&lt;D xsi:type="xsd:double"&gt;3.4052253&lt;/D&gt;&lt;D xsi:type="xsd:double"&gt;-3.0196667&lt;/D&gt;&lt;D xsi:type="xsd:double"&gt;-5.600089&lt;/D&gt;&lt;D xsi:type="xsd:double"&gt;-11.401737&lt;/D&gt;&lt;D xsi:type="xsd:double"&gt;-16.031975&lt;/D&gt;&lt;D xsi:type="xsd:double"&gt;-8.435613&lt;/D&gt;&lt;D xsi:type="xsd:double"&gt;-3.2624602&lt;/D&gt;&lt;D xsi:type="xsd:double"&gt;-3.271532&lt;/D&gt;&lt;D xsi:type="xsd:double"&gt;-6.363696&lt;/D&gt;&lt;D xsi:type="xsd:double"&gt;-4.050499&lt;/D&gt;&lt;D xsi:type="xsd:double"&gt;-0.06554127&lt;/D&gt;&lt;D xsi:type="xsd:double"&gt;-1.4402509&lt;/D&gt;&lt;D xsi:type="xsd:double"&gt;1.2483597&lt;/D&gt;&lt;D xsi:type="xsd:double"&gt;7.8967094&lt;/D&gt;&lt;D xsi:type="xsd:double"&gt;15.543783&lt;/D&gt;&lt;D xsi:type="xsd:double"&gt;24.675095&lt;/D&gt;&lt;D xsi:type="xsd:double"&gt;25.320984&lt;/D&gt;&lt;D xsi:type="xsd:double"&gt;17.885256&lt;/D&gt;&lt;D xsi:type="xsd:double"&gt;-26.595646&lt;/D&gt;&lt;D xsi:type="xsd:double"&gt;-19.731976&lt;/D&gt;&lt;D xsi:type="xsd:double"&gt;-20.495356&lt;/D&gt;&lt;D xsi:type="xsd:double"&gt;-6.082779&lt;/D&gt;&lt;D xsi:type="xsd:double"&gt;-4.6919227&lt;/D&gt;&lt;D xsi:type="xsd:double"&gt;2.9391289&lt;/D&gt;&lt;D xsi:type="xsd:double"&gt;-1.7595649&lt;/D&gt;&lt;D xsi:type="xsd:double"&gt;-5.4467974&lt;/D&gt;&lt;D xsi:type="xsd:double"&gt;2.0681381&lt;/D&gt;&lt;D xsi:type="xsd:double"&gt;4.716146&lt;/D&gt;&lt;D xsi:type="xsd:double"&gt;3.5334587&lt;/D&gt;&lt;D xsi:type="xsd:double"&gt;7.573414&lt;/D&gt;&lt;D xsi:type="xsd:double"&gt;67.629364&lt;/D&gt;&lt;D xsi:type="xsd:double"&gt;62.14005&lt;/D&gt;&lt;D xsi:type="xsd:double"&gt;67.57755&lt;/D&gt;&lt;D xsi:type="xsd:double"&gt;43.442654&lt;/D&gt;&lt;D xsi:type="xsd:double"&gt;31.805206&lt;/D&gt;&lt;D xsi:type="xsd:double"&gt;34.750713&lt;/D&gt;&lt;D xsi:type="xsd:double"&gt;30.685556&lt;/D&gt;&lt;D xsi:type="xsd:double"&gt;38.19988&lt;/D&gt;&lt;D xsi:type="xsd:double"&gt;25.834679&lt;/D&gt;&lt;D xsi:type="xsd:double"&gt;15.239679&lt;/D&gt;&lt;D xsi:type="xsd:double"&gt;19.507551&lt;/D&gt;&lt;D xsi:type="xsd:double"&gt;13.68841&lt;/D&gt;&lt;D xsi:type="xsd:double"&gt;2.7477026&lt;/D&gt;&lt;D xsi:type="xsd:double"&gt;-2.1361828&lt;/D&gt;&lt;D xsi:type="xsd:double"&gt;-9.136164&lt;/D&gt;&lt;D xsi:type="xsd:double"&gt;-18.84843&lt;/D&gt;&lt;D xsi:type="xsd:double"&gt;-16.937864&lt;/D&gt;&lt;D xsi:type="xsd:double"&gt;-12.515611&lt;/D&gt;&lt;D xsi:type="xsd:double"&gt;-19.333447&lt;/D&gt;&lt;D xsi:type="xsd:double"&gt;-22.344112&lt;/D&gt;&lt;D xsi:type="xsd:double"&gt;-13.294088&lt;/D&gt;&lt;D xsi:type="xsd:double"&gt;-10.338593&lt;/D&gt;&lt;D xsi:type="xsd:double"&gt;-3.893584&lt;/D&gt;&lt;D xsi:type="xsd:double"&gt;3.265965&lt;/D&gt;&lt;D xsi:type="xsd:double"&gt;3.0863643&lt;/D&gt;&lt;D xsi:type="xsd:double"&gt;17.723835&lt;/D&gt;&lt;D xsi:type="xsd:double"&gt;20.108318&lt;/D&gt;&lt;D xsi:type="xsd:double"&gt;32.05789&lt;/D&gt;&lt;D xsi:type="xsd:double"&gt;36.759354&lt;/D&gt;&lt;D xsi:type="xsd:double"&gt;18.08282&lt;/D&gt;&lt;D xsi:type="xsd:double"&gt;28.949715&lt;/D&gt;&lt;D xsi:type="xsd:double"&gt;26.587486&lt;/D&gt;&lt;D xsi:type="xsd:double"&gt;16.748095&lt;/D&gt;&lt;D xsi:type="xsd:double"&gt;19.972908&lt;/D&gt;&lt;D xsi:type="xsd:double"&gt;5.4669976&lt;/D&gt;&lt;D xsi:type="xsd:double"&gt;7.6664805&lt;/D&gt;&lt;D xsi:type="xsd:double"&gt;21.869396&lt;/D&gt;&lt;D xsi:type="xsd:double"&gt;4.692483&lt;/D&gt;&lt;D xsi:type="xsd:double"&gt;11.907042&lt;/D&gt;&lt;/FQL&gt;&lt;FQL&gt;&lt;Q&gt;EWG^FG_PRICE_MAVG(0,,,,30)&lt;/Q&gt;&lt;R&gt;1&lt;/R&gt;&lt;C&gt;1&lt;/C&gt;&lt;D xsi:type="xsd:double"&gt;31.117332&lt;/D&gt;&lt;/FQL&gt;&lt;FQL&gt;&lt;Q&gt;EWG^FMA_COS_UP("EPS","1M",+1,0,,,"PORTAGG","MEANR")&lt;/Q&gt;&lt;R&gt;1&lt;/R&gt;&lt;C&gt;1&lt;/C&gt;&lt;D xsi:type="xsd:double"&gt;27&lt;/D&gt;&lt;/FQL&gt;&lt;FQL&gt;&lt;Q&gt;USDUSD^FG_COMPANY_NAME&lt;/Q&gt;&lt;R&gt;1&lt;/R&gt;&lt;C&gt;1&lt;/C&gt;&lt;D xsi:type="xsd:string"&gt;U.S. Dollar per U.S. Dollar&lt;/D&gt;&lt;/FQL&gt;&lt;FQL&gt;&lt;Q&gt;USDEUR^FG_PRICE_CHANGE(0,-6AM)&lt;/Q&gt;&lt;R&gt;1&lt;/R&gt;&lt;C&gt;1&lt;/C&gt;&lt;D xsi:type="xsd:double"&gt;0.10573864&lt;/D&gt;&lt;/FQL&gt;&lt;FQL&gt;&lt;Q&gt;WL-FDS^FG_PRICE(0)&lt;/Q&gt;&lt;R&gt;1&lt;/R&gt;&lt;C&gt;1&lt;/C&gt;&lt;D xsi:type="xsd:double"&gt;534.7&lt;/D&gt;&lt;/FQL&gt;&lt;FQL&gt;&lt;Q&gt;URTH^FG_TOTAL_RETURNC(0,-3AM)&lt;/Q&gt;&lt;R&gt;1&lt;/R&gt;&lt;C&gt;1&lt;/C&gt;&lt;D xsi:type="xsd:double"&gt;6.2952757&lt;/D&gt;&lt;/FQL&gt;&lt;FQL&gt;&lt;Q&gt;TRYUS10Y-FDS^FG_YIELD(0,,,,"YTM")&lt;/Q&gt;&lt;R&gt;1&lt;/R&gt;&lt;C&gt;1&lt;/C&gt;&lt;D xsi:type="xsd:double"&gt;4.4208&lt;/D&gt;&lt;/FQL&gt;&lt;FQL&gt;&lt;Q&gt;EWD^FMA_DIV_YLD(NTMA,NOW,NOW,M,"PORTAGG","MEANR")&lt;/Q&gt;&lt;R&gt;1&lt;/R&gt;&lt;C&gt;1&lt;/C&gt;&lt;D xsi:type="xsd:double"&gt;3.27458581335411&lt;/D&gt;&lt;/FQL&gt;&lt;FQL&gt;&lt;Q&gt;SPY^P_PRICE_RETURNS_PR('52W',2,-10AY,0,AM)&lt;/Q&gt;&lt;R&gt;121&lt;/R&gt;&lt;C&gt;1&lt;/C&gt;&lt;D xsi:type="xsd:double"&gt;16.028427&lt;/D&gt;&lt;D xsi:type="xsd:double"&gt;20.869673&lt;/D&gt;&lt;D xsi:type="xsd:double"&gt;18.81957&lt;/D&gt;&lt;D xsi:type="xsd:double"&gt;19.94698&lt;/D&gt;&lt;D xsi:type="xsd:double"&gt;19.656658&lt;/D&gt;&lt;D xsi:type="xsd:double"&gt;10.917616&lt;/D&gt;&lt;D xsi:type="xsd:double"&gt;15.712511&lt;/D&gt;&lt;D xsi:type="xsd:double"&gt;15.147078&lt;/D&gt;&lt;D xsi:type="xsd:double"&gt;11.466682&lt;/D&gt;&lt;D xsi:type="xsd:double"&gt;16.407145&lt;/D&gt;&lt;D xsi:type="xsd:double"&gt;13.787603&lt;/D&gt;&lt;D xsi:type="xsd:double"&gt;13.744938&lt;/D&gt;&lt;D xsi:type="xsd:double"&gt;15.574635&lt;/D&gt;&lt;D xsi:type="xsd:double"&gt;10.199011&lt;/D&gt;&lt;D xsi:type="xsd:double"&gt;10.699725&lt;/D&gt;&lt;D xsi:type="xsd:double"&gt;9.709454&lt;/D&gt;&lt;D xsi:type="xsd:double"&gt;1.4446735&lt;/D&gt;&lt;D xsi:type="xsd:double"&gt;11.335730999999999&lt;/D&gt;&lt;D xsi:type="xsd:double"&gt;2.5735855&lt;/D&gt;&lt;D xsi:type="xsd:double"&gt;3.5766244&lt;/D&gt;&lt;D xsi:type="xsd:double"&gt;-3.668362&lt;/D&gt;&lt;D xsi:type="xsd:double"&gt;-6.289715&lt;/D&gt;&lt;D xsi:type="xsd:double"&gt;0.44683218&lt;/D&gt;&lt;D xsi:type="xsd:double"&gt;0.867331&lt;/D&gt;&lt;D xsi:type="xsd:double"&gt;-1.4955759&lt;/D&gt;&lt;D xsi:type="xsd:double"&gt;0.70261955&lt;/D&gt;&lt;D xsi:type="xsd:double"&gt;4.720652&lt;/D&gt;&lt;D xsi:type="xsd:double"&gt;5.963111&lt;/D&gt;&lt;D xsi:type="xsd:double"&gt;9.473515&lt;/D&gt;&lt;D xsi:type="xsd:double"&gt;6.7447424&lt;/D&gt;&lt;D xsi:type="xsd:double"&gt;8.888507&lt;/D&gt;&lt;D xsi:type="xsd:double"&gt;11.17239&lt;/D&gt;&lt;D xsi:type="xsd:double"&gt;23.058176&lt;/D&gt;&lt;D xsi:type="xsd:double"&gt;24.505222&lt;/D&gt;&lt;D xsi:type="xsd:double"&gt;18.840206&lt;/D&gt;&lt;D xsi:type="xsd:double"&gt;15.232098&lt;/D&gt;&lt;D xsi:type="xsd:double"&gt;17.502678&lt;/D&gt;&lt;D xsi:type="xsd:double"&gt;19.43853&lt;/D&gt;&lt;D xsi:type="xsd:double"&gt;16.077482&lt;/D&gt;&lt;D xsi:type="xsd:double"&gt;13.587177&lt;/D&gt;&lt;D xsi:type="xsd:double"&gt;18.693924&lt;/D&gt;&lt;D xsi:type="xsd:double"&gt;22.724426&lt;/D&gt;&lt;D xsi:type="xsd:double"&gt;20.133554&lt;/D&gt;&lt;D xsi:type="xsd:double"&gt;20.49042&lt;/D&gt;&lt;D xsi:type="xsd:double"&gt;25.981915&lt;/D&gt;&lt;D xsi:type="xsd:double"&gt;18.612814&lt;/D&gt;&lt;D xsi:type="xsd:double"&gt;17.677475&lt;/D&gt;&lt;D xsi:type="xsd:double"&gt;17.377747&lt;/D&gt;&lt;D xsi:type="xsd:double"&gt;17.542028&lt;/D&gt;&lt;D xsi:type="xsd:double"&gt;16.369677&lt;/D&gt;&lt;D xsi:type="xsd:double"&gt;16.360592&lt;/D&gt;&lt;D xsi:type="xsd:double"&gt;19.451963&lt;/D&gt;&lt;D xsi:type="xsd:double"&gt;17.694342&lt;/D&gt;&lt;D xsi:type="xsd:double"&gt;11.777937&lt;/D&gt;&lt;D xsi:type="xsd:double"&gt;7.770729&lt;/D&gt;&lt;D xsi:type="xsd:double"&gt;-2.9303849&lt;/D&gt;&lt;D xsi:type="xsd:double"&gt;-4.156369&lt;/D&gt;&lt;D xsi:type="xsd:double"&gt;3.5321832&lt;/D&gt;&lt;D xsi:type="xsd:double"&gt;4.7076106&lt;/D&gt;&lt;D xsi:type="xsd:double"&gt;9.218561&lt;/D&gt;&lt;D xsi:type="xsd:double"&gt;7.1347117&lt;/D&gt;&lt;D xsi:type="xsd:double"&gt;5.977702&lt;/D&gt;&lt;D xsi:type="xsd:double"&gt;8.269215&lt;/D&gt;&lt;D xsi:type="xsd:double"&gt;3.7090182&lt;/D&gt;&lt;D xsi:type="xsd:double"&gt;6.071043&lt;/D&gt;&lt;D xsi:type="xsd:double"&gt;8.848774&lt;/D&gt;&lt;D xsi:type="xsd:double"&gt;16.48476&lt;/D&gt;&lt;D xsi:type="xsd:double"&gt;27.64814&lt;/D&gt;&lt;D xsi:type="xsd:double"&gt;28.624249&lt;/D&gt;&lt;D xsi:type="xsd:double"&gt;25.368893&lt;/D&gt;&lt;D xsi:type="xsd:double"&gt;-8.834153&lt;/D&gt;&lt;D xsi:type="xsd:double"&gt;1.0795474&lt;/D&gt;&lt;D xsi:type="xsd:double"&gt;2.5073051&lt;/D&gt;&lt;D xsi:type="xsd:double"&gt;9.932888&lt;/D&gt;&lt;D xsi:type="xsd:double"&gt;10.242605&lt;/D&gt;&lt;D xsi:type="xsd:double"&gt;19.35408&lt;/D&gt;&lt;D xsi:type="xsd:double"&gt;13.864923&lt;/D&gt;&lt;D xsi:type="xsd:double"&gt;18.671822&lt;/D&gt;&lt;D xsi:type="xsd:double"&gt;17.934752&lt;/D&gt;&lt;D xsi:type="xsd:double"&gt;18.771208&lt;/D&gt;&lt;D xsi:type="xsd:double"&gt;16.655182&lt;/D&gt;&lt;D xsi:type="xsd:double"&gt;18.441439&lt;/D&gt;&lt;D xsi:type="xsd:double"&gt;60.134888&lt;/D&gt;&lt;D xsi:type="xsd:double"&gt;51.914&lt;/D&gt;&lt;D xsi:type="xsd:double"&gt;47.48634&lt;/D&gt;&lt;D xsi:type="xsd:double"&gt;37.578762&lt;/D&gt;&lt;D xsi:type="xsd:double"&gt;36.480095&lt;/D&gt;&lt;D xsi:type="xsd:double"&gt;33.380234&lt;/D&gt;&lt;D xsi:type="xsd:double"&gt;33.83608&lt;/D&gt;&lt;D xsi:type="xsd:double"&gt;30.128145&lt;/D&gt;&lt;D xsi:type="xsd:double"&gt;31.656944&lt;/D&gt;&lt;D xsi:type="xsd:double"&gt;25.739742&lt;/D&gt;&lt;D xsi:type="xsd:double"&gt;24.444914&lt;/D&gt;&lt;D xsi:type="xsd:double"&gt;12.883091&lt;/D&gt;&lt;D xsi:type="xsd:double"&gt;12.522268&lt;/D&gt;&lt;D xsi:type="xsd:double"&gt;7.8113794&lt;/D&gt;&lt;D xsi:type="xsd:double"&gt;-0.43089986&lt;/D&gt;&lt;D xsi:type="xsd:double"&gt;-11.7698555&lt;/D&gt;&lt;D xsi:type="xsd:double"&gt;-10.150921&lt;/D&gt;&lt;D xsi:type="xsd:double"&gt;-2.5469244&lt;/D&gt;&lt;D xsi:type="xsd:double"&gt;-12.186831&lt;/D&gt;&lt;D xsi:type="xsd:double"&gt;-16.481585&lt;/D&gt;&lt;D xsi:type="xsd:double"&gt;-14.508605&lt;/D&gt;&lt;D xsi:type="xsd:double"&gt;-16.198635&lt;/D&gt;&lt;D xsi:type="xsd:double"&gt;-13.014001&lt;/D&gt;&lt;D xsi:type="xsd:double"&gt;-5.3023043&lt;/D&gt;&lt;D xsi:type="xsd:double"&gt;-9.7954035&lt;/D&gt;&lt;D xsi:type="xsd:double"&gt;-3.8339555&lt;/D&gt;&lt;D xsi:type="xsd:double"&gt;3.428042&lt;/D&gt;&lt;D xsi:type="xsd:double"&gt;22.358454&lt;/D&gt;&lt;D xsi:type="xsd:double"&gt;18.990875&lt;/D&gt;&lt;D xsi:type="xsd:double"&gt;3.9446235&lt;/D&gt;&lt;D xsi:type="xsd:double"&gt;15.935016&lt;/D&gt;&lt;D xsi:type="xsd:double"&gt;20.755089&lt;/D&gt;&lt;D xsi:type="xsd:double"&gt;16.162418&lt;/D&gt;&lt;D xsi:type="xsd:double"&gt;22.867834&lt;/D&gt;&lt;D xsi:type="xsd:double"&gt;20.552206&lt;/D&gt;&lt;D xsi:type="xsd:double"&gt;24.217987&lt;/D&gt;&lt;D xsi:type="xsd:double"&gt;33.388447&lt;/D&gt;&lt;D xsi:type="xsd:double"&gt;22.684849&lt;/D&gt;&lt;D xsi:type="xsd:double"&gt;29.365086&lt;/D&gt;&lt;/FQL&gt;&lt;FQL&gt;&lt;Q&gt;BRENT-FDS^FG_PRICE(0)/MAX(FG_PRICE(0,-1AY))&lt;/Q&gt;&lt;R&gt;1&lt;/R&gt;&lt;C&gt;1&lt;/C&gt;&lt;D xsi:type="xsd:double"&gt;0.870614479821537&lt;/D&gt;&lt;/FQL&gt;&lt;FQL&gt;&lt;Q&gt;EWC^FG_PRICE_MAVG(0,,,,200)&lt;/Q&gt;&lt;R&gt;1&lt;/R&gt;&lt;C&gt;1&lt;/C&gt;&lt;D xsi:type="xsd:double"&gt;35.59735&lt;/D&gt;&lt;/FQL&gt;&lt;FQL&gt;&lt;Q&gt;EWC^SIZE(FG_CONSTITUENTS)&lt;/Q&gt;&lt;R&gt;1&lt;/R&gt;&lt;C&gt;1&lt;/C&gt;&lt;D xsi:type="xsd:long"&gt;88&lt;/D&gt;&lt;/FQL&gt;&lt;FQL&gt;&lt;Q&gt;REFAUCASH-FDS^(SUBARRAY(NOT_NA(NO_REPEAT_F(FG_YIELD(NOW,-10AY,D))),0,1)-SUBARRAY(NOT_NA(NO_REPEAT_F(FG_YIELD(NOW,-10AY,D))),1,1))*100&lt;/Q&gt;&lt;R&gt;1&lt;/R&gt;&lt;C&gt;1&lt;/C&gt;&lt;D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xsi:type="xsd:double"&gt;25&lt;/D&gt;&lt;/FQL&gt;&lt;FQL&gt;&lt;Q&gt;EWA^FMA_EVAL_EBITDA(NTMA,0,,,"PORTAGG","MEANR")&lt;/Q&gt;&lt;R&gt;1&lt;/R&gt;&lt;C&gt;1&lt;/C&gt;&lt;D xsi:type="xsd:double"&gt;8.80353761423029&lt;/D&gt;&lt;/FQL&gt;&lt;FQL&gt;&lt;Q&gt;EWQ^FMA_ROE(NTMA,-20AY,NOW,FY,"PORTAGG","MEANR")&lt;/Q&gt;&lt;R&gt;20&lt;/R&gt;&lt;C&gt;1&lt;/C&gt;&lt;D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xsi:type="xsd:double"&gt;10.9140096513637&lt;/D&gt;&lt;D xsi:type="xsd:double"&gt;8.94223448963437&lt;/D&gt;&lt;D xsi:type="xsd:double"&gt;12.2539555438325&lt;/D&gt;&lt;D xsi:type="xsd:double"&gt;13.1476341644672&lt;/D&gt;&lt;D xsi:type="xsd:double"&gt;13.220962405767&lt;/D&gt;&lt;/FQL&gt;&lt;FQL&gt;&lt;Q&gt;URTH^FG_TOTAL_RETURNC(0,-1AM)&lt;/Q&gt;&lt;R&gt;1&lt;/R&gt;&lt;C&gt;1&lt;/C&gt;&lt;D xsi:type="xsd:double"&gt;5.926931&lt;/D&gt;&lt;/FQL&gt;&lt;FQL&gt;&lt;Q&gt;EWD^PERCENT_CHANGE</t>
        </r>
      </text>
    </comment>
    <comment ref="A12" authorId="0" shapeId="0" xr:uid="{4F5E1128-8868-4A0B-838A-ED2ED8276177}">
      <text>
        <r>
          <rPr>
            <b/>
            <sz val="9"/>
            <color indexed="81"/>
            <rFont val="Tahoma"/>
            <charset val="1"/>
          </rPr>
          <t>(FMA_EPS(+1,0,,,,"PORTAGG","MEAN"),FMA_EPS(+1,-1AM,,,,"PORTAGG","MEAN"))&lt;/Q&gt;&lt;R&gt;1&lt;/R&gt;&lt;C&gt;1&lt;/C&gt;&lt;D xsi:type="xsd:double"&gt;5.08060351636301&lt;/D&gt;&lt;/FQL&gt;&lt;FQL&gt;&lt;Q&gt;EWC^FG_TOTAL_RETURNC(0,-6AM)&lt;/Q&gt;&lt;R&gt;1&lt;/R&gt;&lt;C&gt;1&lt;/C&gt;&lt;D xsi:type="xsd:double"&gt;13.477791&lt;/D&gt;&lt;/FQL&gt;&lt;FQL&gt;&lt;Q&gt;EWC^FMA_COS_DOWN("EPS","1M",+1,0,,,"PORTAGG","MEANR")&lt;/Q&gt;&lt;R&gt;1&lt;/R&gt;&lt;C&gt;1&lt;/C&gt;&lt;D xsi:type="xsd:double"&gt;38&lt;/D&gt;&lt;/FQL&gt;&lt;FQL&gt;&lt;Q&gt;CC_JP^IMF_IFS_RCPI_Q(0)&lt;/Q&gt;&lt;R&gt;1&lt;/R&gt;&lt;C&gt;1&lt;/C&gt;&lt;D xsi:type="xsd:double"&gt;2.5231562&lt;/D&gt;&lt;/FQL&gt;&lt;FQL&gt;&lt;Q&gt;TRYKR10Y-FDS^FG_YIELD(-10AY,0,Y,,"YTM")&lt;/Q&gt;&lt;R&gt;10&lt;/R&gt;&lt;C&gt;1&lt;/C&gt;&lt;D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xsi:type="xsd:double"&gt;3.1928&lt;/D&gt;&lt;/FQL&gt;&lt;FQL&gt;&lt;Q&gt;USDSEK^FG_PRICE_CHANGE(0,-6AM)&lt;/Q&gt;&lt;R&gt;1&lt;/R&gt;&lt;C&gt;1&lt;/C&gt;&lt;D xsi:type="xsd:double"&gt;1.56461&lt;/D&gt;&lt;/FQL&gt;&lt;FQL&gt;&lt;Q&gt;USDAUD^FG_COMPANY_NAME&lt;/Q&gt;&lt;R&gt;1&lt;/R&gt;&lt;C&gt;1&lt;/C&gt;&lt;D xsi:type="xsd:string"&gt;Australian Dollar per U.S. Dollar&lt;/D&gt;&lt;/FQL&gt;&lt;FQL&gt;&lt;Q&gt;EWN^FG_TOTAL_RETURNC(-10AY,0,AM)&lt;/Q&gt;&lt;R&gt;121&lt;/R&gt;&lt;C&gt;1&lt;/C&gt;&lt;D xsi:type="xsd:double"&gt;-0.43047667&lt;/D&gt;&lt;D xsi:type="xsd:double"&gt;2.7533412&lt;/D&gt;&lt;D xsi:type="xsd:double"&gt;-4.6732306&lt;/D&gt;&lt;D xsi:type="xsd:double"&gt;-1.6359985&lt;/D&gt;&lt;D xsi:type="xsd:double"&gt;1.7879486&lt;/D&gt;&lt;D xsi:type="xsd:double"&gt;-7.720584&lt;/D&gt;&lt;D xsi:type="xsd:double"&gt;6.33024&lt;/D&gt;&lt;D xsi:type="xsd:double"&gt;-1.53777&lt;/D&gt;&lt;D xsi:type="xsd:double"&gt;0&lt;/D&gt;&lt;D xsi:type="xsd:double"&gt;5.7700515&lt;/D&gt;&lt;D xsi:type="xsd:double"&gt;1.5643835&lt;/D&gt;&lt;D xsi:type="xsd:double"&gt;1.3428092&lt;/D&gt;&lt;D xsi:type="xsd:double"&gt;6.371784&lt;/D&gt;&lt;D xsi:type="xsd:double"&gt;-4.3780923&lt;/D&gt;&lt;D xsi:type="xsd:double"&gt;2.7285576&lt;/D&gt;&lt;D xsi:type="xsd:double"&gt;-3.2830238&lt;/D&gt;&lt;D xsi:type="xsd:double"&gt;-4.057741&lt;/D&gt;&lt;D xsi:type="xsd:double"&gt;1.1793375&lt;/D&gt;&lt;D xsi:type="xsd:double"&gt;-1.3263643&lt;/D&gt;&lt;D xsi:type="xsd:double"&gt;-2.7698517&lt;/D&gt;&lt;D xsi:type="xsd:double"&gt;-7.26729&lt;/D&gt;&lt;D xsi:type="xsd:double"&gt;3.0909061&lt;/D&gt;&lt;D xsi:type="xsd:double"&gt;8.421516&lt;/D&gt;&lt;D xsi:type="xsd:double"&gt;0.81334114&lt;/D&gt;&lt;D xsi:type="xsd:double"&gt;-3.2674491&lt;/D&gt;&lt;D xsi:type="xsd:double"&gt;-2.21017&lt;/D&gt;&lt;D xsi:type="xsd:double"&gt;1.4891386&lt;/D&gt;&lt;D xsi:type="xsd:double"&gt;5.0724626&lt;/D&gt;&lt;D xsi:type="xsd:double"&gt;-2.0283997&lt;/D&gt;&lt;D xsi:type="xsd:double"&gt;0.49690008&lt;/D&gt;&lt;D xsi:type="xsd:double"&gt;-2.7194083&lt;/D&gt;&lt;D xsi:type="xsd:double"&gt;1.5671253&lt;/D&gt;&lt;D xsi:type="xsd:double"&gt;3.6539316&lt;/D&gt;&lt;D xsi:type="xsd:double"&gt;4.9307227&lt;/D&gt;&lt;D xsi:type="xsd:double"&gt;4.4271827&lt;/D&gt;&lt;D xsi:type="xsd:double"&gt;0.111567974&lt;/D&gt;&lt;D xsi:type="xsd:double"&gt;7.5408697&lt;/D&gt;&lt;D xsi:type="xsd:double"&gt;1.3471484&lt;/D&gt;&lt;D xsi:type="xsd:double"&gt;2.7095318&lt;/D&gt;&lt;D xsi:type="xsd:double"&gt;2.1834016&lt;/D&gt;&lt;D xsi:type="xsd:double"&gt;2.794218&lt;/D&gt;&lt;D xsi:type="xsd:double"&gt;1.5669942&lt;/D&gt;&lt;D xsi:type="xsd:double"&gt;-1.9521415&lt;/D&gt;&lt;D xsi:type="xsd:double"&gt;1.4450908&lt;/D&gt;&lt;D xsi:type="xsd:double"&gt;5.9141755&lt;/D&gt;&lt;D xsi:type="xsd:double"&gt;-2.945596&lt;/D&gt;&lt;D xsi:type="xsd:double"&gt;0.3406644&lt;/D&gt;&lt;D xsi:type="xsd:double"&gt;1.9135714&lt;/D&gt;&lt;D xsi:type="xsd:double"&gt;-3.0890405&lt;/D&gt;&lt;D xsi:type="xsd:double"&gt;-0.37500262&lt;/D&gt;&lt;D xsi:type="xsd:double"&gt;-0.7007539&lt;/D&gt;&lt;D xsi:type="xsd:double"&gt;-2.7287304&lt;/D&gt;&lt;D xsi:type="xsd:double"&gt;-0.26402473&lt;/D&gt;&lt;D xsi:type="xsd:double"&gt;-4.401058&lt;/D&gt;&lt;D xsi:type="xsd:double"&gt;-1.0038018&lt;/D&gt;&lt;D xsi:type="xsd:double"&gt;-6.0839176&lt;/D&gt;&lt;D xsi:type="xsd:double"&gt;1.4168143&lt;/D&gt;&lt;D xsi:type="xsd:double"&gt;8.410179&lt;/D&gt;&lt;D xsi:type="xsd:double"&gt;3.1983733&lt;/D&gt;&lt;D xsi:type="xsd:double"&gt;3.000331&lt;/D&gt;&lt;D xsi:type="xsd:double"&gt;-2.176696&lt;/D&gt;&lt;D xsi:type="xsd:double"&gt;-0.1039207&lt;/D&gt;&lt;D xsi:type="xsd:double"&gt;4.447055&lt;/D&gt;&lt;D xsi:type="xsd:double"&gt;-3.9203107&lt;/D&gt;&lt;D xsi:type="xsd:double"&gt;5.9197307&lt;/D&gt;&lt;D xsi:type="xsd:double"&gt;1.1998653&lt;/D&gt;&lt;D xsi:type="xsd:double"&gt;2.5585055&lt;/D&gt;&lt;D xsi:type="xsd:double"&gt;2.4575472&lt;/D&gt;&lt;D xsi:type="xsd:double"&gt;1.7889023&lt;/D&gt;&lt;D xsi:type="xsd:double"&gt;1.2302399&lt;/D&gt;&lt;D xsi:type="xsd:double"&gt;-30.439817&lt;/D&gt;&lt;D xsi:type="xsd:double"&gt;15.432608&lt;/D&gt;&lt;D xsi:type="xsd:double"&gt;0.3243208&lt;/D&gt;&lt;D xsi:type="xsd:double"&gt;17.620289&lt;/D&gt;&lt;D xsi:type="xsd:double"&gt;5.560684&lt;/D&gt;&lt;D xsi:type="xsd:double"&gt;3.4924388&lt;/D&gt;&lt;D xsi:type="xsd:double"&gt;-0.3655851&lt;/D&gt;&lt;D xsi:type="xsd:double"&gt;2.7660131&lt;/D&gt;&lt;D xsi:type="xsd:double"&gt;5.822575&lt;/D&gt;&lt;D xsi:type="xsd:double"&gt;7.279253&lt;/D&gt;&lt;D xsi:type="xsd:double"&gt;3.834951&lt;/D&gt;&lt;D xsi:type="xsd:double"&gt;7.246387&lt;/D&gt;&lt;D xsi:type="xsd:double"&gt;-1.2859643&lt;/D&gt;&lt;D xsi:type="xsd:double"&gt;7.1980476&lt;/D&gt;&lt;D xsi:type="xsd:double"&gt;-1.0916531&lt;/D&gt;&lt;D xsi:type="xsd:double"&gt;2.318287&lt;/D&gt;&lt;D xsi:type="xsd:double"&gt;-1.9463241&lt;/D&gt;&lt;D xsi:type="xsd:double"&gt;5.3280354&lt;/D&gt;&lt;D xsi:type="xsd:double"&gt;4.443562&lt;/D&gt;&lt;D xsi:type="xsd:double"&gt;-2.4311543&lt;/D&gt;&lt;D xsi:type="xsd:double"&gt;2.6085258&lt;/D&gt;&lt;D xsi:type="xsd:double"&gt;-9.358364&lt;/D&gt;&lt;D xsi:type="xsd:double"&gt;3.676474&lt;/D&gt;&lt;D xsi:type="xsd:double"&gt;-8.226943&lt;/D&gt;&lt;D xsi:type="xsd:double"&gt;-6.97726&lt;/D&gt;&lt;D xsi:type="xsd:double"&gt;-4.4623795&lt;/D&gt;&lt;D xsi:type="xsd:double"&gt;-4.6708107&lt;/D&gt;&lt;D xsi:type="xsd:double"&gt;-9.833008&lt;/D&gt;&lt;D xsi:type="xsd:double"&gt;0.43922663&lt;/D&gt;&lt;D xsi:type="xsd:double"&gt;10.058308&lt;/D&gt;&lt;D xsi:type="xsd:double"&gt;-11.284762&lt;/D&gt;&lt;D xsi:type="xsd:double"&gt;-7.853091&lt;/D&gt;&lt;D xsi:type="xsd:double"&gt;22.58588&lt;/D&gt;&lt;D xsi:type="xsd:double"&gt;0.3284216&lt;/D&gt;&lt;D xsi:type="xsd:double"&gt;11.002111&lt;/D&gt;&lt;D xsi:type="xsd:double"&gt;0.88369846&lt;/D&gt;&lt;D xsi:type="xsd:double"&gt;-6.486744&lt;/D&gt;&lt;D xsi:type="xsd:double"&gt;6.4810157&lt;/D&gt;&lt;D xsi:type="xsd:double"&gt;1.0936737&lt;/D&gt;&lt;D xsi:type="xsd:double"&gt;2.4283648&lt;/D&gt;&lt;D xsi:type="xsd:double"&gt;4.852569&lt;/D&gt;&lt;D xsi:type="xsd:double"&gt;-9.344554&lt;/D&gt;&lt;D xsi:type="xsd:double"&gt;-4.127991&lt;/D&gt;&lt;D xsi:type="xsd:double"&gt;-3.312099&lt;/D&gt;&lt;D xsi:type="xsd:double"&gt;10.72464&lt;/D&gt;&lt;D xsi:type="xsd:double"&gt;6.251788&lt;/D&gt;&lt;D xsi:type="xsd:double"&gt;-3.458774&lt;/D&gt;&lt;D xsi:type="xsd:double"&gt;10.495567&lt;/D&gt;&lt;D xsi:type="xsd:double"&gt;1.8616438&lt;/D&gt;&lt;D xsi:type="xsd:double"&gt;-1.3291836&lt;/D&gt;&lt;D xsi:type="xsd:double"&gt;8.861303&lt;/D&gt;&lt;/FQL&gt;&lt;FQL&gt;&lt;Q&gt;SPY^FMA_PE(LTMA,-10AY,0,AM,"PORTAGG","MEANR")&lt;/Q&gt;&lt;R&gt;121&lt;/R&gt;&lt;C&gt;1&lt;/C&gt;&lt;D xsi:type="xsd:double"&gt;16.1805850851913&lt;/D&gt;&lt;D xsi:type="xsd:double"&gt;16.3243006704894&lt;/D&gt;&lt;D xsi:type="xsd:double"&gt;16.3418890295383&lt;/D&gt;&lt;D xsi:type="xsd:double"&gt;16.273149728354&lt;/D&gt;&lt;D xsi:type="xsd:double"&gt;16.5510354185038&lt;/D&gt;&lt;D xsi:type="xsd:double"&gt;15.8473913586229&lt;/D&gt;&lt;D xsi:type="xsd:double"&gt;16.9058112401626&lt;/D&gt;&lt;D xsi:type="xsd:double"&gt;16.878172580742&lt;/D&gt;&lt;D xsi:type="xsd:double"&gt;16.9591436776908&lt;/D&gt;&lt;D xsi:type="xsd:double"&gt;17.5661623804245&lt;/D&gt;&lt;D xsi:type="xsd:double"&gt;17.5248645422136&lt;/D&gt;&lt;D xsi:type="xsd:double"&gt;17.5202825073247&lt;/D&gt;&lt;D xsi:type="xsd:double"&gt;17.5736238276499&lt;/D&gt;&lt;D xsi:type="xsd:double"&gt;17.4760161327869&lt;/D&gt;&lt;D xsi:type="xsd:double"&gt;17.6302497900012&lt;/D&gt;&lt;D xsi:type="xsd:double"&gt;17.523515491236&lt;/D&gt;&lt;D xsi:type="xsd:double"&gt;16.8920961192229&lt;/D&gt;&lt;D xsi:type="xsd:double"&gt;17.1847933276884&lt;/D&gt;&lt;D xsi:type="xsd:double"&gt;17.2080594132801&lt;/D&gt;&lt;D xsi:type="xsd:double"&gt;17.1108601042148&lt;/D&gt;&lt;D xsi:type="xsd:double"&gt;15.7767110477485&lt;/D&gt;&lt;D xsi:type="xsd:double"&gt;16.2966838906097&lt;/D&gt;&lt;D xsi:type="xsd:double"&gt;16.18819342752&lt;/D&gt;&lt;D xsi:type="xsd:double"&gt;16.4452153070474&lt;/D&gt;&lt;D xsi:type="xsd:double"&gt;16.565182572191&lt;/D&gt;&lt;D xsi:type="xsd:double"&gt;16.7256261745427&lt;/D&gt;&lt;D xsi:type="xsd:double"&gt;17.2451747052816&lt;/D&gt;&lt;D xsi:type="xsd:double"&gt;17.5432349536068&lt;/D&gt;&lt;D xsi:type="xsd:double"&gt;17.4840399970967&lt;/D&gt;&lt;D xsi:type="xsd:double"&gt;17.5516837611672&lt;/D&gt;&lt;D xsi:type="xsd:double"&gt;18.0964339921875&lt;/D&gt;&lt;D xsi:type="xsd:double"&gt;18.8285687523753&lt;/D&gt;&lt;D xsi:type="xsd:double"&gt;18.9411752205043&lt;/D&gt;&lt;D xsi:type="xsd:double"&gt;19.4499488578833&lt;/D&gt;&lt;D xsi:type="xsd:double"&gt;19.4355308648251&lt;/D&gt;&lt;D xsi:type="xsd:double"&gt;19.228096462373&lt;/D&gt;&lt;D xsi:type="xsd:double"&gt;19.0644681306717&lt;/D&gt;&lt;D xsi:type="xsd:double"&gt;19.1742879317122&lt;/D&gt;&lt;D xsi:type="xsd:double"&gt;19.1980211499769&lt;/D&gt;&lt;D xsi:type="xsd:double"&gt;18.9213318450939&lt;/D&gt;&lt;D xsi:type="xsd:double"&gt;19.2113118273692&lt;/D&gt;&lt;D xsi:type="xsd:double"&gt;19.5660996908298&lt;/D&gt;&lt;D xsi:type="xsd:double"&gt;19.5710537212846&lt;/D&gt;&lt;D xsi:type="xsd:double"&gt;20.2450393810298&lt;/D&gt;&lt;D xsi:type="xsd:double"&gt;21.0595213986379&lt;/D&gt;&lt;D xsi:type="xsd:double"&gt;20.0308807036986&lt;/D&gt;&lt;D xsi:type="xsd:double"&gt;19.7085349609422&lt;/D&gt;&lt;D xsi:type="xsd:double"&gt;19.370405392926&lt;/D&gt;&lt;D xsi:type="xsd:double"&gt;19.0396146275226&lt;/D&gt;&lt;D xsi:type="xsd:double"&gt;18.9389962373342&lt;/D&gt;&lt;D xsi:type="xsd:double"&gt;18.7423386236971&lt;/D&gt;&lt;D xsi:type="xsd:double"&gt;18.5936275063908&lt;/D&gt;&lt;D xsi:type="xsd:double"&gt;18.5296691909315&lt;/D&gt;&lt;D xsi:type="xsd:double"&gt;17.9667433025715&lt;/D&gt;&lt;D xsi:type="xsd:double"&gt;17.2553677944083&lt;/D&gt;&lt;D xsi:type="xsd:double"&gt;15.8625952629281&lt;/D&gt;&lt;D xsi:type="xsd:double"&gt;16.2884074892819&lt;/D&gt;&lt;D xsi:type="xsd:double"&gt;17.0772159171718&lt;/D&gt;&lt;D xsi:type="xsd:double"&gt;17.1282845755884&lt;/D&gt;&lt;D xsi:type="xsd:double"&gt;17.2345858858238&lt;/D&gt;&lt;D xsi:type="xsd:double"&gt;17.1403868413901&lt;/D&gt;&lt;D xsi:type="xsd:double"&gt;17.227620821179&lt;/D&gt;&lt;D xsi:type="xsd:double"&gt;17.6014391670319&lt;/D&gt;&lt;D xsi:type="xsd:double"&gt;17.3653734218844&lt;/D&gt;&lt;D xsi:type="xsd:double"&gt;17.9095382186461&lt;/D&gt;&lt;D xsi:type="xsd:double"&gt;18.0909448700988&lt;/D&gt;&lt;D xsi:type="xsd:double"&gt;18.839762217469&lt;/D&gt;&lt;D xsi:type="xsd:double"&gt;19.503746721015&lt;/D&gt;&lt;D xsi:type="xsd:double"&gt;20.4344994313111&lt;/D&gt;&lt;D xsi:type="xsd:double"&gt;20.5215638527312&lt;/D&gt;&lt;D xsi:type="xsd:double"&gt;17.4245108918749&lt;/D&gt;&lt;D xsi:type="xsd:double"&gt;18.7990608392291&lt;/D&gt;&lt;D xsi:type="xsd:double"&gt;19.6292390309893&lt;/D&gt;&lt;D xsi:type="xsd:double"&gt;20.9917594735349&lt;/D&gt;&lt;D xsi:type="xsd:double"&gt;22.0250043357081&lt;/D&gt;&lt;D xsi:type="xsd:double"&gt;22.8776092479102&lt;/D&gt;&lt;D xsi:type="xsd:double"&gt;23.2362451767313&lt;/D&gt;&lt;D xsi:type="xsd:double"&gt;24.3645956616323&lt;/D&gt;&lt;D xsi:type="xsd:double"&gt;25.0382705956628&lt;/D&gt;&lt;D xsi:type="xsd:double"&gt;26.3263023285346&lt;/D&gt;&lt;D xsi:type="xsd:double"&gt;27.1287538784987&lt;/D&gt;&lt;D xsi:type="xsd:double"&gt;27.3254807207975&lt;/D&gt;&lt;D xsi:type="xsd:double"&gt;26.1831768615512&lt;/D&gt;&lt;D xsi:type="xsd:double"&gt;25.9954653409464&lt;/D&gt;&lt;D xsi:type="xsd:double"&gt;25.2433484996277&lt;/D&gt;&lt;D xsi:type="xsd:double"&gt;24.8462754456885&lt;/D&gt;&lt;D xsi:type="xsd:double"&gt;24.5509958272906&lt;/D&gt;&lt;D xsi:type="xsd:double"&gt;23.9878032694856&lt;/D&gt;&lt;D xsi:type="xsd:double"&gt;23.4914808605602&lt;/D&gt;&lt;D xsi:type="xsd:double"&gt;23.1830221169553&lt;/D&gt;&lt;D xsi:type="xsd:double"&gt;23.3610213266677&lt;/D&gt;&lt;D xsi:type="xsd:double"&gt;22.6499125521586&lt;/D&gt;&lt;D xsi:type="xsd:double"&gt;22.6077894757184&lt;/D&gt;&lt;D xsi:type="xsd:double"&gt;20.8280844574483&lt;/D&gt;&lt;D xsi:type="xsd:double"&gt;20.6472513641831&lt;/D&gt;&lt;D xsi:type="xsd:double"&gt;20.4553189078049&lt;/D&gt;&lt;D xsi:type="xsd:double"&gt;19.7884336341829&lt;/D&gt;&lt;D xsi:type="xsd:double"&gt;18.6617659356113&lt;/D&gt;&lt;D xsi:type="xsd:double"&gt;18.7548639496508&lt;/D&gt;&lt;D xsi:type="xsd:double"&gt;19.6556266668932&lt;/D&gt;&lt;D xsi:type="xsd:double"&gt;18.2616896130597&lt;/D&gt;&lt;D xsi:type="xsd:double"&gt;17.4401756074032&lt;/D&gt;&lt;D xsi:type="xsd:double"&gt;18.2379964645958&lt;/D&gt;&lt;D xsi:type="xsd:double"&gt;17.5851735716234&lt;/D&gt;&lt;D xsi:type="xsd:double"&gt;18.1014478908893&lt;/D&gt;&lt;D xsi:type="xsd:double"&gt;18.5242312158261&lt;/D&gt;&lt;D xsi:type="xsd:double"&gt;17.9933581288842&lt;/D&gt;&lt;D xsi:type="xsd:double"&gt;18.3164798488784&lt;/D&gt;&lt;D xsi:type="xsd:double"&gt;18.3627662200069&lt;/D&gt;&lt;D xsi:type="xsd:double"&gt;18.9218126989181&lt;/D&gt;&lt;D xsi:type="xsd:double"&gt;19.5070022591253&lt;/D&gt;&lt;D xsi:type="xsd:double"&gt;19.1185987943393&lt;/D&gt;&lt;D xsi:type="xsd:double"&gt;19.4669403388771&lt;/D&gt;&lt;D xsi:type="xsd:double"&gt;19.4782431648891&lt;/D&gt;&lt;D xsi:type="xsd:double"&gt;20.1668612199703&lt;/D&gt;&lt;D xsi:type="xsd:double"&gt;21.252485810143&lt;/D&gt;&lt;D xsi:type="xsd:double"&gt;21.5856299305302&lt;/D&gt;&lt;D xsi:type="xsd:double"&gt;22.4549861616876&lt;/D&gt;&lt;D xsi:type="xsd:double"&gt;22.6979485014624&lt;/D&gt;&lt;D xsi:type="xsd:double"&gt;22.4165246159959&lt;/D&gt;&lt;D xsi:type="xsd:double"&gt;22.6073173772572&lt;/D&gt;&lt;/FQL&gt;&lt;FQL&gt;&lt;Q&gt;EWQ^FG_PRICE_MAVG(0,,,,200)&lt;/Q&gt;&lt;R&gt;1&lt;/R&gt;&lt;C&gt;1&lt;/C&gt;&lt;D xsi:type="xsd:double"&gt;38.333374&lt;/D&gt;&lt;/FQL&gt;&lt;FQL&gt;&lt;Q&gt;FXI^PERCENT_CHANGE(FMA_EPS(+1,0,,,,"PORTAGG","MEAN"),FMA_EPS(+1,-1AM,,,,"PORTAGG","MEAN"))&lt;/Q&gt;&lt;R&gt;1&lt;/R&gt;&lt;C&gt;1&lt;/C&gt;&lt;D xsi:type="xsd:double"&gt;1.44656210478365&lt;/D&gt;&lt;/FQL&gt;&lt;FQL&gt;&lt;Q&gt;EWQ^FG_TOTAL_RETURNC(0,-6AM)&lt;/Q&gt;&lt;R&gt;1&lt;/R&gt;&lt;C&gt;1&lt;/C&gt;&lt;D xsi:type="xsd:double"&gt;13.977945&lt;/D&gt;&lt;/FQL&gt;&lt;FQL&gt;&lt;Q&gt;EWD^FMA_COS_UP("EPS","1M",+1,0,,,"PORTAGG","MEANR")&lt;/Q&gt;&lt;R&gt;1&lt;/R&gt;&lt;C&gt;1&lt;/C&gt;&lt;D xsi:type="xsd:double"&gt;23&lt;/D&gt;&lt;/FQL&gt;&lt;FQL&gt;&lt;Q&gt;TRYSE10Y-FDS^PCTCHG(FG_YIELD(0,,,,"YTM"),FG_YIELD(-1AM,,,,"YTM"))&lt;/Q&gt;&lt;R&gt;1&lt;/R&gt;&lt;C&gt;1&lt;/C&gt;&lt;D xsi:type="xsd:double"&gt;-6.486275&lt;/D&gt;&lt;/FQL&gt;&lt;FQL&gt;&lt;Q&gt;VWO^FMA_DIV_YLD(NTMA,NOW,NOW,M,"PORTAGG","MEANR")&lt;/Q&gt;&lt;R&gt;1&lt;/R&gt;&lt;C&gt;1&lt;/C&gt;&lt;D xsi:type="xsd:double"&gt;3.06406952197484&lt;/D&gt;&lt;/FQL&gt;&lt;FQL&gt;&lt;Q&gt;EWL^JULIAN(FMA_DIV_YLD(NTMA,NOW,NOW,M,"PORTAGG","MEANR").DATES)&lt;/Q&gt;&lt;R&gt;1&lt;/R&gt;&lt;C&gt;1&lt;/C&gt;&lt;D xsi:type="xsd:long"&gt;45412&lt;/D&gt;&lt;/FQL&gt;&lt;FQL&gt;&lt;Q&gt;TRYAE10Y-FDS^FG_YIELD(-10AY,0,Y,,"YTM")&lt;/Q&gt;&lt;R&gt;10&lt;/R&gt;&lt;C&gt;1&lt;/C&gt;&lt;D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xsi:type="xsd:long"&gt;45289&lt;/D&gt;&lt;/FQL&gt;&lt;FQL&gt;&lt;Q&gt;USDGBP^STD(FG_PRICE_CHANGE(0,-1AY,AM))&lt;/Q&gt;&lt;R&gt;1&lt;/R&gt;&lt;C&gt;1&lt;/C&gt;&lt;D xsi:type="xsd:double"&gt;2.02846956767197&lt;/D&gt;&lt;/FQL&gt;&lt;FQL&gt;&lt;Q&gt;NI-FDS^FG_PRICE(0)&lt;/Q&gt;&lt;R&gt;1&lt;/R&gt;&lt;C&gt;1&lt;/C&gt;&lt;D xsi:type="xsd:double"&gt;20735&lt;/D&gt;&lt;/FQL&gt;&lt;FQL&gt;&lt;Q&gt;COPP-FDS^FG_PRICE_MAVG(0,,,,30)&lt;/Q&gt;&lt;R&gt;1&lt;/R&gt;&lt;C&gt;1&lt;/C&gt;&lt;D xsi:type="xsd:double"&gt;4.55215&lt;/D&gt;&lt;/FQL&gt;&lt;FQL&gt;&lt;Q&gt;VGK^P_PRICE(0)/P_PRICE_LOW_PR(0,,,,,,"PRICE","INTRA","52W")-1&lt;/Q&gt;&lt;R&gt;1&lt;/R&gt;&lt;C&gt;1&lt;/C&gt;&lt;D xsi:type="xsd:double"&gt;0.27297485&lt;/D&gt;&lt;/FQL&gt;&lt;FQL&gt;&lt;Q&gt;EWL^FG_TOTAL_RETURNC(0,-6AM)&lt;/Q&gt;&lt;R&gt;1&lt;/R&gt;&lt;C&gt;1&lt;/C&gt;&lt;D xsi:type="xsd:double"&gt;9.995508&lt;/D&gt;&lt;/FQL&gt;&lt;FQL&gt;&lt;Q&gt;EWA^FG_TOTAL_RETURNC(0,-1AM)&lt;/Q&gt;&lt;R&gt;1&lt;/R&gt;&lt;C&gt;1&lt;/C&gt;&lt;D xsi:type="xsd:double"&gt;7.404256&lt;/D&gt;&lt;/FQL&gt;&lt;FQL&gt;&lt;Q&gt;USO^FG_TOTAL_RETURNC(0,-6AM)&lt;/Q&gt;&lt;R&gt;1&lt;/R&gt;&lt;C&gt;1&lt;/C&gt;&lt;D xsi:type="xsd:double"&gt;8.791518&lt;/D&gt;&lt;/FQL&gt;&lt;FQL&gt;&lt;Q&gt;USDSEK^FG_PRICE_CHANGE(0,-3AM)&lt;/Q&gt;&lt;R&gt;1&lt;/R&gt;&lt;C&gt;1&lt;/C&gt;&lt;D xsi:type="xsd:double"&gt;2.4160743&lt;/D&gt;&lt;/FQL&gt;&lt;FQL&gt;&lt;Q&gt;USDNZD^STD(FG_PRICE_CHANGE(0,-3AY,M))&lt;/Q&gt;&lt;R&gt;1&lt;/R&gt;&lt;C&gt;1&lt;/C&gt;&lt;D xsi:type="xsd:double"&gt;3.46010374894999&lt;/D&gt;&lt;/FQL&gt;&lt;FQL&gt;&lt;Q&gt;EWQ^FG_PRICE_MAVG(0,,,,60)&lt;/Q&gt;&lt;R&gt;1&lt;/R&gt;&lt;C&gt;1&lt;/C&gt;&lt;D xsi:type="xsd:double"&gt;40.883335&lt;/D&gt;&lt;/FQL&gt;&lt;FQL&gt;&lt;Q&gt;FXI^FMA_PCT_ABOVE_MAVG(200,0,,,,"PORTAGG")&lt;/Q&gt;&lt;R&gt;1&lt;/R&gt;&lt;C&gt;1&lt;/C&gt;&lt;D xsi:type="xsd:double"&gt;78.4313725490196&lt;/D&gt;&lt;/FQL&gt;&lt;FQL&gt;&lt;Q&gt;EWQ^FG_TOTAL_RETURNC(0,-3AM)&lt;/Q&gt;&lt;R&gt;1&lt;/R&gt;&lt;C&gt;1&lt;/C&gt;&lt;D xsi:type="xsd:double"&gt;8.083904&lt;/D&gt;&lt;/FQL&gt;&lt;FQL&gt;&lt;Q&gt;TRYSE10Y-FDS^FG_YIELD_NAME&lt;/Q&gt;&lt;R&gt;1&lt;/R&gt;&lt;C&gt;1&lt;/C&gt;&lt;D xsi:type="xsd:string"&gt;Sweden Benchmark Bond - 10 Year&lt;/D&gt;&lt;/FQL&gt;&lt;FQL&gt;&lt;Q&gt;TRYNL10Y-FDS^PCTCHG(FG_YIELD(0,,,,"YTM"),FG_YIELD(-3AM,,,,"YTM"))&lt;/Q&gt;&lt;R&gt;1&lt;/R&gt;&lt;C&gt;1&lt;/C&gt;&lt;D xsi:type="xsd:double"&gt;3.17226&lt;/D&gt;&lt;/FQL&gt;&lt;FQL&gt;&lt;Q&gt;VWO^JULIAN(FMA_DIV_YLD(NTMA,NOW,NOW,M,"PORTAGG","MEANR").DATES)&lt;/Q&gt;&lt;R&gt;1&lt;/R&gt;&lt;C&gt;1&lt;/C&gt;&lt;D xsi:type="xsd:long"&gt;45412&lt;/D&gt;&lt;/FQL&gt;&lt;FQL&gt;&lt;Q&gt;EWQ^JULIAN(FMA_DIV_YLD(NTMA,NOW,NOW,M,"PORTAGG","MEANR").DATES)&lt;/Q&gt;&lt;R&gt;1&lt;/R&gt;&lt;C&gt;1&lt;/C&gt;&lt;D xsi:type="xsd:long"&gt;45412&lt;/D&gt;&lt;/FQL&gt;&lt;FQL&gt;&lt;Q&gt;DBA^FG_TOTAL_RETURNC(0,-1AM)&lt;/Q&gt;&lt;R&gt;1&lt;/R&gt;&lt;C&gt;1&lt;/C&gt;&lt;D xsi:type="xsd:double"&gt;-7.556081&lt;/D&gt;&lt;/FQL&gt;&lt;FQL&gt;&lt;Q&gt;TRYMY10Y-FDS^FG_YIELD(-10AY,0,Y,,"YTM")&lt;/Q&gt;&lt;R&gt;10&lt;/R&gt;&lt;C&gt;1&lt;/C&gt;&lt;D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xsi:type="xsd:double"&gt;3.727505&lt;/D&gt;&lt;/FQL&gt;&lt;FQL&gt;&lt;Q&gt;CAGDPY@IT^EE_ACTUAL_ANNUAL(MED,+1)&lt;/Q&gt;&lt;R&gt;1&lt;/R&gt;&lt;C&gt;1&lt;/C&gt;&lt;D xsi:type="xsd:double"&gt;0.9&lt;/D&gt;&lt;/FQL&gt;&lt;FQL&gt;&lt;Q&gt;USDGBP^FG_PRICE(0)&lt;/Q&gt;&lt;R&gt;1&lt;/R&gt;&lt;C&gt;1&lt;/C&gt;&lt;D xsi:type="xsd:double"&gt;0.7874946&lt;/D&gt;&lt;/FQL&gt;&lt;FQL&gt;&lt;Q&gt;EWL^FG_TOTAL_RETURNC(-10AY,0,AM)&lt;/Q&gt;&lt;R&gt;121&lt;/R&gt;&lt;C&gt;1&lt;/C&gt;&lt;D xsi:type="xsd:double"&gt;2.3060203&lt;/D&gt;&lt;D xsi:type="xsd:double"&gt;-0.453645&lt;/D&gt;&lt;D xsi:type="xsd:double"&gt;-1.4895856&lt;/D&gt;&lt;D xsi:type="xsd:double"&gt;-1.9668758&lt;/D&gt;&lt;D xsi:type="xsd:double"&gt;0.10559559&lt;/D&gt;&lt;D xsi:type="xsd:double"&gt;-7.5949373&lt;/D&gt;&lt;D xsi:type="xsd:double"&gt;6.0013056&lt;/D&gt;&lt;D xsi:type="xsd:double"&gt;-1.8153846&lt;/D&gt;&lt;D xsi:type="xsd:double"&gt;2.1936774&lt;/D&gt;&lt;D xsi:type="xsd:double"&gt;1.2572885&lt;/D&gt;&lt;D xsi:type="xsd:double"&gt;-1.483953&lt;/D&gt;&lt;D xsi:type="xsd:double"&gt;6.3941&lt;/D&gt;&lt;D xsi:type="xsd:double"&gt;3.785026&lt;/D&gt;&lt;D xsi:type="xsd:double"&gt;-4.1202664&lt;/D&gt;&lt;D xsi:type="xsd:double"&gt;1.912725&lt;/D&gt;&lt;D xsi:type="xsd:double"&gt;-2.012831&lt;/D&gt;&lt;D xsi:type="xsd:double"&gt;-4.316765&lt;/D&gt;&lt;D xsi:type="xsd:double"&gt;0&lt;/D&gt;&lt;D xsi:type="xsd:double"&gt;-3.5780966&lt;/D&gt;&lt;D xsi:type="xsd:double"&gt;-0.70990324&lt;/D&gt;&lt;D xsi:type="xsd:double"&gt;-7.052326&lt;/D&gt;&lt;D xsi:type="xsd:double"&gt;0.38460493&lt;/D&gt;&lt;D xsi:type="xsd:double"&gt;3.7617564&lt;/D&gt;&lt;D xsi:type="xsd:double"&gt;2.3162127&lt;/D&gt;&lt;D xsi:type="xsd:double"&gt;-1.8044591&lt;/D&gt;&lt;D xsi:type="xsd:double"&gt;0.20046234&lt;/D&gt;&lt;D xsi:type="xsd:double"&gt;2.0117164&lt;/D&gt;&lt;D xsi:type="xsd:double"&gt;3.1208038&lt;/D&gt;&lt;D xsi:type="xsd:double"&gt;-2.1802783&lt;/D&gt;&lt;D xsi:type="xsd:double"&gt;-1.7964065&lt;/D&gt;&lt;D xsi:type="xsd:double"&gt;-1.9986451&lt;/D&gt;&lt;D xsi:type="xsd:double"&gt;0.6913185&lt;/D&gt;&lt;D xsi:type="xsd:double"&gt;4.2874813&lt;/D&gt;&lt;D xsi:type="xsd:double"&gt;2.272725&lt;/D&gt;&lt;D xsi:type="xsd:double"&gt;3.413856&lt;/D&gt;&lt;D xsi:type="xsd:double"&gt;0.12457371&lt;/D&gt;&lt;D xsi:type="xsd:double"&gt;6.5318823&lt;/D&gt;&lt;D xsi:type="xsd:double"&gt;1.5766501&lt;/D&gt;&lt;D xsi:type="xsd:double"&gt;1.4334798&lt;/D&gt;&lt;D xsi:type="xsd:double"&gt;-1.562953&lt;/D&gt;&lt;D xsi:type="xsd:double"&gt;2.3228526&lt;/D&gt;&lt;D xsi:type="xsd:double"&gt;0.8046031&lt;/D&gt;&lt;D xsi:type="xsd:double"&gt;-1.9669414&lt;/D&gt;&lt;D xsi:type="xsd:double"&gt;2.0354748&lt;/D&gt;&lt;D xsi:type="xsd:double"&gt;4.21772&lt;/D&gt;&lt;D xsi:type="xsd:double"&gt;-1.6953766&lt;/D&gt;&lt;D xsi:type="xsd:double"&gt;-3.0041754&lt;/D&gt;&lt;D xsi:type="xsd:double"&gt;-0.5735636&lt;/D&gt;&lt;D xsi:type="xsd:double"&gt;-0.66339374&lt;/D&gt;&lt;D xsi:type="xsd:double"&gt;-2.3519099&lt;/D&gt;&lt;D xsi:type="xsd:double"&gt;1.7456055&lt;/D&gt;&lt;D xsi:type="xsd:double"&gt;1.8574&lt;/D&gt;&lt;D xsi:type="xsd:double"&gt;2.2941113&lt;/D&gt;&lt;D xsi:type="xsd:double"&gt;-5.7504296&lt;/D&gt;&lt;D xsi:type="xsd:double"&gt;0.39658546&lt;/D&gt;&lt;D xsi:type="xsd:double"&gt;-4.1324854&lt;/D&gt;&lt;D xsi:type="xsd:double"&gt;4.817748&lt;/D&gt;&lt;D xsi:type="xsd:double"&gt;2.7215004&lt;/D&gt;&lt;D xsi:type="xsd:double"&gt;3.8269043&lt;/D&gt;&lt;D xsi:type="xsd:double"&gt;1.5310526&lt;/D&gt;&lt;D xsi:type="xsd:double"&gt;0.58642626&lt;/D&gt;&lt;D xsi:type="xsd:double"&gt;3.3866167&lt;/D&gt;&lt;D xsi:type="xsd:double"&gt;2.4116158&lt;/D&gt;&lt;D xsi:type="xsd:double"&gt;-1.0971367&lt;/D&gt;&lt;D xsi:type="xsd:double"&gt;1.5963197&lt;/D&gt;&lt;D xsi:type="xsd:double"&gt;0.31957626&lt;/D&gt;&lt;D xsi:type="xsd:double"&gt;2.8935552&lt;/D&gt;&lt;D xsi:type="xsd:double"&gt;2.812183&lt;/D&gt;&lt;D xsi:type="xsd:double"&gt;4.366374&lt;/D&gt;&lt;D xsi:type="xsd:double"&gt;0.7453799&lt;/D&gt;&lt;D xsi:type="xsd:double"&gt;-22.434372&lt;/D&gt;&lt;D xsi:type="xsd:double"&gt;14.061535&lt;/D&gt;&lt;D xsi:type="xsd:double"&gt;-1.5106618&lt;/D&gt;&lt;D xsi:type="xsd:double"&gt;9.336376&lt;/D&gt;&lt;D xsi:type="xsd:double"&gt;4.1751504&lt;/D&gt;&lt;D xsi:type="xsd:double"&gt;2.517116&lt;/D&gt;&lt;D xsi:type="xsd:double"&gt;2.050066&lt;/D&gt;&lt;D xsi:type="xsd:double"&gt;-3.2469094&lt;/D&gt;&lt;D xsi:type="xsd:double"&gt;4.0318727&lt;/D&gt;&lt;D xsi:type="xsd:double"&gt;2.8385758&lt;/D&gt;&lt;D xsi:type="xsd:double"&gt;1.8740058&lt;/D&gt;&lt;D xsi:type="xsd:double"&gt;-0.62056184&lt;/D&gt;&lt;D xsi:type="xsd:double"&gt;-0.7805526&lt;/D&gt;&lt;D xsi:type="xsd:double"&gt;5.1697016&lt;/D&gt;&lt;D xsi:type="xsd:double"&gt;1.0899782&lt;/D&gt;&lt;D xsi:type="xsd:double"&gt;5.89242&lt;/D&gt;&lt;D xsi:type="xsd:double"&gt;-0.12200475&lt;/D&gt;&lt;D xsi:type="xsd:double"&gt;4.030943&lt;/D&gt;&lt;D xsi:type="xsd:double"&gt;-5.283749&lt;/D&gt;&lt;D xsi:type="xsd:double"&gt;0.51653385&lt;/D&gt;&lt;D xsi:type="xsd:double"&gt;4.768753&lt;/D&gt;&lt;D xsi:type="xsd:double"&gt;0.49048662&lt;/D&gt;&lt;D xsi:type="xsd:double"&gt;-0.27332902&lt;/D&gt;&lt;D xsi:type="xsd:double"&gt;-5.3445635&lt;/D&gt;&lt;D xsi:type="xsd:double"&gt;-0.31023026&lt;/D&gt;&lt;D xsi:type="xsd:double"&gt;2.1784186&lt;/D&gt;&lt;D xsi:type="xsd:double"&gt;-9.746194&lt;/D&gt;&lt;D xsi:type="xsd:double"&gt;-9.323043&lt;/D&gt;&lt;D xsi:type="xsd:double"&gt;4.4810176&lt;/D&gt;&lt;D xsi:type="xsd:double"&gt;4.434204&lt;/D&gt;&lt;D xsi:type="xsd:double"&gt;-6.960559&lt;/D&gt;&lt;D xsi:type="xsd:double"&gt;-4.91271&lt;/D&gt;&lt;D xsi:type="xsd:double"&gt;9.88723&lt;/D&gt;&lt;D xsi:type="xsd:double"&gt;-0.23866892&lt;/D&gt;&lt;D xsi:type="xsd:double"&gt;7.990432&lt;/D&gt;&lt;D xsi:type="xsd:double"&gt;-0.50952435&lt;/D&gt;&lt;D xsi:type="xsd:double"&gt;-5.165887&lt;/D&gt;&lt;D xsi:type="xsd:double"&gt;10.636293&lt;/D&gt;&lt;D xsi:type="xsd:double"&gt;1.6977906&lt;/D&gt;&lt;D xsi:type="xsd:double"&gt;-0.84885955&lt;/D&gt;&lt;D xsi:type="xsd:double"&gt;1.1835575&lt;/D&gt;&lt;D xsi:type="xsd:double"&gt;-3.7218213&lt;/D&gt;&lt;D xsi:type="xsd:double"&gt;0.7068634&lt;/D&gt;&lt;D xsi:type="xsd:double"&gt;-3.838563&lt;/D&gt;&lt;D xsi:type="xsd:double"&gt;1.5510917&lt;/D&gt;&lt;D xsi:type="xsd:double"&gt;5.1437616&lt;/D&gt;&lt;D xsi:type="xsd:double"&gt;-0.08545518&lt;/D&gt;&lt;D xsi:type="xsd:double"&gt;-0.21381974&lt;/D&gt;&lt;D xsi:type="xsd:double"&gt;3.4068942&lt;/D&gt;&lt;D xsi:type="xsd:double"&gt;-6.009114&lt;/D&gt;&lt;D xsi:type="xsd:double"&gt;7.958555&lt;/D&gt;&lt;/FQL&gt;&lt;FQL&gt;&lt;Q&gt;EWL^FMA_PE(LTMA,-10AY,0,AM,"PORTAGG","MEANR")&lt;/Q&gt;&lt;R&gt;121&lt;/R&gt;&lt;C&gt;1&lt;/C&gt;&lt;D xsi:type="xsd:double"&gt;17.2027851521752&lt;/D&gt;&lt;D xsi:type="xsd:double"&gt;17.1955854058911&lt;/D&gt;&lt;D xsi:type="xsd:double"&gt;17.1271540468124&lt;/D&gt;&lt;D xsi:type="xsd:double"&gt;17.0882868020366&lt;/D&gt;&lt;D xsi:type="xsd:double"&gt;17.43191183913&lt;/D&gt;&lt;D xsi:type="xsd:double"&gt;16.4940178057016&lt;/D&gt;&lt;D xsi:type="xsd:double"&gt;17.4756846717565&lt;/D&gt;&lt;D xsi:type="xsd:double"&gt;16.967843326822&lt;/D&gt;&lt;D xsi:type="xsd:double"&gt;16.0147467139515&lt;/D&gt;&lt;D xsi:type="xsd:double"&gt;17.5261798846258&lt;/D&gt;&lt;D xsi:type="xsd:double"&gt;17.9906195334844&lt;/D&gt;&lt;D xsi:type="xsd:double"&gt;18.1470940788579&lt;/D&gt;&lt;D xsi:type="xsd:double"&gt;18.0596897370386&lt;/D&gt;&lt;D xsi:type="xsd:double"&gt;17.8333438446968&lt;/D&gt;&lt;D xsi:type="xsd:double"&gt;18.2476272129439&lt;/D&gt;&lt;D xsi:type="xsd:double"&gt;18.0318063979284&lt;/D&gt;&lt;D xsi:type="xsd:double"&gt;17.4226892877714&lt;/D&gt;&lt;D xsi:type="xsd:double"&gt;17.527806045658&lt;/D&gt;&lt;D xsi:type="xsd:double"&gt;17.5654475352628&lt;/D&gt;&lt;D xsi:type="xsd:double"&gt;17.2291411094493&lt;/D&gt;&lt;D xsi:type="xsd:double"&gt;16.0796320553105&lt;/D&gt;&lt;D xsi:type="xsd:double"&gt;16.6945834293227&lt;/D&gt;&lt;D xsi:type="xsd:double"&gt;16.6468433320916&lt;/D&gt;&lt;D xsi:type="xsd:double"&gt;16.8065920963905&lt;/D&gt;&lt;D xsi:type="xsd:double"&gt;16.8382917463366&lt;/D&gt;&lt;D xsi:type="xsd:double"&gt;16.7788647120966&lt;/D&gt;&lt;D xsi:type="xsd:double"&gt;17.3242519198926&lt;/D&gt;&lt;D xsi:type="xsd:double"&gt;17.8072816676598&lt;/D&gt;&lt;D xsi:type="xsd:double"&gt;17.834477350752&lt;/D&gt;&lt;D xsi:type="xsd:double"&gt;17.755384753704&lt;/D&gt;&lt;D xsi:type="xsd:double"&gt;17.724595071032&lt;/D&gt;&lt;D xsi:type="xsd:double"&gt;18.0667534293573&lt;/D&gt;&lt;D xsi:type="xsd:double"&gt;18.4840014239823&lt;/D&gt;&lt;D xsi:type="xsd:double"&gt;19.6449691518581&lt;/D&gt;&lt;D xsi:type="xsd:double"&gt;19.6392922106911&lt;/D&gt;&lt;D xsi:type="xsd:double"&gt;19.4030864459229&lt;/D&gt;&lt;D xsi:type="xsd:double"&gt;19.5085627539649&lt;/D&gt;&lt;D xsi:type="xsd:double"&gt;19.5015116689712&lt;/D&gt;&lt;D xsi:type="xsd:double"&gt;19.4487563306312&lt;/D&gt;&lt;D xsi:type="xsd:double"&gt;19.1918544353235&lt;/D&gt;&lt;D xsi:type="xsd:double"&gt;19.290425718539&lt;/D&gt;&lt;D xsi:type="xsd:double"&gt;19.7301040355532&lt;/D&gt;&lt;D xsi:type="xsd:double"&gt;20.2034023693973&lt;/D&gt;&lt;D xsi:type="xsd:double"&gt;20.5841943457321&lt;/D&gt;&lt;D xsi:type="xsd:double"&gt;20.9703647116959&lt;/D&gt;&lt;D xsi:type="xsd:double"&gt;21.802982471816&lt;/D&gt;&lt;D xsi:type="xsd:double"&gt;20.9690547696546&lt;/D&gt;&lt;D xsi:type="xsd:double"&gt;20.4634165532833&lt;/D&gt;&lt;D xsi:type="xsd:double"&gt;20.1400538539606&lt;/D&gt;&lt;D xsi:type="xsd:double"&gt;19.5135862262678&lt;/D&gt;&lt;D xsi:type="xsd:double"&gt;19.2537434653744&lt;/D&gt;&lt;D xsi:type="xsd:double"&gt;18.8620215004848&lt;/D&gt;&lt;D xsi:type="xsd:double"&gt;18.584509610703&lt;/D&gt;&lt;D xsi:type="xsd:double"&gt;17.7329474949316&lt;/D&gt;&lt;D xsi:type="xsd:double"&gt;17.6385673064002&lt;/D&gt;&lt;D xsi:type="xsd:double"&gt;16.722514145993&lt;/D&gt;&lt;D xsi:type="xsd:double"&gt;17.1477320014258&lt;/D&gt;&lt;D xsi:type="xsd:double"&gt;17.9059655420583&lt;/D&gt;&lt;D xsi:type="xsd:double"&gt;18.3217764710399&lt;/D&gt;&lt;D xsi:type="xsd:double"&gt;18.3068605040211&lt;/D&gt;&lt;D xsi:type="xsd:double"&gt;18.1834695847756&lt;/D&gt;&lt;D xsi:type="xsd:double"&gt;18.2603099147054&lt;/D&gt;&lt;D xsi:type="xsd:double"&gt;18.396743906754&lt;/D&gt;&lt;D xsi:type="xsd:double"&gt;18.1158404315763&lt;/D&gt;&lt;D xsi:type="xsd:double"&gt;18.3807552167955&lt;/D&gt;&lt;D xsi:type="xsd:double"&gt;18.4028134413938&lt;/D&gt;&lt;D xsi:type="xsd:double"&gt;18.8875719225669&lt;/D&gt;&lt;D xsi:type="xsd:double"&gt;19.389837053052&lt;/D&gt;&lt;D xsi:type="xsd:double"&gt;19.993372715883&lt;/D&gt;&lt;D xsi:type="xsd:double"&gt;20.0781761046872&lt;/D&gt;&lt;D xsi:type="xsd:double"&gt;17.4602766410872&lt;/D&gt;&lt;D xsi:type="xsd:double"&gt;18.3343209655167&lt;/D&gt;&lt;D xsi:type="xsd:double"&gt;18.7266479224091&lt;/D&gt;&lt;D xsi:type="xsd:double"&gt;19.4793208065135&lt;/D&gt;&lt;D xsi:type="xsd:double"&gt;20.1681831072573&lt;/D&gt;&lt;D xsi:type="xsd:double"&gt;20.4595772152816&lt;/D&gt;&lt;D xsi:type="xsd:double"&gt;21.0402375664995&lt;/D&gt;&lt;D xsi:type="xsd:double"&gt;20.9094031579738&lt;/D&gt;&lt;D xsi:type="xsd:double"&gt;21.3789677817742&lt;/D&gt;&lt;D xsi:type="xsd:double"&gt;21.5183398800901&lt;/D&gt;&lt;D xsi:type="xsd:double"&gt;21.9739840268714&lt;/D&gt;&lt;D xsi:type="xsd:double"&gt;21.0556415310688&lt;/D&gt;&lt;D xsi:type="xsd:double"&gt;20.460582488564&lt;/D&gt;&lt;D xsi:type="xsd:double"&gt;20.6496100222041&lt;/D&gt;&lt;D xsi:type="xsd:double"&gt;20.4492500462948&lt;/D&gt;&lt;D xsi:type="xsd:double"&gt;20.924648191285&lt;/D&gt;&lt;D xsi:type="xsd:double"&gt;20.9527683175109&lt;/D&gt;&lt;D xsi:type="xsd:double"&gt;21.2495310303938&lt;/D&gt;&lt;D xsi:type="xsd:double"&gt;20.5528427778215&lt;/D&gt;&lt;D xsi:type="xsd:double"&gt;20.4932502600136&lt;/D&gt;&lt;D xsi:type="xsd:double"&gt;21.0656884251872&lt;/D&gt;&lt;D xsi:type="xsd:double"&gt;21.2344872604889&lt;/D&gt;&lt;D xsi:type="xsd:double"&gt;20.8293094697787&lt;/D&gt;&lt;D xsi:type="xsd:double"&gt;18.5030861439555&lt;/D&gt;&lt;D xsi:type="xsd:double"&gt;18.5090212131967&lt;/D&gt;&lt;D xsi:type="xsd:double"&gt;18.6824282663476&lt;/D&gt;&lt;D xsi:type="xsd:double"&gt;18.2055545748234&lt;/D&gt;&lt;D xsi:type="xsd:double"&gt;17.3556958663355&lt;/D&gt;&lt;D xsi:type="xsd:double"&gt;17.7262674826216&lt;/D&gt;&lt;D xsi:type="xsd:double"&gt;18.2767390757886&lt;/D&gt;&lt;D xsi:type="xsd:double"&gt;17.5624428838475&lt;/D&gt;&lt;D xsi:type="xsd:double"&gt;17.2739929599007&lt;/D&gt;&lt;D xsi:type="xsd:double"&gt;19.3655576156589&lt;/D&gt;&lt;D xsi:type="xsd:double"&gt;20.0034162188729&lt;/D&gt;&lt;D xsi:type="xsd:double"&gt;21.5017078804268&lt;/D&gt;&lt;D xsi:type="xsd:double"&gt;21.3325768443549&lt;/D&gt;&lt;D xsi:type="xsd:double"&gt;20.3872833746677&lt;/D&gt;&lt;D xsi:type="xsd:double"&gt;20.3622821297262&lt;/D&gt;&lt;D xsi:type="xsd:double"&gt;20.062574169008&lt;/D&gt;&lt;D xsi:type="xsd:double"&gt;19.5036825296999&lt;/D&gt;&lt;D xsi:type="xsd:double"&gt;19.1335796908388&lt;/D&gt;&lt;D xsi:type="xsd:double"&gt;18.6964187430253&lt;/D&gt;&lt;D xsi:type="xsd:double"&gt;18.8701152022807&lt;/D&gt;&lt;D xsi:type="xsd:double"&gt;18.2280814265778&lt;/D&gt;&lt;D xsi:type="xsd:double"&gt;17.8846575240681&lt;/D&gt;&lt;D xsi:type="xsd:double"&gt;18.4568002707754&lt;/D&gt;&lt;D xsi:type="xsd:double"&gt;18.1936615844558&lt;/D&gt;&lt;D xsi:type="xsd:double"&gt;19.0017802563691&lt;/D&gt;&lt;D xsi:type="xsd:double"&gt;19.1980302972939&lt;/D&gt;&lt;D xsi:type="xsd:double"&gt;18.8424787507722&lt;/D&gt;&lt;D xsi:type="xsd:double"&gt;18.9416914709171&lt;/D&gt;&lt;/FQL&gt;&lt;FQL&gt;&lt;Q&gt;PLATI-FDS^MAX(FG_PRICE(0,-5AY))&lt;/Q&gt;&lt;R&gt;1&lt;/R&gt;&lt;C&gt;1&lt;/C&gt;&lt;D xsi:type="xsd:double"&gt;1272.59&lt;/D&gt;&lt;/FQL&gt;&lt;FQL&gt;&lt;Q&gt;TIOS-FDS^MAX(FG_PRICE(0,-5AY))&lt;/Q&gt;&lt;R&gt;1&lt;/R&gt;&lt;C&gt;1&lt;/C&gt;&lt;D xsi:type="xsd:double"&gt;219.77&lt;/D&gt;&lt;/FQL&gt;&lt;FQL&gt;&lt;Q&gt;VGK^P_PRICE(0)/P_PRICE_HIGH_PR(0,,,,,,"PRICE","INTRA","52W")&lt;/Q&gt;&lt;R&gt;1&lt;/R&gt;&lt;C&gt;1&lt;/C&gt;&lt;D xsi:type="xsd:double"&gt;0.996871&lt;/D&gt;&lt;/FQL&gt;&lt;FQL&gt;&lt;Q&gt;EWJ^FG_TOTAL_RETURNC(0,-12AM)&lt;/Q&gt;&lt;R&gt;1&lt;/R&gt;&lt;C&gt;1&lt;/C&gt;&lt;D xsi:type="xsd:double"&gt;15.350544&lt;/D&gt;&lt;/FQL&gt;&lt;FQL&gt;&lt;Q&gt;EWA^PERCENT_CHANGE(FMA_EPS(+1,0,,,,"PORTAGG","MEAN"),FMA_EPS(+1,-3AM,,,,"PORTAGG","MEAN"))&lt;/Q&gt;&lt;R&gt;1&lt;/R&gt;&lt;C&gt;1&lt;/C&gt;&lt;D xsi:type="xsd:double"&gt;1.69309143566496&lt;/D&gt;&lt;/FQL&gt;&lt;FQL&gt;&lt;Q&gt;EWJ^FMA_PE(NTMA,0,,,"PORTAGG","MEANR")&lt;/Q&gt;&lt;R&gt;1&lt;/R&gt;&lt;C&gt;1&lt;/C&gt;&lt;D xsi:type="xsd:double"&gt;15.4437641829219&lt;/D&gt;&lt;/FQL&gt;&lt;FQL&gt;&lt;Q&gt;TRYQA10Y-FDS^FG_YIELD(-10AY,0,Y,,"YTM")&lt;/Q&gt;&lt;R&gt;10&lt;/R&gt;&lt;C&gt;1&lt;/C&gt;&lt;D xsi:type="xsd:string"&gt;@NA&lt;/D&gt;&lt;D xsi:type="xsd:double"&gt;2.7255995&lt;/D&gt;&lt;D xsi:type="xsd:double"&gt;3.5394266&lt;/D&gt;&lt;D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xsi:type="xsd:string"&gt;@NA&lt;/D&gt;&lt;/FQL&gt;&lt;FQL&gt;&lt;Q&gt;CAGDPY@NL^EE_ACTUAL_ANNUAL(MED,0)&lt;/Q&gt;&lt;R&gt;1&lt;/R&gt;&lt;C&gt;1&lt;/C&gt;&lt;D xsi:type="xsd:double"&gt;10.0884806997308&lt;/D&gt;&lt;/FQL&gt;&lt;FQL&gt;&lt;Q&gt;USDSEK^FG_PRICE_CHANGE(0,-1AM)&lt;/Q&gt;&lt;R&gt;1&lt;/R&gt;&lt;C&gt;1&lt;/C&gt;&lt;D xsi:type="xsd:double"&gt;-2.6201308&lt;/D&gt;&lt;/FQL&gt;&lt;FQL&gt;&lt;Q&gt;USDNZD^STD(FG_PRICE_CHANGE(0,-1AY,AM))&lt;/Q&gt;&lt;R&gt;1&lt;/R&gt;&lt;C&gt;1&lt;/C&gt;&lt;D xsi:type="xsd:double"&gt;2.79841331424375&lt;/D&gt;&lt;/FQL&gt;&lt;FQL&gt;&lt;Q&gt;TIOS-FDS^FG_PRICE_CHANGE(0,-1AY)&lt;/Q&gt;&lt;R&gt;1&lt;/R&gt;&lt;C&gt;1&lt;/C&gt;&lt;D xsi:type="xsd:double"&gt;8.81914695474018&lt;/D&gt;&lt;/FQL&gt;&lt;FQL&gt;&lt;Q&gt;SPY^FG_PRICE_MAVG(0,,,,60)&lt;/Q&gt;&lt;R&gt;1&lt;/R&gt;&lt;C&gt;1&lt;/C&gt;&lt;D xsi:type="xsd:double"&gt;513.35364&lt;/D&gt;&lt;/FQL&gt;&lt;FQL&gt;&lt;Q&gt;EWQ^FG_TOTAL_RETURNC(0,-1AM)&lt;/Q&gt;&lt;R&gt;1&lt;/R&gt;&lt;C&gt;1&lt;/C&gt;&lt;D xsi:type="xsd:double"&gt;6.2893033&lt;/D&gt;&lt;/FQL&gt;&lt;FQL&gt;&lt;Q&gt;TRYFR10Y-FDS^PCTCHG(FG_YIELD(0,,,,"YTM"),FG_YIELD(-3AM,,,,"YTM"))&lt;/Q&gt;&lt;R&gt;1&lt;/R&gt;&lt;C&gt;1&lt;/C&gt;&lt;D xsi:type="xsd:double"&gt;3.7565231&lt;/D&gt;&lt;/FQL&gt;&lt;FQL&gt;&lt;Q&gt;TRYGB10Y-FDS^FG_YIELD(0,,,,"YTM")&lt;/Q&gt;&lt;R&gt;1&lt;/R&gt;&lt;C&gt;1&lt;/C&gt;&lt;D xsi:type="xsd:double"&gt;4.12&lt;/D&gt;&lt;/FQL&gt;&lt;FQL&gt;&lt;Q&gt;VGK^FMA_EVAL_EBIT(LTMA,NOW,NOW,M,"PORTAGG","MEANR")&lt;/Q&gt;&lt;R&gt;1&lt;/R&gt;&lt;C&gt;1&lt;/C&gt;&lt;D xsi:type="xsd:double"&gt;13.2613538148039&lt;/D&gt;&lt;/FQL&gt;&lt;FQL&gt;&lt;Q&gt;SPY^FMA_EVAL_EBIT(LTMA,NOW,NOW,M,"PORTAGG","MEANR")&lt;/Q&gt;&lt;R&gt;1&lt;/R&gt;&lt;C&gt;1&lt;/C&gt;&lt;D xsi:type="xsd:double"&gt;20.3484154241648&lt;/D&gt;&lt;/FQL&gt;&lt;FQL&gt;&lt;Q&gt;USDGBP^FG_COMPANY_NAME&lt;/Q&gt;&lt;R&gt;1&lt;/R&gt;&lt;C&gt;1&lt;/C&gt;&lt;D xsi:type="xsd:string"&gt;British Pounds per U.S. Dollar&lt;/D&gt;&lt;/FQL&gt;&lt;FQL&gt;&lt;Q&gt;EWJ^FG_TOTAL_RETURNC(-10AY,0,AM)&lt;/Q&gt;&lt;R&gt;121&lt;/R&gt;&lt;C&gt;1&lt;/C&gt;&lt;D xsi:type="xsd:double"&gt;-0.2683401&lt;/D&gt;&lt;D xsi:type="xsd:double"&gt;5.9192896&lt;/D&gt;&lt;D xsi:type="xsd:double"&gt;2.8157592&lt;/D&gt;&lt;D xsi:type="xsd:double"&gt;-0.74626803&lt;/D&gt;&lt;D xsi:type="xsd:double"&gt;-2.0885527&lt;/D&gt;&lt;D xsi:type="xsd:double"&gt;-6.6552935&lt;/D&gt;&lt;D xsi:type="xsd:double"&gt;5.8501005&lt;/D&gt;&lt;D xsi:type="xsd:double"&gt;-2.1043003&lt;/D&gt;&lt;D xsi:type="xsd:double"&gt;0.62111616&lt;/D&gt;&lt;D xsi:type="xsd:double"&gt;5.114639&lt;/D&gt;&lt;D xsi:type="xsd:double"&gt;5.369127&lt;/D&gt;&lt;D xsi:type="xsd:double"&gt;2.9060483&lt;/D&gt;&lt;D xsi:type="xsd:double"&gt;1.6634464&lt;/D&gt;&lt;D xsi:type="xsd:double"&gt;-2.3592114&lt;/D&gt;&lt;D xsi:type="xsd:double"&gt;1.6795635&lt;/D&gt;&lt;D xsi:type="xsd:double"&gt;-0.23112297&lt;/D&gt;&lt;D xsi:type="xsd:double"&gt;-8.185328&lt;/D&gt;&lt;D xsi:type="xsd:double"&gt;2.6913404&lt;/D&gt;&lt;D xsi:type="xsd:double"&gt;2.375102&lt;/D&gt;&lt;D xsi:type="xsd:double"&gt;-1.9999981&lt;/D&gt;&lt;D xsi:type="xsd:double"&gt;-8.111393&lt;/D&gt;&lt;D xsi:type="xsd:double"&gt;-2.6398242&lt;/D&gt;&lt;D xsi:type="xsd:double"&gt;5.6066155&lt;/D&gt;&lt;D xsi:type="xsd:double"&gt;2.5239348&lt;/D&gt;&lt;D xsi:type="xsd:double"&gt;-1.4431238&lt;/D&gt;&lt;D xsi:type="xsd:double"&gt;-1.5503824&lt;/D&gt;&lt;D xsi:type="xsd:double"&gt;4.7617555&lt;/D&gt;&lt;D xsi:type="xsd:double"&gt;4.292929&lt;/D&gt;&lt;D xsi:type="xsd:double"&gt;-2.4213076&lt;/D&gt;&lt;D xsi:type="xsd:double"&gt;2.1505356&lt;/D&gt;&lt;D xsi:type="xsd:double"&gt;1.497972&lt;/D&gt;&lt;D xsi:type="xsd:double"&gt;-0.03988743&lt;/D&gt;&lt;D xsi:type="xsd:double"&gt;1.5765905&lt;/D&gt;&lt;D xsi:type="xsd:double"&gt;1.7289281&lt;/D&gt;&lt;D xsi:type="xsd:double"&gt;1.2502551&lt;/D&gt;&lt;D xsi:type="xsd:double"&gt;-1.3119817&lt;/D&gt;&lt;D xsi:type="xsd:double"&gt;2.600193&lt;/D&gt;&lt;D xsi:type="xsd:double"&gt;3.315556&lt;/D&gt;&lt;D xsi:type="xsd:double"&gt;-0.58090687&lt;/D&gt;&lt;D xsi:type="xsd:double"&gt;1.2135863&lt;/D&gt;&lt;D xsi:type="xsd:double"&gt;1.9000292&lt;/D&gt;&lt;D xsi:type="xsd:double"&gt;4.2360663&lt;/D&gt;&lt;D xsi:type="xsd:double"&gt;1.9277453&lt;/D&gt;&lt;D xsi:type="xsd:double"&gt;2.061689&lt;/D&gt;&lt;D xsi:type="xsd:double"&gt;7.510221&lt;/D&gt;&lt;D xsi:type="xsd:double"&gt;-3.7048638&lt;/D&gt;&lt;D xsi:type="xsd:double"&gt;-1.4772713&lt;/D&gt;&lt;D xsi:type="xsd:double"&gt;-0.098860264&lt;/D&gt;&lt;D xsi:type="xsd:double"&gt;0.8741498&lt;/D&gt;&lt;D xsi:type="xsd:double"&gt;-1.373446&lt;/D&gt;&lt;D xsi:type="xsd:double"&gt;-2.942741&lt;/D&gt;&lt;D xsi:type="xsd:double"&gt;-1.5493214&lt;/D&gt;&lt;D xsi:type="xsd:double"&gt;1.6786218&lt;/D&gt;&lt;D xsi:type="xsd:double"&gt;-0.9974241&lt;/D&gt;&lt;D xsi:type="xsd:double"&gt;-4.9852314&lt;/D&gt;&lt;D xsi:type="xsd:double"&gt;-3.9488137&lt;/D&gt;&lt;D xsi:type="xsd:double"&gt;2.5018334&lt;/D&gt;&lt;D xsi:type="xsd:double"&gt;1.9648314&lt;/D&gt;&lt;D xsi:type="xsd:double"&gt;-0.3303349&lt;/D&gt;&lt;D xsi:type="xsd:double"&gt;1.7676234&lt;/D&gt;&lt;D xsi:type="xsd:double"&gt;-2.8586984&lt;/D&gt;&lt;D xsi:type="xsd:double"&gt;0.870347&lt;/D&gt;&lt;D xsi:type="xsd:double"&gt;1.8632412&lt;/D&gt;&lt;D xsi:type="xsd:double"&gt;-2.3047328&lt;/D&gt;&lt;D xsi:type="xsd:double"&gt;6.309676&lt;/D&gt;&lt;D xsi:type="xsd:double"&gt;1.2328267&lt;/D&gt;&lt;D xsi:type="xsd:double"&gt;4.0187955&lt;/D&gt;&lt;D xsi:type="xsd:double"&gt;1.8137574&lt;/D&gt;&lt;D xsi:type="xsd:double"&gt;-0.6981373&lt;/D&gt;&lt;D xsi:type="xsd:double"&gt;-2.159357&lt;/D&gt;&lt;D xsi:type="xsd:double"&gt;-22.42943&lt;/D&gt;&lt;D xsi:type="xsd:double"&gt;12.086451&lt;/D&gt;&lt;D xsi:type="xsd:double"&gt;1.7512798&lt;/D&gt;&lt;D xsi:type="xsd:double"&gt;9.94426&lt;/D&gt;&lt;D xsi:type="xsd:double"&gt;-0.42553544&lt;/D&gt;&lt;D xsi:type="xsd:double"&gt;3.436613&lt;/D&gt;&lt;D xsi:type="xsd:double"&gt;2.4616957&lt;/D&gt;&lt;D xsi:type="xsd:double"&gt;-1.0416627&lt;/D&gt;&lt;D xsi:type="xsd:double"&gt;8.709669&lt;/D&gt;&lt;D xsi:type="xsd:double"&gt;4.6721935&lt;/D&gt;&lt;D xsi:type="xsd:double"&gt;2.9358864&lt;/D&gt;&lt;D xsi:type="xsd:double"&gt;4.4237494&lt;/D&gt;&lt;D xsi:type="xsd:double"&gt;-2.4665594&lt;/D&gt;&lt;D xsi:type="xsd:double"&gt;-0.0428617&lt;/D&gt;&lt;D xsi:type="xsd:double"&gt;-5.0171556&lt;/D&gt;&lt;D xsi:type="xsd:double"&gt;4.3267965&lt;/D&gt;&lt;D xsi:type="xsd:double"&gt;-2.324903&lt;/D&gt;&lt;D xsi:type="xsd:double"&gt;0.5653024&lt;/D&gt;&lt;D xsi:type="xsd:double"&gt;8.624268&lt;/D&gt;&lt;D xsi:type="xsd:double"&gt;-5.978483&lt;/D&gt;&lt;D xsi:type="xsd:double"&gt;0.796628&lt;/D&gt;&lt;D xsi:type="xsd:double"&gt;-2.1376848&lt;/D&gt;&lt;D xsi:type="xsd:double"&gt;0.02976656&lt;/D&gt;&lt;D xsi:type="xsd:double"&gt;-5.2060127&lt;/D&gt;&lt;D xsi:type="xsd:double"&gt;-3.5305202&lt;/D&gt;&lt;D xsi:type="xsd:double"&gt;-5.0097585&lt;/D&gt;&lt;D xsi:type="xsd:double"&gt;-3.373289&lt;/D&gt;&lt;D xsi:type="xsd:double"&gt;-6.8415523&lt;/D&gt;&lt;D xsi:type="xsd:double"&gt;1.3445973&lt;/D&gt;&lt;D xsi:type="xsd:double"&gt;7.6762795&lt;/D&gt;&lt;D xsi:type="xsd:double"&gt;-9.118116&lt;/D&gt;&lt;D xsi:type="xsd:double"&gt;-5.1907835&lt;/D&gt;&lt;D xsi:type="xsd:double"&gt;10.8477955&lt;/D&gt;&lt;D xsi:type="xsd:double"&gt;0.7578969&lt;/D&gt;&lt;D xsi:type="xsd:double"&gt;5.059588&lt;/D&gt;&lt;D xsi:type="xsd:double"&gt;-0.5060196&lt;/D&gt;&lt;D xsi:type="xsd:double"&gt;-2.2974432&lt;/D&gt;&lt;D xsi:type="xsd:double"&gt;5.205536&lt;/D&gt;&lt;D xsi:type="xsd:double"&gt;3.8218737&lt;/D&gt;&lt;D xsi:type="xsd:double"&gt;4.429698&lt;/D&gt;&lt;D xsi:type="xsd:double"&gt;-1.0301054&lt;/D&gt;&lt;D xsi:type="xsd:double"&gt;-5.2522063&lt;/D&gt;&lt;D xsi:type="xsd:double"&gt;6.4559817&lt;/D&gt;&lt;D xsi:type="xsd:double"&gt;-4.921418&lt;/D&gt;&lt;D xsi:type="xsd:double"&gt;4.107535&lt;/D&gt;&lt;D xsi:type="xsd:double"&gt;1.3151526&lt;/D&gt;&lt;D xsi:type="xsd:double"&gt;4.539919&lt;/D&gt;&lt;D xsi:type="xsd:double"&gt;3.8544178&lt;/D&gt;&lt;D xsi:type="xsd:double"&gt;2.868557&lt;/D&gt;&lt;D xsi:type="xsd:double"&gt;-3.564757&lt;/D&gt;&lt;D xsi:type="xsd:double"&gt;2.4</t>
        </r>
      </text>
    </comment>
    <comment ref="A13" authorId="0" shapeId="0" xr:uid="{BDED512B-FD03-4A88-9EC6-A105E9A99E22}">
      <text>
        <r>
          <rPr>
            <b/>
            <sz val="9"/>
            <color indexed="81"/>
            <rFont val="Tahoma"/>
            <charset val="1"/>
          </rPr>
          <t>444938&lt;/D&gt;&lt;/FQL&gt;&lt;FQL&gt;&lt;Q&gt;EWJ^FMA_PE(LTMA,-10AY,0,AM,"PORTAGG","MEANR")&lt;/Q&gt;&lt;R&gt;121&lt;/R&gt;&lt;C&gt;1&lt;/C&gt;&lt;D xsi:type="xsd:double"&gt;15.0839231576337&lt;/D&gt;&lt;D xsi:type="xsd:double"&gt;15.2568039870711&lt;/D&gt;&lt;D xsi:type="xsd:double"&gt;15.2825546219564&lt;/D&gt;&lt;D xsi:type="xsd:double"&gt;15.0610325712805&lt;/D&gt;&lt;D xsi:type="xsd:double"&gt;15.1900837302057&lt;/D&gt;&lt;D xsi:type="xsd:double"&gt;14.0298153948272&lt;/D&gt;&lt;D xsi:type="xsd:double"&gt;15.6145506790108&lt;/D&gt;&lt;D xsi:type="xsd:double"&gt;15.2359096364183&lt;/D&gt;&lt;D xsi:type="xsd:double"&gt;15.3457663960416&lt;/D&gt;&lt;D xsi:type="xsd:double"&gt;16.2323606642888&lt;/D&gt;&lt;D xsi:type="xsd:double"&gt;16.9410094572574&lt;/D&gt;&lt;D xsi:type="xsd:double"&gt;16.8985551028021&lt;/D&gt;&lt;D xsi:type="xsd:double"&gt;16.9673189602694&lt;/D&gt;&lt;D xsi:type="xsd:double"&gt;16.9110405692027&lt;/D&gt;&lt;D xsi:type="xsd:double"&gt;16.8815462465843&lt;/D&gt;&lt;D xsi:type="xsd:double"&gt;16.8298765627707&lt;/D&gt;&lt;D xsi:type="xsd:double"&gt;15.5092007704433&lt;/D&gt;&lt;D xsi:type="xsd:double"&gt;15.4915291469703&lt;/D&gt;&lt;D xsi:type="xsd:double"&gt;16.1511184685425&lt;/D&gt;&lt;D xsi:type="xsd:double"&gt;15.8344391865221&lt;/D&gt;&lt;D xsi:type="xsd:double"&gt;14.3185797866969&lt;/D&gt;&lt;D xsi:type="xsd:double"&gt;13.4737997879713&lt;/D&gt;&lt;D xsi:type="xsd:double"&gt;13.8818922454612&lt;/D&gt;&lt;D xsi:type="xsd:double"&gt;13.8661892851473&lt;/D&gt;&lt;D xsi:type="xsd:double"&gt;13.9017413319054&lt;/D&gt;&lt;D xsi:type="xsd:double"&gt;13.6701820351596&lt;/D&gt;&lt;D xsi:type="xsd:double"&gt;14.1554741515511&lt;/D&gt;&lt;D xsi:type="xsd:double"&gt;14.0996906246451&lt;/D&gt;&lt;D xsi:type="xsd:double"&gt;14.1347798618028&lt;/D&gt;&lt;D xsi:type="xsd:double"&gt;14.425061735036&lt;/D&gt;&lt;D xsi:type="xsd:double"&gt;15.1312100155821&lt;/D&gt;&lt;D xsi:type="xsd:double"&gt;16.6375511216123&lt;/D&gt;&lt;D xsi:type="xsd:double"&gt;16.2512121149573&lt;/D&gt;&lt;D xsi:type="xsd:double"&gt;16.1937095795299&lt;/D&gt;&lt;D xsi:type="xsd:double"&gt;15.9012283865276&lt;/D&gt;&lt;D xsi:type="xsd:double"&gt;15.4857342241578&lt;/D&gt;&lt;D xsi:type="xsd:double"&gt;15.6939821751141&lt;/D&gt;&lt;D xsi:type="xsd:double"&gt;15.6225392401355&lt;/D&gt;&lt;D xsi:type="xsd:double"&gt;15.4873911863403&lt;/D&gt;&lt;D xsi:type="xsd:double"&gt;15.1055511103025&lt;/D&gt;&lt;D xsi:type="xsd:double"&gt;14.8375425128559&lt;/D&gt;&lt;D xsi:type="xsd:double"&gt;15.2257751182113&lt;/D&gt;&lt;D xsi:type="xsd:double"&gt;15.6017854248111&lt;/D&gt;&lt;D xsi:type="xsd:double"&gt;16.0437526856346&lt;/D&gt;&lt;D xsi:type="xsd:double"&gt;16.9800515644446&lt;/D&gt;&lt;D xsi:type="xsd:double"&gt;15.0221899402473&lt;/D&gt;&lt;D xsi:type="xsd:double"&gt;14.3822592309669&lt;/D&gt;&lt;D xsi:type="xsd:double"&gt;14.2233785621894&lt;/D&gt;&lt;D xsi:type="xsd:double"&gt;14.3150392374991&lt;/D&gt;&lt;D xsi:type="xsd:double"&gt;14.167236305793&lt;/D&gt;&lt;D xsi:type="xsd:double"&gt;13.9189046577605&lt;/D&gt;&lt;D xsi:type="xsd:double"&gt;13.5574427994852&lt;/D&gt;&lt;D xsi:type="xsd:double"&gt;13.5379792456831&lt;/D&gt;&lt;D xsi:type="xsd:double"&gt;13.3010539066778&lt;/D&gt;&lt;D xsi:type="xsd:double"&gt;12.6288741947664&lt;/D&gt;&lt;D xsi:type="xsd:double"&gt;12.2967068851511&lt;/D&gt;&lt;D xsi:type="xsd:double"&gt;11.881629124158&lt;/D&gt;&lt;D xsi:type="xsd:double"&gt;12.4088731088842&lt;/D&gt;&lt;D xsi:type="xsd:double"&gt;12.7014294929199&lt;/D&gt;&lt;D xsi:type="xsd:double"&gt;12.7873021018853&lt;/D&gt;&lt;D xsi:type="xsd:double"&gt;12.6663197319676&lt;/D&gt;&lt;D xsi:type="xsd:double"&gt;12.7645453136046&lt;/D&gt;&lt;D xsi:type="xsd:double"&gt;12.9522114209144&lt;/D&gt;&lt;D xsi:type="xsd:double"&gt;12.6469793270733&lt;/D&gt;&lt;D xsi:type="xsd:double"&gt;13.5439217251134&lt;/D&gt;&lt;D xsi:type="xsd:double"&gt;13.7553782964212&lt;/D&gt;&lt;D xsi:type="xsd:double"&gt;14.4505060846045&lt;/D&gt;&lt;D xsi:type="xsd:double"&gt;15.3816020062042&lt;/D&gt;&lt;D xsi:type="xsd:double"&gt;15.4731265326243&lt;/D&gt;&lt;D xsi:type="xsd:double"&gt;15.3906446386004&lt;/D&gt;&lt;D xsi:type="xsd:double"&gt;13.5079906962177&lt;/D&gt;&lt;D xsi:type="xsd:double"&gt;14.0759240873478&lt;/D&gt;&lt;D xsi:type="xsd:double"&gt;14.5358585271511&lt;/D&gt;&lt;D xsi:type="xsd:double"&gt;16.7738608187975&lt;/D&gt;&lt;D xsi:type="xsd:double"&gt;17.5290641449907&lt;/D&gt;&lt;D xsi:type="xsd:double"&gt;18.1570936501498&lt;/D&gt;&lt;D xsi:type="xsd:double"&gt;19.7946568594376&lt;/D&gt;&lt;D xsi:type="xsd:double"&gt;20.3616857359871&lt;/D&gt;&lt;D xsi:type="xsd:double"&gt;22.2305079182453&lt;/D&gt;&lt;D xsi:type="xsd:double"&gt;23.0184848843329&lt;/D&gt;&lt;D xsi:type="xsd:double"&gt;23.9745368775587&lt;/D&gt;&lt;D xsi:type="xsd:double"&gt;23.7733676574551&lt;/D&gt;&lt;D xsi:type="xsd:double"&gt;21.5440510402246&lt;/D&gt;&lt;D xsi:type="xsd:double"&gt;21.1151101370279&lt;/D&gt;&lt;D xsi:type="xsd:double"&gt;20.2635546843254&lt;/D&gt;&lt;D xsi:type="xsd:double"&gt;20.0628677312379&lt;/D&gt;&lt;D xsi:type="xsd:double"&gt;19.4278845966618&lt;/D&gt;&lt;D xsi:type="xsd:double"&gt;18.5735201156371&lt;/D&gt;&lt;D xsi:type="xsd:double"&gt;18.7546237827808&lt;/D&gt;&lt;D xsi:type="xsd:double"&gt;17.8676527238604&lt;/D&gt;&lt;D xsi:type="xsd:double"&gt;17.5031639212157&lt;/D&gt;&lt;D xsi:type="xsd:double"&gt;16.3099404218743&lt;/D&gt;&lt;D xsi:type="xsd:double"&gt;15.8660227320337&lt;/D&gt;&lt;D xsi:type="xsd:double"&gt;15.0780698342415&lt;/D&gt;&lt;D xsi:type="xsd:double"&gt;14.6070882770732&lt;/D&gt;&lt;D xsi:type="xsd:double"&gt;14.4809120001164&lt;/D&gt;&lt;D xsi:type="xsd:double"&gt;14.195643128351&lt;/D&gt;&lt;D xsi:type="xsd:double"&gt;13.8379451318648&lt;/D&gt;&lt;D xsi:type="xsd:double"&gt;13.8332694408473&lt;/D&gt;&lt;D xsi:type="xsd:double"&gt;14.1377068898965&lt;/D&gt;&lt;D xsi:type="xsd:double"&gt;13.5805908542134&lt;/D&gt;&lt;D xsi:type="xsd:double"&gt;13.0829131957019&lt;/D&gt;&lt;D xsi:type="xsd:double"&gt;13.5279969468085&lt;/D&gt;&lt;D xsi:type="xsd:double"&gt;13.2700366293435&lt;/D&gt;&lt;D xsi:type="xsd:double"&gt;12.9081506690444&lt;/D&gt;&lt;D xsi:type="xsd:double"&gt;13.5613231375379&lt;/D&gt;&lt;D xsi:type="xsd:double"&gt;13.5882860248163&lt;/D&gt;&lt;D xsi:type="xsd:double"&gt;13.7082879463585&lt;/D&gt;&lt;D xsi:type="xsd:double"&gt;13.9975284850973&lt;/D&gt;&lt;D xsi:type="xsd:double"&gt;14.5603040269319&lt;/D&gt;&lt;D xsi:type="xsd:double"&gt;14.464967151386&lt;/D&gt;&lt;D xsi:type="xsd:double"&gt;14.4261584795069&lt;/D&gt;&lt;D xsi:type="xsd:double"&gt;15.2725040069988&lt;/D&gt;&lt;D xsi:type="xsd:double"&gt;14.7295213307914&lt;/D&gt;&lt;D xsi:type="xsd:double"&gt;15.3470127847729&lt;/D&gt;&lt;D xsi:type="xsd:double"&gt;15.0568480946858&lt;/D&gt;&lt;D xsi:type="xsd:double"&gt;16.2216482074113&lt;/D&gt;&lt;D xsi:type="xsd:double"&gt;16.8012494723108&lt;/D&gt;&lt;D xsi:type="xsd:double"&gt;16.9473929752186&lt;/D&gt;&lt;D xsi:type="xsd:double"&gt;16.7635993897919&lt;/D&gt;&lt;D xsi:type="xsd:double"&gt;16.7669691354141&lt;/D&gt;&lt;/FQL&gt;&lt;FQL&gt;&lt;Q&gt;PLATI-FDS^FG_PRICE(0)/MAX(FG_PRICE(0,-1AY))&lt;/Q&gt;&lt;R&gt;1&lt;/R&gt;&lt;C&gt;1&lt;/C&gt;&lt;D xsi:type="xsd:double"&gt;0.985212569316081&lt;/D&gt;&lt;/FQL&gt;&lt;FQL&gt;&lt;Q&gt;VGK^PERCENT_CHANGE(FMA_EPS(+1,0,,,,"PORTAGG","MEAN"),FMA_EPS(+1,-1AM,,,,"PORTAGG","MEAN"))&lt;/Q&gt;&lt;R&gt;1&lt;/R&gt;&lt;C&gt;1&lt;/C&gt;&lt;D xsi:type="xsd:double"&gt;0&lt;/D&gt;&lt;/FQL&gt;&lt;FQL&gt;&lt;Q&gt;EWA^PERCENT_CHANGE(FMA_EPS(+1,0,,,,"PORTAGG","MEAN"),FMA_EPS(+1,-1AM,,,,"PORTAGG","MEAN"))&lt;/Q&gt;&lt;R&gt;1&lt;/R&gt;&lt;C&gt;1&lt;/C&gt;&lt;D xsi:type="xsd:double"&gt;0.824814729297809&lt;/D&gt;&lt;/FQL&gt;&lt;FQL&gt;&lt;Q&gt;QQQ^FMA_COS_DOWN("EPS","1M",+1,0,,,"PORTAGG","MEANR")&lt;/Q&gt;&lt;R&gt;1&lt;/R&gt;&lt;C&gt;1&lt;/C&gt;&lt;D xsi:type="xsd:double"&gt;37&lt;/D&gt;&lt;/FQL&gt;&lt;FQL&gt;&lt;Q&gt;EWJ^FMA_PE(LTM,0,,,"PORTAGG","MEANR")&lt;/Q&gt;&lt;R&gt;1&lt;/R&gt;&lt;C&gt;1&lt;/C&gt;&lt;D xsi:type="xsd:double"&gt;15.9539909365438&lt;/D&gt;&lt;/FQL&gt;&lt;FQL&gt;&lt;Q&gt;TRYUS10Y-FDS^FG_YIELD(-10AY,0,Y,,"YTM")&lt;/Q&gt;&lt;R&gt;10&lt;/R&gt;&lt;C&gt;1&lt;/C&gt;&lt;D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xsi:type="xsd:double"&gt;3.8791&lt;/D&gt;&lt;/FQL&gt;&lt;FQL&gt;&lt;Q&gt;USDSEK^FG_PRICE_CHANGE(0,-1AY)&lt;/Q&gt;&lt;R&gt;1&lt;/R&gt;&lt;C&gt;1&lt;/C&gt;&lt;D xsi:type="xsd:double"&gt;2.2605658&lt;/D&gt;&lt;/FQL&gt;&lt;FQL&gt;&lt;Q&gt;USDNZD^FG_PRICE_CHANGE(0,-6AM)&lt;/Q&gt;&lt;R&gt;1&lt;/R&gt;&lt;C&gt;1&lt;/C&gt;&lt;D xsi:type="xsd:double"&gt;-2.510804&lt;/D&gt;&lt;/FQL&gt;&lt;FQL&gt;&lt;Q&gt;TIOS-FDS^FG_PRICE_CHANGE(0,-6AM)&lt;/Q&gt;&lt;R&gt;1&lt;/R&gt;&lt;C&gt;1&lt;/C&gt;&lt;D xsi:type="xsd:double"&gt;-9.38348196975571&lt;/D&gt;&lt;/FQL&gt;&lt;FQL&gt;&lt;Q&gt;SPY^FG_PRICE_MAVG(0,,,,30)&lt;/Q&gt;&lt;R&gt;1&lt;/R&gt;&lt;C&gt;1&lt;/C&gt;&lt;D xsi:type="xsd:double"&gt;511.98334&lt;/D&gt;&lt;/FQL&gt;&lt;FQL&gt;&lt;Q&gt;EWQ^PERCENT_CHANGE(FMA_EPS(+1,0,,,,"PORTAGG","MEAN"),FMA_EPS(+1,-3AM,,,,"PORTAGG","MEAN"))&lt;/Q&gt;&lt;R&gt;1&lt;/R&gt;&lt;C&gt;1&lt;/C&gt;&lt;D xsi:type="xsd:double"&gt;0.771407663945863&lt;/D&gt;&lt;/FQL&gt;&lt;FQL&gt;&lt;Q&gt;ENZL^P_PRICE(0)/P_PRICE_HIGH_PR(0,,,,,,"PRICE","INTRA","52W")&lt;/Q&gt;&lt;R&gt;1&lt;/R&gt;&lt;C&gt;1&lt;/C&gt;&lt;D xsi:type="xsd:double"&gt;0.8945419&lt;/D&gt;&lt;/FQL&gt;&lt;FQL&gt;&lt;Q&gt;TRYCH10Y-FDS^FG_YIELD(0,,,,"YTM")&lt;/Q&gt;&lt;R&gt;1&lt;/R&gt;&lt;C&gt;1&lt;/C&gt;&lt;D xsi:type="xsd:double"&gt;0.754&lt;/D&gt;&lt;/FQL&gt;&lt;FQL&gt;&lt;Q&gt;VGK^FMA_EVAL_EBITDA(NTMA,0,,,"PORTAGG","MEANR")&lt;/Q&gt;&lt;R&gt;1&lt;/R&gt;&lt;C&gt;1&lt;/C&gt;&lt;D xsi:type="xsd:double"&gt;9.01990404265644&lt;/D&gt;&lt;/FQL&gt;&lt;FQL&gt;&lt;Q&gt;SPY^FMA_EVAL_EBITDA(NTMA,0,,,"PORTAGG","MEANR")&lt;/Q&gt;&lt;R&gt;1&lt;/R&gt;&lt;C&gt;1&lt;/C&gt;&lt;D xsi:type="xsd:double"&gt;14.2451790809978&lt;/D&gt;&lt;/FQL&gt;&lt;FQL&gt;&lt;Q&gt;USDANG^STD(FG_PRICE_CHANGE(0,-3AY,M))&lt;/Q&gt;&lt;R&gt;1&lt;/R&gt;&lt;C&gt;1&lt;/C&gt;&lt;D xsi:type="xsd:double"&gt;0.0594600681310969&lt;/D&gt;&lt;/FQL&gt;&lt;FQL&gt;&lt;Q&gt;EWG^FG_TOTAL_RETURNC(-10AY,0,AM)&lt;/Q&gt;&lt;R&gt;121&lt;/R&gt;&lt;C&gt;1&lt;/C&gt;&lt;D xsi:type="xsd:double"&gt;0.9671211&lt;/D&gt;&lt;D xsi:type="xsd:double"&gt;1.8199205&lt;/D&gt;&lt;D xsi:type="xsd:double"&gt;-2.5253356&lt;/D&gt;&lt;D xsi:type="xsd:double"&gt;-6.3997326&lt;/D&gt;&lt;D xsi:type="xsd:double"&gt;1.4025211&lt;/D&gt;&lt;D xsi:type="xsd:double"&gt;-9.543568&lt;/D&gt;&lt;D xsi:type="xsd:double"&gt;3.172779&lt;/D&gt;&lt;D xsi:type="xsd:double"&gt;2.6306033&lt;/D&gt;&lt;D xsi:type="xsd:double"&gt;-0.036102533&lt;/D&gt;&lt;D xsi:type="xsd:double"&gt;4.911518&lt;/D&gt;&lt;D xsi:type="xsd:double"&gt;1.8932939&lt;/D&gt;&lt;D xsi:type="xsd:double"&gt;-0.70946217&lt;/D&gt;&lt;D xsi:type="xsd:double"&gt;3.6406875&lt;/D&gt;&lt;D xsi:type="xsd:double"&gt;-5.8108926&lt;/D&gt;&lt;D xsi:type="xsd:double"&gt;2.3382783&lt;/D&gt;&lt;D xsi:type="xsd:double"&gt;-3.6382556&lt;/D&gt;&lt;D xsi:type="xsd:double"&gt;-3.8475335&lt;/D&gt;&lt;D xsi:type="xsd:double"&gt;-1.8698573&lt;/D&gt;&lt;D xsi:type="xsd:double"&gt;0.5335331&lt;/D&gt;&lt;D xsi:type="xsd:double"&gt;0.07581711&lt;/D&gt;&lt;D xsi:type="xsd:double"&gt;-10.492426&lt;/D&gt;&lt;D xsi:type="xsd:double"&gt;1.3118982&lt;/D&gt;&lt;D xsi:type="xsd:double"&gt;6.5580606&lt;/D&gt;&lt;D xsi:type="xsd:double"&gt;1.1368036&lt;/D&gt;&lt;D xsi:type="xsd:double"&gt;-1.7441809&lt;/D&gt;&lt;D xsi:type="xsd:double"&gt;-1.6568065&lt;/D&gt;&lt;D xsi:type="xsd:double"&gt;1.6082287&lt;/D&gt;&lt;D xsi:type="xsd:double"&gt;7.319057&lt;/D&gt;&lt;D xsi:type="xsd:double"&gt;-3.8432598&lt;/D&gt;&lt;D xsi:type="xsd:double"&gt;0.5877733&lt;/D&gt;&lt;D xsi:type="xsd:double"&gt;-2.2594452&lt;/D&gt;&lt;D xsi:type="xsd:double"&gt;4.145074&lt;/D&gt;&lt;D xsi:type="xsd:double"&gt;4.054117&lt;/D&gt;&lt;D xsi:type="xsd:double"&gt;1.3245106&lt;/D&gt;&lt;D xsi:type="xsd:double"&gt;3.1590343&lt;/D&gt;&lt;D xsi:type="xsd:double"&gt;-0.45758486&lt;/D&gt;&lt;D xsi:type="xsd:double"&gt;8.132958&lt;/D&gt;&lt;D xsi:type="xsd:double"&gt;2.1255732&lt;/D&gt;&lt;D xsi:type="xsd:double"&gt;1.0008216&lt;/D&gt;&lt;D xsi:type="xsd:double"&gt;-1.519072&lt;/D&gt;&lt;D xsi:type="xsd:double"&gt;5.0869703&lt;/D&gt;&lt;D xsi:type="xsd:double"&gt;2.1861315&lt;/D&gt;&lt;D xsi:type="xsd:double"&gt;-0.030571222&lt;/D&gt;&lt;D xsi:type="xsd:double"&gt;0.97829103&lt;/D&gt;&lt;D xsi:type="xsd:double"&gt;5.1694274&lt;/D&gt;&lt;D xsi:type="xsd:double"&gt;-3.9538324&lt;/D&gt;&lt;D xsi:type="xsd:double"&gt;-1.953119&lt;/D&gt;&lt;D xsi:type="xsd:double"&gt;2.0533204&lt;/D&gt;&lt;D xsi:type="xsd:double"&gt;-0.87087154&lt;/D&gt;&lt;D xsi:type="xsd:double"&gt;-1.7570376&lt;/D&gt;&lt;D xsi:type="xsd:double"&gt;-2.1330953&lt;/D&gt;&lt;D xsi:type="xsd:double"&gt;-5.0661507&lt;/D&gt;&lt;D xsi:type="xsd:double"&gt;0.8497596&lt;/D&gt;&lt;D xsi:type="xsd:double"&gt;-4.6511593&lt;/D&gt;&lt;D xsi:type="xsd:double"&gt;-3.5701692&lt;/D&gt;&lt;D xsi:type="xsd:double"&gt;-6.9648147&lt;/D&gt;&lt;D xsi:type="xsd:double"&gt;2.955079&lt;/D&gt;&lt;D xsi:type="xsd:double"&gt;2.1814108&lt;/D&gt;&lt;D xsi:type="xsd:double"&gt;3.2958746&lt;/D&gt;&lt;D xsi:type="xsd:double"&gt;3.770852&lt;/D&gt;&lt;D xsi:type="xsd:double"&gt;-1.9916177&lt;/D&gt;&lt;D xsi:type="xsd:double"&gt;-1.3615787&lt;/D&gt;&lt;D xsi:type="xsd:double"&gt;2.1165967&lt;/D&gt;&lt;D xsi:type="xsd:double"&gt;-6.90909&lt;/D&gt;&lt;D xsi:type="xsd:double"&gt;6.718743&lt;/D&gt;&lt;D xsi:type="xsd:double"&gt;2.4890184&lt;/D&gt;&lt;D xsi:type="xsd:double"&gt;3.7142873&lt;/D&gt;&lt;D xsi:type="xsd:double"&gt;1.446271&lt;/D&gt;&lt;D xsi:type="xsd:double"&gt;1.3238311&lt;/D&gt;&lt;D xsi:type="xsd:double"&gt;-1.2395322&lt;/D&gt;&lt;D xsi:type="xsd:double"&gt;-34.15875&lt;/D&gt;&lt;D xsi:type="xsd:double"&gt;18.701708&lt;/D&gt;&lt;D xsi:type="xsd:double"&gt;-1.4756978&lt;/D&gt;&lt;D xsi:type="xsd:double"&gt;20.850813&lt;/D&gt;&lt;D xsi:type="xsd:double"&gt;6.22468&lt;/D&gt;&lt;D xsi:type="xsd:double"&gt;3.744793&lt;/D&gt;&lt;D xsi:type="xsd:double"&gt;1.8048048&lt;/D&gt;&lt;D xsi:type="xsd:double"&gt;-2.7905405&lt;/D&gt;&lt;D xsi:type="xsd:double"&gt;1.5535235&lt;/D&gt;&lt;D xsi:type="xsd:double"&gt;8.129513&lt;/D&gt;&lt;D xsi:type="xsd:double"&gt;-0.8408606&lt;/D&gt;&lt;D xsi:type="xsd:double"&gt;2.0728588&lt;/D&gt;&lt;D xsi:type="xsd:double"&gt;3.2923102&lt;/D&gt;&lt;D xsi:type="xsd:double"&gt;5.4215074&lt;/D&gt;&lt;D xsi:type="xsd:double"&gt;0.084769726&lt;/D&gt;&lt;D xsi:type="xsd:double"&gt;0.66547394&lt;/D&gt;&lt;D xsi:type="xsd:double"&gt;-2.1391928&lt;/D&gt;&lt;D xsi:type="xsd:double"&gt;1.5447378&lt;/D&gt;&lt;D xsi:type="xsd:double"&gt;-2.2962093&lt;/D&gt;&lt;D xsi:type="xsd:double"&gt;-1.2044668&lt;/D&gt;&lt;D xsi:type="xsd:double"&gt;1.4570236&lt;/D&gt;&lt;D xsi:type="xsd:double"&gt;-5.87545&lt;/D&gt;&lt;D xsi:type="xsd:double"&gt;4.711628&lt;/D&gt;&lt;D xsi:type="xsd:double"&gt;-5.18896&lt;/D&gt;&lt;D xsi:type="xsd:double"&gt;-8.478332&lt;/D&gt;&lt;D xsi:type="xsd:double"&gt;-6.0836496&lt;/D&gt;&lt;D xsi:type="xsd:double"&gt;-2.6131809&lt;/D&gt;&lt;D xsi:type="xsd:double"&gt;-7.7782154&lt;/D&gt;&lt;D xsi:type="xsd:double"&gt;-6.928599&lt;/D&gt;&lt;D xsi:type="xsd:double"&gt;6.8996787&lt;/D&gt;&lt;D xsi:type="xsd:double"&gt;-8.237785&lt;/D&gt;&lt;D xsi:type="xsd:double"&gt;-3.6094427&lt;/D&gt;&lt;D xsi:type="xsd:double"&gt;19.29909&lt;/D&gt;&lt;D xsi:type="xsd:double"&gt;-0.97277164&lt;/D&gt;&lt;D xsi:type="xsd:double"&gt;13.04878&lt;/D&gt;&lt;D xsi:type="xsd:double"&gt;1.2225866&lt;/D&gt;&lt;D xsi:type="xsd:double"&gt;-6.0745955&lt;/D&gt;&lt;D xsi:type="xsd:double"&gt;9.6066475&lt;/D&gt;&lt;D xsi:type="xsd:double"&gt;-0.06901622&lt;/D&gt;&lt;D xsi:type="xsd:double"&gt;2.5684953&lt;/D&gt;&lt;D xsi:type="xsd:double"&gt;1.2452483&lt;/D&gt;&lt;D xsi:type="xsd:double"&gt;-6.0471478&lt;/D&gt;&lt;D xsi:type="xsd:double"&gt;-0.6181836&lt;/D&gt;&lt;D xsi:type="xsd:double"&gt;-5.1591635&lt;/D&gt;&lt;D xsi:type="xsd:double"&gt;7.9861045&lt;/D&gt;&lt;D xsi:type="xsd:double"&gt;4.573059&lt;/D&gt;&lt;D xsi:type="xsd:double"&gt;-2.659756&lt;/D&gt;&lt;D xsi:type="xsd:double"&gt;3.5802007&lt;/D&gt;&lt;D xsi:type="xsd:double"&gt;5.625212&lt;/D&gt;&lt;D xsi:type="xsd:double"&gt;-3.2723784&lt;/D&gt;&lt;D xsi:type="xsd:double"&gt;7.5290203&lt;/D&gt;&lt;/FQL&gt;&lt;FQL&gt;&lt;Q&gt;EWG^FMA_PE(LTMA,-10AY,0,AM,"PORTAGG","MEANR")&lt;/Q&gt;&lt;R&gt;121&lt;/R&gt;&lt;C&gt;1&lt;/C&gt;&lt;D xsi:type="xsd:double"&gt;14.5665490654276&lt;/D&gt;&lt;D xsi:type="xsd:double"&gt;14.6828865210643&lt;/D&gt;&lt;D xsi:type="xsd:double"&gt;14.4668986123058&lt;/D&gt;&lt;D xsi:type="xsd:double"&gt;13.8928459597718&lt;/D&gt;&lt;D xsi:type="xsd:double"&gt;14.26259857863&lt;/D&gt;&lt;D xsi:type="xsd:double"&gt;13.3133070801076&lt;/D&gt;&lt;D xsi:type="xsd:double"&gt;13.6842799430726&lt;/D&gt;&lt;D xsi:type="xsd:double"&gt;13.953188726311&lt;/D&gt;&lt;D xsi:type="xsd:double"&gt;14.8055038851887&lt;/D&gt;&lt;D xsi:type="xsd:double"&gt;15.7312002189767&lt;/D&gt;&lt;D xsi:type="xsd:double"&gt;16.5648688387196&lt;/D&gt;&lt;D xsi:type="xsd:double"&gt;16.3747459124872&lt;/D&gt;&lt;D xsi:type="xsd:double"&gt;16.0538811645989&lt;/D&gt;&lt;D xsi:type="xsd:double"&gt;15.5160940929777&lt;/D&gt;&lt;D xsi:type="xsd:double"&gt;15.7472214466477&lt;/D&gt;&lt;D xsi:type="xsd:double"&gt;14.9832409865145&lt;/D&gt;&lt;D xsi:type="xsd:double"&gt;14.2214793961808&lt;/D&gt;&lt;D xsi:type="xsd:double"&gt;13.9467038416892&lt;/D&gt;&lt;D xsi:type="xsd:double"&gt;14.6319791980253&lt;/D&gt;&lt;D xsi:type="xsd:double"&gt;14.1512052831866&lt;/D&gt;&lt;D xsi:type="xsd:double"&gt;12.434742956048&lt;/D&gt;&lt;D xsi:type="xsd:double"&gt;12.450667382408&lt;/D&gt;&lt;D xsi:type="xsd:double"&gt;12.7416662595298&lt;/D&gt;&lt;D xsi:type="xsd:double"&gt;12.842965995313&lt;/D&gt;&lt;D xsi:type="xsd:double"&gt;12.7651878639303&lt;/D&gt;&lt;D xsi:type="xsd:double"&gt;12.5866842655909&lt;/D&gt;&lt;D xsi:type="xsd:double"&gt;12.9193952947314&lt;/D&gt;&lt;D xsi:type="xsd:double"&gt;13.3177395442157&lt;/D&gt;&lt;D xsi:type="xsd:double"&gt;13.3211554879037&lt;/D&gt;&lt;D xsi:type="xsd:double"&gt;13.6171108795833&lt;/D&gt;&lt;D xsi:type="xsd:double"&gt;13.6740719687769&lt;/D&gt;&lt;D xsi:type="xsd:double"&gt;14.6056325425582&lt;/D&gt;&lt;D xsi:type="xsd:double"&gt;14.8067386484323&lt;/D&gt;&lt;D xsi:type="xsd:double"&gt;14.6594529214376&lt;/D&gt;&lt;D xsi:type="xsd:double"&gt;14.973715831195&lt;/D&gt;&lt;D xsi:type="xsd:double"&gt;14.8712584265489&lt;/D&gt;&lt;D xsi:type="xsd:double"&gt;14.821299854271&lt;/D&gt;&lt;D xsi:type="xsd:double"&gt;14.7663496423781&lt;/D&gt;&lt;D xsi:type="xsd:double"&gt;14.604095282361&lt;/D&gt;&lt;D xsi:type="xsd:double"&gt;14.2332249978846&lt;/D&gt;&lt;D xsi:type="xsd:double"&gt;14.3598939911991&lt;/D&gt;&lt;D xsi:type="xsd:double"&gt;14.8120355144753&lt;/D&gt;&lt;D xsi:type="xsd:double"&gt;15.1453090005387&lt;/D&gt;&lt;D xsi:type="xsd:double"&gt;15.4653636267839&lt;/D&gt;&lt;D xsi:type="xsd:double"&gt;15.5200866657794&lt;/D&gt;&lt;D xsi:type="xsd:double"&gt;14.5329369343567&lt;/D&gt;&lt;D xsi:type="xsd:double"&gt;14.2028946496887&lt;/D&gt;&lt;D xsi:type="xsd:double"&gt;14.177833341069&lt;/D&gt;&lt;D xsi:type="xsd:double"&gt;14.2574019403733&lt;/D&gt;&lt;D xsi:type="xsd:double"&gt;14.2373079989336&lt;/D&gt;&lt;D xsi:type="xsd:double"&gt;14.093919446036&lt;/D&gt;&lt;D xsi:type="xsd:double"&gt;13.8665895518683&lt;/D&gt;&lt;D xsi:type="xsd:double"&gt;13.8196843959245&lt;/D&gt;&lt;D xsi:type="xsd:double"&gt;13.414726857716&lt;/D&gt;&lt;D xsi:type="xsd:double"&gt;12.9794593873438&lt;/D&gt;&lt;D xsi:type="xsd:double"&gt;12.3427752852608&lt;/D&gt;&lt;D xsi:type="xsd:double"&gt;12.4789037771765&lt;/D&gt;&lt;D xsi:type="xsd:double"&gt;13.0500552139688&lt;/D&gt;&lt;D xsi:type="xsd:double"&gt;13.2335376668333&lt;/D&gt;&lt;D xsi:type="xsd:double"&gt;13.340655308023&lt;/D&gt;&lt;D xsi:type="xsd:double"&gt;13.3042134624328&lt;/D&gt;&lt;D xsi:type="xsd:double"&gt;13.1844125287164&lt;/D&gt;&lt;D xsi:type="xsd:double"&gt;13.532372733644&lt;/D&gt;&lt;D xsi:type="xsd:double"&gt;13.2410566979382&lt;/D&gt;&lt;D xsi:type="xsd:double"&gt;14.0043307786012&lt;/D&gt;&lt;D xsi:type="xsd:double"&gt;14.374322279671&lt;/D&gt;&lt;D xsi:type="xsd:double"&gt;15.1325487943312&lt;/D&gt;&lt;D xsi:type="xsd:double"&gt;15.4836169885549&lt;/D&gt;&lt;D xsi:type="xsd:double"&gt;15.8273695274935&lt;/D&gt;&lt;D xsi:type="xsd:double"&gt;16.2720882887277&lt;/D&gt;&lt;D xsi:type="xsd:double"&gt;13.343952128135&lt;/D&gt;&lt;D xsi:type="xsd:double"&gt;14.448599350415&lt;/D&gt;&lt;D xsi:type="xsd:double"&gt;15.2145356281528&lt;/D&gt;&lt;D xsi:type="xsd:double"&gt;17.3816001287891&lt;/D&gt;&lt;D xsi:type="xsd:double"&gt;18.8263641293084&lt;/D&gt;&lt;D xsi:type="xsd:double"&gt;19.5891140987424&lt;/D&gt;&lt;D xsi:type="xsd:double"&gt;20.5868333491802&lt;/D&gt;&lt;D xsi:type="xsd:double"&gt;20.6238676354725&lt;/D&gt;&lt;D xsi:type="xsd:double"&gt;20.7271070672706&lt;/D&gt;&lt;D xsi:type="xsd:double"&gt;21.6467114574695&lt;/D&gt;&lt;D xsi:type="xsd:double"&gt;21.8645449558947&lt;/D&gt;&lt;D xsi:type="xsd:double"&gt;21.2561689757166&lt;/D&gt;&lt;D xsi:type="xsd:double"&gt;20.1772275895398&lt;/D&gt;&lt;D xsi:type="xsd:double"&gt;19.9074888286869&lt;/D&gt;&lt;D xsi:type="xsd:double"&gt;19.0055184692964&lt;/D&gt;&lt;D xsi:type="xsd:double"&gt;18.6587932412315&lt;/D&gt;&lt;D xsi:type="xsd:double"&gt;17.9624111563696&lt;/D&gt;&lt;D xsi:type="xsd:double"&gt;17.2049167653362&lt;/D&gt;&lt;D xsi:type="xsd:double"&gt;16.3896357364526&lt;/D&gt;&lt;D xsi:type="xsd:double"&gt;16.0136086885761&lt;/D&gt;&lt;D xsi:type="xsd:double"&gt;15.3608455163979&lt;/D&gt;&lt;D xsi:type="xsd:double"&gt;14.1632117300609&lt;/D&gt;&lt;D xsi:type="xsd:double"&gt;14.0934204288255&lt;/D&gt;&lt;D xsi:type="xsd:double"&gt;13.4589519246612&lt;/D&gt;&lt;D xsi:type="xsd:double"&gt;12.4867977005097&lt;/D&gt;&lt;D xsi:type="xsd:double"&gt;12.3439781009498&lt;/D&gt;&lt;D xsi:type="xsd:double"&gt;12.108720752627&lt;/D&gt;&lt;D xsi:type="xsd:double"&gt;11.6165419685536&lt;/D&gt;&lt;D xsi:type="xsd:double"&gt;11.3000117278324&lt;/D&gt;&lt;D xsi:type="xsd:double"&gt;11.195209193693&lt;/D&gt;&lt;D xsi:type="xsd:double"&gt;10.6291626951989&lt;/D&gt;&lt;D xsi:type="xsd:double"&gt;10.2289812249329&lt;/D&gt;&lt;D xsi:type="xsd:double"&gt;11.0575220932708&lt;/D&gt;&lt;D xsi:type="xsd:double"&gt;10.44949602345&lt;/D&gt;&lt;D xsi:type="xsd:double"&gt;11.4646115603579&lt;/D&gt;&lt;D xsi:type="xsd:double"&gt;11.6298046011716&lt;/D&gt;&lt;D xsi:type="xsd:double"&gt;11.2444887599476&lt;/D&gt;&lt;D xsi:type="xsd:double"&gt;11.4204405353246&lt;/D&gt;&lt;D xsi:type="xsd:double"&gt;11.3067625377501&lt;/D&gt;&lt;D xsi:type="xsd:double"&gt;11.3559360329898&lt;/D&gt;&lt;D xsi:type="xsd:double"&gt;11.2610151959765&lt;/D&gt;&lt;D xsi:type="xsd:double"&gt;11.1428782878648&lt;/D&gt;&lt;D xsi:type="xsd:double"&gt;11.2914602192936&lt;/D&gt;&lt;D xsi:type="xsd:double"&gt;10.9339507117456&lt;/D&gt;&lt;D xsi:type="xsd:double"&gt;11.3990878145322&lt;/D&gt;&lt;D xsi:type="xsd:double"&gt;11.9362294901192&lt;/D&gt;&lt;D xsi:type="xsd:double"&gt;11.6598766351243&lt;/D&gt;&lt;D xsi:type="xsd:double"&gt;12.1853452835611&lt;/D&gt;&lt;D xsi:type="xsd:double"&gt;12.5252087837234&lt;/D&gt;&lt;D xsi:type="xsd:double"&gt;12.4685907118129&lt;/D&gt;&lt;D xsi:type="xsd:double"&gt;12.6457387463679&lt;/D&gt;&lt;/FQL&gt;&lt;FQL&gt;&lt;Q&gt;VGK^FMA_PCT_ABOVE_MAVG(200,0,,,,"PORTAGG")&lt;/Q&gt;&lt;R&gt;1&lt;/R&gt;&lt;C&gt;1&lt;/C&gt;&lt;D xsi:type="xsd:double"&gt;69.2368839427663&lt;/D&gt;&lt;/FQL&gt;&lt;FQL&gt;&lt;Q&gt;ENZL^FG_TOTAL_RETURNC(0,-1AM)&lt;/Q&gt;&lt;R&gt;1&lt;/R&gt;&lt;C&gt;1&lt;/C&gt;&lt;D xsi:type="xsd:double"&gt;2.75414&lt;/D&gt;&lt;/FQL&gt;&lt;FQL&gt;&lt;Q&gt;QQQ^FMA_COS_UP("EPS","1M",+1,0,,,"PORTAGG","MEANR")&lt;/Q&gt;&lt;R&gt;1&lt;/R&gt;&lt;C&gt;1&lt;/C&gt;&lt;D xsi:type="xsd:double"&gt;51&lt;/D&gt;&lt;/FQL&gt;&lt;FQL&gt;&lt;Q&gt;EWJ^JULIAN(FMA_DIV_YLD(NTMA,NOW,NOW,M,"PORTAGG","MEANR").DATES)&lt;/Q&gt;&lt;R&gt;1&lt;/R&gt;&lt;C&gt;1&lt;/C&gt;&lt;D xsi:type="xsd:long"&gt;45412&lt;/D&gt;&lt;/FQL&gt;&lt;FQL&gt;&lt;Q&gt;CPALM-FDS^FG_PRICE(0)/MAX(FG_PRICE(0,-1AY))&lt;/Q&gt;&lt;R&gt;1&lt;/R&gt;&lt;C&gt;1&lt;/C&gt;&lt;D xsi:type="xsd:double"&gt;0.850622406639004&lt;/D&gt;&lt;/FQL&gt;&lt;FQL&gt;&lt;Q&gt;TIOS-FDS^FG_PRICE_CHANGE(0,-1AM)&lt;/Q&gt;&lt;R&gt;1&lt;/R&gt;&lt;C&gt;1&lt;/C&gt;&lt;D xsi:type="xsd:double"&gt;8.90027958993476&lt;/D&gt;&lt;/FQL&gt;&lt;FQL&gt;&lt;Q&gt;QQQ^FG_PRICE_MAVG(0,,,,200)&lt;/Q&gt;&lt;R&gt;1&lt;/R&gt;&lt;C&gt;1&lt;/C&gt;&lt;D xsi:type="xsd:double"&gt;402.01855&lt;/D&gt;&lt;/FQL&gt;&lt;FQL&gt;&lt;Q&gt;EWI^P_PRICE(0)/P_PRICE_LOW_PR(0,,,,,,"PRICE","INTRA","52W")-1&lt;/Q&gt;&lt;R&gt;1&lt;/R&gt;&lt;C&gt;1&lt;/C&gt;&lt;D xsi:type="xsd:double"&gt;0.35585046&lt;/D&gt;&lt;/FQL&gt;&lt;FQL&gt;&lt;Q&gt;TRYCH10Y-FDS^PCTCHG(FG_YIELD(0,,,,"YTM"),FG_YIELD(-3AM,,,,"YTM"))&lt;/Q&gt;&lt;R&gt;1&lt;/R&gt;&lt;C&gt;1&lt;/C&gt;&lt;D xsi:type="xsd:double"&gt;-18.837461&lt;/D&gt;&lt;/FQL&gt;&lt;FQL&gt;&lt;Q&gt;TRYJP10Y-FDS^FG_YIELD(0,,,,"YTM")&lt;/Q&gt;&lt;R&gt;1&lt;/R&gt;&lt;C&gt;1&lt;/C&gt;&lt;D xsi:type="xsd:double"&gt;0.9435&lt;/D&gt;&lt;/FQL&gt;&lt;FQL&gt;&lt;Q&gt;SPY^FG_FCF_YIELD_NTM(0)&lt;/Q&gt;&lt;R&gt;1&lt;/R&gt;&lt;C&gt;1&lt;/C&gt;&lt;D xsi:type="xsd:double"&gt;4.09384919546615&lt;/D&gt;&lt;/FQL&gt;&lt;FQL&gt;&lt;Q&gt;EWG^FMA_EVAL_EBIT(LTMA,NOW,NOW,M,"PORTAGG","MEANR")&lt;/Q&gt;&lt;R&gt;1&lt;/R&gt;&lt;C&gt;1&lt;/C&gt;&lt;D xsi:type="xsd:double"&gt;13.2775669216229&lt;/D&gt;&lt;/FQL&gt;&lt;FQL&gt;&lt;Q&gt;USDANG^STD(FG_PRICE_CHANGE(0,-1AY,AM))&lt;/Q&gt;&lt;R&gt;1&lt;/R&gt;&lt;C&gt;1&lt;/C&gt;&lt;D xsi:type="xsd:double"&gt;0&lt;/D&gt;&lt;/FQL&gt;&lt;FQL&gt;&lt;Q&gt;USDNZD^FG_PRICE(0)&lt;/Q&gt;&lt;R&gt;1&lt;/R&gt;&lt;C&gt;1&lt;/C&gt;&lt;D xsi:type="xsd:double"&gt;1.6303905&lt;/D&gt;&lt;/FQL&gt;&lt;FQL&gt;&lt;Q&gt;EWQ^FMA_DIV_YLD(NTMA,-10AY,0,AM,"PORTAGG","MEANR")&lt;/Q&gt;&lt;R&gt;121&lt;/R&gt;&lt;C&gt;1&lt;/C&gt;&lt;D xsi:type="xsd:double"&gt;3.43694173022317&lt;/D&gt;&lt;D xsi:type="xsd:double"&gt;3.38732203024351&lt;/D&gt;&lt;D xsi:type="xsd:double"&gt;3.53591959300194&lt;/D&gt;&lt;D xsi:type="xsd:double"&gt;3.67671950788908&lt;/D&gt;&lt;D xsi:type="xsd:double"&gt;3.52297845784458&lt;/D&gt;&lt;D xsi:type="xsd:double"&gt;3.87472559405058&lt;/D&gt;&lt;D xsi:type="xsd:double"&gt;3.70379446359558&lt;/D&gt;&lt;D xsi:type="xsd:double"&gt;3.77715977802032&lt;/D&gt;&lt;D xsi:type="xsd:double"&gt;3.5576478375526&lt;/D&gt;&lt;D xsi:type="xsd:double"&gt;3.23814565924063&lt;/D&gt;&lt;D xsi:type="xsd:double"&gt;3.1969709684052&lt;/D&gt;&lt;D xsi:type="xsd:double"&gt;3.14031168721663&lt;/D&gt;&lt;D xsi:type="xsd:double"&gt;3.27653260050906&lt;/D&gt;&lt;D xsi:type="xsd:double"&gt;3.44166033924561&lt;/D&gt;&lt;D xsi:type="xsd:double"&gt;3.25096374377281&lt;/D&gt;&lt;D xsi:type="xsd:double"&gt;3.36990409999485&lt;/D&gt;&lt;D xsi:type="xsd:double"&gt;3.61958199911733&lt;/D&gt;&lt;D xsi:type="xsd:double"&gt;3.55328513884346&lt;/D&gt;&lt;D xsi:type="xsd:double"&gt;3.41883298094546&lt;/D&gt;&lt;D xsi:type="xsd:double"&gt;3.57296640019249&lt;/D&gt;&lt;D xsi:type="xsd:double"&gt;3.97060678912394&lt;/D&gt;&lt;D xsi:type="xsd:double"&gt;3.91337248668635&lt;/D&gt;&lt;D xsi:type="xsd:double"&gt;3.72473267117455&lt;/D&gt;&lt;D xsi:type="xsd:double"&gt;3.6902858702376&lt;/D&gt;&lt;D xsi:type="xsd:double"&gt;3.82993559051086&lt;/D&gt;&lt;D xsi:type="xsd:double"&gt;3.95602012329049&lt;/D&gt;&lt;D xsi:type="xsd:double"&gt;3.79390057966562&lt;/D&gt;&lt;D xsi:type="xsd:double"&gt;3.74840117926778&lt;/D&gt;&lt;D xsi:type="xsd:double"&gt;3.8135661315122&lt;/D&gt;&lt;D xsi:type="xsd:double"&gt;3.75511344502968&lt;/D&gt;&lt;D xsi:type="xsd:double"&gt;3.70914165486667&lt;/D&gt;&lt;D xsi:type="xsd:double"&gt;3.50085564196863&lt;/D&gt;&lt;D xsi:type="xsd:double"&gt;3.46415695679607&lt;/D&gt;&lt;D xsi:type="xsd:double"&gt;3.49149768559694&lt;/D&gt;&lt;D xsi:type="xsd:double"&gt;3.40389905856789&lt;/D&gt;&lt;D xsi:type="xsd:double"&gt;3.39019196361274&lt;/D&gt;&lt;D xsi:type="xsd:double"&gt;3.23878157675854&lt;/D&gt;&lt;D xsi:type="xsd:double"&gt;3.28652961139152&lt;/D&gt;&lt;D xsi:type="xsd:double"&gt;3.32650729588771&lt;/D&gt;&lt;D xsi:type="xsd:double"&gt;3.38795107395106&lt;/D&gt;&lt;D xsi:type="xsd:double"&gt;3.35160086501022&lt;/D&gt;&lt;D xsi:type="xsd:double"&gt;3.28847464800167&lt;/D&gt;&lt;D xsi:type="xsd:double"&gt;3.34166826220579&lt;/D&gt;&lt;D xsi:type="xsd:double"&gt;3.29860220024784&lt;/D&gt;&lt;D xsi:type="xsd:double"&gt;3.21811671260907&lt;/D&gt;&lt;D xsi:type="xsd:double"&gt;3.37624098390326&lt;/D&gt;&lt;D xsi:type="xsd:double"&gt;3.38458889508576&lt;/D&gt;&lt;D xsi:type="xsd:double"&gt;3.36411605531507&lt;/D&gt;&lt;D xsi:type="xsd:double"&gt;3.2580544065107&lt;/D&gt;&lt;D xsi:type="xsd:double"&gt;3.34732616668155&lt;/D&gt;&lt;D xsi:type="xsd:double"&gt;3.40039383913391&lt;/D&gt;&lt;D xsi:type="xsd:double"&gt;3.49083191098522&lt;/D&gt;&lt;D xsi:type="xsd:double"&gt;3.49583552506329&lt;/D&gt;&lt;D xsi:type="xsd:double"&gt;3.66680581854378&lt;/D&gt;&lt;D xsi:type="xsd:double"&gt;3.76640097552337&lt;/D&gt;&lt;D xsi:type="xsd:double"&gt;3.94631034605495&lt;/D&gt;&lt;D xsi:type="xsd:double"&gt;3.94339048032361&lt;/D&gt;&lt;D xsi:type="xsd:double"&gt;3.70692515352674&lt;/D&gt;&lt;D xsi:type="xsd:double"&gt;3.54890269637222&lt;/D&gt;&lt;D xsi:type="xsd:double"&gt;3.47846080309745&lt;/D&gt;&lt;D xsi:type="xsd:double"&gt;3.56739706908919&lt;/D&gt;&lt;D xsi:type="xsd:double"&gt;3.61324317751842&lt;/D&gt;&lt;D xsi:type="xsd:double"&gt;3.52024938656731&lt;/D&gt;&lt;D xsi:type="xsd:double"&gt;3.71485513933603&lt;/D&gt;&lt;D xsi:type="xsd:double"&gt;3.5180750627619&lt;/D&gt;&lt;D xsi:type="xsd:double"&gt;3.49558780084553&lt;/D&gt;&lt;D xsi:type="xsd:double"&gt;3.35557801957446&lt;/D&gt;&lt;D xsi:type="xsd:double"&gt;3.35369019458016&lt;/D&gt;&lt;D xsi:type="xsd:double"&gt;3.28710637434256&lt;/D&gt;&lt;D xsi:type="xsd:double"&gt;3.28173165019035&lt;/D&gt;&lt;D xsi:type="xsd:double"&gt;4.94411538751121&lt;/D&gt;&lt;D xsi:type="xsd:double"&gt;3.78783673307291&lt;/D&gt;&lt;D xsi:type="xsd:double"&gt;3.68767612941015&lt;/D&gt;&lt;D xsi:type="xsd:double"&gt;3.12322187351436&lt;/D&gt;&lt;D xsi:type="xsd:double"&gt;3.05745392956304&lt;/D&gt;&lt;D xsi:type="xsd:double"&gt;3.12275707487482&lt;/D&gt;&lt;D xsi:type="xsd:double"&gt;3.12076093017797&lt;/D&gt;&lt;D xsi:type="xsd:double"&gt;3.20636530014614&lt;/D&gt;&lt;D xsi:type="xsd:double"&gt;2.91469561798984&lt;/D&gt;&lt;D xsi:type="xsd:double"&gt;2.91998826813456&lt;/D&gt;&lt;D xsi:type="xsd:double"&gt;2.92804428745461&lt;/D&gt;&lt;D xsi:type="xsd:double"&gt;2.84731626243839&lt;/D&gt;&lt;D xsi:type="xsd:double"&gt;2.73767753186146&lt;/D&gt;&lt;D xsi:type="xsd:double"&gt;2.67928131434227&lt;/D&gt;&lt;D xsi:type="xsd:double"&gt;2.71453688002538&lt;/D&gt;&lt;D xsi:type="xsd:double"&gt;2.62931523136036&lt;/D&gt;&lt;D xsi:type="xsd:double"&gt;2.73579147031898&lt;/D&gt;&lt;D xsi:type="xsd:double"&gt;2.70031366237726&lt;/D&gt;&lt;D xsi:type="xsd:double"&gt;2.82232916218622&lt;/D&gt;&lt;D xsi:type="xsd:double"&gt;2.81790990020418&lt;/D&gt;&lt;D xsi:type="xsd:double"&gt;2.71359975829683&lt;/D&gt;&lt;D xsi:type="xsd:double"&gt;2.82354043381423&lt;/D&gt;&lt;D xsi:type="xsd:double"&gt;2.76805978513539&lt;/D&gt;&lt;D xsi:type="xsd:double"&gt;2.93686782976602&lt;/D&gt;&lt;D xsi:type="xsd:double"&gt;3.11280353549983&lt;/D&gt;&lt;D xsi:type="xsd:double"&gt;3.12954773260007&lt;/D&gt;&lt;D xsi:type="xsd:double"&gt;3.22722597042152&lt;/D&gt;&lt;D xsi:type="xsd:double"&gt;3.55551964595517&lt;/D&gt;&lt;D xsi:type="xsd:double"&gt;3.48319634641771&lt;/D&gt;&lt;D xsi:type="xsd:double"&gt;3.2731620004727&lt;/D&gt;&lt;D xsi:type="xsd:double"&gt;3.55271848834366&lt;/D&gt;&lt;D xsi:type="xsd:double"&gt;3.61223897176021&lt;/D&gt;&lt;D xsi:type="xsd:double"&gt;3.32749679316009&lt;/D&gt;&lt;D xsi:type="xsd:double"&gt;3.39192903191863&lt;/D&gt;&lt;D xsi:type="xsd:double"&gt;3.10448210664513&lt;/D&gt;&lt;D xsi:type="xsd:double"&gt;3.10129909673737&lt;/D&gt;&lt;D xsi:type="xsd:double"&gt;3.33455079738619&lt;/D&gt;&lt;D xsi:type="xsd:double"&gt;3.11116797737192&lt;/D&gt;&lt;D xsi:type="xsd:double"&gt;3.20261971882017&lt;/D&gt;&lt;D xsi:type="xsd:double"&gt;3.21330851748409&lt;/D&gt;&lt;D xsi:type="xsd:double"&gt;3.28400189195275&lt;/D&gt;&lt;D xsi:type="xsd:double"&gt;3.378735727405&lt;/D&gt;&lt;D xsi:type="xsd:double"&gt;3.30893497100406&lt;/D&gt;&lt;D xsi:type="xsd:double"&gt;3.48010251950597&lt;/D&gt;&lt;D xsi:type="xsd:double"&gt;3.36463808304834&lt;/D&gt;&lt;D xsi:type="xsd:double"&gt;3.21585268894405&lt;/D&gt;&lt;D xsi:type="xsd:double"&gt;3.32356976977391&lt;/D&gt;&lt;D xsi:type="xsd:double"&gt;3.16762796088405&lt;/D&gt;&lt;D xsi:type="xsd:double"&gt;3.05676631898969&lt;/D&gt;&lt;D xsi:type="xsd:double"&gt;3.15267366362043&lt;/D&gt;&lt;D xsi:type="xsd:double"&gt;3.04977022766669&lt;/D&gt;&lt;/FQL&gt;&lt;FQL&gt;&lt;Q&gt;EWC^FMA_PE(LTMA,-10AY,0,AM,"PORTAGG","MEANR")&lt;/Q&gt;&lt;R&gt;121&lt;/R&gt;&lt;C&gt;1&lt;/C&gt;&lt;D xsi:type="xsd:double"&gt;16.2013578221586&lt;/D&gt;&lt;D xsi:type="xsd:double"&gt;16.2714082105438&lt;/D&gt;&lt;D xsi:type="xsd:double"&gt;16.2861525422173&lt;/D&gt;&lt;D xsi:type="xsd:double"&gt;16.3192671854317&lt;/D&gt;&lt;D xsi:type="xsd:double"&gt;16.38908966146&lt;/D&gt;&lt;D xsi:type="xsd:double"&gt;15.3434476033209&lt;/D&gt;&lt;D xsi:type="xsd:double"&gt;15.827599876134&lt;/D&gt;&lt;D xsi:type="xsd:double"&gt;15.2165630242628&lt;/D&gt;&lt;D xsi:type="xsd:double"&gt;15.2893769634409&lt;/D&gt;&lt;D xsi:type="xsd:double"&gt;16.8846027168318&lt;/D&gt;&lt;D xsi:type="xsd:double"&gt;17.0268701015182&lt;/D&gt;&lt;D xsi:type="xsd:double"&gt;17.2681170025104&lt;/D&gt;&lt;D xsi:type="xsd:double"&gt;17.2279911586142&lt;/D&gt;&lt;D xsi:type="xsd:double"&gt;17.1171474757939&lt;/D&gt;&lt;D xsi:type="xsd:double"&gt;17.08570769628&lt;/D&gt;&lt;D xsi:type="xsd:double"&gt;16.9349603837883&lt;/D&gt;&lt;D xsi:type="xsd:double"&gt;16.7282843377734&lt;/D&gt;&lt;D xsi:type="xsd:double"&gt;16.9531012943588&lt;/D&gt;&lt;D xsi:type="xsd:double"&gt;16.5581763623197&lt;/D&gt;&lt;D xsi:type="xsd:double"&gt;16.2075449238069&lt;/D&gt;&lt;D xsi:type="xsd:double"&gt;14.614080256697&lt;/D&gt;&lt;D xsi:type="xsd:double"&gt;15.5972905423993&lt;/D&gt;&lt;D xsi:type="xsd:double"&gt;16.0275912173955&lt;/D&gt;&lt;D xsi:type="xsd:double"&gt;16.1416154074434&lt;/D&gt;&lt;D xsi:type="xsd:double"&gt;16.5476276923484&lt;/D&gt;&lt;D xsi:type="xsd:double"&gt;16.6565012785106&lt;/D&gt;&lt;D xsi:type="xsd:double"&gt;17.1379956606272&lt;/D&gt;&lt;D xsi:type="xsd:double"&gt;17.4642085670151&lt;/D&gt;&lt;D xsi:type="xsd:double"&gt;17.5038836609723&lt;/D&gt;&lt;D xsi:type="xsd:double"&gt;17.9121587182617&lt;/D&gt;&lt;D xsi:type="xsd:double"&gt;18.6080075134451&lt;/D&gt;&lt;D xsi:type="xsd:double"&gt;19.1963482221362&lt;/D&gt;&lt;D xsi:type="xsd:double"&gt;19.8263490191219&lt;/D&gt;&lt;D xsi:type="xsd:double"&gt;19.8608379956003&lt;/D&gt;&lt;D xsi:type="xsd:double"&gt;19.2297529044701&lt;/D&gt;&lt;D xsi:type="xsd:double"&gt;18.9701498925373&lt;/D&gt;&lt;D xsi:type="xsd:double"&gt;18.4917955959334&lt;/D&gt;&lt;D xsi:type="xsd:double"&gt;18.1752045616531&lt;/D&gt;&lt;D xsi:type="xsd:double"&gt;17.9833729413605&lt;/D&gt;&lt;D xsi:type="xsd:double"&gt;17.6812623190829&lt;/D&gt;&lt;D xsi:type="xsd:double"&gt;17.3908897390839&lt;/D&gt;&lt;D xsi:type="xsd:double"&gt;17.5212695548068&lt;/D&gt;&lt;D xsi:type="xsd:double"&gt;17.3186437375246&lt;/D&gt;&lt;D xsi:type="xsd:double"&gt;17.1781584330585&lt;/D&gt;&lt;D xsi:type="xsd:double"&gt;17.2618089814744&lt;/D&gt;&lt;D xsi:type="xsd:double"&gt;15.9096190829983&lt;/D&gt;&lt;D xsi:type="xsd:double"&gt;15.8167066919703&lt;/D&gt;&lt;D xsi:type="xsd:double"&gt;15.5844999054096&lt;/D&gt;&lt;D xsi:type="xsd:double"&gt;15.6578091398394&lt;/D&gt;&lt;D xsi:type="xsd:double"&gt;15.6023470359393&lt;/D&gt;&lt;D xsi:type="xsd:double"&gt;15.5458138133045&lt;/D&gt;&lt;D xsi:type="xsd:double"&gt;15.3785952002805&lt;/D&gt;&lt;D xsi:type="xsd:double"&gt;15.0537947961565&lt;/D&gt;&lt;D xsi:type="xsd:double"&gt;14.5554176788292&lt;/D&gt;&lt;D xsi:type="xsd:double"&gt;14.107601794778&lt;/D&gt;&lt;D xsi:type="xsd:double"&gt;13.2624931026664&lt;/D&gt;&lt;D xsi:type="xsd:double"&gt;14.0231919416025&lt;/D&gt;&lt;D xsi:type="xsd:double"&gt;14.6942866053121&lt;/D&gt;&lt;D xsi:type="xsd:double"&gt;14.7333914127315&lt;/D&gt;&lt;D xsi:type="xsd:double"&gt;14.6702724611374&lt;/D&gt;&lt;D xsi:type="xsd:double"&gt;14.5237470741693&lt;/D&gt;&lt;D xsi:type="xsd:double"&gt;14.4744082812649&lt;/D&gt;&lt;D xsi:type="xsd:double"&gt;14.489248894652&lt;/D&gt;&lt;D xsi:type="xsd:double"&gt;14.3046126127651&lt;/D&gt;&lt;D xsi:type="xsd:double"&gt;14.7361022196371&lt;/D&gt;&lt;D xsi:type="xsd:double"&gt;14.5962154462054&lt;/D&gt;&lt;D xsi:type="xsd:double"&gt;15.1509044758691&lt;/D&gt;&lt;D xsi:type="xsd:double"&gt;15.2337557122451&lt;/D&gt;&lt;D xsi:type="xsd:double"&gt;15.6737986203494&lt;/D&gt;&lt;D xsi:type="xsd:double"&gt;15.7344230156377&lt;/D&gt;&lt;D xsi:type="xsd:double"&gt;13.8945014993418&lt;/D&gt;&lt;D xsi:type="xsd:double"&gt;15.0115118554391&lt;/D&gt;&lt;D xsi:type="xsd:double"&gt;16.3764521277881&lt;/D&gt;&lt;D xsi:type="xsd:double"&gt;17.2021761676454&lt;/D&gt;&lt;D xsi:type="xsd:double"&gt;17.8239400121601&lt;/D&gt;&lt;D xsi:type="xsd:double"&gt;18.3086122087026&lt;/D&gt;&lt;D xsi:type="xsd:double"&gt;18.232680755451&lt;/D&gt;&lt;D xsi:type="xsd:double"&gt;18.8197290100056&lt;/D&gt;&lt;D xsi:type="xsd:double"&gt;19.4794011338899&lt;/D&gt;&lt;D xsi:type="xsd:double"&gt;20.415142043097&lt;/D&gt;&lt;D xsi:type="xsd:double"&gt;21.0804397584269&lt;/D&gt;&lt;D xsi:type="xsd:double"&gt;20.7820753577395&lt;/D&gt;&lt;D xsi:type="xsd:double"&gt;19.8220533830481&lt;/D&gt;&lt;D xsi:type="xsd:double"&gt;19.4727011263889&lt;/D&gt;&lt;D xsi:type="xsd:double"&gt;18.9702218535975&lt;/D&gt;&lt;D xsi:type="xsd:double"&gt;18.6712559776957&lt;/D&gt;&lt;D xsi:type="xsd:double"&gt;18.0152862342452&lt;/D&gt;&lt;D xsi:type="xsd:double"&gt;17.4178951436118&lt;/D&gt;&lt;D xsi:type="xsd:double"&gt;16.8042239062857&lt;/D&gt;&lt;D xsi:type="xsd:double"&gt;16.7211905780795&lt;/D&gt;&lt;D xsi:type="xsd:double"&gt;16.4459751495237&lt;/D&gt;&lt;D xsi:type="xsd:double"&gt;15.3815597773545&lt;/D&gt;&lt;D xsi:type="xsd:double"&gt;15.5671639505639&lt;/D&gt;&lt;D xsi:type="xsd:double"&gt;15.3193896966547&lt;/D&gt;&lt;D xsi:type="xsd:double"&gt;15.134875848254&lt;/D&gt;&lt;D xsi:type="xsd:double"&gt;14.9320499078101&lt;/D&gt;&lt;D xsi:type="xsd:double"&gt;14.359026630687&lt;/D&gt;&lt;D xsi:type="xsd:double"&gt;13.6027472027309&lt;/D&gt;&lt;D xsi:type="xsd:double"&gt;13.0431998914239&lt;/D&gt;&lt;D xsi:type="xsd:double"&gt;13.3163114989929&lt;/D&gt;&lt;D xsi:type="xsd:double"&gt;12.7123297460866&lt;/D&gt;&lt;D xsi:type="xsd:double"&gt;12.1023432396804&lt;/D&gt;&lt;D xsi:type="xsd:double"&gt;12.5629248511192&lt;/D&gt;&lt;D xsi:type="xsd:double"&gt;12.194192129104&lt;/D&gt;&lt;D xsi:type="xsd:double"&gt;12.6912271524352&lt;/D&gt;&lt;D xsi:type="xsd:double"&gt;12.7472612003568&lt;/D&gt;&lt;D xsi:type="xsd:double"&gt;12.4963225690679&lt;/D&gt;&lt;D xsi:type="xsd:double"&gt;12.7906102440118&lt;/D&gt;&lt;D xsi:type="xsd:double"&gt;12.8472346868049&lt;/D&gt;&lt;D xsi:type="xsd:double"&gt;12.9388463303694&lt;/D&gt;&lt;D xsi:type="xsd:double"&gt;13.2761033166124&lt;/D&gt;&lt;D xsi:type="xsd:double"&gt;13.2557384847899&lt;/D&gt;&lt;D xsi:type="xsd:double"&gt;13.7848398361774&lt;/D&gt;&lt;D xsi:type="xsd:double"&gt;13.4007741865086&lt;/D&gt;&lt;D xsi:type="xsd:double"&gt;13.7244481989154&lt;/D&gt;&lt;D xsi:type="xsd:double"&gt;14.1944916842496&lt;/D&gt;&lt;D xsi:type="xsd:double"&gt;14.4123615849369&lt;/D&gt;&lt;D xsi:type="xsd:double"&gt;14.7497323454767&lt;/D&gt;&lt;D xsi:type="xsd:double"&gt;14.9214229547106&lt;/D&gt;&lt;D xsi:type="xsd:double"&gt;14.8511903890309&lt;/D&gt;&lt;D xsi:type="xsd:double"&gt;14.9742913439602&lt;/D&gt;&lt;/FQL&gt;&lt;FQL&gt;&lt;Q&gt;ENZL^PERCENT_CHANGE(FMA_EPS(+1,0,,,,"PORTAGG","MEAN"),FMA_EPS(+1,-3AM,,,,"PORTAGG","MEAN"))&lt;/Q&gt;&lt;R&gt;1&lt;/R&gt;&lt;C&gt;1&lt;/C&gt;&lt;D xsi:type="xsd:double"&gt;-14.2629140984916&lt;/D&gt;&lt;/FQL&gt;&lt;FQL&gt;&lt;Q&gt;EWU^SIZE(FG_CONSTITUENTS)&lt;/Q&gt;&lt;R&gt;1&lt;/R&gt;&lt;C&gt;1&lt;/C&gt;&lt;D xsi:type="xsd:long"&gt;85&lt;/D&gt;&lt;/FQL&gt;&lt;FQL&gt;&lt;Q&gt;EWD^FMA_RBICS_REV_CURRENT(30, LOC, "PORTAGG")&lt;/Q&gt;&lt;R&gt;1&lt;/R&gt;&lt;C&gt;1&lt;/C&gt;&lt;D xsi:type="xsd:double"&gt;25.9129717795788&lt;/D&gt;&lt;/FQL&gt;&lt;FQL&gt;&lt;Q&gt;EWI^FMA_EVAL_EBITDA(NTMA,0,,,"PORTAGG","MEANR")&lt;/Q&gt;&lt;R&gt;1&lt;/R&gt;&lt;C&gt;1&lt;/C&gt;&lt;D xsi:type="xsd:double"&gt;6.91804813590216&lt;/D&gt;&lt;/FQL&gt;&lt;FQL&gt;&lt;Q&gt;SPY^FMA_DIV_YLD(NTMA,NOW,NOW,M,"PORTAGG","MEANR")&lt;/Q&gt;&lt;R&gt;1&lt;/R&gt;&lt;C&gt;1&lt;/C&gt;&lt;D xsi:type="xsd:double"&gt;1.50895004433144&lt;/D&gt;&lt;/FQL&gt;&lt;FQL&gt;&lt;Q&gt;EWG^FG_FCF_YIELD_NTM(0)&lt;/Q&gt;&lt;R&gt;1&lt;/R&gt;&lt;C&gt;1&lt;/C&gt;&lt;D xsi:type="xsd:double"&gt;5.68592206652288&lt;/D&gt;&lt;/FQL&gt;&lt;FQL&gt;&lt;Q&gt;SPY^FMA_ROE(NTMA,-20AY,NOW,FY,"PORTAGG","MEANR")&lt;/Q&gt;&lt;R&gt;20&lt;/R&gt;&lt;C&gt;1&lt;/C&gt;&lt;D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xsi:type="xsd:double"&gt;18.2929292642344&lt;/D&gt;&lt;D xsi:type="xsd:double"&gt;17.2298191446197&lt;/D&gt;&lt;D xsi:type="xsd:double"&gt;20.686290276184&lt;/D&gt;&lt;D xsi:type="xsd:double"&gt;20.5983105929019&lt;/D&gt;&lt;D xsi:type="xsd:double"&gt;20.3505037761569&lt;/D&gt;&lt;/FQL&gt;&lt;FQL&gt;&lt;Q&gt;PASP-FDS^FG_PRICE_CHANGE(0,-1AM)&lt;/Q&gt;&lt;R&gt;1&lt;/R&gt;&lt;C&gt;1&lt;/C&gt;&lt;D xsi:type="xsd:double"&gt;-1.06280193236715&lt;/D&gt;&lt;/FQL&gt;&lt;FQL&gt;&lt;Q&gt;NI-FDS^FG_PRICE(0)/MAX(FG_PRICE(0,-1AY))&lt;/Q&gt;&lt;R&gt;1&lt;/R&gt;&lt;C&gt;1&lt;/C&gt;&lt;D xsi:type="xsd:double"&gt;0.896067415730337&lt;/D&gt;&lt;/FQL&gt;&lt;FQL&gt;&lt;Q&gt;CPALM-FDS^FG_PRICE_CHANGE(0,-1AY)&lt;/Q&gt;&lt;R&gt;1&lt;/R&gt;&lt;C&gt;1&lt;/C&gt;&lt;D xsi:type="xsd:double"&gt;4.59183673469388&lt;/D&gt;&lt;/FQL&gt;&lt;FQL&gt;&lt;Q&gt;USDCAD^FG_PRICE(0)&lt;/Q&gt;&lt;R&gt;1&lt;/</t>
        </r>
      </text>
    </comment>
    <comment ref="A14" authorId="0" shapeId="0" xr:uid="{82B56B7E-8581-476F-B62A-E01F9F99EB09}">
      <text>
        <r>
          <rPr>
            <b/>
            <sz val="9"/>
            <color indexed="81"/>
            <rFont val="Tahoma"/>
            <charset val="1"/>
          </rPr>
          <t>R&gt;&lt;C&gt;1&lt;/C&gt;&lt;D xsi:type="xsd:double"&gt;1.36045&lt;/D&gt;&lt;/FQL&gt;&lt;FQL&gt;&lt;Q&gt;EWA^FG_PRICE_MAVG(0,,,,60)&lt;/Q&gt;&lt;R&gt;1&lt;/R&gt;&lt;C&gt;1&lt;/C&gt;&lt;D xsi:type="xsd:double"&gt;24.206333&lt;/D&gt;&lt;/FQL&gt;&lt;FQL&gt;&lt;Q&gt;EWU^P_PRICE(0)/P_PRICE_LOW_PR(0,,,,,,"PRICE","INTRA","52W")-1&lt;/Q&gt;&lt;R&gt;1&lt;/R&gt;&lt;C&gt;1&lt;/C&gt;&lt;D xsi:type="xsd:double"&gt;0.21897817&lt;/D&gt;&lt;/FQL&gt;&lt;FQL&gt;&lt;Q&gt;TRYSE10Y-FDS^FG_YIELD(0,,,,"YTM")&lt;/Q&gt;&lt;R&gt;1&lt;/R&gt;&lt;C&gt;1&lt;/C&gt;&lt;D xsi:type="xsd:double"&gt;2.35&lt;/D&gt;&lt;/FQL&gt;&lt;FQL&gt;&lt;Q&gt;EWA^JULIAN(FMA_ROE(NTMA,-20AY,NOW,FY,"PORTAGG","MEANR").DATES)&lt;/Q&gt;&lt;R&gt;20&lt;/R&gt;&lt;C&gt;1&lt;/C&gt;&lt;D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xsi:type="xsd:long"&gt;45289&lt;/D&gt;&lt;/FQL&gt;&lt;FQL&gt;&lt;Q&gt;USDAUD^FG_PRICE_CHANGE(0,-1AM)&lt;/Q&gt;&lt;R&gt;1&lt;/R&gt;&lt;C&gt;1&lt;/C&gt;&lt;D xsi:type="xsd:double"&gt;-3.999406&lt;/D&gt;&lt;/FQL&gt;&lt;FQL&gt;&lt;Q&gt;BRENT-FDS^FG_PRICE_CHANGE(0,-3AM)&lt;/Q&gt;&lt;R&gt;1&lt;/R&gt;&lt;C&gt;1&lt;/C&gt;&lt;D xsi:type="xsd:double"&gt;0&lt;/D&gt;&lt;/FQL&gt;&lt;FQL&gt;&lt;Q&gt;ENZL^FG_PRICE_MAVG(0,,,,60)&lt;/Q&gt;&lt;R&gt;1&lt;/R&gt;&lt;C&gt;1&lt;/C&gt;&lt;D xsi:type="xsd:double"&gt;45.16913&lt;/D&gt;&lt;/FQL&gt;&lt;FQL&gt;&lt;Q&gt;EWU^FG_TOTAL_RETURNC(0,-6AM)&lt;/Q&gt;&lt;R&gt;1&lt;/R&gt;&lt;C&gt;1&lt;/C&gt;&lt;D xsi:type="xsd:double"&gt;17.089771&lt;/D&gt;&lt;/FQL&gt;&lt;FQL&gt;&lt;Q&gt;QQQ^FG_ROE(0)&lt;/Q&gt;&lt;R&gt;1&lt;/R&gt;&lt;C&gt;1&lt;/C&gt;&lt;D xsi:type="xsd:double"&gt;22.6526396898003&lt;/D&gt;&lt;/FQL&gt;&lt;FQL&gt;&lt;Q&gt;EWA^FMA_PE(LTM,0,,,"PORTAGG","MEANR")&lt;/Q&gt;&lt;R&gt;1&lt;/R&gt;&lt;C&gt;1&lt;/C&gt;&lt;D xsi:type="xsd:double"&gt;19.3812374413989&lt;/D&gt;&lt;/FQL&gt;&lt;FQL&gt;&lt;Q&gt;EWL^P_PRICE(0)/P_PRICE_LOW_PR(0,,,,,,"PRICE","INTRA","52W")-1&lt;/Q&gt;&lt;R&gt;1&lt;/R&gt;&lt;C&gt;1&lt;/C&gt;&lt;D xsi:type="xsd:double"&gt;0.17858005&lt;/D&gt;&lt;/FQL&gt;&lt;FQL&gt;&lt;Q&gt;ENZL^FMA_EVAL_EBITDA(NTMA,0,,,"PORTAGG","MEANR")&lt;/Q&gt;&lt;R&gt;1&lt;/R&gt;&lt;C&gt;1&lt;/C&gt;&lt;D xsi:type="xsd:double"&gt;12.1671116656234&lt;/D&gt;&lt;/FQL&gt;&lt;FQL&gt;&lt;Q&gt;COPP-FDS^FG_PRICE_CHANGE(0,-3AM)&lt;/Q&gt;&lt;R&gt;1&lt;/R&gt;&lt;C&gt;1&lt;/C&gt;&lt;D xsi:type="xsd:double"&gt;31.7613340281397&lt;/D&gt;&lt;/FQL&gt;&lt;FQL&gt;&lt;Q&gt;EWL^P_PRICE_RETURNS_PR('52W',2,-10AY,0,AM)&lt;/Q&gt;&lt;R&gt;121&lt;/R&gt;&lt;C&gt;1&lt;/C&gt;&lt;D xsi:type="xsd:double"&gt;17.312849&lt;/D&gt;&lt;D xsi:type="xsd:double"&gt;18.87157&lt;/D&gt;&lt;D xsi:type="xsd:double"&gt;16.180742&lt;/D&gt;&lt;D xsi:type="xsd:double"&gt;11.388707&lt;/D&gt;&lt;D xsi:type="xsd:double"&gt;10.814643&lt;/D&gt;&lt;D xsi:type="xsd:double"&gt;-0.8076787&lt;/D&gt;&lt;D xsi:type="xsd:double"&gt;3.0592084&lt;/D&gt;&lt;D xsi:type="xsd:double"&gt;3.5310507&lt;/D&gt;&lt;D xsi:type="xsd:double"&gt;0.5256176&lt;/D&gt;&lt;D xsi:type="xsd:double"&gt;0.62212944&lt;/D&gt;&lt;D xsi:type="xsd:double"&gt;-1.0184765&lt;/D&gt;&lt;D xsi:type="xsd:double"&gt;2.6987433&lt;/D&gt;&lt;D xsi:type="xsd:double"&gt;4.1538954&lt;/D&gt;&lt;D xsi:type="xsd:double"&gt;0.34599304&lt;/D&gt;&lt;D xsi:type="xsd:double"&gt;3.811705&lt;/D&gt;&lt;D xsi:type="xsd:double"&gt;3.7630439&lt;/D&gt;&lt;D xsi:type="xsd:double"&gt;-0.8208871&lt;/D&gt;&lt;D xsi:type="xsd:double"&gt;9.400368&lt;/D&gt;&lt;D xsi:type="xsd:double"&gt;-2.3687363&lt;/D&gt;&lt;D xsi:type="xsd:double"&gt;-1.2694776&lt;/D&gt;&lt;D xsi:type="xsd:double"&gt;-11.074763&lt;/D&gt;&lt;D xsi:type="xsd:double"&gt;-10.976065&lt;/D&gt;&lt;D xsi:type="xsd:double"&gt;-6.2357664&lt;/D&gt;&lt;D xsi:type="xsd:double"&gt;-10.218698&lt;/D&gt;&lt;D xsi:type="xsd:double"&gt;-14.68584&lt;/D&gt;&lt;D xsi:type="xsd:double"&gt;-10.841232&lt;/D&gt;&lt;D xsi:type="xsd:double"&gt;-10.125404&lt;/D&gt;&lt;D xsi:type="xsd:double"&gt;-6.0789766&lt;/D&gt;&lt;D xsi:type="xsd:double"&gt;-3.7422538&lt;/D&gt;&lt;D xsi:type="xsd:double"&gt;-5.70671&lt;/D&gt;&lt;D xsi:type="xsd:double"&gt;-4.1621265&lt;/D&gt;&lt;D xsi:type="xsd:double"&gt;-4.4248104&lt;/D&gt;&lt;D xsi:type="xsd:double"&gt;9.047783&lt;/D&gt;&lt;D xsi:type="xsd:double"&gt;11.098862&lt;/D&gt;&lt;D xsi:type="xsd:double"&gt;10.726333&lt;/D&gt;&lt;D xsi:type="xsd:double"&gt;8.3545685&lt;/D&gt;&lt;D xsi:type="xsd:double"&gt;17.553352&lt;/D&gt;&lt;D xsi:type="xsd:double"&gt;20.656443&lt;/D&gt;&lt;D xsi:type="xsd:double"&gt;18.492376&lt;/D&gt;&lt;D xsi:type="xsd:double"&gt;13.110447&lt;/D&gt;&lt;D xsi:type="xsd:double"&gt;16.457855&lt;/D&gt;&lt;D xsi:type="xsd:double"&gt;21.451223&lt;/D&gt;&lt;D xsi:type="xsd:double"&gt;21.490515&lt;/D&gt;&lt;D xsi:type="xsd:double"&gt;23.920595&lt;/D&gt;&lt;D xsi:type="xsd:double"&gt;23.029959&lt;/D&gt;&lt;D xsi:type="xsd:double"&gt;18.25651&lt;/D&gt;&lt;D xsi:type="xsd:double"&gt;11.05566&lt;/D&gt;&lt;D xsi:type="xsd:double"&gt;10.143936&lt;/D&gt;&lt;D xsi:type="xsd:double"&gt;2.704692&lt;/D&gt;&lt;D xsi:type="xsd:double"&gt;0.23064613&lt;/D&gt;&lt;D xsi:type="xsd:double"&gt;-0.963676&lt;/D&gt;&lt;D xsi:type="xsd:double"&gt;2.477491&lt;/D&gt;&lt;D xsi:type="xsd:double"&gt;2.4487138&lt;/D&gt;&lt;D xsi:type="xsd:double"&gt;-4.213232&lt;/D&gt;&lt;D xsi:type="xsd:double"&gt;-1.3877213&lt;/D&gt;&lt;D xsi:type="xsd:double"&gt;-7.8336954&lt;/D&gt;&lt;D xsi:type="xsd:double"&gt;-7.303059&lt;/D&gt;&lt;D xsi:type="xsd:double"&gt;-3.3263624&lt;/D&gt;&lt;D xsi:type="xsd:double"&gt;3.535056&lt;/D&gt;&lt;D xsi:type="xsd:double"&gt;5.878234&lt;/D&gt;&lt;D xsi:type="xsd:double"&gt;7.210362&lt;/D&gt;&lt;D xsi:type="xsd:double"&gt;13.510859&lt;/D&gt;&lt;D xsi:type="xsd:double"&gt;14.253879&lt;/D&gt;&lt;D xsi:type="xsd:double"&gt;11.431384&lt;/D&gt;&lt;D xsi:type="xsd:double"&gt;10.183001&lt;/D&gt;&lt;D xsi:type="xsd:double"&gt;17.27916&lt;/D&gt;&lt;D xsi:type="xsd:double"&gt;20.709515&lt;/D&gt;&lt;D xsi:type="xsd:double"&gt;28.90303&lt;/D&gt;&lt;D xsi:type="xsd:double"&gt;28.347946&lt;/D&gt;&lt;D xsi:type="xsd:double"&gt;27.606796&lt;/D&gt;&lt;D xsi:type="xsd:double"&gt;-5.9601126&lt;/D&gt;&lt;D xsi:type="xsd:double"&gt;5.6458354&lt;/D&gt;&lt;D xsi:type="xsd:double"&gt;4.604912&lt;/D&gt;&lt;D xsi:type="xsd:double"&gt;9.396291&lt;/D&gt;&lt;D xsi:type="xsd:double"&gt;11.2801075&lt;/D&gt;&lt;D xsi:type="xsd:double"&gt;15.34667&lt;/D&gt;&lt;D xsi:type="xsd:double"&gt;15.861821&lt;/D&gt;&lt;D xsi:type="xsd:double"&gt;11.950815&lt;/D&gt;&lt;D xsi:type="xsd:double"&gt;12.979019&lt;/D&gt;&lt;D xsi:type="xsd:double"&gt;13.008022&lt;/D&gt;&lt;D xsi:type="xsd:double"&gt;11.896658&lt;/D&gt;&lt;D xsi:type="xsd:double"&gt;8.813667&lt;/D&gt;&lt;D xsi:type="xsd:double"&gt;39.19095&lt;/D&gt;&lt;D xsi:type="xsd:double"&gt;31.606281&lt;/D&gt;&lt;D xsi:type="xsd:double"&gt;31.728947&lt;/D&gt;&lt;D xsi:type="xsd:double"&gt;27.579653&lt;/D&gt;&lt;D xsi:type="xsd:double"&gt;22.917843&lt;/D&gt;&lt;D xsi:type="xsd:double"&gt;24.123299&lt;/D&gt;&lt;D xsi:type="xsd:double"&gt;15.20319&lt;/D&gt;&lt;D xsi:type="xsd:double"&gt;20.38182&lt;/D&gt;&lt;D xsi:type="xsd:double"&gt;20.532036&lt;/D&gt;&lt;D xsi:type="xsd:double"&gt;17.779945&lt;/D&gt;&lt;D xsi:type="xsd:double"&gt;14.737892&lt;/D&gt;&lt;D xsi:type="xsd:double"&gt;9.816683&lt;/D&gt;&lt;D xsi:type="xsd:double"&gt;10.337234&lt;/D&gt;&lt;D xsi:type="xsd:double"&gt;9.372878&lt;/D&gt;&lt;D xsi:type="xsd:double"&gt;-4.292023&lt;/D&gt;&lt;D xsi:type="xsd:double"&gt;-18.044102&lt;/D&gt;&lt;D xsi:type="xsd:double"&gt;-14.354229&lt;/D&gt;&lt;D xsi:type="xsd:double"&gt;-13.934713&lt;/D&gt;&lt;D xsi:type="xsd:double"&gt;-16.883707&lt;/D&gt;&lt;D xsi:type="xsd:double"&gt;-20.024754&lt;/D&gt;&lt;D xsi:type="xsd:double"&gt;-16.117567&lt;/D&gt;&lt;D xsi:type="xsd:double"&gt;-17.769735&lt;/D&gt;&lt;D xsi:type="xsd:double"&gt;-9.825808&lt;/D&gt;&lt;D xsi:type="xsd:double"&gt;-5.219674&lt;/D&gt;&lt;D xsi:type="xsd:double"&gt;-9.836197&lt;/D&gt;&lt;D xsi:type="xsd:double"&gt;-2.372831&lt;/D&gt;&lt;D xsi:type="xsd:double"&gt;10.00607&lt;/D&gt;&lt;D xsi:type="xsd:double"&gt;20.104206&lt;/D&gt;&lt;D xsi:type="xsd:double"&gt;16.490364&lt;/D&gt;&lt;D xsi:type="xsd:double"&gt;7.392776&lt;/D&gt;&lt;D xsi:type="xsd:double"&gt;14.953077&lt;/D&gt;&lt;D xsi:type="xsd:double"&gt;17.556202&lt;/D&gt;&lt;D xsi:type="xsd:double"&gt;8.638298&lt;/D&gt;&lt;D xsi:type="xsd:double"&gt;13.1729965&lt;/D&gt;&lt;D xsi:type="xsd:double"&gt;5.937004&lt;/D&gt;&lt;D xsi:type="xsd:double"&gt;7.3997617&lt;/D&gt;&lt;D xsi:type="xsd:double"&gt;16.651081&lt;/D&gt;&lt;D xsi:type="xsd:double"&gt;-1.5740454&lt;/D&gt;&lt;D xsi:type="xsd:double"&gt;4.485297&lt;/D&gt;&lt;/FQL&gt;&lt;FQL&gt;&lt;Q&gt;FXI^FG_TOTAL_RETURNC(0,-6AM)&lt;/Q&gt;&lt;R&gt;1&lt;/R&gt;&lt;C&gt;1&lt;/C&gt;&lt;D xsi:type="xsd:double"&gt;15.266693&lt;/D&gt;&lt;/FQL&gt;&lt;FQL&gt;&lt;Q&gt;COPP-FDS^FG_PRICE_CHANGE(0,-1AM)&lt;/Q&gt;&lt;R&gt;1&lt;/R&gt;&lt;C&gt;1&lt;/C&gt;&lt;D xsi:type="xsd:double"&gt;16.4536557282671&lt;/D&gt;&lt;/FQL&gt;&lt;FQL&gt;&lt;Q&gt;TIOS-FDS^FG_PRICE_MAVG(0,,,,30)&lt;/Q&gt;&lt;R&gt;1&lt;/R&gt;&lt;C&gt;1&lt;/C&gt;&lt;D xsi:type="xsd:double"&gt;111.71067&lt;/D&gt;&lt;/FQL&gt;&lt;FQL&gt;&lt;Q&gt;FXI^FG_TOTAL_RETURNC(0,-1AM)&lt;/Q&gt;&lt;R&gt;1&lt;/R&gt;&lt;C&gt;1&lt;/C&gt;&lt;D xsi:type="xsd:double"&gt;24.016916&lt;/D&gt;&lt;/FQL&gt;&lt;FQL&gt;&lt;Q&gt;EWA^FG_ROE(0)&lt;/Q&gt;&lt;R&gt;1&lt;/R&gt;&lt;C&gt;1&lt;/C&gt;&lt;D xsi:type="xsd:double"&gt;12.608533401708&lt;/D&gt;&lt;/FQL&gt;&lt;FQL&gt;&lt;Q&gt;CC_DE^IMF_IFS_RCPI_Q(0)&lt;/Q&gt;&lt;R&gt;1&lt;/R&gt;&lt;C&gt;1&lt;/C&gt;&lt;D xsi:type="xsd:double"&gt;2.5173564&lt;/D&gt;&lt;/FQL&gt;&lt;FQL&gt;&lt;Q&gt;EWC^P_PRICE_RETURNS_PR('52W',2,-10AY,0,AM)&lt;/Q&gt;&lt;R&gt;121&lt;/R&gt;&lt;C&gt;1&lt;/C&gt;&lt;D xsi:type="xsd:double"&gt;11.879158&lt;/D&gt;&lt;D xsi:type="xsd:double"&gt;17.25812&lt;/D&gt;&lt;D xsi:type="xsd:double"&gt;19.700777&lt;/D&gt;&lt;D xsi:type="xsd:double"&gt;17.024124&lt;/D&gt;&lt;D xsi:type="xsd:double"&gt;16.014444&lt;/D&gt;&lt;D xsi:type="xsd:double"&gt;2.4404526&lt;/D&gt;&lt;D xsi:type="xsd:double"&gt;4.606092&lt;/D&gt;&lt;D xsi:type="xsd:double"&gt;1.1407256&lt;/D&gt;&lt;D xsi:type="xsd:double"&gt;-3.1264842&lt;/D&gt;&lt;D xsi:type="xsd:double"&gt;-0.29207468&lt;/D&gt;&lt;D xsi:type="xsd:double"&gt;-5.9678373&lt;/D&gt;&lt;D xsi:type="xsd:double"&gt;-1.039505&lt;/D&gt;&lt;D xsi:type="xsd:double"&gt;-3.2829225&lt;/D&gt;&lt;D xsi:type="xsd:double"&gt;-10.289919&lt;/D&gt;&lt;D xsi:type="xsd:double"&gt;-17.852228&lt;/D&gt;&lt;D xsi:type="xsd:double"&gt;-20.10293&lt;/D&gt;&lt;D xsi:type="xsd:double"&gt;-23.663448&lt;/D&gt;&lt;D xsi:type="xsd:double"&gt;-11.991156&lt;/D&gt;&lt;D xsi:type="xsd:double"&gt;-22.494776&lt;/D&gt;&lt;D xsi:type="xsd:double"&gt;-21.76413&lt;/D&gt;&lt;D xsi:type="xsd:double"&gt;-27.594692&lt;/D&gt;&lt;D xsi:type="xsd:double"&gt;-22.415113&lt;/D&gt;&lt;D xsi:type="xsd:double"&gt;-9.163928&lt;/D&gt;&lt;D xsi:type="xsd:double"&gt;-14.714593&lt;/D&gt;&lt;D xsi:type="xsd:double"&gt;-13.325328&lt;/D&gt;&lt;D xsi:type="xsd:double"&gt;-9.46402&lt;/D&gt;&lt;D xsi:type="xsd:double"&gt;-0.8186698&lt;/D&gt;&lt;D xsi:type="xsd:double"&gt;5.172622&lt;/D&gt;&lt;D xsi:type="xsd:double"&gt;5.3344846&lt;/D&gt;&lt;D xsi:type="xsd:double"&gt;5.217612&lt;/D&gt;&lt;D xsi:type="xsd:double"&gt;12.863302&lt;/D&gt;&lt;D xsi:type="xsd:double"&gt;22.752619&lt;/D&gt;&lt;D xsi:type="xsd:double"&gt;45.75229&lt;/D&gt;&lt;D xsi:type="xsd:double"&gt;31.231451&lt;/D&gt;&lt;D xsi:type="xsd:double"&gt;13.532782&lt;/D&gt;&lt;D xsi:type="xsd:double"&gt;13.518429&lt;/D&gt;&lt;D xsi:type="xsd:double"&gt;6.9845796&lt;/D&gt;&lt;D xsi:type="xsd:double"&gt;10.862279&lt;/D&gt;&lt;D xsi:type="xsd:double"&gt;10.492718&lt;/D&gt;&lt;D xsi:type="xsd:double"&gt;7.187593&lt;/D&gt;&lt;D xsi:type="xsd:double"&gt;16.037512&lt;/D&gt;&lt;D xsi:type="xsd:double"&gt;16.49375&lt;/D&gt;&lt;D xsi:type="xsd:double"&gt;16.373873&lt;/D&gt;&lt;D xsi:type="xsd:double"&gt;11.312938&lt;/D&gt;&lt;D xsi:type="xsd:double"&gt;13.921797&lt;/D&gt;&lt;D xsi:type="xsd:double"&gt;3.6932707&lt;/D&gt;&lt;D xsi:type="xsd:double"&gt;5.15635&lt;/D&gt;&lt;D xsi:type="xsd:double"&gt;6.6872716&lt;/D&gt;&lt;D xsi:type="xsd:double"&gt;16.048157&lt;/D&gt;&lt;D xsi:type="xsd:double"&gt;11.34994&lt;/D&gt;&lt;D xsi:type="xsd:double"&gt;7.667351&lt;/D&gt;&lt;D xsi:type="xsd:double"&gt;8.572996&lt;/D&gt;&lt;D xsi:type="xsd:double"&gt;1.5492678&lt;/D&gt;&lt;D xsi:type="xsd:double"&gt;-3.6915421&lt;/D&gt;&lt;D xsi:type="xsd:double"&gt;-5.9004126&lt;/D&gt;&lt;D xsi:type="xsd:double"&gt;-12.488627&lt;/D&gt;&lt;D xsi:type="xsd:double"&gt;-11.21642&lt;/D&gt;&lt;D xsi:type="xsd:double"&gt;-1.0908008&lt;/D&gt;&lt;D xsi:type="xsd:double"&gt;2.666533&lt;/D&gt;&lt;D xsi:type="xsd:double"&gt;3.9331913&lt;/D&gt;&lt;D xsi:type="xsd:double"&gt;-1.8525302&lt;/D&gt;&lt;D xsi:type="xsd:double"&gt;0.35002232&lt;/D&gt;&lt;D xsi:type="xsd:double"&gt;2.3853898&lt;/D&gt;&lt;D xsi:type="xsd:double"&gt;-0.45426488&lt;/D&gt;&lt;D xsi:type="xsd:double"&gt;5.0873756&lt;/D&gt;&lt;D xsi:type="xsd:double"&gt;6.99898&lt;/D&gt;&lt;D xsi:type="xsd:double"&gt;14.284145&lt;/D&gt;&lt;D xsi:type="xsd:double"&gt;23.581875&lt;/D&gt;&lt;D xsi:type="xsd:double"&gt;19.122887&lt;/D&gt;&lt;D xsi:type="xsd:double"&gt;15.713251&lt;/D&gt;&lt;D xsi:type="xsd:double"&gt;-27.949602&lt;/D&gt;&lt;D xsi:type="xsd:double"&gt;-16.524607&lt;/D&gt;&lt;D xsi:type="xsd:double"&gt;-13.183373&lt;/D&gt;&lt;D xsi:type="xsd:double"&gt;-5.289608&lt;/D&gt;&lt;D xsi:type="xsd:double"&gt;-4.7004404&lt;/D&gt;&lt;D xsi:type="xsd:double"&gt;5.7149887&lt;/D&gt;&lt;D xsi:type="xsd:double"&gt;-1.826483&lt;/D&gt;&lt;D xsi:type="xsd:double"&gt;1.0293007&lt;/D&gt;&lt;D xsi:type="xsd:double"&gt;1.3908625&lt;/D&gt;&lt;D xsi:type="xsd:double"&gt;8.431149&lt;/D&gt;&lt;D xsi:type="xsd:double"&gt;7.257855&lt;/D&gt;&lt;D xsi:type="xsd:double"&gt;9.554267&lt;/D&gt;&lt;D xsi:type="xsd:double"&gt;82.686&lt;/D&gt;&lt;D xsi:type="xsd:double"&gt;61.244953&lt;/D&gt;&lt;D xsi:type="xsd:double"&gt;60.28011&lt;/D&gt;&lt;D xsi:type="xsd:double"&gt;47.653164&lt;/D&gt;&lt;D xsi:type="xsd:double"&gt;38.35926&lt;/D&gt;&lt;D xsi:type="xsd:double"&gt;32.01375&lt;/D&gt;&lt;D xsi:type="xsd:double"&gt;34.034218&lt;/D&gt;&lt;D xsi:type="xsd:double"&gt;40.505745&lt;/D&gt;&lt;D xsi:type="xsd:double"&gt;36.74395&lt;/D&gt;&lt;D xsi:type="xsd:double"&gt;19.679535&lt;/D&gt;&lt;D xsi:type="xsd:double"&gt;23.967922&lt;/D&gt;&lt;D xsi:type="xsd:double"&gt;18.764341&lt;/D&gt;&lt;D xsi:type="xsd:double"&gt;15.598356&lt;/D&gt;&lt;D xsi:type="xsd:double"&gt;15.282261&lt;/D&gt;&lt;D xsi:type="xsd:double"&gt;0.9587407&lt;/D&gt;&lt;D xsi:type="xsd:double"&gt;-8.988804&lt;/D&gt;&lt;D xsi:type="xsd:double"&gt;-10.082084&lt;/D&gt;&lt;D xsi:type="xsd:double"&gt;-1.3063192&lt;/D&gt;&lt;D xsi:type="xsd:double"&gt;-8.034897&lt;/D&gt;&lt;D xsi:type="xsd:double"&gt;-18.103922&lt;/D&gt;&lt;D xsi:type="xsd:double"&gt;-10.80674&lt;/D&gt;&lt;D xsi:type="xsd:double"&gt;-10.896492&lt;/D&gt;&lt;D xsi:type="xsd:double"&gt;-8.705354&lt;/D&gt;&lt;D xsi:type="xsd:double"&gt;-6.4002037&lt;/D&gt;&lt;D xsi:type="xsd:double"&gt;-16.537302&lt;/D&gt;&lt;D xsi:type="xsd:double"&gt;-8.528262&lt;/D&gt;&lt;D xsi:type="xsd:double"&gt;-3.335613&lt;/D&gt;&lt;D xsi:type="xsd:double"&gt;5.64878&lt;/D&gt;&lt;D xsi:type="xsd:double"&gt;11.660981&lt;/D&gt;&lt;D xsi:type="xsd:double"&gt;-3.6560178&lt;/D&gt;&lt;D xsi:type="xsd:double"&gt;6.3758016&lt;/D&gt;&lt;D xsi:type="xsd:double"&gt;10.116613&lt;/D&gt;&lt;D xsi:type="xsd:double"&gt;2.2477984&lt;/D&gt;&lt;D xsi:type="xsd:double"&gt;10.781706&lt;/D&gt;&lt;D xsi:type="xsd:double"&gt;4.000795&lt;/D&gt;&lt;D xsi:type="xsd:double"&gt;6.7855477&lt;/D&gt;&lt;D xsi:type="xsd:double"&gt;19.528353&lt;/D&gt;&lt;D xsi:type="xsd:double"&gt;6.0226083&lt;/D&gt;&lt;D xsi:type="xsd:double"&gt;13.410198&lt;/D&gt;&lt;/FQL&gt;&lt;FQL&gt;&lt;Q&gt;ENZL^FG_ROE(0)&lt;/Q&gt;&lt;R&gt;1&lt;/R&gt;&lt;C&gt;1&lt;/C&gt;&lt;D xsi:type="xsd:double"&gt;5.64589655010415&lt;/D&gt;&lt;/FQL&gt;&lt;FQL&gt;&lt;Q&gt;CAGDPY@DE^EE_ACTUAL_ANNUAL(MED,+1)&lt;/Q&gt;&lt;R&gt;1&lt;/R&gt;&lt;C&gt;1&lt;/C&gt;&lt;D xsi:type="xsd:double"&gt;6.5&lt;/D&gt;&lt;/FQL&gt;&lt;FQL&gt;&lt;Q&gt;CC_AU^IMF_IFS_RCPI_Q(0)&lt;/Q&gt;&lt;R&gt;1&lt;/R&gt;&lt;C&gt;1&lt;/C&gt;&lt;D xsi:type="xsd:double"&gt;3.61991&lt;/D&gt;&lt;/FQL&gt;&lt;FQL&gt;&lt;Q&gt;CC_CA^FG_COMPANY_NAME&lt;/Q&gt;&lt;R&gt;1&lt;/R&gt;&lt;C&gt;1&lt;/C&gt;&lt;D xsi:type="xsd:string"&gt;Canada&lt;/D&gt;&lt;/FQL&gt;&lt;FQL&gt;&lt;Q&gt;REFSEREPO-FDS^PROPER_NAME(0,,,"SECURITY","NAME")&lt;/Q&gt;&lt;R&gt;1&lt;/R&gt;&lt;C&gt;1&lt;/C&gt;&lt;D xsi:type="xsd:string"&gt;Sweden Repo Rate&lt;/D&gt;&lt;/FQL&gt;&lt;FQL&gt;&lt;Q&gt;EWC^FMA_ROE(NTMA,-20AY,NOW,FY,"PORTAGG","MEANR")&lt;/Q&gt;&lt;R&gt;20&lt;/R&gt;&lt;C&gt;1&lt;/C&gt;&lt;D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xsi:type="xsd:double"&gt;14.002940310619&lt;/D&gt;&lt;D xsi:type="xsd:double"&gt;13.147116166704&lt;/D&gt;&lt;/FQL&gt;&lt;FQL&gt;&lt;Q&gt;TRYCH10Y-FDS^PCTCHG(FG_YIELD(0,,,,"YTM"),FG_YIELD(-1AM,,,,"YTM"))&lt;/Q&gt;&lt;R&gt;1&lt;/R&gt;&lt;C&gt;1&lt;/C&gt;&lt;D xsi:type="xsd:double"&gt;0&lt;/D&gt;&lt;/FQL&gt;&lt;FQL&gt;&lt;Q&gt;EWL^FMA_PE(NTMA,0,,,"PORTAGG","MEANR")&lt;/Q&gt;&lt;R&gt;1&lt;/R&gt;&lt;C&gt;1&lt;/C&gt;&lt;D xsi:type="xsd:double"&gt;17.3506356712766&lt;/D&gt;&lt;/FQL&gt;&lt;FQL&gt;&lt;Q&gt;UUP^P_PRICE(0)/P_PRICE_HIGH_PR(0,,,USD,,,"PRICE","INTRA","52W")&lt;/Q&gt;&lt;R&gt;1&lt;/R&gt;&lt;C&gt;1&lt;/C&gt;&lt;D xsi:type="xsd:double"&gt;0.9467926&lt;/D&gt;&lt;/FQL&gt;&lt;FQL&gt;&lt;Q&gt;USDCAD^FG_PRICE_CHANGE(0,-1AY)&lt;/Q&gt;&lt;R&gt;1&lt;/R&gt;&lt;C&gt;1&lt;/C&gt;&lt;D xsi:type="xsd:double"&gt;0.8749485&lt;/D&gt;&lt;/FQL&gt;&lt;FQL&gt;&lt;Q&gt;EWA^FG_PRICE_MAVG(0,,,,200)&lt;/Q&gt;&lt;R&gt;1&lt;/R&gt;&lt;C&gt;1&lt;/C&gt;&lt;D xsi:type="xsd:double"&gt;22.9791&lt;/D&gt;&lt;/FQL&gt;&lt;FQL&gt;&lt;Q&gt;ENZL^FMA_ROE(NTMA,-20AY,NOW,FY,"PORTAGG","MEANR")&lt;/Q&gt;&lt;R&gt;20&lt;/R&gt;&lt;C&gt;1&lt;/C&gt;&lt;D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xsi:type="xsd:double"&gt;6.57910753918315&lt;/D&gt;&lt;/FQL&gt;&lt;FQL&gt;&lt;Q&gt;EWL^FMA_PE(LTM,0,,,"PORTAGG","MEANR")&lt;/Q&gt;&lt;R&gt;1&lt;/R&gt;&lt;C&gt;1&lt;/C&gt;&lt;D xsi:type="xsd:double"&gt;16.1554589362443&lt;/D&gt;&lt;/FQL&gt;&lt;FQL&gt;&lt;Q&gt;BRENT-FDS^FG_PRICE_CHANGE(0,-6AM)&lt;/Q&gt;&lt;R&gt;1&lt;/R&gt;&lt;C&gt;1&lt;/C&gt;&lt;D xsi:type="xsd:double"&gt;0&lt;/D&gt;&lt;/FQL&gt;&lt;FQL&gt;&lt;Q&gt;EWA^FG_PRICE_MAVG(0,,,,30)&lt;/Q&gt;&lt;R&gt;1&lt;/R&gt;&lt;C&gt;1&lt;/C&gt;&lt;D xsi:type="xsd:double"&gt;24.116&lt;/D&gt;&lt;/FQL&gt;&lt;FQL&gt;&lt;Q&gt;EWQ^FMA_RBICS_REV_CURRENT(30, LOC, "PORTAGG")&lt;/Q&gt;&lt;R&gt;1&lt;/R&gt;&lt;C&gt;1&lt;/C&gt;&lt;D xsi:type="xsd:double"&gt;11.6274292606376&lt;/D&gt;&lt;/FQL&gt;&lt;FQL&gt;&lt;Q&gt;EWI^FMA_EPS(NTMA,-20AY,0,CY,,"PORTAGG","MEANR")&lt;/Q&gt;&lt;R&gt;20&lt;/R&gt;&lt;C&gt;1&lt;/C&gt;&lt;D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xsi:type="xsd:double"&gt;3.81180271683843&lt;/D&gt;&lt;/FQL&gt;&lt;FQL&gt;&lt;Q&gt;EWU^FG_ROE(0)&lt;/Q&gt;&lt;R&gt;1&lt;/R&gt;&lt;C&gt;1&lt;/C&gt;&lt;D xsi:type="xsd:double"&gt;15.0087466264632&lt;/D&gt;&lt;/FQL&gt;&lt;FQL&gt;&lt;Q&gt;EWL^P_PRICE(0)/P_PRICE_HIGH_PR(0,,,,,,"PRICE","INTRA","52W")&lt;/Q&gt;&lt;R&gt;1&lt;/R&gt;&lt;C&gt;1&lt;/C&gt;&lt;D xsi:type="xsd:double"&gt;0.9987763&lt;/D&gt;&lt;/FQL&gt;&lt;FQL&gt;&lt;Q&gt;ENZL^FMA_DIV_YLD(NTMA,NOW,NOW,M,"PORTAGG","MEANR")&lt;/Q&gt;&lt;R&gt;1&lt;/R&gt;&lt;C&gt;1&lt;/C&gt;&lt;D xsi:type="xsd:double"&gt;2.7463353353453&lt;/D&gt;&lt;/FQL&gt;&lt;FQL&gt;&lt;Q&gt;EWL^FG_ROE(0)&lt;/Q&gt;&lt;R&gt;1&lt;/R&gt;&lt;C&gt;1&lt;/C&gt;&lt;D xsi:type="xsd:double"&gt;24.1916359459291&lt;/D&gt;&lt;/FQL&gt;&lt;FQL&gt;&lt;Q&gt;EWG^P_PRICE_RETURNS_PR('52W',2,-10AY,0,AM)&lt;/Q&gt;&lt;R&gt;121&lt;/R&gt;&lt;C&gt;1&lt;/C&gt;&lt;D xsi:type="xsd:double"&gt;22.192907&lt;/D&gt;&lt;D xsi:type="xsd:double"&gt;21.93867&lt;/D&gt;&lt;D xsi:type="xsd:double"&gt;20.110786&lt;/D&gt;&lt;D xsi:type="xsd:double"&gt;8.605194&lt;/D&gt;&lt;D xsi:type="xsd:double"&gt;7.129276&lt;/D&gt;&lt;D xsi:type="xsd:double"&gt;-7.526946&lt;/D&gt;&lt;D xsi:type="xsd:double"&gt;-7.166326&lt;/D&gt;&lt;D xsi:type="xsd:double"&gt;-5.929458&lt;/D&gt;&lt;D xsi:type="xsd:double"&gt;-10.803318&lt;/D&gt;&lt;D xsi:type="xsd:double"&gt;-6.1259866&lt;/D&gt;&lt;D xsi:type="xsd:double"&gt;-0.9280801&lt;/D&gt;&lt;D xsi:type="xsd:double"&gt;-3.3433855&lt;/D&gt;&lt;D xsi:type="xsd:double"&gt;-1.1940658&lt;/D&gt;&lt;D xsi:type="xsd:double"&gt;-8.219618&lt;/D&gt;&lt;D xsi:type="xsd:double"&gt;-3.6401212&lt;/D&gt;&lt;D xsi:type="xsd:double"&gt;-0.79723&lt;/D&gt;&lt;D xsi:type="xsd:double"&gt;-5.933392&lt;/D&gt;&lt;D xsi:type="xsd:double"&gt;4.6057343&lt;/D&gt;&lt;D xsi:type="xsd:double"&gt;-0.56387186&lt;/D&gt;&lt;D xsi:type="xsd:double"&gt;-3.0391395&lt;/D&gt;&lt;D xsi:type="xsd:double"&gt;-11.127215&lt;/D&gt;&lt;D xsi:type="xsd:double"&gt;-16.160172&lt;/D&gt;&lt;D xsi:type="xsd:double"&gt;-12.321907&lt;/D&gt;&lt;D xsi:type="xsd:double"&gt;-13.544965&lt;/D&gt;&lt;D xsi:type="xsd:double"&gt;-15.331781&lt;/D&gt;&lt;D xsi:type="xsd:double"&gt;-11.597597&lt;/D&gt;&lt;D xsi:type="xsd:double"&gt;-11.95367&lt;/D&gt;&lt;D xsi:type="xsd:double"&gt;-2.247703&lt;/D&gt;&lt;D xsi:type="xsd:double"&gt;-1.6178787&lt;/D&gt;&lt;D xsi:type="xsd:double"&gt;0.20493269&lt;/D&gt;&lt;D xsi:type="xsd:double"&gt;-2.578926&lt;/D&gt;&lt;D xsi:type="xsd:double"&gt;1.0761023&lt;/D&gt;&lt;D xsi:type="xsd:double"&gt;17.858791&lt;/D&gt;&lt;D xsi:type="xsd:double"&gt;17.873466&lt;/D&gt;&lt;D xsi:type="xsd:double"&gt;14.113498&lt;/D&gt;&lt;D xsi:type="xsd:double"&gt;12.314547&lt;/D&gt;&lt;D xsi:type="xsd:double"&gt;23.604918&lt;/D&gt;&lt;D xsi:type="xsd:double"&gt;29.606606&lt;/D&gt;&lt;D xsi:type="xsd:double"&gt;27.591574&lt;/D&gt;&lt;D xsi:type="xsd:double"&gt;17.083931&lt;/D&gt;&lt;D xsi:type="xsd:double"&gt;25.114202&lt;/D&gt;&lt;D xsi:type="xsd:double"&gt;29.990982&lt;/D&gt;&lt;D xsi:type="xsd:double"&gt;32.9553&lt;/D&gt;&lt;D xsi:type="xsd:double"&gt;29.45745&lt;/D&gt;&lt;D xsi:type="xsd:double"&gt;30.294239&lt;/D&gt;&lt;D xsi:type="xsd:double"&gt;23.059929&lt;/D&gt;&lt;D xsi:type="xsd:double"&gt;17.056633&lt;/D&gt;&lt;D xsi:type="xsd:double"&gt;20.347261&lt;/D&gt;&lt;D xsi:type="xsd:double"&gt;10.3263855&lt;/D&gt;&lt;D xsi:type="xsd:double"&gt;7.1614146&lt;/D&gt;&lt;D xsi:type="xsd:double"&gt;2.8388739&lt;/D&gt;&lt;D xsi:type="xsd:double"&gt;-0.8651674&lt;/D&gt;&lt;D xsi:type="xsd:double"&gt;-4.86238&lt;/D&gt;&lt;D xsi:type="xsd:double"&gt;-11.228061&lt;/D&gt;&lt;D xsi:type="xsd:double"&gt;-14.788002&lt;/D&gt;&lt;D xsi:type="xsd:double"&gt;-21.10688&lt;/D&gt;&lt;D xsi:type="xsd:double"&gt;-22.767979&lt;/D&gt;&lt;D xsi:type="xsd:double"&gt;-17.68616&lt;/D&gt;&lt;D xsi:type="xsd:double"&gt;-13.488806&lt;/D&gt;&lt;D xsi:type="xsd:double"&gt;-11.978924&lt;/D&gt;&lt;D xsi:type="xsd:double"&gt;-12.974083&lt;/D&gt;&lt;D xsi:type="xsd:double"&gt;-12.623781&lt;/D&gt;&lt;D xsi:type="xsd:double"&gt;-8.82963&lt;/D&gt;&lt;D xsi:type="xsd:double"&gt;-9.895086&lt;/D&gt;&lt;D xsi:type="xsd:double"&gt;-5.3968134&lt;/D&gt;&lt;D xsi:type="xsd:double"&gt;1.6875267&lt;/D&gt;&lt;D xsi:type="xsd:double"&gt;9.289026&lt;/D&gt;&lt;D xsi:type="xsd:double"&gt;19.25695&lt;/D&gt;&lt;D xsi:type="xsd:double"&gt;17.367422&lt;/D&gt;&lt;D xsi:type="xsd:double"&gt;15.82396&lt;/D&gt;&lt;D xsi:type="xsd:double"&gt;-27.694077&lt;/D&gt;&lt;D xsi:type="xsd:double"&gt;-17.290485&lt;/D&gt;&lt;D xsi:type="xsd:double"&gt;-16.825449&lt;/D&gt;&lt;D xsi:type="xsd:double"&gt;1.8683076&lt;/D&gt;&lt;D xsi:type="xsd:double"&gt;5.966401&lt;/D&gt;&lt;D xsi:type="xsd:double"&gt;18.09385&lt;/D&gt;&lt;D xsi:type="xsd:double"&gt;12.656128&lt;/D&gt;&lt;D xsi:type="xsd:double"&gt;7.466924&lt;/D&gt;&lt;D xsi:type="xsd:double"&gt;4.6266794&lt;/D&gt;&lt;D xsi:type="xsd:double"&gt;11.5194435&lt;/D&gt;&lt;D xsi:type="xsd:double"&gt;9.577454&lt;/D&gt;&lt;D xsi:type="xsd:double"&gt;12.797367&lt;/D&gt;&lt;D xsi:type="xsd:double"&gt;76.95744&lt;/D&gt;&lt;D xsi:type="xsd:double"&gt;63.62219&lt;/D&gt;&lt;D xsi:type="xsd:double"&gt;59.648823&lt;/D&gt;&lt;D xsi:type="xsd:double"&gt;32.983173&lt;/D&gt;&lt;D xsi:type="xsd:double"&gt;23.540474&lt;/D&gt;&lt;D xsi:type="xsd:double"&gt;19.914341&lt;/D&gt;&lt;D xsi:type="xsd:double"&gt;15.083814&lt;/D&gt;&lt;D xsi:type="xsd:double"&gt;18.320156&lt;/D&gt;&lt;D xsi:type="xsd:double"&gt;16.850388&lt;/D&gt;&lt;D xsi:type="xsd:double"&gt;1.7158866&lt;/D&gt;&lt;D xsi:type="xsd:double"&gt;5.068624&lt;/D&gt;&lt;D xsi:type="xsd:double"&gt;-0.23009181&lt;/D&gt;&lt;D xsi:type="xsd:double"&gt;-11.599339&lt;/D&gt;&lt;D xsi:type="xsd:double"&gt;-19.425518&lt;/D&gt;&lt;D xsi:type="xsd:double"&gt;-23.369843&lt;/D&gt;&lt;D xsi:type="xsd:double"&gt;-29.797476&lt;/D&gt;&lt;D xsi:type="xsd:double"&gt;-33.77373&lt;/D&gt;&lt;D xsi:type="xsd:double"&gt;-29.712337&lt;/D&gt;&lt;D xsi:type="xsd:double"&gt;-34.979935&lt;/D&gt;&lt;D xsi:type="xsd:double"&gt;-35.59364&lt;/D&gt;&lt;D xsi:type="xsd:double"&gt;-24.267244&lt;/D&gt;&lt;D xsi:type="xsd:double"&gt;-21.52124&lt;/D&gt;&lt;D xsi:type="xsd:double"&gt;-13.978619&lt;/D&gt;&lt;D xsi:type="xsd:double"&gt;-8.161473&lt;/D&gt;&lt;D xsi:type="xsd:double"&gt;-5.7494106&lt;/D&gt;&lt;D xsi:type="xsd:double"&gt;9.996724&lt;/D&gt;&lt;D xsi:type="xsd:double"&gt;12.870312&lt;/D&gt;&lt;D xsi:type="xsd:double"&gt;26.388&lt;/D&gt;&lt;D xsi:type="xsd:double"&gt;36.55845&lt;/D&gt;&lt;D xsi:type="xsd:double"&gt;20.01959&lt;/D&gt;&lt;D xsi:type="xsd:double"&gt;28.49902&lt;/D&gt;&lt;D xsi:type="xsd:double"&gt;27.895737&lt;/D&gt;&lt;D xsi:type="xsd:double"&gt;15.767538&lt;/D&gt;&lt;D xsi:type="xsd:double"&gt;20.972336&lt;/D&gt;&lt;D xsi:type="xsd:double"&gt;5.263698&lt;/D&gt;&lt;D xsi:type="xsd:double"&gt;8.099461&lt;/D&gt;&lt;D xsi:type="xsd:double"&gt;21.041452&lt;/D&gt;&lt;D xsi:type="xsd:double"&gt;6.8995953&lt;/D&gt;&lt;D xsi:type="xsd:double"&gt;15.027475&lt;/D&gt;&lt;/FQL&gt;&lt;FQL&gt;&lt;Q&gt;ENZL^FMA_PE(NTMA,0,,,"PORTAGG","MEANR")&lt;/Q&gt;&lt;R&gt;1&lt;/R&gt;&lt;C&gt;1&lt;/C&gt;&lt;D xsi:type="xsd:double"&gt;25.0413691820602&lt;/D&gt;&lt;/FQL&gt;&lt;FQL&gt;&lt;Q&gt;EWC^FMA_PCT_ABOVE_MAVG(200,0,,,,"PORTAGG")&lt;/Q&gt;&lt;R&gt;1&lt;/R&gt;&lt;C&gt;1&lt;/C&gt;&lt;D xsi:type="xsd:double"&gt;76.1363636363636&lt;/D&gt;&lt;/FQL&gt;&lt;FQL&gt;&lt;Q&gt;CC_CA^IMF_IFS_RCPI_Q(0)&lt;/Q&gt;&lt;R&gt;1&lt;/R&gt;&lt;C&gt;1&lt;/C&gt;&lt;D xsi:type="xsd:double"&gt;2.8466706&lt;/D&gt;&lt;/FQL&gt;&lt;FQL&gt;&lt;Q&gt;FXI^PERCENT_CHANGE(FMA_EPS(+1,0,,,,"PORTAGG","MEAN"),FMA_EPS(+1,-3AM,,,,"PORTAGG","MEAN"))&lt;/Q&gt;&lt;R&gt;1&lt;/R&gt;&lt;C&gt;1&lt;/C&gt;&lt;D xsi:type="xsd:double"&gt;1.1538538295034&lt;/D&gt;&lt;/FQL&gt;&lt;FQL&gt;&lt;Q&gt;EWA^FG_TOTAL_RETURNC(0,-12AM)&lt;/Q&gt;&lt;R&gt;1&lt;/R&gt;&lt;C&gt;1&lt;/C&gt;&lt;D xsi:type="xsd:double"&gt;14.515436&lt;/D&gt;&lt;/FQL&gt;&lt;FQL&gt;&lt;Q&gt;EWA^P_PRICE_RETURNS_PR('52W',2,-10AY,0,AM)&lt;/Q&gt;&lt;R&gt;121&lt;/R&gt;&lt;C&gt;1&lt;/C&gt;&lt;D xsi:type="xsd:double"&gt;5.5419326&lt;/D&gt;&lt;D xsi:type="xsd:double"&gt;13.061929&lt;/D&gt;&lt;D xsi:type="xsd:double"&gt;16.216051&lt;/D&gt;&lt;D xsi:type="xsd:double"&gt;15.659559&lt;/D&gt;&lt;D xsi:type="xsd:double"&gt;2.6154995&lt;/D&gt;&lt;D xsi:type="xsd:double"&gt;-4.8434734&lt;/D&gt;&lt;D xsi:type="xsd:double"&gt;-2.8753042&lt;/D&gt;&lt;D xsi:type="xsd:double"&gt;-2.7766943&lt;/D&gt;&lt;D xsi:type="xsd:double"&gt;-1.919049&lt;/D&gt;&lt;D xsi:type="xsd:double"&gt;-1.4747322&lt;/D&gt;&lt;D xsi:type="xsd:double"&gt;-4.689193&lt;/D&gt;&lt;D xsi:type="xsd:double"&gt;-7.756406&lt;/D&gt;&lt;D xsi:type="xsd:double"&gt;-6.8668604&lt;/D&gt;&lt;D xsi:type="xsd:double"&gt;-11.042452&lt;/D&gt;&lt;D xsi:type="xsd:double"&gt;-15.814853&lt;/D&gt;&lt;D xsi:type="xsd:double"&gt;-20.973783&lt;/D&gt;&lt;D xsi:type="xsd:double"&gt;-21.390062&lt;/D&gt;&lt;D xsi:type="xsd:double"&gt;-13.66046&lt;/D&gt;&lt;D xsi:type="xsd:double"&gt;-20.964605&lt;/D&gt;&lt;D xsi:type="xsd:double"&gt;-12.610787&lt;/D&gt;&lt;D xsi:type="xsd:double"&gt;-22.480297&lt;/D&gt;&lt;D xsi:type="xsd:double"&gt;-20.74452&lt;/D&gt;&lt;D xsi:type="xsd:double"&gt;-7.882553&lt;/D&gt;&lt;D xsi:type="xsd:double"&gt;-10.362321&lt;/D&gt;&lt;D xsi:type="xsd:double"&gt;-12.5745535&lt;/D&gt;&lt;D xsi:type="xsd:double"&gt;-9.492964&lt;/D&gt;&lt;D xsi:type="xsd:double"&gt;1.65627&lt;/D&gt;&lt;D xsi:type="xsd:double"&gt;9.794712&lt;/D&gt;&lt;D xsi:type="xsd:double"&gt;9.159195&lt;/D&gt;&lt;D xsi:type="xsd:double"&gt;9.949982&lt;/D&gt;&lt;D xsi:type="xsd:double"&gt;14.0764475&lt;/D&gt;&lt;D xsi:type="xsd:double"&gt;14.982498&lt;/D&gt;&lt;D xsi:type="xsd:double"&gt;37.002586&lt;/D&gt;&lt;D xsi:type="xsd:double"&gt;31.582022&lt;/D&gt;&lt;D xsi:type="xsd:double"&gt;17.446136&lt;/D&gt;&lt;D xsi:type="xsd:double"&gt;18.167257&lt;/D&gt;&lt;D xsi:type="xsd:double"&gt;13.494968&lt;/D&gt;&lt;D xsi:type="xsd:double"&gt;21.768486&lt;/D&gt;&lt;D xsi:type="xsd:double"&gt;14.199162&lt;/D&gt;&lt;D xsi:type="xsd:double"&gt;12.48008&lt;/D&gt;&lt;D xsi:type="xsd:double"&gt;21.298813&lt;/D&gt;&lt;D xsi:type="xsd:double"&gt;17.285263&lt;/D&gt;&lt;D xsi:type="xsd:double"&gt;17.554342&lt;/D&gt;&lt;D xsi:type="xsd:double"&gt;16.848553&lt;/D&gt;&lt;D xsi:type="xsd:double"&gt;15.539312&lt;/D&gt;&lt;D xsi:type="xsd:double"&gt;8.005118&lt;/D&gt;&lt;D xsi:type="xsd:double"&gt;6.207752&lt;/D&gt;&lt;D xsi:type="xsd:double"&gt;4.48308&lt;/D&gt;&lt;D xsi:type="xsd:double"&gt;11.598528&lt;/D&gt;&lt;D xsi:type="xsd:double"&gt;6.756294&lt;/D&gt;&lt;D xsi:type="xsd:double"&gt;6.39745&lt;/D&gt;&lt;D xsi:type="xsd:double"&gt;6.7878604&lt;/D&gt;&lt;D xsi:type="xsd:double"&gt;-0.14109015&lt;/D&gt;&lt;D xsi:type="xsd:double"&gt;-5.359888&lt;/D&gt;&lt;D xsi:type="xsd:double"&gt;-3.8158774&lt;/D&gt;&lt;D xsi:type="xsd:double"&gt;-9.528673&lt;/D&gt;&lt;D xsi:type="xsd:double"&gt;-7.9795837&lt;/D&gt;&lt;D xsi:type="xsd:double"&gt;-3.6608398&lt;/D&gt;&lt;D xsi:type="xsd:double"&gt;-0.5970299&lt;/D&gt;&lt;D xsi:type="xsd:double"&gt;3.021276&lt;/D&gt;&lt;D xsi:type="xsd:double"&gt;-0.7794857&lt;/D&gt;&lt;D xsi:type="xsd:double"&gt;4.1623116&lt;/D&gt;&lt;D xsi:type="xsd:double"&gt;5.981052&lt;/D&gt;&lt;D xsi:type="xsd:double"&gt;-0.83835125&lt;/D&gt;&lt;D xsi:type="xsd:double"&gt;9.563791&lt;/D&gt;&lt;D xsi:type="xsd:double"&gt;13.333809&lt;/D&gt;&lt;D xsi:type="xsd:double"&gt;15.390348&lt;/D&gt;&lt;D xsi:type="xsd:double"&gt;21.962965&lt;/D&gt;&lt;D xsi:type="xsd:double"&gt;19.416094&lt;/D&gt;&lt;D xsi:type="xsd:double"&gt;15.619791&lt;/D&gt;&lt;D xsi:type="xsd:double"&gt;-24.497437&lt;/D&gt;&lt;D xsi:type="xsd:double"&gt;-20.013004&lt;/D&gt;&lt;D xsi:type="xsd:double"&gt;-19.008827&lt;/D&gt;&lt;D xsi:type="xsd:double"&gt;-7.6132536&lt;/D&gt;&lt;D xsi:type="xsd:double"&gt;-8.723068&lt;/D&gt;&lt;D xsi:type="xsd:double"&gt;1.2685299&lt;/D&gt;&lt;D xsi:type="xsd:double"&gt;-6.826067&lt;/D&gt;&lt;D xsi:type="xsd:double"&gt;-3.7696838&lt;/D&gt;&lt;D xsi:type="xsd:double"&gt;2.3768544&lt;/D&gt;&lt;D xsi:type="xsd:double"&gt;9.948158&lt;/D&gt;&lt;D xsi:type="xsd:double"&gt;7.4872255&lt;/D&gt;&lt;D xsi:type="xsd:double"&gt;11.845422&lt;/D&gt;&lt;D xsi:type="xsd:double"&gt;65.9467&lt;/D&gt;&lt;D xsi:type="xsd:double"&gt;63.77481&lt;/D&gt;&lt;D xsi:type="xsd:double"&gt;62.484394&lt;/D&gt;&lt;D xsi:type="xsd:double"&gt;40.936436&lt;/D&gt;&lt;D xsi:type="xsd:double"&gt;32.140743&lt;/D&gt;&lt;D xsi:type="xsd:double"&gt;26.476215&lt;/D&gt;&lt;D xsi:type="xsd:double"&gt;27.704834&lt;/D&gt;&lt;D xsi:type="xsd:double"&gt;28.914238&lt;/D&gt;&lt;D xsi:type="xsd:double"&gt;15.670562&lt;/D&gt;&lt;D xsi:type="xsd:double"&gt;3.1456232&lt;/D&gt;&lt;D xsi:type="xsd:double"&gt;4.3678045&lt;/D&gt;&lt;D xsi:type="xsd:double"&gt;0.8337498&lt;/D&gt;&lt;D xsi:type="xsd:double"&gt;5.6721926&lt;/D&gt;&lt;D xsi:type="xsd:double"&gt;7.700968&lt;/D&gt;&lt;D xsi:type="xsd:double"&gt;-4.168314&lt;/D&gt;&lt;D xsi:type="xsd:double"&gt;-16.51585&lt;/D&gt;&lt;D xsi:type="xsd:double"&gt;-12.554682&lt;/D&gt;&lt;D xsi:type="xsd:double"&gt;-5.0016403&lt;/D&gt;&lt;D xsi:type="xsd:double"&gt;-12.325263&lt;/D&gt;&lt;D xsi:type="xsd:double"&gt;-18.323845&lt;/D&gt;&lt;D xsi:type="xsd:double"&gt;-4.9138308&lt;/D&gt;&lt;D xsi:type="xsd:double"&gt;-3.16723&lt;/D&gt;&lt;D xsi:type="xsd:double"&gt;3.143978&lt;/D&gt;&lt;D xsi:type="xsd:double"&gt;3.0647397&lt;/D&gt;&lt;D xsi:type="xsd:double"&gt;-8.939248&lt;/D&gt;&lt;D xsi:type="xsd:double"&gt;-6.561655&lt;/D&gt;&lt;D xsi:type="xsd:double"&gt;-0.07849336&lt;/D&gt;&lt;D xsi:type="xsd:double"&gt;14.323068&lt;/D&gt;&lt;D xsi:type="xsd:double"&gt;14.279568&lt;/D&gt;&lt;D xsi:type="xsd:double"&gt;-2.446103&lt;/D&gt;&lt;D xsi:type="xsd:double"&gt;7.8110456&lt;/D&gt;&lt;D xsi:type="xsd:double"&gt;12.154961&lt;/D&gt;&lt;D xsi:type="xsd:double"&gt;1.6367197&lt;/D&gt;&lt;D xsi:type="xsd:double"&gt;8.880854&lt;/D&gt;&lt;D xsi:type="xsd:double"&gt;-1.526761&lt;/D&gt;&lt;D xsi:type="xsd:double"&gt;3.5096407&lt;/D&gt;&lt;D xsi:type="xsd:double"&gt;14.416969&lt;/D&gt;&lt;D xsi:type="xsd:double"&gt;4.2111874&lt;/D&gt;&lt;D xsi:type="xsd:double"&gt;14.515436&lt;/D&gt;&lt;/FQL&gt;&lt;FQL&gt;&lt;Q&gt;EWA^P_PRICE(0)/P_PRICE_LOW_PR(0,,,,,,"PRICE","INTRA","52W")-1&lt;/Q&gt;&lt;R&gt;1&lt;/R&gt;&lt;C&gt;1&lt;/C&gt;&lt;D xsi:type="xsd:double"&gt;0.2336266&lt;/D&gt;&lt;/FQL&gt;&lt;FQL&gt;&lt;Q&gt;USDITL^STD(FG_PRICE_CHANGE(0,-3AY,M))&lt;/Q&gt;&lt;R&gt;1&lt;/R&gt;&lt;C&gt;1&lt;/C&gt;&lt;D xsi:type="xsd:double"&gt;2.17952831157567&lt;/D&gt;&lt;/FQL&gt;&lt;FQL&gt;&lt;Q&gt;QQQ^FMA_PE(NTMA,-10AY,0,AM,"PORTAGG","MEANR")&lt;/Q&gt;&lt;R&gt;121&lt;/R&gt;&lt;C&gt;1&lt;/C&gt;&lt;D xsi:type="xsd:double"&gt;16.598622804596&lt;/D&gt;&lt;D xsi:type="xsd:double"&gt;17.2173611362744&lt;/D&gt;&lt;D xsi:type="xsd:double"&gt;17.4052589968763&lt;/D&gt;&lt;D xsi:type="xsd:double"&gt;17.5522553505286&lt;/D&gt;&lt;D xsi:type="xsd:double"&gt;17.6511580120144&lt;/D&gt;&lt;D xsi:type="xsd:double"&gt;16.3570414656842&lt;/D&gt;&lt;D xsi:type="xsd:double"&gt;17.8878940473073&lt;/D&gt;&lt;D xsi:type="xsd:double"&gt;17.4277402929337&lt;/D&gt;&lt;D xsi:type="xsd:double"&gt;16.9330232799213&lt;/D&gt;&lt;D xsi:type="xsd:double"&gt;17.9172463496347&lt;/D&gt;&lt;D xsi:type="xsd:double"&gt;17.8036170829803&lt;/D&gt;&lt;D xsi:type="xsd:double"&gt;17.6946380889642&lt;/D&gt;&lt;D xsi:type="xsd:double"&gt;18.0342417150186&lt;/D&gt;&lt;D xsi:type="xsd:double"&gt;17.7982261879974&lt;/D&gt;&lt;D xsi:type="xsd:double"&gt;18.6502740976733&lt;/D&gt;&lt;D xsi:type="xsd:double"&gt;18.4936523908349&lt;/D&gt;&lt;D xsi:type="xsd:double"&gt;17.6431414021231&lt;/D&gt;&lt;D xsi:type="xsd:double"&gt;17.7982614318244&lt;/D&gt;&lt;D xsi:type="xsd:double"&gt;18.2895689261875&lt;/D&gt;&lt;D xsi:type="xsd:double"&gt;18.3374516155656&lt;/D&gt;&lt;D xsi:type="xsd:double"&gt;16.6737264004486&lt;/D&gt;&lt;D xsi:type="xsd:double"&gt;16.9360461811082&lt;/D&gt;&lt;D xsi:type="xsd:double"&gt;17.546541317282&lt;/D&gt;&lt;D xsi:type="xsd:double"&gt;18.0607152042005&lt;/D&gt;&lt;D xsi:type="xsd:double"&gt;17.330019770554&lt;/D&gt;&lt;D xsi:type="xsd:double"&gt;17.3392188765082&lt;/D&gt;&lt;D xsi:type="xsd:double"&gt;18.2690755934434&lt;/D&gt;&lt;D xsi:type="xsd:double"&gt;18.7792928789077&lt;/D&gt;&lt;D xsi:type="xsd:double"&gt;18.5111857492327&lt;/D&gt;&lt;D xsi:type="xsd:double"&gt;18.2573104106747&lt;/D&gt;&lt;D xsi:type="xsd:double"&gt;18.1982130003849&lt;/D&gt;&lt;D xsi:type="xsd:double"&gt;18.3237547324015&lt;/D&gt;&lt;D xsi:type="xsd:double"&gt;18.631083816719&lt;/D&gt;&lt;D xsi:type="xsd:double"&gt;20.083947065919&lt;/D&gt;&lt;D xsi:type="xsd:double"&gt;20.1588511394013&lt;/D&gt;&lt;D xsi:type="xsd:double"&gt;19.8910550041767&lt;/D&gt;&lt;D xsi:type="xsd:double"&gt;20.2642691280948&lt;/D&gt;&lt;D xsi:type="xsd:double"&gt;20.3634873398926&lt;/D&gt;&lt;D xsi:type="xsd:double"&gt;20.6883790792352&lt;/D&gt;&lt;D xsi:type="xsd:double"&gt;20.1825673865952&lt;/D&gt;&lt;D xsi:type="xsd:double"&gt;20.5756923235018&lt;/D&gt;&lt;D xsi:type="xsd:double"&gt;20.7175358866196&lt;/D&gt;&lt;D xsi:type="xsd:double"&gt;20.8327306115383&lt;/D&gt;&lt;D xsi:type="xsd:double"&gt;21.0646955933483&lt;/D&gt;&lt;D xsi:type="xsd:double"&gt;21.8484442865767&lt;/D&gt;&lt;D xsi:type="xsd:double"&gt;20.6398029045591&lt;/D&gt;&lt;D xsi:type="xsd:double"&gt;21.1703525274099&lt;/D&gt;&lt;D xsi:type="xsd:double"&gt;20.372814652867&lt;/D&gt;&lt;D xsi:type="xsd:double"&gt;20.0016148048325&lt;/D&gt;&lt;D xsi:type="xsd:double"&gt;20.7675877891223&lt;/D&gt;&lt;D xsi:type="xsd:double"&gt;21.0274439236089&lt;/D&gt;&lt;D xsi:type="xsd:double"&gt;20.4708595873138&lt;/D&gt;&lt;D xsi:type="xsd:double"&gt;20.3882181539205&lt;/D&gt;&lt;D xsi:type="xsd:double"&gt;19.8318438231865&lt;/D&gt;&lt;D xsi:type="xsd:double"&gt;18.624333458586&lt;/D&gt;&lt;D xsi:type="xsd:double"&gt;17.4205925369951&lt;/D&gt;&lt;D xsi:type="xsd:double"&gt;18.4247589869415&lt;/D&gt;&lt;D xsi:type="xsd:double"&gt;19.5287904397589&lt;/D&gt;&lt;D xsi:type="xsd:double"&gt;20.1694240256922&lt;/D&gt;&lt;D xsi:type="xsd:double"&gt;21.0500379867044&lt;/D&gt;&lt;D xsi:type="xsd:double"&gt;20.449279332865&lt;/D&gt;&lt;D xsi:type="xsd:double"&gt;20.3983229276401&lt;/D&gt;&lt;D xsi:type="xsd:double"&gt;21.267285850756&lt;/D&gt;&lt;D xsi:type="xsd:double"&gt;20.3281675363018&lt;/D&gt;&lt;D xsi:type="xsd:double"&gt;20.8580113811934&lt;/D&gt;&lt;D xsi:type="xsd:double"&gt;20.8147535649041&lt;/D&gt;&lt;D xsi:type="xsd:double"&gt;21.6443772963015&lt;/D&gt;&lt;D xsi:type="xsd:double"&gt;22.3263829052681&lt;/D&gt;&lt;D xsi:type="xsd:double"&gt;23.7403873830029&lt;/D&gt;&lt;D xsi:type="xsd:double"&gt;24.352441860662&lt;/D&gt;&lt;D xsi:type="xsd:double"&gt;19.0498289915066&lt;/D&gt;&lt;D xsi:type="xsd:double"&gt;24.3781998474104&lt;/D&gt;&lt;D xsi:type="xsd:double"&gt;26.2007836900898&lt;/D&gt;&lt;D xsi:type="xsd:double"&gt;28.2543668343432&lt;/D&gt;&lt;D xsi:type="xsd:double"&gt;29.3211787246078&lt;/D&gt;&lt;D xsi:type="xsd:double"&gt;29.5511165054316&lt;/D&gt;&lt;D xsi:type="xsd:double"&gt;28.5084820139714&lt;/D&gt;&lt;D xsi:type="xsd:double"&gt;30.015374388316&lt;/D&gt;&lt;D xsi:type="xsd:double"&gt;29.1921198677881&lt;/D&gt;&lt;D xsi:type="xsd:double"&gt;30.3359695955117&lt;/D&gt;&lt;D xsi:type="xsd:double"&gt;29.6062108107944&lt;/D&gt;&lt;D xsi:type="xsd:double"&gt;30.0148183787989&lt;/D&gt;&lt;D xsi:type="xsd:double"&gt;28.2751941401772&lt;/D&gt;&lt;D xsi:type="xsd:double"&gt;29.7510795212621&lt;/D&gt;&lt;D xsi:type="xsd:double"&gt;26.4399462268855&lt;/D&gt;&lt;D xsi:type="xsd:double"&gt;27.6737639797813&lt;/D&gt;&lt;D xsi:type="xsd:double"&gt;28.3574742264274&lt;/D&gt;&lt;D xsi:type="xsd:double"&gt;27.711285524364&lt;/D&gt;&lt;D xsi:type="xsd:double"&gt;27.9876324155041&lt;/D&gt;&lt;D xsi:type="xsd:double"&gt;27.5836091152118&lt;/D&gt;&lt;D xsi:type="xsd:double"&gt;29.5437391733051&lt;/D&gt;&lt;D xsi:type="xsd:double"&gt;28.2106866849329&lt;/D&gt;&lt;D xsi:type="xsd:double"&gt;27.7465202880656&lt;/D&gt;&lt;D xsi:type="xsd:double"&gt;24.7553238054522&lt;/D&gt;&lt;D xsi:type="xsd:double"&gt;24.4176476948054&lt;/D&gt;&lt;D xsi:type="xsd:double"&gt;23.8929411883424&lt;/D&gt;&lt;D xsi:type="xsd:double"&gt;21.7670541882512&lt;/D&gt;&lt;D xsi:type="xsd:double"&gt;19.3627282583577&lt;/D&gt;&lt;D xsi:type="xsd:double"&gt;20.80506258181&lt;/D&gt;&lt;D xsi:type="xsd:double"&gt;23.9888312491198&lt;/D&gt;&lt;D xsi:type="xsd:double"&gt;20.9876374057465&lt;/D&gt;&lt;D xsi:type="xsd:double"&gt;19.7957514053882&lt;/D&gt;&lt;D xsi:type="xsd:double"&gt;21.7381710402042&lt;/D&gt;&lt;D xsi:type="xsd:double"&gt;20.8801568576861&lt;/D&gt;&lt;D xsi:type="xsd:double"&gt;22.065914824707&lt;/D&gt;&lt;D xsi:type="xsd:double"&gt;23.7858269611691&lt;/D&gt;&lt;D xsi:type="xsd:double"&gt;23.8382467108487&lt;/D&gt;&lt;D xsi:type="xsd:double"&gt;24.7551046999388&lt;/D&gt;&lt;D xsi:type="xsd:double"&gt;25.0147213942467&lt;/D&gt;&lt;D xsi:type="xsd:double"&gt;26.9901385786405&lt;/D&gt;&lt;D xsi:type="xsd:double"&gt;27.5082491362065&lt;/D&gt;&lt;D xsi:type="xsd:double"&gt;23.8621194097962&lt;/D&gt;&lt;D xsi:type="xsd:double"&gt;24.0271526796084&lt;/D&gt;&lt;D xsi:type="xsd:double"&gt;23.6507966682939&lt;/D&gt;&lt;D xsi:type="xsd:double"&gt;24.401495859851&lt;/D&gt;&lt;D xsi:type="xsd:double"&gt;24.9407298621541&lt;/D&gt;&lt;D xsi:type="xsd:double"&gt;24.7887511503373&lt;/D&gt;&lt;D xsi:type="xsd:double"&gt;25.913077960271&lt;/D&gt;&lt;D xsi:type="xsd:double"&gt;25.6805415504299&lt;/D&gt;&lt;D xsi:type="xsd:double"&gt;24.9001944360535&lt;/D&gt;&lt;D xsi:type="xsd:double"&gt;26.1382196721619&lt;/D&gt;&lt;/FQL&gt;&lt;FQL&gt;&lt;Q&gt;VWO^FG_TOTAL_RETURNC(0,-12AM)&lt;/Q&gt;&lt;R&gt;1&lt;/R&gt;&lt;C&gt;1&lt;/C&gt;&lt;D xsi:type="xsd:double"&gt;15.858245&lt;/D&gt;&lt;/FQL&gt;&lt;FQL&gt;&lt;Q&gt;EWA^FG_TOTAL_RETURNC(0,-3AM)&lt;/Q&gt;&lt;R&gt;1</t>
        </r>
      </text>
    </comment>
    <comment ref="A15" authorId="0" shapeId="0" xr:uid="{BABC2874-8D0F-4262-8E46-06A6DF814D8B}">
      <text>
        <r>
          <rPr>
            <b/>
            <sz val="9"/>
            <color indexed="81"/>
            <rFont val="Tahoma"/>
            <charset val="1"/>
          </rPr>
          <t>&lt;/R&gt;&lt;C&gt;1&lt;/C&gt;&lt;D xsi:type="xsd:double"&gt;6.363249&lt;/D&gt;&lt;/FQL&gt;&lt;FQL&gt;&lt;Q&gt;EWU^FMA_PE(NTMA,-10AY,0,AM,"PORTAGG","MEANR")&lt;/Q&gt;&lt;R&gt;121&lt;/R&gt;&lt;C&gt;1&lt;/C&gt;&lt;D xsi:type="xsd:double"&gt;13.7145585489155&lt;/D&gt;&lt;D xsi:type="xsd:double"&gt;13.6017211627323&lt;/D&gt;&lt;D xsi:type="xsd:double"&gt;13.5677276265948&lt;/D&gt;&lt;D xsi:type="xsd:double"&gt;13.3444614365721&lt;/D&gt;&lt;D xsi:type="xsd:double"&gt;13.3565391341176&lt;/D&gt;&lt;D xsi:type="xsd:double"&gt;12.5181958946333&lt;/D&gt;&lt;D xsi:type="xsd:double"&gt;13.3904222834916&lt;/D&gt;&lt;D xsi:type="xsd:double"&gt;13.3076954877489&lt;/D&gt;&lt;D xsi:type="xsd:double"&gt;14.2009914453255&lt;/D&gt;&lt;D xsi:type="xsd:double"&gt;15.471575235609&lt;/D&gt;&lt;D xsi:type="xsd:double"&gt;15.407964707658&lt;/D&gt;&lt;D xsi:type="xsd:double"&gt;16.0350693373536&lt;/D&gt;&lt;D xsi:type="xsd:double"&gt;16.1600649341813&lt;/D&gt;&lt;D xsi:type="xsd:double"&gt;15.3768931027705&lt;/D&gt;&lt;D xsi:type="xsd:double"&gt;15.6018789049891&lt;/D&gt;&lt;D xsi:type="xsd:double"&gt;15.1012359959901&lt;/D&gt;&lt;D xsi:type="xsd:double"&gt;14.5850119401237&lt;/D&gt;&lt;D xsi:type="xsd:double"&gt;15.2865242054251&lt;/D&gt;&lt;D xsi:type="xsd:double"&gt;15.2412429593959&lt;/D&gt;&lt;D xsi:type="xsd:double"&gt;14.8766990076404&lt;/D&gt;&lt;D xsi:type="xsd:double"&gt;14.588535689747&lt;/D&gt;&lt;D xsi:type="xsd:double"&gt;15.4259553917915&lt;/D&gt;&lt;D xsi:type="xsd:double"&gt;16.3072226050208&lt;/D&gt;&lt;D xsi:type="xsd:double"&gt;16.4650163840602&lt;/D&gt;&lt;D xsi:type="xsd:double"&gt;15.8014032626508&lt;/D&gt;&lt;D xsi:type="xsd:double"&gt;15.1801328652566&lt;/D&gt;&lt;D xsi:type="xsd:double"&gt;16.0757875614766&lt;/D&gt;&lt;D xsi:type="xsd:double"&gt;16.1575932888355&lt;/D&gt;&lt;D xsi:type="xsd:double"&gt;15.4392493465808&lt;/D&gt;&lt;D xsi:type="xsd:double"&gt;15.0956094525098&lt;/D&gt;&lt;D xsi:type="xsd:double"&gt;14.3768132008804&lt;/D&gt;&lt;D xsi:type="xsd:double"&gt;14.3474304248576&lt;/D&gt;&lt;D xsi:type="xsd:double"&gt;14.3571634975635&lt;/D&gt;&lt;D xsi:type="xsd:double"&gt;14.5152731486049&lt;/D&gt;&lt;D xsi:type="xsd:double"&gt;14.5510663947547&lt;/D&gt;&lt;D xsi:type="xsd:double"&gt;14.4584636742496&lt;/D&gt;&lt;D xsi:type="xsd:double"&gt;14.8545371098911&lt;/D&gt;&lt;D xsi:type="xsd:double"&gt;14.6005985663932&lt;/D&gt;&lt;D xsi:type="xsd:double"&gt;14.6849443559926&lt;/D&gt;&lt;D xsi:type="xsd:double"&gt;14.4961511337729&lt;/D&gt;&lt;D xsi:type="xsd:double"&gt;14.4170380507208&lt;/D&gt;&lt;D xsi:type="xsd:double"&gt;14.5638391777281&lt;/D&gt;&lt;D xsi:type="xsd:double"&gt;14.2150545605185&lt;/D&gt;&lt;D xsi:type="xsd:double"&gt;14.4019127183173&lt;/D&gt;&lt;D xsi:type="xsd:double"&gt;14.7212193289948&lt;/D&gt;&lt;D xsi:type="xsd:double"&gt;13.7878042820511&lt;/D&gt;&lt;D xsi:type="xsd:double"&gt;13.3941611708345&lt;/D&gt;&lt;D xsi:type="xsd:double"&gt;13.5132324926735&lt;/D&gt;&lt;D xsi:type="xsd:double"&gt;14.0245648211646&lt;/D&gt;&lt;D xsi:type="xsd:double"&gt;13.3985313166073&lt;/D&gt;&lt;D xsi:type="xsd:double"&gt;13.1062141420364&lt;/D&gt;&lt;D xsi:type="xsd:double"&gt;12.7957001057414&lt;/D&gt;&lt;D xsi:type="xsd:double"&gt;12.4785984368324&lt;/D&gt;&lt;D xsi:type="xsd:double"&gt;11.9023462843719&lt;/D&gt;&lt;D xsi:type="xsd:double"&gt;11.7389457056459&lt;/D&gt;&lt;D xsi:type="xsd:double"&gt;11.4391929917107&lt;/D&gt;&lt;D xsi:type="xsd:double"&gt;11.7992554184629&lt;/D&gt;&lt;D xsi:type="xsd:double"&gt;12.4858689884881&lt;/D&gt;&lt;D xsi:type="xsd:double"&gt;12.5998477189738&lt;/D&gt;&lt;D xsi:type="xsd:double"&gt;12.8184668021584&lt;/D&gt;&lt;D xsi:type="xsd:double"&gt;12.3779271375409&lt;/D&gt;&lt;D xsi:type="xsd:double"&gt;12.3967752731352&lt;/D&gt;&lt;D xsi:type="xsd:double"&gt;12.6596662936771&lt;/D&gt;&lt;D xsi:type="xsd:double"&gt;11.8195668557379&lt;/D&gt;&lt;D xsi:type="xsd:double"&gt;12.3753530619466&lt;/D&gt;&lt;D xsi:type="xsd:double"&gt;12.4170597234937&lt;/D&gt;&lt;D xsi:type="xsd:double"&gt;12.8102383215137&lt;/D&gt;&lt;D xsi:type="xsd:double"&gt;13.4197373859569&lt;/D&gt;&lt;D xsi:type="xsd:double"&gt;13.6208464082618&lt;/D&gt;&lt;D xsi:type="xsd:double"&gt;13.3233627555106&lt;/D&gt;&lt;D xsi:type="xsd:double"&gt;10.0305556302431&lt;/D&gt;&lt;D xsi:type="xsd:double"&gt;13.7102406772503&lt;/D&gt;&lt;D xsi:type="xsd:double"&gt;14.8043284079766&lt;/D&gt;&lt;D xsi:type="xsd:double"&gt;16.2222735431664&lt;/D&gt;&lt;D xsi:type="xsd:double"&gt;16.0126684692458&lt;/D&gt;&lt;D xsi:type="xsd:double"&gt;15.6642719144303&lt;/D&gt;&lt;D xsi:type="xsd:double"&gt;15.0305170516925&lt;/D&gt;&lt;D xsi:type="xsd:double"&gt;14.1626001314181&lt;/D&gt;&lt;D xsi:type="xsd:double"&gt;14.8023430379068&lt;/D&gt;&lt;D xsi:type="xsd:double"&gt;14.7804056711709&lt;/D&gt;&lt;D xsi:type="xsd:double"&gt;14.4658409862861&lt;/D&gt;&lt;D xsi:type="xsd:double"&gt;14.3712476399896&lt;/D&gt;&lt;D xsi:type="xsd:double"&gt;13.97408310931&lt;/D&gt;&lt;D xsi:type="xsd:double"&gt;13.623990812398&lt;/D&gt;&lt;D xsi:type="xsd:double"&gt;13.2746026568133&lt;/D&gt;&lt;D xsi:type="xsd:double"&gt;13.2196057722479&lt;/D&gt;&lt;D xsi:type="xsd:double"&gt;12.3717236276984&lt;/D&gt;&lt;D xsi:type="xsd:double"&gt;12.3282482388006&lt;/D&gt;&lt;D xsi:type="xsd:double"&gt;11.7878293750808&lt;/D&gt;&lt;D xsi:type="xsd:double"&gt;12.3312080155742&lt;/D&gt;&lt;D xsi:type="xsd:double"&gt;12.0921118030735&lt;/D&gt;&lt;D xsi:type="xsd:double"&gt;11.927028143704&lt;/D&gt;&lt;D xsi:type="xsd:double"&gt;12.4176897629866&lt;/D&gt;&lt;D xsi:type="xsd:double"&gt;12.2077855057099&lt;/D&gt;&lt;D xsi:type="xsd:double"&gt;11.5804105770163&lt;/D&gt;&lt;D xsi:type="xsd:double"&gt;11.2003150824142&lt;/D&gt;&lt;D xsi:type="xsd:double"&gt;10.4442594148292&lt;/D&gt;&lt;D xsi:type="xsd:double"&gt;9.51373182205469&lt;/D&gt;&lt;D xsi:type="xsd:double"&gt;9.46011955944094&lt;/D&gt;&lt;D xsi:type="xsd:double"&gt;9.79918554152083&lt;/D&gt;&lt;D xsi:type="xsd:double"&gt;9.0916498729571&lt;/D&gt;&lt;D xsi:type="xsd:double"&gt;8.74441154196886&lt;/D&gt;&lt;D xsi:type="xsd:double"&gt;9.43198166933356&lt;/D&gt;&lt;D xsi:type="xsd:double"&gt;9.65535588652374&lt;/D&gt;&lt;D xsi:type="xsd:double"&gt;10.4834911373868&lt;/D&gt;&lt;D xsi:type="xsd:double"&gt;10.6982000658722&lt;/D&gt;&lt;D xsi:type="xsd:double"&gt;9.78301734008226&lt;/D&gt;&lt;D xsi:type="xsd:double"&gt;10.764494459397&lt;/D&gt;&lt;D xsi:type="xsd:double"&gt;10.4467429453344&lt;/D&gt;&lt;D xsi:type="xsd:double"&gt;10.5011317443803&lt;/D&gt;&lt;D xsi:type="xsd:double"&gt;10.3941040250336&lt;/D&gt;&lt;D xsi:type="xsd:double"&gt;10.2268471520588&lt;/D&gt;&lt;D xsi:type="xsd:double"&gt;10.6309659310761&lt;/D&gt;&lt;D xsi:type="xsd:double"&gt;10.4668639045652&lt;/D&gt;&lt;D xsi:type="xsd:double"&gt;10.3738385743067&lt;/D&gt;&lt;D xsi:type="xsd:double"&gt;10.7223268743993&lt;/D&gt;&lt;D xsi:type="xsd:double"&gt;10.6926816595321&lt;/D&gt;&lt;D xsi:type="xsd:double"&gt;11.2006800328731&lt;/D&gt;&lt;D xsi:type="xsd:double"&gt;11.297814891112&lt;/D&gt;&lt;D xsi:type="xsd:double"&gt;11.2519691100486&lt;/D&gt;&lt;D xsi:type="xsd:double"&gt;11.9687261103167&lt;/D&gt;&lt;/FQL&gt;&lt;FQL&gt;&lt;Q&gt;USDITL^FG_PRICE_CHANGE(0,-1AY)&lt;/Q&gt;&lt;R&gt;1&lt;/R&gt;&lt;C&gt;1&lt;/C&gt;&lt;D xsi:type="xsd:double"&gt;-0.51029325&lt;/D&gt;&lt;/FQL&gt;&lt;FQL&gt;&lt;Q&gt;EWJ^FMA_PE(NTMA,-10AY,0,AM,"PORTAGG","MEANR")&lt;/Q&gt;&lt;R&gt;121&lt;/R&gt;&lt;C&gt;1&lt;/C&gt;&lt;D xsi:type="xsd:double"&gt;12.7665449359567&lt;/D&gt;&lt;D xsi:type="xsd:double"&gt;13.56527519178&lt;/D&gt;&lt;D xsi:type="xsd:double"&gt;13.8258466091667&lt;/D&gt;&lt;D xsi:type="xsd:double"&gt;13.6010207446168&lt;/D&gt;&lt;D xsi:type="xsd:double"&gt;13.8366306182325&lt;/D&gt;&lt;D xsi:type="xsd:double"&gt;12.415970232638&lt;/D&gt;&lt;D xsi:type="xsd:double"&gt;14.2403711641215&lt;/D&gt;&lt;D xsi:type="xsd:double"&gt;13.7639555099551&lt;/D&gt;&lt;D xsi:type="xsd:double"&gt;13.7228271357823&lt;/D&gt;&lt;D xsi:type="xsd:double"&gt;14.5163246498805&lt;/D&gt;&lt;D xsi:type="xsd:double"&gt;15.5138329044976&lt;/D&gt;&lt;D xsi:type="xsd:double"&gt;15.6274564646433&lt;/D&gt;&lt;D xsi:type="xsd:double"&gt;15.8763334837628&lt;/D&gt;&lt;D xsi:type="xsd:double"&gt;15.6738458188327&lt;/D&gt;&lt;D xsi:type="xsd:double"&gt;15.6311543919345&lt;/D&gt;&lt;D xsi:type="xsd:double"&gt;15.4915155220303&lt;/D&gt;&lt;D xsi:type="xsd:double"&gt;13.7575454315961&lt;/D&gt;&lt;D xsi:type="xsd:double"&gt;13.9017858807677&lt;/D&gt;&lt;D xsi:type="xsd:double"&gt;14.6518495363909&lt;/D&gt;&lt;D xsi:type="xsd:double"&gt;14.2443710951323&lt;/D&gt;&lt;D xsi:type="xsd:double"&gt;12.7150164356575&lt;/D&gt;&lt;D xsi:type="xsd:double"&gt;11.9142104013048&lt;/D&gt;&lt;D xsi:type="xsd:double"&gt;12.9265986377323&lt;/D&gt;&lt;D xsi:type="xsd:double"&gt;13.0444713937215&lt;/D&gt;&lt;D xsi:type="xsd:double"&gt;13.1205616312094&lt;/D&gt;&lt;D xsi:type="xsd:double"&gt;12.5994391161941&lt;/D&gt;&lt;D xsi:type="xsd:double"&gt;13.4940333005006&lt;/D&gt;&lt;D xsi:type="xsd:double"&gt;13.3387985808198&lt;/D&gt;&lt;D xsi:type="xsd:double"&gt;13.2545299732359&lt;/D&gt;&lt;D xsi:type="xsd:double"&gt;13.4957205872077&lt;/D&gt;&lt;D xsi:type="xsd:double"&gt;14.0924207248956&lt;/D&gt;&lt;D xsi:type="xsd:double"&gt;15.0974042728696&lt;/D&gt;&lt;D xsi:type="xsd:double"&gt;14.4403052156695&lt;/D&gt;&lt;D xsi:type="xsd:double"&gt;14.3461138025709&lt;/D&gt;&lt;D xsi:type="xsd:double"&gt;14.2762787931405&lt;/D&gt;&lt;D xsi:type="xsd:double"&gt;13.29402568469&lt;/D&gt;&lt;D xsi:type="xsd:double"&gt;14.3221380026248&lt;/D&gt;&lt;D xsi:type="xsd:double"&gt;14.3406458346215&lt;/D&gt;&lt;D xsi:type="xsd:double"&gt;14.2873531753705&lt;/D&gt;&lt;D xsi:type="xsd:double"&gt;13.8560930161225&lt;/D&gt;&lt;D xsi:type="xsd:double"&gt;13.7321776224153&lt;/D&gt;&lt;D xsi:type="xsd:double"&gt;14.3086316193147&lt;/D&gt;&lt;D xsi:type="xsd:double"&gt;14.5129847382699&lt;/D&gt;&lt;D xsi:type="xsd:double"&gt;14.5217449062466&lt;/D&gt;&lt;D xsi:type="xsd:double"&gt;15.2881581629949&lt;/D&gt;&lt;D xsi:type="xsd:double"&gt;13.6765004916888&lt;/D&gt;&lt;D xsi:type="xsd:double"&gt;12.9926588377316&lt;/D&gt;&lt;D xsi:type="xsd:double"&gt;12.8800155334745&lt;/D&gt;&lt;D xsi:type="xsd:double"&gt;13.423645660539&lt;/D&gt;&lt;D xsi:type="xsd:double"&gt;13.2205469851466&lt;/D&gt;&lt;D xsi:type="xsd:double"&gt;12.9015303163406&lt;/D&gt;&lt;D xsi:type="xsd:double"&gt;12.4859410522818&lt;/D&gt;&lt;D xsi:type="xsd:double"&gt;12.6425929617496&lt;/D&gt;&lt;D xsi:type="xsd:double"&gt;12.49447835346&lt;/D&gt;&lt;D xsi:type="xsd:double"&gt;11.9547377548086&lt;/D&gt;&lt;D xsi:type="xsd:double"&gt;11.7975473474981&lt;/D&gt;&lt;D xsi:type="xsd:double"&gt;11.6054123653282&lt;/D&gt;&lt;D xsi:type="xsd:double"&gt;12.1300495250649&lt;/D&gt;&lt;D xsi:type="xsd:double"&gt;12.5476757399475&lt;/D&gt;&lt;D xsi:type="xsd:double"&gt;12.8020514184813&lt;/D&gt;&lt;D xsi:type="xsd:double"&gt;12.3512842800335&lt;/D&gt;&lt;D xsi:type="xsd:double"&gt;12.5600830829858&lt;/D&gt;&lt;D xsi:type="xsd:double"&gt;12.8470099194251&lt;/D&gt;&lt;D xsi:type="xsd:double"&gt;12.2720166094583&lt;/D&gt;&lt;D xsi:type="xsd:double"&gt;13.4767835005888&lt;/D&gt;&lt;D xsi:type="xsd:double"&gt;13.5272782936349&lt;/D&gt;&lt;D xsi:type="xsd:double"&gt;14.1171314009461&lt;/D&gt;&lt;D xsi:type="xsd:double"&gt;14.7536141096126&lt;/D&gt;&lt;D xsi:type="xsd:double"&gt;14.6604383399493&lt;/D&gt;&lt;D xsi:type="xsd:double"&gt;14.3638999597467&lt;/D&gt;&lt;D xsi:type="xsd:double"&gt;10.9605616168842&lt;/D&gt;&lt;D xsi:type="xsd:double"&gt;13.464317007902&lt;/D&gt;&lt;D xsi:type="xsd:double"&gt;14.3744555752568&lt;/D&gt;&lt;D xsi:type="xsd:double"&gt;17.8771349145334&lt;/D&gt;&lt;D xsi:type="xsd:double"&gt;17.9124252096195&lt;/D&gt;&lt;D xsi:type="xsd:double"&gt;17.8850836780042&lt;/D&gt;&lt;D xsi:type="xsd:double"&gt;18.3788265545157&lt;/D&gt;&lt;D xsi:type="xsd:double"&gt;17.7788737375101&lt;/D&gt;&lt;D xsi:type="xsd:double"&gt;18.5545543770076&lt;/D&gt;&lt;D xsi:type="xsd:double"&gt;18.4653136454242&lt;/D&gt;&lt;D xsi:type="xsd:double"&gt;18.7269326103888&lt;/D&gt;&lt;D xsi:type="xsd:double"&gt;19.0189040409771&lt;/D&gt;&lt;D xsi:type="xsd:double"&gt;17.9605452220223&lt;/D&gt;&lt;D xsi:type="xsd:double"&gt;17.3945121666737&lt;/D&gt;&lt;D xsi:type="xsd:double"&gt;16.1186934892279&lt;/D&gt;&lt;D xsi:type="xsd:double"&gt;16.5229254265955&lt;/D&gt;&lt;D xsi:type="xsd:double"&gt;15.9731755396833&lt;/D&gt;&lt;D xsi:type="xsd:double"&gt;15.2905640930942&lt;/D&gt;&lt;D xsi:type="xsd:double"&gt;16.1151159899399&lt;/D&gt;&lt;D xsi:type="xsd:double"&gt;15.3874292661571&lt;/D&gt;&lt;D xsi:type="xsd:double"&gt;15.3189153123649&lt;/D&gt;&lt;D xsi:type="xsd:double"&gt;14.5190076238777&lt;/D&gt;&lt;D xsi:type="xsd:double"&gt;14.3255590089781&lt;/D&gt;&lt;D xsi:type="xsd:double"&gt;13.6060263222721&lt;/D&gt;&lt;D xsi:type="xsd:double"&gt;12.9556672082995&lt;/D&gt;&lt;D xsi:type="xsd:double"&gt;12.9832702809258&lt;/D&gt;&lt;D xsi:type="xsd:double"&gt;12.6059089485855&lt;/D&gt;&lt;D xsi:type="xsd:double"&gt;12.1528993102738&lt;/D&gt;&lt;D xsi:type="xsd:double"&gt;12.4608834132985&lt;/D&gt;&lt;D xsi:type="xsd:double"&gt;13.1528875450682&lt;/D&gt;&lt;D xsi:type="xsd:double"&gt;12.6306770692781&lt;/D&gt;&lt;D xsi:type="xsd:double"&gt;12.1870555717055&lt;/D&gt;&lt;D xsi:type="xsd:double"&gt;12.8063450396161&lt;/D&gt;&lt;D xsi:type="xsd:double"&gt;12.6370085892745&lt;/D&gt;&lt;D xsi:type="xsd:double"&gt;12.3945838385493&lt;/D&gt;&lt;D xsi:type="xsd:double"&gt;13.0598879411477&lt;/D&gt;&lt;D xsi:type="xsd:double"&gt;12.8373398660768&lt;/D&gt;&lt;D xsi:type="xsd:double"&gt;13.3400662255307&lt;/D&gt;&lt;D xsi:type="xsd:double"&gt;14.0308229835716&lt;/D&gt;&lt;D xsi:type="xsd:double"&gt;15.0262359645395&lt;/D&gt;&lt;D xsi:type="xsd:double"&gt;14.4617916718312&lt;/D&gt;&lt;D xsi:type="xsd:double"&gt;14.1398299918152&lt;/D&gt;&lt;D xsi:type="xsd:double"&gt;15.106179108182&lt;/D&gt;&lt;D xsi:type="xsd:double"&gt;14.1592722917874&lt;/D&gt;&lt;D xsi:type="xsd:double"&gt;14.5351435402726&lt;/D&gt;&lt;D xsi:type="xsd:double"&gt;13.9473011423735&lt;/D&gt;&lt;D xsi:type="xsd:double"&gt;14.8035844993096&lt;/D&gt;&lt;D xsi:type="xsd:double"&gt;15.3644870321296&lt;/D&gt;&lt;D xsi:type="xsd:double"&gt;15.3313235213407&lt;/D&gt;&lt;D xsi:type="xsd:double"&gt;15.1360378367182&lt;/D&gt;&lt;D xsi:type="xsd:double"&gt;15.4437641829219&lt;/D&gt;&lt;/FQL&gt;&lt;FQL&gt;&lt;Q&gt;VWO^P_PRICE(0)/P_PRICE_LOW_PR(0,,,,,,"PRICE","INTRA","52W")-1&lt;/Q&gt;&lt;R&gt;1&lt;/R&gt;&lt;C&gt;1&lt;/C&gt;&lt;D xsi:type="xsd:double"&gt;0.1985048&lt;/D&gt;&lt;/FQL&gt;&lt;FQL&gt;&lt;Q&gt;VWO^FMA_COS_UP("EPS","1M",+1,0,,,"PORTAGG","MEANR")&lt;/Q&gt;&lt;R&gt;1&lt;/R&gt;&lt;C&gt;1&lt;/C&gt;&lt;D xsi:type="xsd:double"&gt;856&lt;/D&gt;&lt;/FQL&gt;&lt;FQL&gt;&lt;Q&gt;EWD^FG_PRICE_MAVG(0,,,,60)&lt;/Q&gt;&lt;R&gt;1&lt;/R&gt;&lt;C&gt;1&lt;/C&gt;&lt;D xsi:type="xsd:double"&gt;39.918083&lt;/D&gt;&lt;/FQL&gt;&lt;FQL&gt;&lt;Q&gt;EWN^FG_FCF_YIELD_NTM(0)&lt;/Q&gt;&lt;R&gt;1&lt;/R&gt;&lt;C&gt;1&lt;/C&gt;&lt;D xsi:type="xsd:double"&gt;3.62673757485092&lt;/D&gt;&lt;/FQL&gt;&lt;FQL&gt;&lt;Q&gt;VWO^PERCENT_CHANGE(FMA_EPS(+1,0,,,,"PORTAGG","MEAN"),FMA_EPS(+1,-1AM,,,,"PORTAGG","MEAN"))&lt;/Q&gt;&lt;R&gt;1&lt;/R&gt;&lt;C&gt;1&lt;/C&gt;&lt;D xsi:type="xsd:double"&gt;-2.31424245955516&lt;/D&gt;&lt;/FQL&gt;&lt;FQL&gt;&lt;Q&gt;VGK^FMA_COS_DOWN("EPS","1M",+1,0,,,"PORTAGG","MEANR")&lt;/Q&gt;&lt;R&gt;1&lt;/R&gt;&lt;C&gt;1&lt;/C&gt;&lt;D xsi:type="xsd:double"&gt;545&lt;/D&gt;&lt;/FQL&gt;&lt;FQL&gt;&lt;Q&gt;EWQ^FMA_PE(LTMA,-10AY,0,AM,"PORTAGG","MEANR")&lt;/Q&gt;&lt;R&gt;121&lt;/R&gt;&lt;C&gt;1&lt;/C&gt;&lt;D xsi:type="xsd:double"&gt;15.783437482101&lt;/D&gt;&lt;D xsi:type="xsd:double"&gt;15.8430520276145&lt;/D&gt;&lt;D xsi:type="xsd:double"&gt;15.4378595643197&lt;/D&gt;&lt;D xsi:type="xsd:double"&gt;15.073004984053&lt;/D&gt;&lt;D xsi:type="xsd:double"&gt;15.4909640063445&lt;/D&gt;&lt;D xsi:type="xsd:double"&gt;14.4454434475899&lt;/D&gt;&lt;D xsi:type="xsd:double"&gt;14.9504311552049&lt;/D&gt;&lt;D xsi:type="xsd:double"&gt;14.5583969895308&lt;/D&gt;&lt;D xsi:type="xsd:double"&gt;15.3428384201067&lt;/D&gt;&lt;D xsi:type="xsd:double"&gt;16.7362611038566&lt;/D&gt;&lt;D xsi:type="xsd:double"&gt;17.56316568566&lt;/D&gt;&lt;D xsi:type="xsd:double"&gt;17.5937028814129&lt;/D&gt;&lt;D xsi:type="xsd:double"&gt;17.4250425999342&lt;/D&gt;&lt;D xsi:type="xsd:double"&gt;17.0222245997747&lt;/D&gt;&lt;D xsi:type="xsd:double"&gt;17.4102081314941&lt;/D&gt;&lt;D xsi:type="xsd:double"&gt;16.897585975531&lt;/D&gt;&lt;D xsi:type="xsd:double"&gt;16.0553408209146&lt;/D&gt;&lt;D xsi:type="xsd:double"&gt;15.9960417350144&lt;/D&gt;&lt;D xsi:type="xsd:double"&gt;16.4181999362978&lt;/D&gt;&lt;D xsi:type="xsd:double"&gt;15.6337707755555&lt;/D&gt;&lt;D xsi:type="xsd:double"&gt;14.0278255720747&lt;/D&gt;&lt;D xsi:type="xsd:double"&gt;14.7442666572372&lt;/D&gt;&lt;D xsi:type="xsd:double"&gt;15.1854713600693&lt;/D&gt;&lt;D xsi:type="xsd:double"&gt;15.2350730975719&lt;/D&gt;&lt;D xsi:type="xsd:double"&gt;15.0361070403614&lt;/D&gt;&lt;D xsi:type="xsd:double"&gt;14.7654091224685&lt;/D&gt;&lt;D xsi:type="xsd:double"&gt;14.9937074801397&lt;/D&gt;&lt;D xsi:type="xsd:double"&gt;14.9014399369673&lt;/D&gt;&lt;D xsi:type="xsd:double"&gt;14.6746970155932&lt;/D&gt;&lt;D xsi:type="xsd:double"&gt;14.869080541661&lt;/D&gt;&lt;D xsi:type="xsd:double"&gt;14.8533547164423&lt;/D&gt;&lt;D xsi:type="xsd:double"&gt;15.6390211508184&lt;/D&gt;&lt;D xsi:type="xsd:double"&gt;15.7904746875241&lt;/D&gt;&lt;D xsi:type="xsd:double"&gt;15.5069192023849&lt;/D&gt;&lt;D xsi:type="xsd:double"&gt;15.6202713042743&lt;/D&gt;&lt;D xsi:type="xsd:double"&gt;15.6072107054739&lt;/D&gt;&lt;D xsi:type="xsd:double"&gt;15.789814954067&lt;/D&gt;&lt;D xsi:type="xsd:double"&gt;15.7158219457954&lt;/D&gt;&lt;D xsi:type="xsd:double"&gt;15.7253158795296&lt;/D&gt;&lt;D xsi:type="xsd:double"&gt;15.5500041039049&lt;/D&gt;&lt;D xsi:type="xsd:double"&gt;15.7119950511108&lt;/D&gt;&lt;D xsi:type="xsd:double"&gt;16.0558155753857&lt;/D&gt;&lt;D xsi:type="xsd:double"&gt;15.8531549814856&lt;/D&gt;&lt;D xsi:type="xsd:double"&gt;16.0467060225535&lt;/D&gt;&lt;D xsi:type="xsd:double"&gt;16.5427227400472&lt;/D&gt;&lt;D xsi:type="xsd:double"&gt;15.7154374416483&lt;/D&gt;&lt;D xsi:type="xsd:double"&gt;15.5723302975611&lt;/D&gt;&lt;D xsi:type="xsd:double"&gt;15.5385119884795&lt;/D&gt;&lt;D xsi:type="xsd:double"&gt;15.6500199025761&lt;/D&gt;&lt;D xsi:type="xsd:double"&gt;15.4131642136325&lt;/D&gt;&lt;D xsi:type="xsd:double"&gt;15.2725627410765&lt;/D&gt;&lt;D xsi:type="xsd:double"&gt;14.9546197531653&lt;/D&gt;&lt;D xsi:type="xsd:double"&gt;14.8797140535658&lt;/D&gt;&lt;D xsi:type="xsd:double"&gt;14.3271950871521&lt;/D&gt;&lt;D xsi:type="xsd:double"&gt;13.9356086321765&lt;/D&gt;&lt;D xsi:type="xsd:double"&gt;13.1990669522102&lt;/D&gt;&lt;D xsi:type="xsd:double"&gt;13.1930861749877&lt;/D&gt;&lt;D xsi:type="xsd:double"&gt;14.1935261736236&lt;/D&gt;&lt;D xsi:type="xsd:double"&gt;14.6086515016695&lt;/D&gt;&lt;D xsi:type="xsd:double"&gt;14.6727588053833&lt;/D&gt;&lt;D xsi:type="xsd:double"&gt;14.5685429181405&lt;/D&gt;&lt;D xsi:type="xsd:double"&gt;14.5011071444327&lt;/D&gt;&lt;D xsi:type="xsd:double"&gt;14.8212432221907&lt;/D&gt;&lt;D xsi:type="xsd:double"&gt;14.4682297774342&lt;/D&gt;&lt;D xsi:type="xsd:double"&gt;15.0575108189255&lt;/D&gt;&lt;D xsi:type="xsd:double"&gt;15.3502405288325&lt;/D&gt;&lt;D xsi:type="xsd:double"&gt;16.1053543954649&lt;/D&gt;&lt;D xsi:type="xsd:double"&gt;16.3885302131988&lt;/D&gt;&lt;D xsi:type="xsd:double"&gt;16.8376366337947&lt;/D&gt;&lt;D xsi:type="xsd:double"&gt;16.7237669091791&lt;/D&gt;&lt;D xsi:type="xsd:double"&gt;14.0031792122011&lt;/D&gt;&lt;D xsi:type="xsd:double"&gt;15.2638187893409&lt;/D&gt;&lt;D xsi:type="xsd:double"&gt;15.9100011548589&lt;/D&gt;&lt;D xsi:type="xsd:double"&gt;18.1664775234227&lt;/D&gt;&lt;D xsi:type="xsd:double"&gt;20.0877548994366&lt;/D&gt;&lt;D xsi:type="xsd:double"&gt;22.1384189542064&lt;/D&gt;&lt;D xsi:type="xsd:double"&gt;23.4290396307374&lt;/D&gt;&lt;D xsi:type="xsd:double"&gt;24.2611289814518&lt;/D&gt;&lt;D xsi:type="xsd:double"&gt;27.2972004972969&lt;/D&gt;&lt;D xsi:type="xsd:double"&gt;28.3195168792481&lt;/D&gt;&lt;D xsi:type="xsd:double"&gt;28.7166772036827&lt;/D&gt;&lt;D xsi:type="xsd:double"&gt;27.6311689415957&lt;/D&gt;&lt;D xsi:type="xsd:double"&gt;26.7101988959708&lt;/D&gt;&lt;D xsi:type="xsd:double"&gt;25.9388653089596&lt;/D&gt;&lt;D xsi:type="xsd:double"&gt;24.9062225769901&lt;/D&gt;&lt;D xsi:type="xsd:double"&gt;24.3213618167446&lt;/D&gt;&lt;D xsi:type="xsd:double"&gt;22.8820189139969&lt;/D&gt;&lt;D xsi:type="xsd:double"&gt;21.6853109011239&lt;/D&gt;&lt;D xsi:type="xsd:double"&gt;20.2623280309013&lt;/D&gt;&lt;D xsi:type="xsd:double"&gt;19.3079381004208&lt;/D&gt;&lt;D xsi:type="xsd:double"&gt;18.5748175628098&lt;/D&gt;&lt;D xsi:type="xsd:double"&gt;17.103461368621&lt;/D&gt;&lt;D xsi:type="xsd:double"&gt;16.9770690206874&lt;/D&gt;&lt;D xsi:type="xsd:double"&gt;16.1738687591017&lt;/D&gt;&lt;D xsi:type="xsd:double"&gt;15.3733643992879&lt;/D&gt;&lt;D xsi:type="xsd:double"&gt;15.0699557672355&lt;/D&gt;&lt;D xsi:type="xsd:double"&gt;14.5260570215891&lt;/D&gt;&lt;D xsi:type="xsd:double"&gt;13.6911429892502&lt;/D&gt;&lt;D xsi:type="xsd:double"&gt;13.3054628836947&lt;/D&gt;&lt;D xsi:type="xsd:double"&gt;13.1453095282848&lt;/D&gt;&lt;D xsi:type="xsd:double"&gt;12.2383060053671&lt;/D&gt;&lt;D xsi:type="xsd:double"&gt;11.6531556870604&lt;/D&gt;&lt;D xsi:type="xsd:double"&gt;12.0911482630645&lt;/D&gt;&lt;D xsi:type="xsd:double"&gt;11.627975895998&lt;/D&gt;&lt;D xsi:type="xsd:double"&gt;12.7025954227551&lt;/D&gt;&lt;D xsi:type="xsd:double"&gt;13.052499136238&lt;/D&gt;&lt;D xsi:type="xsd:double"&gt;12.8072454475983&lt;/D&gt;&lt;D xsi:type="xsd:double"&gt;13.1346688305854&lt;/D&gt;&lt;D xsi:type="xsd:double"&gt;13.1382377439744&lt;/D&gt;&lt;D xsi:type="xsd:double"&gt;13.2783376235274&lt;/D&gt;&lt;D xsi:type="xsd:double"&gt;13.2568872725224&lt;/D&gt;&lt;D xsi:type="xsd:double"&gt;13.1403417622359&lt;/D&gt;&lt;D xsi:type="xsd:double"&gt;13.3470216250202&lt;/D&gt;&lt;D xsi:type="xsd:double"&gt;12.8286787271487&lt;/D&gt;&lt;D xsi:type="xsd:double"&gt;13.2551739272244&lt;/D&gt;&lt;D xsi:type="xsd:double"&gt;14.0540100476215&lt;/D&gt;&lt;D xsi:type="xsd:double"&gt;13.8104515800246&lt;/D&gt;&lt;D xsi:type="xsd:double"&gt;15.1599865283107&lt;/D&gt;&lt;D xsi:type="xsd:double"&gt;15.5307691431964&lt;/D&gt;&lt;D xsi:type="xsd:double"&gt;15.3833018829845&lt;/D&gt;&lt;D xsi:type="xsd:double"&gt;15.544491766906&lt;/D&gt;&lt;/FQL&gt;&lt;FQL&gt;&lt;Q&gt;EWD^FG_PRICE_MAVG(0,,,,30)&lt;/Q&gt;&lt;R&gt;1&lt;/R&gt;&lt;C&gt;1&lt;/C&gt;&lt;D xsi:type="xsd:double"&gt;39.6095&lt;/D&gt;&lt;/FQL&gt;&lt;FQL&gt;&lt;Q&gt;VWO^FMA_PCT_ABOVE_MAVG(200,0,,,,"PORTAGG")&lt;/Q&gt;&lt;R&gt;1&lt;/R&gt;&lt;C&gt;1&lt;/C&gt;&lt;D xsi:type="xsd:double"&gt;46.8729851708575&lt;/D&gt;&lt;/FQL&gt;&lt;FQL&gt;&lt;Q&gt;VGK^FMA_COS_UP("EPS","1M",+1,0,,,"PORTAGG","MEANR")&lt;/Q&gt;&lt;R&gt;1&lt;/R&gt;&lt;C&gt;1&lt;/C&gt;&lt;D xsi:type="xsd:double"&gt;428&lt;/D&gt;&lt;/FQL&gt;&lt;FQL&gt;&lt;Q&gt;REFGBBANK-FDS^FG_YIELD(NOW,,,0)&lt;/Q&gt;&lt;R&gt;1&lt;/R&gt;&lt;C&gt;1&lt;/C&gt;&lt;D xsi:type="xsd:double"&gt;5.25&lt;/D&gt;&lt;/FQL&gt;&lt;FQL&gt;&lt;Q&gt;EWN^FMA_DIV_YLD(NTMA,NOW,NOW,M,"PORTAGG","MEANR")&lt;/Q&gt;&lt;R&gt;1&lt;/R&gt;&lt;C&gt;1&lt;/C&gt;&lt;D xsi:type="xsd:double"&gt;2.59161900106332&lt;/D&gt;&lt;/FQL&gt;&lt;FQL&gt;&lt;Q&gt;EWI^P_PRICE(0)/P_PRICE_HIGH_PR(0,,,,,,"PRICE","INTRA","52W")&lt;/Q&gt;&lt;R&gt;1&lt;/R&gt;&lt;C&gt;1&lt;/C&gt;&lt;D xsi:type="xsd:double"&gt;0.999238&lt;/D&gt;&lt;/FQL&gt;&lt;FQL&gt;&lt;Q&gt;EWI^FMA_COS_UP("EPS","1M",+1,0,,,"PORTAGG","MEANR")&lt;/Q&gt;&lt;R&gt;1&lt;/R&gt;&lt;C&gt;1&lt;/C&gt;&lt;D xsi:type="xsd:double"&gt;16&lt;/D&gt;&lt;/FQL&gt;&lt;FQL&gt;&lt;Q&gt;REFAUCASH-FDS^FG_YIELD(NOW,,,0)&lt;/Q&gt;&lt;R&gt;1&lt;/R&gt;&lt;C&gt;1&lt;/C&gt;&lt;D xsi:type="xsd:double"&gt;4.35&lt;/D&gt;&lt;/FQL&gt;&lt;FQL&gt;&lt;Q&gt;EWN^FG_PRICE_MAVG(0,,,,30)&lt;/Q&gt;&lt;R&gt;1&lt;/R&gt;&lt;C&gt;1&lt;/C&gt;&lt;D xsi:type="xsd:double"&gt;49.1435&lt;/D&gt;&lt;/FQL&gt;&lt;FQL&gt;&lt;Q&gt;REFAUCASH-FDS^PROPER_NAME(0,,,"SECURITY","NAME")&lt;/Q&gt;&lt;R&gt;1&lt;/R&gt;&lt;C&gt;1&lt;/C&gt;&lt;D xsi:type="xsd:string"&gt;Australia Target Cash Rate&lt;/D&gt;&lt;/FQL&gt;&lt;FQL&gt;&lt;Q&gt;EWN^FG_TOTAL_RETURNC(0,-1AM)&lt;/Q&gt;&lt;R&gt;1&lt;/R&gt;&lt;C&gt;1&lt;/C&gt;&lt;D xsi:type="xsd:double"&gt;8.861303&lt;/D&gt;&lt;/FQL&gt;&lt;FQL&gt;&lt;Q&gt;EWD^SIZE(FG_CONSTITUENTS)&lt;/Q&gt;&lt;R&gt;1&lt;/R&gt;&lt;C&gt;1&lt;/C&gt;&lt;D xsi:type="xsd:long"&gt;45&lt;/D&gt;&lt;/FQL&gt;&lt;FQL&gt;&lt;Q&gt;EWQ^FMA_DIV_YLD(NTMA,NOW,NOW,M,"PORTAGG","MEANR")&lt;/Q&gt;&lt;R&gt;1&lt;/R&gt;&lt;C&gt;1&lt;/C&gt;&lt;D xsi:type="xsd:double"&gt;3.14682611634042&lt;/D&gt;&lt;/FQL&gt;&lt;FQL&gt;&lt;Q&gt;TLT^P_PRICE(0)/P_PRICE_HIGH_PR(0,,,USD,,,"PRICE","INTRA","52W")&lt;/Q&gt;&lt;R&gt;1&lt;/R&gt;&lt;C&gt;1&lt;/C&gt;&lt;D xsi:type="xsd:double"&gt;0.8791727&lt;/D&gt;&lt;/FQL&gt;&lt;FQL&gt;&lt;Q&gt;PASP-FDS^FG_PRICE(0)/MAX(FG_PRICE(0,-1AY))&lt;/Q&gt;&lt;R&gt;1&lt;/R&gt;&lt;C&gt;1&lt;/C&gt;&lt;D xsi:type="xsd:double"&gt;0.671475409836066&lt;/D&gt;&lt;/FQL&gt;&lt;FQL&gt;&lt;Q&gt;EWN^FG_PRICE(0)&lt;/Q&gt;&lt;R&gt;1&lt;/R&gt;&lt;C&gt;1&lt;/C&gt;&lt;D xsi:type="xsd:double"&gt;51.72&lt;/D&gt;&lt;/FQL&gt;&lt;FQL&gt;&lt;Q&gt;REFNZOCR-FDS^(SUBARRAY(NOT_NA(NO_REPEAT_F(FG_YIELD(NOW,-10AY,D))),0,1)-SUBARRAY(NOT_NA(NO_REPEAT_F(FG_YIELD(NOW,-10AY,D))),1,1))*100&lt;/Q&gt;&lt;R&gt;1&lt;/R&gt;&lt;C&gt;1&lt;/C&gt;&lt;D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xsi:type="xsd:double"&gt;25&lt;/D&gt;&lt;/FQL&gt;&lt;FQL&gt;&lt;Q&gt;EWN^PERCENT_CHANGE(FMA_EPS(+1,0,,,,"PORTAGG","MEAN"),FMA_EPS(+1,-3AM,,,,"PORTAGG","MEAN"))&lt;/Q&gt;&lt;R&gt;1&lt;/R&gt;&lt;C&gt;1&lt;/C&gt;&lt;D xsi:type="xsd:double"&gt;4.51546828535117&lt;/D&gt;&lt;/FQL&gt;&lt;FQL&gt;&lt;Q&gt;EWL^FMA_EVAL_EBIT(LTMA,NOW,NOW,M,"PORTAGG","MEANR")&lt;/Q&gt;&lt;R&gt;1&lt;/R&gt;&lt;C&gt;1&lt;/C&gt;&lt;D xsi:type="xsd:double"&gt;16.4158351780209&lt;/D&gt;&lt;/FQL&gt;&lt;FQL&gt;&lt;Q&gt;TLT^FG_TOTAL_RETURNC(0,-6AM)&lt;/Q&gt;&lt;R&gt;1&lt;/R&gt;&lt;C&gt;1&lt;/C&gt;&lt;D xsi:type="xsd:double"&gt;3.4818172&lt;/D&gt;&lt;/FQL&gt;&lt;FQL&gt;&lt;Q&gt;USDGBP^STD(FG_PRICE_CHANGE(0,-3AY,M))&lt;/Q&gt;&lt;R&gt;1&lt;/R&gt;&lt;C&gt;1&lt;/C&gt;&lt;D xsi:type="xsd:double"&gt;2.40581568682052&lt;/D&gt;&lt;/FQL&gt;&lt;FQL&gt;&lt;Q&gt;PASP-FDS^FG_PRICE_CHANGE(0,-6AM)&lt;/Q&gt;&lt;R&gt;1&lt;/R&gt;&lt;C&gt;1&lt;/C&gt;&lt;D xsi:type="xsd:double"&gt;-2.47619047619048&lt;/D&gt;&lt;/FQL&gt;&lt;FQL&gt;&lt;Q&gt;EWU^FG_PRICE_MAVG(0,,,,30)&lt;/Q&gt;&lt;R&gt;1&lt;/R&gt;&lt;C&gt;1&lt;/C&gt;&lt;D xsi:type="xsd:double"&gt;34.864334&lt;/D&gt;&lt;/FQL&gt;&lt;FQL&gt;&lt;Q&gt;ENZL^FMA_COS_UP("EPS","1M",+1,0,,,"PORTAGG","MEANR")&lt;/Q&gt;&lt;R&gt;1&lt;/R&gt;&lt;C&gt;1&lt;/C&gt;&lt;D xsi:type="xsd:double"&gt;5&lt;/D&gt;&lt;/FQL&gt;&lt;FQL&gt;&lt;Q&gt;REFNZOCR-FDS^FG_YIELD(NOW,,,0)&lt;/Q&gt;&lt;R&gt;1&lt;/R&gt;&lt;C&gt;1&lt;/C&gt;&lt;D xsi:type="xsd:double"&gt;5.5&lt;/D&gt;&lt;/FQL&gt;&lt;FQL&gt;&lt;Q&gt;USDJPY^STD(FG_PRICE_CHANGE(0,-1AY,AM))&lt;/Q&gt;&lt;R&gt;1&lt;/R&gt;&lt;C&gt;1&lt;/C&gt;&lt;D xsi:type="xsd:double"&gt;2.77359536427864&lt;/D&gt;&lt;/FQL&gt;&lt;FQL&gt;&lt;Q&gt;EWC^FG_PRICE_MAVG(0,,,,60)&lt;/Q&gt;&lt;R&gt;1&lt;/R&gt;&lt;C&gt;1&lt;/C&gt;&lt;D xsi:type="xsd:double"&gt;37.652332&lt;/D&gt;&lt;/FQL&gt;&lt;FQL&gt;&lt;Q&gt;EWN^PERCENT_CHANGE(FMA_EPS(+1,0,,,,"PORTAGG","MEAN"),FMA_EPS(+1,-1AM,,,,"PORTAGG","MEAN"))&lt;/Q&gt;&lt;R&gt;1&lt;/R&gt;&lt;C&gt;1&lt;/C&gt;&lt;D xsi:type="xsd:double"&gt;2.15856327151768&lt;/D&gt;&lt;/FQL&gt;&lt;FQL&gt;&lt;Q&gt;EWL^FG_FCF_YIELD_NTM(0)&lt;/Q&gt;&lt;R&gt;1&lt;/R&gt;&lt;C&gt;1&lt;/C&gt;&lt;D xsi:type="xsd:double"&gt;4.90164474834015&lt;/D&gt;&lt;/FQL&gt;&lt;FQL&gt;&lt;Q&gt;TLT^FG_TOTAL_RETURNC(0,-1AM)&lt;/Q&gt;&lt;R&gt;1&lt;/R&gt;&lt;C&gt;1&lt;/C&gt;&lt;D xsi:type="xsd:double"&gt;2.7190566&lt;/D&gt;&lt;/FQL&gt;&lt;FQL&gt;&lt;Q&gt;DUMMY^ECON_DATE(45310,,, 'MM/YYYY')&lt;/Q&gt;&lt;R&gt;1&lt;/R&gt;&lt;C&gt;1&lt;/C&gt;&lt;D xsi:type="xsd:string"&gt;01/2024&lt;/D&gt;&lt;/FQL&gt;&lt;FQL&gt;&lt;Q&gt;DUMMY^ECON_DATE(45401,,, 'MM/YYYY')&lt;/Q&gt;&lt;R&gt;1&lt;/R&gt;&lt;C&gt;1&lt;/C&gt;&lt;D xsi:type="xsd:string"&gt;04/2024&lt;/D&gt;&lt;/FQL&gt;&lt;FQL&gt;&lt;Q&gt;DUMMY^ECON_EXPR_DATA('FDS_ECON[NTCPMIMFGSA@NZ]',04/2024,,Q)&lt;/Q&gt;&lt;R&gt;1&lt;/R&gt;&lt;C&gt;1&lt;/C&gt;&lt;D xsi:type="xsd:double"&gt;47.799873&lt;/D&gt;&lt;/FQL&gt;&lt;FQL&gt;&lt;Q&gt;DUMMY^ECON_EXPR_DATA('FDS_ECON[NTCPMIMFGSA@NZ]',01/2024,,Q)&lt;/Q&gt;&lt;R&gt;1&lt;/R&gt;&lt;C&gt;1&lt;/C&gt;&lt;D xsi:type="xsd:double"&gt;44.485504&lt;/D&gt;&lt;/FQL&gt;&lt;FQL&gt;&lt;Q&gt;DUMMY^ECON_EXPR_DATA('FDS_ECON[NTCPMIMFGSA@AU]',04/2024,,Q)&lt;/Q&gt;&lt;R&gt;1&lt;/R&gt;&lt;C&gt;1&lt;/C&gt;&lt;D xsi:type="xsd:double"&gt;48.39547&lt;/D&gt;&lt;/FQL&gt;&lt;FQL&gt;&lt;Q&gt;DUMMY^ECON_EXPR_DATA('FDS_ECON[NTCPMIMFGSA@AU]',01/2024,,Q)&lt;/Q&gt;&lt;R&gt;1&lt;/R&gt;&lt;C&gt;1&lt;/C&gt;&lt;D xsi:type="xsd:double"&gt;47.862293&lt;/D&gt;&lt;/FQL&gt;&lt;FQL&gt;&lt;Q&gt;DUMMY^ECON_EXPR_DATA('FDS_ECON[NTCPMIMFGSA@CA]',04/2024,,Q)&lt;/Q&gt;&lt;R&gt;1&lt;/R&gt;&lt;C&gt;1&lt;/C&gt;&lt;D xsi:type="xsd:double"&gt;49.30091&lt;/D&gt;&lt;/FQL&gt;&lt;FQL&gt;&lt;Q&gt;DUMMY^ECON_EXPR_DATA('FDS_ECON[NTCPMIMFGSA@CA]',01/2024,,Q)&lt;/Q&gt;&lt;R&gt;1&lt;/R&gt;&lt;C&gt;1&lt;/C&gt;&lt;D xsi:type="xsd:double"&gt;47.255585&lt;/D&gt;&lt;/FQL&gt;&lt;FQL&gt;&lt;Q&gt;DUMMY^ECON_EXPR_DATA('FDS_ECON[NTCPMIMFGSA@DE]',04/2024,,Q)&lt;/Q&gt;&lt;R&gt;1&lt;/R&gt;&lt;C&gt;1&lt;/C&gt;&lt;D xsi:type="xsd:double"&gt;43.319096&lt;/D&gt;&lt;/FQL&gt;&lt;FQL&gt;&lt;Q&gt;DUMMY^ECON_EXPR_DATA('FDS_ECON[NTCPMIMFGSA@DE]',01/2024,,Q)&lt;/Q&gt;&lt;R&gt;1&lt;/R&gt;&lt;C&gt;1&lt;/C&gt;&lt;D xsi:type="xsd:double"&gt;42.238945&lt;/D&gt;&lt;/FQL&gt;&lt;FQL&gt;&lt;Q&gt;DUMMY^ECON_EXPR_DATA('FDS_ECON[NTCPMIMFGSA@JP]',04/2024,,Q)&lt;/Q&gt;&lt;R&gt;1&lt;/R&gt;&lt;C&gt;1&lt;/C&gt;&lt;D xsi:type="xsd:double"&gt;47.808857&lt;/D&gt;&lt;/FQL&gt;&lt;FQL&gt;&lt;Q&gt;DUMMY^ECON_EXPR_DATA('FDS_ECON[NTCPMIMFGSA@JP]',01/2024,,Q)&lt;/Q&gt;&lt;R&gt;1&lt;/R&gt;&lt;C&gt;1&lt;/C&gt;&lt;D xsi:type="xsd:double"&gt;48.31877&lt;/D&gt;&lt;/FQL&gt;&lt;FQL&gt;&lt;Q&gt;DUMMY^ECON_EXPR_DATA('FDS_ECON[NTCPMIMFGSA@CH]',04/2024,,Q)&lt;/Q&gt;&lt;R&gt;1&lt;/R&gt;&lt;C&gt;1&lt;/C&gt;&lt;D xsi:type="xsd:double"&gt;44.08605&lt;/D&gt;&lt;/FQL&gt;&lt;FQL&gt;&lt;Q&gt;DUMMY^ECON_EXPR_DATA('FDS_ECON[NTCPMIMFGSA@CH]',01/2024,,Q)&lt;/Q&gt;&lt;R&gt;1&lt;/R&gt;&lt;C&gt;1&lt;/C&gt;&lt;D xsi:type="xsd:double"&gt;41.921543&lt;/D&gt;&lt;/FQL&gt;&lt;FQL&gt;&lt;Q&gt;DUMMY^ECON_EXPR_DATA('FDS_ECON[NTCPMIMFGSA@GB]',04/2024,,Q)&lt;/Q&gt;&lt;R&gt;1&lt;/R&gt;&lt;C&gt;1&lt;/C&gt;&lt;D xsi:type="xsd:double"&gt;48.24796&lt;/D&gt;&lt;/FQL&gt;&lt;FQL&gt;&lt;Q&gt;DUMMY^ECON_EXPR_DATA('FDS_ECON[NTCPMIMFGSA@GB]',01/2024,,Q)&lt;/Q&gt;&lt;R&gt;1&lt;/R&gt;&lt;C&gt;1&lt;/C&gt;&lt;D xsi:type="xsd:double"&gt;46.0587&lt;/D&gt;&lt;/FQL&gt;&lt;FQL&gt;&lt;Q&gt;DUMMY^ECON_EXPR_DATA('FDS_ECON[NTCPMIMFGMESA@US]',04/2024,,Q)&lt;/Q&gt;&lt;R&gt;1&lt;/R&gt;&lt;C&gt;1&lt;/C&gt;&lt;D xsi:type="xsd:double"&gt;51.582687&lt;/D&gt;&lt;/FQL&gt;&lt;FQL&gt;&lt;Q&gt;DUMMY^ECON_EXPR_DATA('FDS_ECON[NTCPMIMFGMESA@US]',01/2024,,Q)&lt;/Q&gt;&lt;R&gt;1&lt;/R&gt;&lt;C&gt;1&lt;/C&gt;&lt;D xsi:type="xsd:double"&gt;49.098827&lt;/D&gt;&lt;/FQL&gt;&lt;FQL&gt;&lt;Q&gt;DUMMY^ECON_EXPR_DATA('FDS_ECON[NTCPMIMFGSA@FR]',04/2024,,Q)&lt;/Q&gt;&lt;R&gt;1&lt;/R&gt;&lt;C&gt;1&lt;/C&gt;&lt;D xsi:type="xsd:double"&gt;45.498753&lt;/D&gt;&lt;/FQL&gt;&lt;FQL&gt;&lt;Q&gt;DUMMY^ECON_EXPR_DATA('FDS_ECON[NTCPMIMFGSA@FR]',01/2024,,Q)&lt;/Q&gt;&lt;R&gt;1&lt;/R&gt;&lt;C&gt;1&lt;/C&gt;&lt;D xsi:type="xsd:double"&gt;42.573967&lt;/D&gt;&lt;/FQL&gt;&lt;FQL&gt;&lt;Q&gt;DUMMY^ECON_EXPR_DATA('FDS_ECON[NTCPMIMFGSA@NL]',04/2024,,Q)&lt;/Q&gt;&lt;R&gt;1&lt;/R&gt;&lt;C&gt;1&lt;/C&gt;&lt;D xsi:type="xsd:double"&gt;49.325874&lt;/D&gt;&lt;/FQL&gt;&lt;FQL&gt;&lt;Q&gt;DUMMY^ECON_EXPR_DATA('FDS_ECON[NTCPMIMFGSA@NL]',01/2024,,Q)&lt;/Q&gt;&lt;R&gt;1&lt;/R&gt;&lt;C&gt;1&lt;/C&gt;&lt;D xsi:type="xsd:double"&gt;44.495136&lt;/D&gt;&lt;/FQL&gt;&lt;FQL&gt;&lt;Q&gt;DUMMY^ECON_EXPR_DATA('FDS_ECON[]',04/2024,,Q)&lt;/Q&gt;&lt;R&gt;0&lt;/R&gt;&lt;C&gt;0&lt;/C&gt;&lt;/FQL&gt;&lt;FQL&gt;&lt;Q&gt;DUMMY^ECON_EXPR_DATA('FDS_ECON[]',01/2024,,Q)&lt;/Q&gt;&lt;R&gt;0&lt;/R&gt;&lt;C&gt;0&lt;/C&gt;&lt;/FQL&gt;&lt;FQL&gt;&lt;Q&gt;DUMMY^ECON_EXPR_DATA('FDS_ECON[NTCPMIMFGSA@IT]',04/2024,,Q)&lt;/Q&gt;&lt;R&gt;1&lt;/R&gt;&lt;C&gt;1&lt;/C&gt;&lt;D xsi:type="xsd:double"&gt;49.208153&lt;/D&gt;&lt;/FQL&gt;&lt;FQL&gt;&lt;Q&gt;DUMMY^ECON_EXPR_DATA('FDS_ECON[NTCPMIMFGSA@IT]',01/2024,,Q)&lt;/Q&gt;&lt;R&gt;1&lt;/R&gt;&lt;C&gt;1&lt;/C&gt;&lt;D xsi:type="xsd:double"&gt;44.859455&lt;/D&gt;&lt;/FQL&gt;&lt;FQL&gt;&lt;Q&gt;DUMMY^ECON_EXPR_DATA('FDS_ECON[PMIDMMANHE]',04/2024,,Q)&lt;/Q&gt;&lt;R&gt;1&lt;/R&gt;&lt;C&gt;1&lt;/C&gt;&lt;D xsi:type="xsd:double"&gt;49.13533&lt;/D&gt;&lt;/FQL&gt;&lt;FQL&gt;&lt;Q&gt;DUMMY^ECON_EXPR_DATA('FDS_ECON[PMIDMMANHE]',01/2024,,Q)&lt;/Q&gt;&lt;R&gt;1&lt;/R&gt;&lt;C&gt;1&lt;/C&gt;&lt;D xsi:type="xsd:double"&gt;47.377975&lt;/D&gt;&lt;/FQL&gt;&lt;FQL&gt;&lt;Q&gt;DUMMY^ECON_EXPR_DATA('FDS_ECON[NTCPMIMFGSA@EME]',04/2024,,Q)&lt;/Q&gt;&lt;R&gt;1&lt;/R&gt;&lt;C&gt;1&lt;/C&gt;&lt;D xsi:type="xsd:double"&gt;51.51058&lt;/D&gt;&lt;/FQL&gt;&lt;FQL&gt;&lt;Q&gt;DUMMY^ECON_EXPR_DATA('FDS_ECON[NTCPMIMFGSA@EME]',01/2024,,Q)&lt;/Q&gt;&lt;R&gt;1&lt;/R&gt;&lt;C&gt;1&lt;/C&gt;&lt;D xsi:type="xsd:double"&gt;50.624123&lt;/D&gt;&lt;/FQL&gt;&lt;/Schema&gt;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<sst xmlns="http://schemas.openxmlformats.org/spreadsheetml/2006/main" count="2053" uniqueCount="915">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</sst>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4.8283251398912576E-2</v>
      </c>
      <c r="O13" s="55">
        <f>N13*(1+N9)</f>
        <v>5.118024648284733E-2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3.9220564874297169E-2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4.4207999999999997E-2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-6.7167486010874244E-3</v>
      </c>
      <c r="O21" s="57">
        <f>O13-O16</f>
        <v>6.1802464828473319E-3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4.0752513989125785E-3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3</v>
      </c>
      <c r="E8" s="11">
        <f t="shared" ref="E8:E17" si="0">D8</f>
        <v>3</v>
      </c>
    </row>
    <row r="9" spans="3:9" x14ac:dyDescent="0.35">
      <c r="C9" s="56" t="s">
        <v>1</v>
      </c>
      <c r="D9">
        <f>'Asset class'!S4</f>
        <v>4</v>
      </c>
      <c r="E9" s="58">
        <f t="shared" si="0"/>
        <v>4</v>
      </c>
      <c r="H9" s="62" t="s">
        <v>903</v>
      </c>
      <c r="I9" s="171">
        <f>Timing!L22</f>
        <v>1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9</v>
      </c>
      <c r="E11" s="58">
        <f t="shared" si="0"/>
        <v>9</v>
      </c>
      <c r="H11" s="12" t="s">
        <v>905</v>
      </c>
      <c r="I11" s="59">
        <f>Timing!N22</f>
        <v>1</v>
      </c>
    </row>
    <row r="12" spans="3:9" x14ac:dyDescent="0.35">
      <c r="C12" s="56" t="s">
        <v>51</v>
      </c>
      <c r="D12">
        <f>'Asset class'!S7</f>
        <v>5</v>
      </c>
      <c r="E12" s="58">
        <f t="shared" si="0"/>
        <v>5</v>
      </c>
    </row>
    <row r="13" spans="3:9" x14ac:dyDescent="0.35">
      <c r="C13" s="56" t="s">
        <v>890</v>
      </c>
      <c r="D13">
        <f>'Asset class'!S8</f>
        <v>6</v>
      </c>
      <c r="E13" s="58">
        <f t="shared" si="0"/>
        <v>6</v>
      </c>
    </row>
    <row r="14" spans="3:9" ht="15" thickBot="1" x14ac:dyDescent="0.4">
      <c r="C14" s="12" t="s">
        <v>457</v>
      </c>
      <c r="D14">
        <f>'Asset class'!S9</f>
        <v>8</v>
      </c>
      <c r="E14" s="14">
        <f t="shared" si="0"/>
        <v>8</v>
      </c>
    </row>
    <row r="15" spans="3:9" ht="15" thickBot="1" x14ac:dyDescent="0.4">
      <c r="C15" s="144" t="s">
        <v>891</v>
      </c>
      <c r="D15">
        <f>'Asset class'!S10</f>
        <v>10</v>
      </c>
      <c r="E15" s="14">
        <f t="shared" si="0"/>
        <v>10</v>
      </c>
    </row>
    <row r="16" spans="3:9" ht="15" thickBot="1" x14ac:dyDescent="0.4">
      <c r="C16" s="178" t="s">
        <v>536</v>
      </c>
      <c r="D16">
        <f>'Asset class'!S11</f>
        <v>2</v>
      </c>
      <c r="E16" s="14">
        <f t="shared" si="0"/>
        <v>2</v>
      </c>
    </row>
    <row r="17" spans="2:15" ht="15" thickBot="1" x14ac:dyDescent="0.4">
      <c r="C17" s="148" t="s">
        <v>46</v>
      </c>
      <c r="D17">
        <f>'Asset class'!S12</f>
        <v>7</v>
      </c>
      <c r="E17" s="14">
        <f t="shared" si="0"/>
        <v>7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0.54761904761904767</v>
      </c>
      <c r="D23" s="170"/>
      <c r="E23" s="171">
        <f>'Momnetum ranking'!I22</f>
        <v>0.33333333333333331</v>
      </c>
    </row>
    <row r="24" spans="2:15" x14ac:dyDescent="0.35">
      <c r="B24" s="56" t="s">
        <v>51</v>
      </c>
      <c r="C24" s="9">
        <f>'Momnetum ranking'!H10</f>
        <v>0.5</v>
      </c>
      <c r="D24" s="9"/>
      <c r="E24" s="57">
        <f>'Momnetum ranking'!I10</f>
        <v>0.36274509803921567</v>
      </c>
    </row>
    <row r="25" spans="2:15" x14ac:dyDescent="0.35">
      <c r="B25" s="56" t="s">
        <v>895</v>
      </c>
      <c r="C25" s="9">
        <f>'Momnetum ranking'!H23</f>
        <v>0.33962264150943394</v>
      </c>
      <c r="D25" s="9"/>
      <c r="E25" s="57">
        <f>'Momnetum ranking'!I23</f>
        <v>0.50943396226415094</v>
      </c>
    </row>
    <row r="26" spans="2:15" x14ac:dyDescent="0.35">
      <c r="B26" s="56" t="s">
        <v>46</v>
      </c>
      <c r="C26" s="9">
        <f>'Momnetum ranking'!H21</f>
        <v>0.48623853211009177</v>
      </c>
      <c r="D26" s="9"/>
      <c r="E26" s="57">
        <f>'Momnetum ranking'!I21</f>
        <v>0.39449541284403672</v>
      </c>
    </row>
    <row r="27" spans="2:15" ht="15" thickBot="1" x14ac:dyDescent="0.4">
      <c r="B27" s="12" t="s">
        <v>536</v>
      </c>
      <c r="C27" s="172">
        <f>'Momnetum ranking'!H18</f>
        <v>0.33411397345823574</v>
      </c>
      <c r="D27" s="172"/>
      <c r="E27" s="59">
        <f>'Momnetum ranking'!I18</f>
        <v>0.42544886807181886</v>
      </c>
    </row>
    <row r="28" spans="2:15" x14ac:dyDescent="0.35">
      <c r="B28" s="62" t="s">
        <v>6</v>
      </c>
      <c r="C28" s="170">
        <f>'Momnetum ranking'!H19</f>
        <v>0.17904204141393015</v>
      </c>
      <c r="D28" s="170"/>
      <c r="E28" s="171">
        <f>'Momnetum ranking'!I19</f>
        <v>0.33863208533779543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-9.1334894613583129E-2</v>
      </c>
      <c r="F35" s="5">
        <f>'Momnetum ranking'!K18</f>
        <v>0.69236883942766303</v>
      </c>
      <c r="G35" s="9">
        <f>'Momnetum ranking'!Q18</f>
        <v>0.99687099999999995</v>
      </c>
      <c r="H35" s="3">
        <f>'Momnetum ranking'!O18</f>
        <v>9.5419409999999996</v>
      </c>
      <c r="K35">
        <f>_xlfn.RANK.EQ(E35,$E$35:$E$39)</f>
        <v>4</v>
      </c>
      <c r="L35">
        <f>_xlfn.RANK.EQ(F35,$F$35:$F$39)</f>
        <v>4</v>
      </c>
      <c r="M35">
        <f>_xlfn.RANK.EQ(G35,$G$35:$G$39)</f>
        <v>3</v>
      </c>
      <c r="N35">
        <f>_xlfn.RANK.EQ(H35,$H$35:$H$39)</f>
        <v>1</v>
      </c>
      <c r="O35" s="58">
        <f>MEDIAN(K35:N35)</f>
        <v>3.5</v>
      </c>
    </row>
    <row r="36" spans="3:15" x14ac:dyDescent="0.35">
      <c r="C36" s="56" t="s">
        <v>749</v>
      </c>
      <c r="E36" s="9">
        <f>'Momnetum ranking'!J19</f>
        <v>-0.15959004392386528</v>
      </c>
      <c r="F36" s="5">
        <f>'Momnetum ranking'!K19</f>
        <v>0.46872985170857495</v>
      </c>
      <c r="G36" s="9">
        <f>'Momnetum ranking'!Q19</f>
        <v>0.99831205999999995</v>
      </c>
      <c r="H36" s="3">
        <f>'Momnetum ranking'!O19</f>
        <v>9.3490959999999994</v>
      </c>
      <c r="K36">
        <f t="shared" ref="K36:K39" si="1">_xlfn.RANK.EQ(E36,$E$35:$E$39)</f>
        <v>5</v>
      </c>
      <c r="L36">
        <f t="shared" ref="L36:L39" si="2">_xlfn.RANK.EQ(F36,$F$35:$F$39)</f>
        <v>5</v>
      </c>
      <c r="M36">
        <f t="shared" ref="M36:M39" si="3">_xlfn.RANK.EQ(G36,$G$35:$G$39)</f>
        <v>1</v>
      </c>
      <c r="N36">
        <f t="shared" ref="N36:N39" si="4">_xlfn.RANK.EQ(H36,$H$35:$H$39)</f>
        <v>2</v>
      </c>
      <c r="O36" s="58">
        <f t="shared" ref="O36:O39" si="5">MEDIAN(K36:N36)</f>
        <v>3.5</v>
      </c>
    </row>
    <row r="37" spans="3:15" x14ac:dyDescent="0.35">
      <c r="C37" s="56" t="s">
        <v>781</v>
      </c>
      <c r="E37" s="9">
        <f>'Momnetum ranking'!J20</f>
        <v>0.12806539509536785</v>
      </c>
      <c r="F37" s="5">
        <f>'Momnetum ranking'!K20</f>
        <v>0.76112251882272408</v>
      </c>
      <c r="G37" s="9">
        <f>'Momnetum ranking'!Q20</f>
        <v>0.99789170000000005</v>
      </c>
      <c r="H37" s="3">
        <f>'Momnetum ranking'!O20</f>
        <v>6.2952757000000004</v>
      </c>
      <c r="K37">
        <f t="shared" si="1"/>
        <v>2</v>
      </c>
      <c r="L37">
        <f t="shared" si="2"/>
        <v>2</v>
      </c>
      <c r="M37">
        <f t="shared" si="3"/>
        <v>2</v>
      </c>
      <c r="N37">
        <f t="shared" si="4"/>
        <v>4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9.1743119266055051E-2</v>
      </c>
      <c r="F38" s="5">
        <f>'Momnetum ranking'!K21</f>
        <v>0.701834862385321</v>
      </c>
      <c r="G38" s="9">
        <f>'Momnetum ranking'!Q21</f>
        <v>0.95372235999999999</v>
      </c>
      <c r="H38" s="3">
        <f>'Momnetum ranking'!O21</f>
        <v>1.6265035000000001</v>
      </c>
      <c r="K38">
        <f t="shared" si="1"/>
        <v>3</v>
      </c>
      <c r="L38">
        <f t="shared" si="2"/>
        <v>3</v>
      </c>
      <c r="M38">
        <f t="shared" si="3"/>
        <v>5</v>
      </c>
      <c r="N38">
        <f t="shared" si="4"/>
        <v>5</v>
      </c>
      <c r="O38" s="58">
        <f t="shared" si="5"/>
        <v>4</v>
      </c>
    </row>
    <row r="39" spans="3:15" ht="15" thickBot="1" x14ac:dyDescent="0.4">
      <c r="C39" s="12" t="s">
        <v>119</v>
      </c>
      <c r="D39" s="13"/>
      <c r="E39" s="172">
        <f>'Momnetum ranking'!J22</f>
        <v>0.21428571428571436</v>
      </c>
      <c r="F39" s="17">
        <f>'Momnetum ranking'!K22</f>
        <v>0.79441117764471103</v>
      </c>
      <c r="G39" s="172">
        <f>'Momnetum ranking'!Q22</f>
        <v>0.99610215000000002</v>
      </c>
      <c r="H39" s="175">
        <f>'Momnetum ranking'!O22</f>
        <v>6.3254595</v>
      </c>
      <c r="I39" s="13"/>
      <c r="J39" s="13"/>
      <c r="K39" s="13">
        <f t="shared" si="1"/>
        <v>1</v>
      </c>
      <c r="L39" s="13">
        <f t="shared" si="2"/>
        <v>1</v>
      </c>
      <c r="M39" s="13">
        <f t="shared" si="3"/>
        <v>4</v>
      </c>
      <c r="N39" s="13">
        <f t="shared" si="4"/>
        <v>3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9.7554920000000003</v>
      </c>
      <c r="F3" s="3" cm="1">
        <f t="array" ref="F3">_xll.FDS(C3,"FG_TOTAL_RETURNC(0,-3AM)")</f>
        <v>9.3490959999999994</v>
      </c>
      <c r="G3" s="3" cm="1">
        <f t="array" ref="G3">_xll.FDS(C3,"FG_TOTAL_RETURNC(0,-6AM)")</f>
        <v>13.637638000000001</v>
      </c>
      <c r="H3" s="9" cm="1">
        <f t="array" ref="H3">_xll.FDS(C3,"P_PRICE(0)/P_PRICE_HIGH_PR(0,,,USD,,,""PRICE"",""INTRA"",""52W"")")</f>
        <v>0.99831205999999995</v>
      </c>
      <c r="K3" s="4">
        <f>_xlfn.RANK.EQ(H3,H$3:H$12)</f>
        <v>1</v>
      </c>
      <c r="L3" s="4">
        <f>_xlfn.RANK.EQ(F3,F$3:F$12)</f>
        <v>3</v>
      </c>
      <c r="M3" s="4">
        <f>_xlfn.RANK.EQ(G3,G$3:G$12)</f>
        <v>5</v>
      </c>
      <c r="N3" s="4"/>
      <c r="P3" s="3">
        <f t="shared" ref="P3:P12" si="0">SUMPRODUCT($K$2:$M$2,K3:M3)</f>
        <v>2.97</v>
      </c>
      <c r="Q3">
        <f t="shared" ref="Q3:Q12" si="1">COUNTIF(K3:N3,"&gt;70")</f>
        <v>0</v>
      </c>
      <c r="S3" s="3">
        <f>11-_xlfn.RANK.EQ(P3,$P$3:$P$12)</f>
        <v>3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5.7736516</v>
      </c>
      <c r="F4" s="3" cm="1">
        <f t="array" ref="F4">_xll.FDS(C4,"FG_TOTAL_RETURNC(0,-3AM)")</f>
        <v>6.3254595</v>
      </c>
      <c r="G4" s="3" cm="1">
        <f t="array" ref="G4">_xll.FDS(C4,"FG_TOTAL_RETURNC(0,-6AM)")</f>
        <v>18.295287999999999</v>
      </c>
      <c r="H4" s="9" cm="1">
        <f t="array" ref="H4">_xll.FDS(C4,"P_PRICE(0)/P_PRICE_HIGH_PR(0,,,USD,,,""PRICE"",""INTRA"",""52W"")")</f>
        <v>0.99610215000000002</v>
      </c>
      <c r="I4" s="177"/>
      <c r="K4" s="4">
        <f t="shared" ref="K4:K12" si="3">_xlfn.RANK.EQ(H4,H$3:H$12)</f>
        <v>3</v>
      </c>
      <c r="L4" s="4">
        <f t="shared" ref="L4:M12" si="4">_xlfn.RANK.EQ(F4,F$3:F$12)</f>
        <v>5</v>
      </c>
      <c r="M4" s="4">
        <f t="shared" si="4"/>
        <v>2</v>
      </c>
      <c r="N4" s="4"/>
      <c r="P4" s="3">
        <f t="shared" si="0"/>
        <v>3.3000000000000003</v>
      </c>
      <c r="Q4">
        <f t="shared" si="1"/>
        <v>0</v>
      </c>
      <c r="S4" s="3">
        <f t="shared" ref="S4:S12" si="5">11-_xlfn.RANK.EQ(P4,$P$3:$P$12)</f>
        <v>4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1.8534541</v>
      </c>
      <c r="F5" s="3" cm="1">
        <f t="array" ref="F5">_xll.FDS(C5,"FG_TOTAL_RETURNC(0,-3AM)")</f>
        <v>20.027912000000001</v>
      </c>
      <c r="G5" s="3" cm="1">
        <f t="array" ref="G5">_xll.FDS(C5,"FG_TOTAL_RETURNC(0,-6AM)")</f>
        <v>21.772742999999998</v>
      </c>
      <c r="H5" s="9" cm="1">
        <f t="array" ref="H5">_xll.FDS(C5,"P_PRICE(0)/P_PRICE_HIGH_PR(0,,,USD,,,""PRICE"",""INTRA"",""52W"")")</f>
        <v>0.99364704000000004</v>
      </c>
      <c r="I5" s="177"/>
      <c r="K5" s="4">
        <f t="shared" si="3"/>
        <v>4</v>
      </c>
      <c r="L5" s="4">
        <f t="shared" si="4"/>
        <v>1</v>
      </c>
      <c r="M5" s="4">
        <f t="shared" si="4"/>
        <v>1</v>
      </c>
      <c r="N5" s="4"/>
      <c r="P5" s="3">
        <f t="shared" si="0"/>
        <v>1.9800000000000002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-0.97087619999999997</v>
      </c>
      <c r="F6" s="3" cm="1">
        <f t="array" ref="F6">_xll.FDS(C6,"FG_TOTAL_RETURNC(0,-3AM)")</f>
        <v>1.6731857999999999</v>
      </c>
      <c r="G6" s="3" cm="1">
        <f t="array" ref="G6">_xll.FDS(C6,"FG_TOTAL_RETURNC(0,-6AM)")</f>
        <v>3.6976814</v>
      </c>
      <c r="H6" s="9" cm="1">
        <f t="array" ref="H6">_xll.FDS(C6,"P_PRICE(0)/P_PRICE_HIGH_PR(0,,,USD,,,""PRICE"",""INTRA"",""52W"")")</f>
        <v>0.94679259999999998</v>
      </c>
      <c r="I6" s="177"/>
      <c r="K6" s="4">
        <f t="shared" si="3"/>
        <v>7</v>
      </c>
      <c r="L6" s="4">
        <f t="shared" si="4"/>
        <v>8</v>
      </c>
      <c r="M6" s="4">
        <f t="shared" si="4"/>
        <v>9</v>
      </c>
      <c r="N6" s="4"/>
      <c r="P6" s="3">
        <f t="shared" si="0"/>
        <v>7.92</v>
      </c>
      <c r="Q6">
        <f t="shared" si="1"/>
        <v>0</v>
      </c>
      <c r="S6" s="3">
        <f t="shared" si="5"/>
        <v>9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6.0867905999999996</v>
      </c>
      <c r="F7" s="3" cm="1">
        <f t="array" ref="F7">_xll.FDS(C7,"FG_TOTAL_RETURNC(0,-3AM)")</f>
        <v>5.0589203999999999</v>
      </c>
      <c r="G7" s="3" cm="1">
        <f t="array" ref="G7">_xll.FDS(C7,"FG_TOTAL_RETURNC(0,-6AM)")</f>
        <v>17.471779000000002</v>
      </c>
      <c r="H7" s="9" cm="1">
        <f t="array" ref="H7">_xll.FDS(C7,"P_PRICE(0)/P_PRICE_HIGH_PR(0,,,USD,,,""PRICE"",""INTRA"",""52W"")")</f>
        <v>0.99355610000000005</v>
      </c>
      <c r="I7" s="1"/>
      <c r="K7" s="4">
        <f t="shared" si="3"/>
        <v>5</v>
      </c>
      <c r="L7" s="4">
        <f t="shared" si="4"/>
        <v>6</v>
      </c>
      <c r="M7" s="4">
        <f t="shared" si="4"/>
        <v>3</v>
      </c>
      <c r="N7" s="4"/>
      <c r="P7" s="3">
        <f t="shared" si="0"/>
        <v>4.62</v>
      </c>
      <c r="Q7">
        <f t="shared" si="1"/>
        <v>0</v>
      </c>
      <c r="S7" s="3">
        <f t="shared" si="5"/>
        <v>5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-7.5560809999999998</v>
      </c>
      <c r="F8" s="3" cm="1">
        <f t="array" ref="F8">_xll.FDS(C8,"FG_TOTAL_RETURNC(0,-3AM)")</f>
        <v>8.2987549999999999</v>
      </c>
      <c r="G8" s="3" cm="1">
        <f t="array" ref="G8">_xll.FDS(C8,"FG_TOTAL_RETURNC(0,-6AM)")</f>
        <v>11.246872</v>
      </c>
      <c r="H8" s="9" cm="1">
        <f t="array" ref="H8">_xll.FDS(C8,"P_PRICE(0)/P_PRICE_HIGH_PR(0,,,USD,,,""PRICE"",""INTRA"",""52W"")")</f>
        <v>0.88291675000000003</v>
      </c>
      <c r="I8" s="1"/>
      <c r="K8" s="4">
        <f t="shared" si="3"/>
        <v>9</v>
      </c>
      <c r="L8" s="4">
        <f t="shared" si="4"/>
        <v>4</v>
      </c>
      <c r="M8" s="4">
        <f t="shared" si="4"/>
        <v>7</v>
      </c>
      <c r="N8" s="4"/>
      <c r="P8" s="3">
        <f t="shared" si="0"/>
        <v>6.6</v>
      </c>
      <c r="Q8">
        <f t="shared" si="1"/>
        <v>0</v>
      </c>
      <c r="S8" s="3">
        <f t="shared" si="5"/>
        <v>6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-2.4585009000000002</v>
      </c>
      <c r="F9" s="3" cm="1">
        <f t="array" ref="F9">_xll.FDS(C9,"FG_TOTAL_RETURNC(0,-3AM)")</f>
        <v>4.8494697000000002</v>
      </c>
      <c r="G9" s="3" cm="1">
        <f t="array" ref="G9">_xll.FDS(C9,"FG_TOTAL_RETURNC(0,-6AM)")</f>
        <v>8.7915179999999999</v>
      </c>
      <c r="H9" s="9" cm="1">
        <f t="array" ref="H9">_xll.FDS(C9,"P_PRICE(0)/P_PRICE_HIGH_PR(0,,,USD,,,""PRICE"",""INTRA"",""52W"")")</f>
        <v>0.92279100000000003</v>
      </c>
      <c r="I9" s="1"/>
      <c r="K9" s="4">
        <f t="shared" si="3"/>
        <v>8</v>
      </c>
      <c r="L9" s="4">
        <f t="shared" si="4"/>
        <v>7</v>
      </c>
      <c r="M9" s="4">
        <f t="shared" si="4"/>
        <v>8</v>
      </c>
      <c r="N9" s="4"/>
      <c r="P9" s="3">
        <f t="shared" si="0"/>
        <v>7.59</v>
      </c>
      <c r="Q9">
        <f t="shared" si="1"/>
        <v>0</v>
      </c>
      <c r="S9" s="3">
        <f t="shared" si="5"/>
        <v>8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2.7190566</v>
      </c>
      <c r="F10" s="3" cm="1">
        <f t="array" ref="F10">_xll.FDS(C10,"FG_TOTAL_RETURNC(0,-3AM)")</f>
        <v>-0.49080849999999998</v>
      </c>
      <c r="G10" s="3" cm="1">
        <f t="array" ref="G10">_xll.FDS(C10,"FG_TOTAL_RETURNC(0,-6AM)")</f>
        <v>3.4818172000000001</v>
      </c>
      <c r="H10" s="9" cm="1">
        <f t="array" ref="H10">_xll.FDS(C10,"P_PRICE(0)/P_PRICE_HIGH_PR(0,,,USD,,,""PRICE"",""INTRA"",""52W"")")</f>
        <v>0.87917270000000003</v>
      </c>
      <c r="K10" s="4">
        <f t="shared" si="3"/>
        <v>10</v>
      </c>
      <c r="L10" s="4">
        <f t="shared" si="4"/>
        <v>10</v>
      </c>
      <c r="M10" s="4">
        <f t="shared" si="4"/>
        <v>10</v>
      </c>
      <c r="N10" s="4"/>
      <c r="P10" s="3">
        <f t="shared" si="0"/>
        <v>9.9</v>
      </c>
      <c r="Q10">
        <f t="shared" si="1"/>
        <v>0</v>
      </c>
      <c r="S10" s="3">
        <f t="shared" si="5"/>
        <v>10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8.3810090000000006</v>
      </c>
      <c r="F11" s="3" cm="1">
        <f t="array" ref="F11">_xll.FDS(C11,"FG_TOTAL_RETURNC(0,-3AM)")</f>
        <v>9.5419409999999996</v>
      </c>
      <c r="G11" s="3" cm="1">
        <f t="array" ref="G11">_xll.FDS(C11,"FG_TOTAL_RETURNC(0,-6AM)")</f>
        <v>16.566420000000001</v>
      </c>
      <c r="H11" s="9" cm="1">
        <f t="array" ref="H11">_xll.FDS(C11,"P_PRICE(0)/P_PRICE_HIGH_PR(0,,,USD,,,""PRICE"",""INTRA"",""52W"")")</f>
        <v>0.99687099999999995</v>
      </c>
      <c r="K11" s="4">
        <f t="shared" si="3"/>
        <v>2</v>
      </c>
      <c r="L11" s="4">
        <f t="shared" si="4"/>
        <v>2</v>
      </c>
      <c r="M11" s="4">
        <f t="shared" si="4"/>
        <v>4</v>
      </c>
      <c r="P11" s="3">
        <f t="shared" si="0"/>
        <v>2.64</v>
      </c>
      <c r="Q11">
        <f t="shared" si="1"/>
        <v>0</v>
      </c>
      <c r="S11" s="3">
        <f t="shared" si="5"/>
        <v>2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2.4444938</v>
      </c>
      <c r="F12" s="3" cm="1">
        <f t="array" ref="F12">_xll.FDS(C12,"FG_TOTAL_RETURNC(0,-3AM)")</f>
        <v>1.6265035000000001</v>
      </c>
      <c r="G12" s="3" cm="1">
        <f t="array" ref="G12">_xll.FDS(C12,"FG_TOTAL_RETURNC(0,-6AM)")</f>
        <v>11.786294</v>
      </c>
      <c r="H12" s="9" cm="1">
        <f t="array" ref="H12">_xll.FDS(C12,"P_PRICE(0)/P_PRICE_HIGH_PR(0,,,USD,,,""PRICE"",""INTRA"",""52W"")")</f>
        <v>0.95372235999999999</v>
      </c>
      <c r="K12" s="4">
        <f t="shared" si="3"/>
        <v>6</v>
      </c>
      <c r="L12" s="4">
        <f t="shared" si="4"/>
        <v>9</v>
      </c>
      <c r="M12" s="4">
        <f t="shared" si="4"/>
        <v>6</v>
      </c>
      <c r="P12" s="3">
        <f t="shared" si="0"/>
        <v>6.93</v>
      </c>
      <c r="Q12">
        <f t="shared" si="1"/>
        <v>0</v>
      </c>
      <c r="S12" s="3">
        <f t="shared" si="5"/>
        <v>7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opLeftCell="C1" zoomScale="85" zoomScaleNormal="85" workbookViewId="0">
      <selection activeCell="N21" sqref="N21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78.5</v>
      </c>
      <c r="E6" s="120">
        <f>VLOOKUP(B6,'Quality - 2'!$B$2:$S$14,18,FALSE)</f>
        <v>78.5</v>
      </c>
      <c r="F6" s="153">
        <f>VLOOKUP(B6,Safety!$B$4:$R$16,17,FALSE)</f>
        <v>92.800000000000011</v>
      </c>
      <c r="G6" s="179">
        <f t="shared" ref="G6:G18" si="0">(D6*$D$2 +E6*$E$2 +F6*$F$2)/($D$2+$E$2+$F$2)</f>
        <v>83.26666666666668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85.7</v>
      </c>
      <c r="J6" s="120">
        <f ca="1">VLOOKUP(B6,'Momnetum ranking'!$A$3:$AJ$15,36,FALSE)</f>
        <v>21.4</v>
      </c>
      <c r="K6" s="163">
        <f>VLOOKUP(B6,'Momnetum ranking'!$A$3:$H$15,8,FALSE)</f>
        <v>0.45652173913043476</v>
      </c>
      <c r="L6" s="120">
        <f>VLOOKUP(B6,'Currency- 2'!$A$3:$U$15,21,FALSE)</f>
        <v>35.699999999999996</v>
      </c>
      <c r="M6" s="162">
        <f t="shared" ref="M6:M18" ca="1" si="1">D6*$D$2 + E6*$E$2 + F6*$F$2 + I6*$I$2 + J6*$J$2 + L6*$L$2</f>
        <v>54.247502000000004</v>
      </c>
      <c r="N6" s="120" cm="1">
        <f t="array" aca="1" ref="N6" ca="1">_xlfn.PERCENTRANK.EXC(_xlfn._xlws.FILTER($M$6:M$18, ISNUMBER($M$6:M$18)),M6)*100</f>
        <v>64.2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57.099999999999994</v>
      </c>
      <c r="E7" s="121">
        <f>VLOOKUP(B7,'Quality - 2'!$B$2:$S$14,18,FALSE)</f>
        <v>57.099999999999994</v>
      </c>
      <c r="F7" s="159">
        <f>VLOOKUP(B7,Safety!$B$4:$R$16,17,FALSE)</f>
        <v>71.399999999999991</v>
      </c>
      <c r="G7" s="180">
        <f t="shared" si="0"/>
        <v>61.866666666666667</v>
      </c>
      <c r="H7" s="125" cm="1">
        <f t="array" ref="H7">_xlfn.PERCENTRANK.EXC(_xlfn._xlws.FILTER($G$6:G$18, ISNUMBER($G$6:G$18)),G7)*100</f>
        <v>78.5</v>
      </c>
      <c r="I7" s="159">
        <f>VLOOKUP(B7,'LIQIDITY 2'!$A$3:$X$15,24,FALSE)</f>
        <v>7.1</v>
      </c>
      <c r="J7" s="121">
        <f ca="1">VLOOKUP(B7,'Momnetum ranking'!$A$3:$AJ$15,36,FALSE)</f>
        <v>14.2</v>
      </c>
      <c r="K7" s="161">
        <f>VLOOKUP(B7,'Momnetum ranking'!$A$3:$H$15,8,FALSE)</f>
        <v>0.48623853211009177</v>
      </c>
      <c r="L7" s="121">
        <f>VLOOKUP(B7,'Currency- 2'!$A$3:$U$15,21,FALSE)</f>
        <v>7.1</v>
      </c>
      <c r="M7" s="160">
        <f t="shared" ca="1" si="1"/>
        <v>26.368144000000001</v>
      </c>
      <c r="N7" s="121" cm="1">
        <f t="array" aca="1" ref="N7" ca="1">_xlfn.PERCENTRANK.EXC(_xlfn._xlws.FILTER($M$6:M$18, ISNUMBER($M$6:M$18)),M7)*100</f>
        <v>7.1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85.7</v>
      </c>
      <c r="F8" s="159">
        <f>VLOOKUP(B8,Safety!$B$4:$R$16,17,FALSE)</f>
        <v>50</v>
      </c>
      <c r="G8" s="180">
        <f t="shared" si="0"/>
        <v>49.966666666666669</v>
      </c>
      <c r="H8" s="125" cm="1">
        <f t="array" ref="H8">_xlfn.PERCENTRANK.EXC(_xlfn._xlws.FILTER($G$6:G$18, ISNUMBER($G$6:G$18)),G8)*100</f>
        <v>57.099999999999994</v>
      </c>
      <c r="I8" s="159">
        <f>VLOOKUP(B8,'LIQIDITY 2'!$A$3:$X$15,24,FALSE)</f>
        <v>28.499999999999996</v>
      </c>
      <c r="J8" s="121">
        <f ca="1">VLOOKUP(B8,'Momnetum ranking'!$A$3:$AJ$15,36,FALSE)</f>
        <v>35.699999999999996</v>
      </c>
      <c r="K8" s="161">
        <f>VLOOKUP(B8,'Momnetum ranking'!$A$3:$H$15,8,FALSE)</f>
        <v>0.5</v>
      </c>
      <c r="L8" s="121">
        <f>VLOOKUP(B8,'Currency- 2'!$A$3:$U$15,21,FALSE)</f>
        <v>57.099999999999994</v>
      </c>
      <c r="M8" s="160">
        <f t="shared" ca="1" si="1"/>
        <v>40.678500999999997</v>
      </c>
      <c r="N8" s="121" cm="1">
        <f t="array" aca="1" ref="N8" ca="1">_xlfn.PERCENTRANK.EXC(_xlfn._xlws.FILTER($M$6:M$18, ISNUMBER($M$6:M$18)),M8)*100</f>
        <v>28.499999999999996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85.7</v>
      </c>
      <c r="F9" s="159">
        <f>VLOOKUP(B9,Safety!$B$4:$R$16,17,FALSE)</f>
        <v>42.8</v>
      </c>
      <c r="G9" s="180">
        <f t="shared" si="0"/>
        <v>52.333333333333343</v>
      </c>
      <c r="H9" s="125" cm="1">
        <f t="array" ref="H9">_xlfn.PERCENTRANK.EXC(_xlfn._xlws.FILTER($G$6:G$18, ISNUMBER($G$6:G$18)),G9)*100</f>
        <v>64.2</v>
      </c>
      <c r="I9" s="159">
        <f>VLOOKUP(B9,'LIQIDITY 2'!$A$3:$X$15,24,FALSE)</f>
        <v>28.499999999999996</v>
      </c>
      <c r="J9" s="121">
        <f ca="1">VLOOKUP(B9,'Momnetum ranking'!$A$3:$AJ$15,36,FALSE)</f>
        <v>64.2</v>
      </c>
      <c r="K9" s="161">
        <f>VLOOKUP(B9,'Momnetum ranking'!$A$3:$H$15,8,FALSE)</f>
        <v>0.54761904761904767</v>
      </c>
      <c r="L9" s="121">
        <f>VLOOKUP(B9,'Currency- 2'!$A$3:$U$15,21,FALSE)</f>
        <v>57.099999999999994</v>
      </c>
      <c r="M9" s="160">
        <f t="shared" ca="1" si="1"/>
        <v>52.788429999999998</v>
      </c>
      <c r="N9" s="121" cm="1">
        <f t="array" aca="1" ref="N9" ca="1">_xlfn.PERCENTRANK.EXC(_xlfn._xlws.FILTER($M$6:M$18, ISNUMBER($M$6:M$18)),M9)*100</f>
        <v>57.099999999999994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64.2</v>
      </c>
      <c r="E10" s="121">
        <f>VLOOKUP(B10,'Quality - 2'!$B$2:$S$14,18,FALSE)</f>
        <v>50</v>
      </c>
      <c r="F10" s="159">
        <f>VLOOKUP(B10,Safety!$B$4:$R$16,17,FALSE)</f>
        <v>28.499999999999996</v>
      </c>
      <c r="G10" s="180">
        <f t="shared" si="0"/>
        <v>47.56666666666667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7.1</v>
      </c>
      <c r="J10" s="121">
        <f ca="1">VLOOKUP(B10,'Momnetum ranking'!$A$3:$AJ$15,36,FALSE)</f>
        <v>42.8</v>
      </c>
      <c r="K10" s="161">
        <f>VLOOKUP(B10,'Momnetum ranking'!$A$3:$H$15,8,FALSE)</f>
        <v>0.47368421052631576</v>
      </c>
      <c r="L10" s="121">
        <f>VLOOKUP(B10,'Currency- 2'!$A$3:$U$15,21,FALSE)</f>
        <v>85.7</v>
      </c>
      <c r="M10" s="160">
        <f t="shared" ca="1" si="1"/>
        <v>41.378573000000003</v>
      </c>
      <c r="N10" s="121" cm="1">
        <f t="array" aca="1" ref="N10" ca="1">_xlfn.PERCENTRANK.EXC(_xlfn._xlws.FILTER($M$6:M$18, ISNUMBER($M$6:M$18)),M10)*100</f>
        <v>35.699999999999996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28.499999999999996</v>
      </c>
      <c r="F11" s="159">
        <f>VLOOKUP(B11,Safety!$B$4:$R$16,17,FALSE)</f>
        <v>57.099999999999994</v>
      </c>
      <c r="G11" s="180">
        <f t="shared" si="0"/>
        <v>57.100000000000009</v>
      </c>
      <c r="H11" s="125" cm="1">
        <f t="array" ref="H11">_xlfn.PERCENTRANK.EXC(_xlfn._xlws.FILTER($G$6:G$18, ISNUMBER($G$6:G$18)),G11)*100</f>
        <v>71.399999999999991</v>
      </c>
      <c r="I11" s="159">
        <f>VLOOKUP(B11,'LIQIDITY 2'!$A$3:$X$15,24,FALSE)</f>
        <v>28.499999999999996</v>
      </c>
      <c r="J11" s="121">
        <f ca="1">VLOOKUP(B11,'Momnetum ranking'!$A$3:$AJ$15,36,FALSE)</f>
        <v>85.7</v>
      </c>
      <c r="K11" s="161">
        <f>VLOOKUP(B11,'Momnetum ranking'!$A$3:$H$15,8,FALSE)</f>
        <v>0.49411764705882355</v>
      </c>
      <c r="L11" s="121">
        <f>VLOOKUP(B11,'Currency- 2'!$A$3:$U$15,21,FALSE)</f>
        <v>50</v>
      </c>
      <c r="M11" s="160">
        <f t="shared" ca="1" si="1"/>
        <v>62.108287000000004</v>
      </c>
      <c r="N11" s="121" cm="1">
        <f t="array" aca="1" ref="N11" ca="1">_xlfn.PERCENTRANK.EXC(_xlfn._xlws.FILTER($M$6:M$18, ISNUMBER($M$6:M$18)),M11)*100</f>
        <v>85.7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64.2</v>
      </c>
      <c r="F12" s="159">
        <f>VLOOKUP(B12,Safety!$B$4:$R$16,17,FALSE)</f>
        <v>35.699999999999996</v>
      </c>
      <c r="G12" s="180">
        <f t="shared" si="0"/>
        <v>47.56666666666667</v>
      </c>
      <c r="H12" s="125" cm="1">
        <f t="array" ref="H12">_xlfn.PERCENTRANK.EXC(_xlfn._xlws.FILTER($G$6:G$18, ISNUMBER($G$6:G$18)),G12)*100</f>
        <v>42.8</v>
      </c>
      <c r="I12" s="159">
        <f>VLOOKUP(B12,'LIQIDITY 2'!$A$3:$X$15,24,FALSE)</f>
        <v>28.499999999999996</v>
      </c>
      <c r="J12" s="121">
        <f ca="1">VLOOKUP(B12,'Momnetum ranking'!$A$3:$AJ$15,36,FALSE)</f>
        <v>50</v>
      </c>
      <c r="K12" s="161">
        <f>VLOOKUP(B12,'Momnetum ranking'!$A$3:$H$15,8,FALSE)</f>
        <v>0.46590909090909088</v>
      </c>
      <c r="L12" s="121">
        <f>VLOOKUP(B12,'Currency- 2'!$A$3:$U$15,21,FALSE)</f>
        <v>42.8</v>
      </c>
      <c r="M12" s="160">
        <f t="shared" ca="1" si="1"/>
        <v>44.248573</v>
      </c>
      <c r="N12" s="121" cm="1">
        <f t="array" aca="1" ref="N12" ca="1">_xlfn.PERCENTRANK.EXC(_xlfn._xlws.FILTER($M$6:M$18, ISNUMBER($M$6:M$18)),M12)*100</f>
        <v>42.8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14.2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28.499999999999996</v>
      </c>
      <c r="J13" s="121">
        <f ca="1">VLOOKUP(B13,'Momnetum ranking'!$A$3:$AJ$15,36,FALSE)</f>
        <v>71.399999999999991</v>
      </c>
      <c r="K13" s="161">
        <f>VLOOKUP(B13,'Momnetum ranking'!$A$3:$H$15,8,FALSE)</f>
        <v>0.3559322033898305</v>
      </c>
      <c r="L13" s="121">
        <f>VLOOKUP(B13,'Currency- 2'!$A$3:$U$15,21,FALSE)</f>
        <v>71.399999999999991</v>
      </c>
      <c r="M13" s="160">
        <f t="shared" ca="1" si="1"/>
        <v>47.099429999999998</v>
      </c>
      <c r="N13" s="121" cm="1">
        <f t="array" aca="1" ref="N13" ca="1">_xlfn.PERCENTRANK.EXC(_xlfn._xlws.FILTER($M$6:M$18, ISNUMBER($M$6:M$18)),M13)*100</f>
        <v>50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85.7</v>
      </c>
      <c r="G14" s="180">
        <f t="shared" si="0"/>
        <v>35.666666666666671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71.399999999999991</v>
      </c>
      <c r="J14" s="121">
        <f ca="1">VLOOKUP(B14,'Momnetum ranking'!$A$3:$AJ$15,36,FALSE)</f>
        <v>7.1</v>
      </c>
      <c r="K14" s="161">
        <f>VLOOKUP(B14,'Momnetum ranking'!$A$3:$H$15,8,FALSE)</f>
        <v>0.35714285714285715</v>
      </c>
      <c r="L14" s="121">
        <f>VLOOKUP(B14,'Currency- 2'!$A$3:$U$15,21,FALSE)</f>
        <v>28.499999999999996</v>
      </c>
      <c r="M14" s="160">
        <f t="shared" ca="1" si="1"/>
        <v>30.668929999999996</v>
      </c>
      <c r="N14" s="121" cm="1">
        <f t="array" aca="1" ref="N14" ca="1">_xlfn.PERCENTRANK.EXC(_xlfn._xlws.FILTER($M$6:M$18, ISNUMBER($M$6:M$18)),M14)*100</f>
        <v>14.2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50</v>
      </c>
      <c r="E15" s="121">
        <f>VLOOKUP(B15,'Quality - 2'!$B$2:$S$14,18,FALSE)</f>
        <v>71.399999999999991</v>
      </c>
      <c r="F15" s="159">
        <f>VLOOKUP(B15,Safety!$B$4:$R$16,17,FALSE)</f>
        <v>78.5</v>
      </c>
      <c r="G15" s="180">
        <f t="shared" si="0"/>
        <v>66.633333333333326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28.499999999999996</v>
      </c>
      <c r="J15" s="121">
        <f ca="1">VLOOKUP(B15,'Momnetum ranking'!$A$3:$AJ$15,36,FALSE)</f>
        <v>28.499999999999996</v>
      </c>
      <c r="K15" s="161">
        <f>VLOOKUP(B15,'Momnetum ranking'!$A$3:$H$15,8,FALSE)</f>
        <v>0.49206349206349204</v>
      </c>
      <c r="L15" s="121">
        <f>VLOOKUP(B15,'Currency- 2'!$A$3:$U$15,21,FALSE)</f>
        <v>14.2</v>
      </c>
      <c r="M15" s="160">
        <f t="shared" ca="1" si="1"/>
        <v>38.508000999999993</v>
      </c>
      <c r="N15" s="121" cm="1">
        <f t="array" aca="1" ref="N15" ca="1">_xlfn.PERCENTRANK.EXC(_xlfn._xlws.FILTER($M$6:M$18, ISNUMBER($M$6:M$18)),M15)*100</f>
        <v>21.4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64.2</v>
      </c>
      <c r="G16" s="180">
        <f t="shared" si="0"/>
        <v>45.199999999999996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7.1</v>
      </c>
      <c r="J16" s="121">
        <f ca="1">VLOOKUP(B16,'Momnetum ranking'!$A$3:$AJ$15,36,FALSE)</f>
        <v>78.5</v>
      </c>
      <c r="K16" s="161">
        <f>VLOOKUP(B16,'Momnetum ranking'!$A$3:$H$15,8,FALSE)</f>
        <v>0.3888888888888889</v>
      </c>
      <c r="L16" s="121">
        <f>VLOOKUP(B16,'Currency- 2'!$A$3:$U$15,21,FALSE)</f>
        <v>92.800000000000011</v>
      </c>
      <c r="M16" s="160">
        <f t="shared" ca="1" si="1"/>
        <v>55.658644000000002</v>
      </c>
      <c r="N16" s="121" cm="1">
        <f t="array" aca="1" ref="N16" ca="1">_xlfn.PERCENTRANK.EXC(_xlfn._xlws.FILTER($M$6:M$18, ISNUMBER($M$6:M$18)),M16)*100</f>
        <v>71.399999999999991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42.8</v>
      </c>
      <c r="F17" s="159">
        <f>VLOOKUP(B17,Safety!$B$4:$R$16,17,FALSE)</f>
        <v>21.4</v>
      </c>
      <c r="G17" s="180">
        <f t="shared" si="0"/>
        <v>45.199999999999996</v>
      </c>
      <c r="H17" s="125" cm="1">
        <f t="array" ref="H17">_xlfn.PERCENTRANK.EXC(_xlfn._xlws.FILTER($G$6:G$18, ISNUMBER($G$6:G$18)),G17)*100</f>
        <v>28.499999999999996</v>
      </c>
      <c r="I17" s="159">
        <f>VLOOKUP(B17,'LIQIDITY 2'!$A$3:$X$15,24,FALSE)</f>
        <v>92.800000000000011</v>
      </c>
      <c r="J17" s="121">
        <f ca="1">VLOOKUP(B17,'Momnetum ranking'!$A$3:$AJ$15,36,FALSE)</f>
        <v>57.099999999999994</v>
      </c>
      <c r="K17" s="161">
        <f>VLOOKUP(B17,'Momnetum ranking'!$A$3:$H$15,8,FALSE)</f>
        <v>0.51111111111111107</v>
      </c>
      <c r="L17" s="121">
        <f>VLOOKUP(B17,'Currency- 2'!$A$3:$U$15,21,FALSE)</f>
        <v>21.4</v>
      </c>
      <c r="M17" s="160">
        <f t="shared" ca="1" si="1"/>
        <v>57.098644000000007</v>
      </c>
      <c r="N17" s="121" cm="1">
        <f t="array" aca="1" ref="N17" ca="1">_xlfn.PERCENTRANK.EXC(_xlfn._xlws.FILTER($M$6:M$18, ISNUMBER($M$6:M$18)),M17)*100</f>
        <v>78.5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7.1</v>
      </c>
      <c r="G18" s="181">
        <f t="shared" si="0"/>
        <v>35.666666666666679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71.399999999999991</v>
      </c>
      <c r="J18" s="122">
        <f ca="1">VLOOKUP(B18,'Momnetum ranking'!$A$3:$AJ$15,36,FALSE)</f>
        <v>92.800000000000011</v>
      </c>
      <c r="K18" s="165">
        <f>VLOOKUP(B18,'Momnetum ranking'!$A$3:$H$15,8,FALSE)</f>
        <v>0.61538461538461542</v>
      </c>
      <c r="L18" s="122">
        <f>VLOOKUP(B18,'Currency- 2'!$A$3:$U$15,21,FALSE)</f>
        <v>78.5</v>
      </c>
      <c r="M18" s="164">
        <f t="shared" ca="1" si="1"/>
        <v>69.948930000000004</v>
      </c>
      <c r="N18" s="122" cm="1">
        <f t="array" aca="1" ref="N18" ca="1">_xlfn.PERCENTRANK.EXC(_xlfn._xlws.FILTER($M$6:M$18, ISNUMBER($M$6:M$18)),M18)*100</f>
        <v>92.800000000000011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6</v>
      </c>
      <c r="S3" s="148">
        <f ca="1">COUNTIF(S9:S17,"&gt;0")</f>
        <v>6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0.19320512901884335</v>
      </c>
      <c r="F9">
        <f ca="1">VLOOKUP(B9,OUTPUT_COUNTRY!$B$6:$N$18, 9, FALSE)</f>
        <v>7.1</v>
      </c>
      <c r="G9" s="47">
        <f>IFERROR(VLOOKUP(B9,OUTPUT_COUNTRY!$B$6:$N$18, 7, FALSE),0)</f>
        <v>14.2</v>
      </c>
      <c r="H9">
        <f>VLOOKUP(B9,OUTPUT_COUNTRY!$B$6:$N$18, 8, FALSE)</f>
        <v>71.399999999999991</v>
      </c>
      <c r="I9">
        <f>VLOOKUP(B9,OUTPUT_COUNTRY!$B$6:$N$18, 11, FALSE)</f>
        <v>28.499999999999996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5.1758460299595344</v>
      </c>
      <c r="O9" s="136">
        <f>N9/$N$22</f>
        <v>0.26909555184971917</v>
      </c>
      <c r="P9">
        <f t="shared" ref="P9:P21" si="3">IF(I9&gt;=$F$5,1/E9,0)</f>
        <v>0</v>
      </c>
      <c r="Q9" s="136">
        <f>P9/$P$22</f>
        <v>0</v>
      </c>
      <c r="R9" s="156">
        <f t="shared" ref="R9:R21" ca="1" si="4">IF($D$2*K9+$D$4*M9+$F$2*O9+$F$4*Q9 = 0,"",$D$2*K9+$D$4*M9+$F$2*O9+$F$4*Q9)</f>
        <v>2.6909555184971918E-2</v>
      </c>
      <c r="S9" s="156">
        <f t="shared" ref="S9:S21" ca="1" si="5">IFERROR(IF(R9&gt;=$R$6, R9/SUMIF($R$9:$R$17,"&gt;="&amp;$R$6), ""),"")</f>
        <v>4.3350694097009666E-2</v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0.20890261924131667</v>
      </c>
      <c r="F10">
        <f ca="1">VLOOKUP(B10,OUTPUT_COUNTRY!$B$6:$N$18, 9, FALSE)</f>
        <v>71.399999999999991</v>
      </c>
      <c r="G10" s="47">
        <f>IFERROR(VLOOKUP(B10,OUTPUT_COUNTRY!$B$6:$N$18, 7, FALSE),0)</f>
        <v>7.1</v>
      </c>
      <c r="H10">
        <f>VLOOKUP(B10,OUTPUT_COUNTRY!$B$6:$N$18, 8, FALSE)</f>
        <v>28.499999999999996</v>
      </c>
      <c r="I10">
        <f>VLOOKUP(B10,OUTPUT_COUNTRY!$B$6:$N$18, 11, FALSE)</f>
        <v>71.399999999999991</v>
      </c>
      <c r="J10" s="47">
        <f t="shared" ca="1" si="0"/>
        <v>4.7869193963759571</v>
      </c>
      <c r="K10" s="136">
        <f t="shared" ref="K10:K21" ca="1" si="6">J10/$J$22</f>
        <v>0.27001775222774849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>
        <f t="shared" ref="O10:O21" si="8">N10/$N$22</f>
        <v>0</v>
      </c>
      <c r="P10">
        <f t="shared" si="3"/>
        <v>4.7869193963759571</v>
      </c>
      <c r="Q10" s="136">
        <f t="shared" ref="Q10:Q21" si="9">P10/$P$22</f>
        <v>0.28147681226450705</v>
      </c>
      <c r="R10" s="156">
        <f t="shared" ca="1" si="4"/>
        <v>0.16315655734032494</v>
      </c>
      <c r="S10" s="156">
        <f t="shared" ca="1" si="5"/>
        <v>0.26284158019570864</v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0.22052995964102895</v>
      </c>
      <c r="F11">
        <f ca="1">VLOOKUP(B11,OUTPUT_COUNTRY!$B$6:$N$18, 9, FALSE)</f>
        <v>50</v>
      </c>
      <c r="G11" s="47">
        <f>IFERROR(VLOOKUP(B11,OUTPUT_COUNTRY!$B$6:$N$18, 7, FALSE),0)</f>
        <v>42.8</v>
      </c>
      <c r="H11">
        <f>VLOOKUP(B11,OUTPUT_COUNTRY!$B$6:$N$18, 8, FALSE)</f>
        <v>28.499999999999996</v>
      </c>
      <c r="I11">
        <f>VLOOKUP(B11,OUTPUT_COUNTRY!$B$6:$N$18, 11, FALSE)</f>
        <v>42.8</v>
      </c>
      <c r="J11" s="47">
        <f t="shared" ca="1" si="0"/>
        <v>0</v>
      </c>
      <c r="K11" s="136">
        <f t="shared" ca="1" si="6"/>
        <v>0</v>
      </c>
      <c r="L11">
        <f t="shared" si="1"/>
        <v>0</v>
      </c>
      <c r="M11" s="136">
        <f t="shared" si="7"/>
        <v>0</v>
      </c>
      <c r="N11">
        <f t="shared" si="2"/>
        <v>0</v>
      </c>
      <c r="O11" s="136">
        <f t="shared" si="8"/>
        <v>0</v>
      </c>
      <c r="P11">
        <f t="shared" si="3"/>
        <v>0</v>
      </c>
      <c r="Q11" s="136">
        <f t="shared" si="9"/>
        <v>0</v>
      </c>
      <c r="R11" s="156" t="str">
        <f t="shared" ca="1" si="4"/>
        <v/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0.23834778128836764</v>
      </c>
      <c r="F12">
        <f ca="1">VLOOKUP(B12,OUTPUT_COUNTRY!$B$6:$N$18, 9, FALSE)</f>
        <v>42.8</v>
      </c>
      <c r="G12" s="47">
        <f>IFERROR(VLOOKUP(B12,OUTPUT_COUNTRY!$B$6:$N$18, 7, FALSE),0)</f>
        <v>42.8</v>
      </c>
      <c r="H12">
        <f>VLOOKUP(B12,OUTPUT_COUNTRY!$B$6:$N$18, 8, FALSE)</f>
        <v>7.1</v>
      </c>
      <c r="I12">
        <f>VLOOKUP(B12,OUTPUT_COUNTRY!$B$6:$N$18, 11, FALSE)</f>
        <v>85.7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>
        <f t="shared" si="8"/>
        <v>0</v>
      </c>
      <c r="P12">
        <f t="shared" si="3"/>
        <v>4.1955498582558199</v>
      </c>
      <c r="Q12" s="136">
        <f t="shared" si="9"/>
        <v>0.24670354815097092</v>
      </c>
      <c r="R12" s="156">
        <f t="shared" ca="1" si="4"/>
        <v>2.4670354815097092E-2</v>
      </c>
      <c r="S12" s="156">
        <f t="shared" ca="1" si="5"/>
        <v>3.974339217064541E-2</v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0.17025263638610552</v>
      </c>
      <c r="F13">
        <f ca="1">VLOOKUP(B13,OUTPUT_COUNTRY!$B$6:$N$18, 9, FALSE)</f>
        <v>14.2</v>
      </c>
      <c r="G13" s="47">
        <f>IFERROR(VLOOKUP(B13,OUTPUT_COUNTRY!$B$6:$N$18, 7, FALSE),0)</f>
        <v>78.5</v>
      </c>
      <c r="H13">
        <f>VLOOKUP(B13,OUTPUT_COUNTRY!$B$6:$N$18, 8, FALSE)</f>
        <v>7.1</v>
      </c>
      <c r="I13">
        <f>VLOOKUP(B13,OUTPUT_COUNTRY!$B$6:$N$18, 11, FALSE)</f>
        <v>7.1</v>
      </c>
      <c r="J13" s="47">
        <f t="shared" ca="1" si="0"/>
        <v>0</v>
      </c>
      <c r="K13" s="136">
        <f t="shared" ca="1" si="6"/>
        <v>0</v>
      </c>
      <c r="L13">
        <f t="shared" si="1"/>
        <v>5.8736241695086662</v>
      </c>
      <c r="M13" s="136">
        <f t="shared" si="7"/>
        <v>0.27786554160370497</v>
      </c>
      <c r="N13">
        <f t="shared" si="2"/>
        <v>0</v>
      </c>
      <c r="O13" s="136">
        <f t="shared" si="8"/>
        <v>0</v>
      </c>
      <c r="P13">
        <f t="shared" si="3"/>
        <v>0</v>
      </c>
      <c r="Q13" s="136">
        <f t="shared" si="9"/>
        <v>0</v>
      </c>
      <c r="R13" s="156">
        <f t="shared" ca="1" si="4"/>
        <v>8.3359662481111485E-2</v>
      </c>
      <c r="S13" s="156">
        <f t="shared" ca="1" si="5"/>
        <v>0.13429055974387741</v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0.16984155641614607</v>
      </c>
      <c r="F14">
        <f ca="1">VLOOKUP(B14,OUTPUT_COUNTRY!$B$6:$N$18, 9, FALSE)</f>
        <v>21.4</v>
      </c>
      <c r="G14" s="47">
        <f>IFERROR(VLOOKUP(B14,OUTPUT_COUNTRY!$B$6:$N$18, 7, FALSE),0)</f>
        <v>92.800000000000011</v>
      </c>
      <c r="H14">
        <f>VLOOKUP(B14,OUTPUT_COUNTRY!$B$6:$N$18, 8, FALSE)</f>
        <v>85.7</v>
      </c>
      <c r="I14">
        <f>VLOOKUP(B14,OUTPUT_COUNTRY!$B$6:$N$18, 11, FALSE)</f>
        <v>35.699999999999996</v>
      </c>
      <c r="J14" s="47">
        <f t="shared" ca="1" si="0"/>
        <v>0</v>
      </c>
      <c r="K14" s="136">
        <f t="shared" ca="1" si="6"/>
        <v>0</v>
      </c>
      <c r="L14">
        <f t="shared" si="1"/>
        <v>5.8878405326773988</v>
      </c>
      <c r="M14" s="136">
        <f t="shared" si="7"/>
        <v>0.27853807994417651</v>
      </c>
      <c r="N14">
        <f t="shared" si="2"/>
        <v>5.8878405326773988</v>
      </c>
      <c r="O14" s="136">
        <f t="shared" si="8"/>
        <v>0.30611260230172577</v>
      </c>
      <c r="P14">
        <f t="shared" si="3"/>
        <v>0</v>
      </c>
      <c r="Q14" s="136">
        <f t="shared" si="9"/>
        <v>0</v>
      </c>
      <c r="R14" s="156">
        <f t="shared" ca="1" si="4"/>
        <v>0.11417268421342552</v>
      </c>
      <c r="S14" s="156">
        <f t="shared" ca="1" si="5"/>
        <v>0.18392965151407645</v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0.20336478297854521</v>
      </c>
      <c r="F15">
        <f ca="1">VLOOKUP(B15,OUTPUT_COUNTRY!$B$6:$N$18, 9, FALSE)</f>
        <v>85.7</v>
      </c>
      <c r="G15" s="47">
        <f>IFERROR(VLOOKUP(B15,OUTPUT_COUNTRY!$B$6:$N$18, 7, FALSE),0)</f>
        <v>71.399999999999991</v>
      </c>
      <c r="H15">
        <f>VLOOKUP(B15,OUTPUT_COUNTRY!$B$6:$N$18, 8, FALSE)</f>
        <v>28.499999999999996</v>
      </c>
      <c r="I15">
        <f>VLOOKUP(B15,OUTPUT_COUNTRY!$B$6:$N$18, 11, FALSE)</f>
        <v>50</v>
      </c>
      <c r="J15" s="47">
        <f t="shared" ca="1" si="0"/>
        <v>4.9172722304898731</v>
      </c>
      <c r="K15" s="136">
        <f t="shared" ca="1" si="6"/>
        <v>0.27737061872694274</v>
      </c>
      <c r="L15">
        <f t="shared" si="1"/>
        <v>4.9172722304898731</v>
      </c>
      <c r="M15" s="136">
        <f t="shared" si="7"/>
        <v>0.23262307429047213</v>
      </c>
      <c r="N15">
        <f t="shared" si="2"/>
        <v>0</v>
      </c>
      <c r="O15" s="136">
        <f t="shared" si="8"/>
        <v>0</v>
      </c>
      <c r="P15">
        <f t="shared" si="3"/>
        <v>0</v>
      </c>
      <c r="Q15" s="136">
        <f t="shared" si="9"/>
        <v>0</v>
      </c>
      <c r="R15" s="156">
        <f t="shared" ca="1" si="4"/>
        <v>0.20847223165061302</v>
      </c>
      <c r="S15" s="156">
        <f t="shared" ca="1" si="5"/>
        <v>0.33584412227868238</v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0.19949496472094289</v>
      </c>
      <c r="F16">
        <f ca="1">VLOOKUP(B16,OUTPUT_COUNTRY!$B$6:$N$18, 9, FALSE)</f>
        <v>35.699999999999996</v>
      </c>
      <c r="G16" s="47">
        <f>IFERROR(VLOOKUP(B16,OUTPUT_COUNTRY!$B$6:$N$18, 7, FALSE),0)</f>
        <v>57.099999999999994</v>
      </c>
      <c r="H16">
        <f>VLOOKUP(B16,OUTPUT_COUNTRY!$B$6:$N$18, 8, FALSE)</f>
        <v>28.499999999999996</v>
      </c>
      <c r="I16">
        <f>VLOOKUP(B16,OUTPUT_COUNTRY!$B$6:$N$18, 11, FALSE)</f>
        <v>57.099999999999994</v>
      </c>
      <c r="J16" s="47">
        <f t="shared" ca="1" si="0"/>
        <v>0</v>
      </c>
      <c r="K16" s="136">
        <f t="shared" ca="1" si="6"/>
        <v>0</v>
      </c>
      <c r="L16">
        <f t="shared" si="1"/>
        <v>0</v>
      </c>
      <c r="M16" s="136">
        <f t="shared" si="7"/>
        <v>0</v>
      </c>
      <c r="N16">
        <f t="shared" si="2"/>
        <v>0</v>
      </c>
      <c r="O16" s="136">
        <f t="shared" si="8"/>
        <v>0</v>
      </c>
      <c r="P16">
        <f t="shared" si="3"/>
        <v>0</v>
      </c>
      <c r="Q16" s="136">
        <f t="shared" si="9"/>
        <v>0</v>
      </c>
      <c r="R16" s="156" t="str">
        <f t="shared" ca="1" si="4"/>
        <v/>
      </c>
      <c r="S16" s="156" t="str">
        <f t="shared" ca="1" si="5"/>
        <v/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0.17030922616558813</v>
      </c>
      <c r="F17">
        <f ca="1">VLOOKUP(B17,OUTPUT_COUNTRY!$B$6:$N$18, 9, FALSE)</f>
        <v>64.2</v>
      </c>
      <c r="G17" s="47">
        <f>IFERROR(VLOOKUP(B17,OUTPUT_COUNTRY!$B$6:$N$18, 7, FALSE),0)</f>
        <v>64.2</v>
      </c>
      <c r="H17">
        <f>VLOOKUP(B17,OUTPUT_COUNTRY!$B$6:$N$18, 8, FALSE)</f>
        <v>28.499999999999996</v>
      </c>
      <c r="I17">
        <f>VLOOKUP(B17,OUTPUT_COUNTRY!$B$6:$N$18, 11, FALSE)</f>
        <v>57.099999999999994</v>
      </c>
      <c r="J17" s="47">
        <f t="shared" ca="1" si="0"/>
        <v>0</v>
      </c>
      <c r="K17" s="136">
        <f t="shared" ca="1" si="6"/>
        <v>0</v>
      </c>
      <c r="L17">
        <f t="shared" si="1"/>
        <v>0</v>
      </c>
      <c r="M17" s="136">
        <f t="shared" si="7"/>
        <v>0</v>
      </c>
      <c r="N17">
        <f t="shared" si="2"/>
        <v>0</v>
      </c>
      <c r="O17" s="136">
        <f t="shared" si="8"/>
        <v>0</v>
      </c>
      <c r="P17">
        <f t="shared" si="3"/>
        <v>0</v>
      </c>
      <c r="Q17" s="136">
        <f t="shared" si="9"/>
        <v>0</v>
      </c>
      <c r="R17" s="156" t="str">
        <f t="shared" ca="1" si="4"/>
        <v/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0.22423377785578655</v>
      </c>
      <c r="F18">
        <f ca="1">VLOOKUP(B18,OUTPUT_COUNTRY!$B$6:$N$18, 9, FALSE)</f>
        <v>28.499999999999996</v>
      </c>
      <c r="G18" s="47">
        <f>IFERROR(VLOOKUP(B18,OUTPUT_COUNTRY!$B$6:$N$18, 7, FALSE),0)</f>
        <v>85.7</v>
      </c>
      <c r="H18">
        <f>VLOOKUP(B18,OUTPUT_COUNTRY!$B$6:$N$18, 8, FALSE)</f>
        <v>28.499999999999996</v>
      </c>
      <c r="I18">
        <f>VLOOKUP(B18,OUTPUT_COUNTRY!$B$6:$N$18, 11, FALSE)</f>
        <v>14.2</v>
      </c>
      <c r="J18" s="47">
        <f t="shared" ca="1" si="0"/>
        <v>0</v>
      </c>
      <c r="K18" s="136">
        <f t="shared" ca="1" si="6"/>
        <v>0</v>
      </c>
      <c r="L18">
        <f t="shared" si="1"/>
        <v>4.4596314148671166</v>
      </c>
      <c r="M18" s="136">
        <f t="shared" si="7"/>
        <v>0.21097330416164622</v>
      </c>
      <c r="N18">
        <f t="shared" si="2"/>
        <v>0</v>
      </c>
      <c r="O18" s="136">
        <f t="shared" si="8"/>
        <v>0</v>
      </c>
      <c r="P18">
        <f t="shared" si="3"/>
        <v>0</v>
      </c>
      <c r="Q18" s="136">
        <f t="shared" si="9"/>
        <v>0</v>
      </c>
      <c r="R18" s="156">
        <f t="shared" ca="1" si="4"/>
        <v>6.329199124849387E-2</v>
      </c>
      <c r="S18" s="156">
        <f t="shared" ca="1" si="5"/>
        <v>0.10196198831767994</v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0.23928856998407955</v>
      </c>
      <c r="F19">
        <f ca="1">VLOOKUP(B19,OUTPUT_COUNTRY!$B$6:$N$18, 9, FALSE)</f>
        <v>78.5</v>
      </c>
      <c r="G19" s="47">
        <f>IFERROR(VLOOKUP(B19,OUTPUT_COUNTRY!$B$6:$N$18, 7, FALSE),0)</f>
        <v>28.499999999999996</v>
      </c>
      <c r="H19">
        <f>VLOOKUP(B19,OUTPUT_COUNTRY!$B$6:$N$18, 8, FALSE)</f>
        <v>7.1</v>
      </c>
      <c r="I19">
        <f>VLOOKUP(B19,OUTPUT_COUNTRY!$B$6:$N$18, 11, FALSE)</f>
        <v>92.800000000000011</v>
      </c>
      <c r="J19" s="47">
        <f t="shared" ca="1" si="0"/>
        <v>4.1790546036801191</v>
      </c>
      <c r="K19" s="136">
        <f t="shared" ca="1" si="6"/>
        <v>0.23572967018768362</v>
      </c>
      <c r="L19">
        <f t="shared" si="1"/>
        <v>0</v>
      </c>
      <c r="M19" s="136">
        <f t="shared" si="7"/>
        <v>0</v>
      </c>
      <c r="N19">
        <f t="shared" si="2"/>
        <v>0</v>
      </c>
      <c r="O19" s="136">
        <f t="shared" si="8"/>
        <v>0</v>
      </c>
      <c r="P19">
        <f t="shared" si="3"/>
        <v>4.1790546036801191</v>
      </c>
      <c r="Q19" s="136">
        <f t="shared" si="9"/>
        <v>0.24573360667274696</v>
      </c>
      <c r="R19" s="156">
        <f t="shared" ca="1" si="4"/>
        <v>0.14243819576111649</v>
      </c>
      <c r="S19" s="156">
        <f t="shared" ca="1" si="5"/>
        <v>0.22946476111275727</v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0.23118045078446023</v>
      </c>
      <c r="F20">
        <f ca="1">VLOOKUP(B20,OUTPUT_COUNTRY!$B$6:$N$18, 9, FALSE)</f>
        <v>57.099999999999994</v>
      </c>
      <c r="G20" s="47">
        <f>IFERROR(VLOOKUP(B20,OUTPUT_COUNTRY!$B$6:$N$18, 7, FALSE),0)</f>
        <v>28.499999999999996</v>
      </c>
      <c r="H20">
        <f>VLOOKUP(B20,OUTPUT_COUNTRY!$B$6:$N$18, 8, FALSE)</f>
        <v>92.800000000000011</v>
      </c>
      <c r="I20">
        <f>VLOOKUP(B20,OUTPUT_COUNTRY!$B$6:$N$18, 11, FALSE)</f>
        <v>21.4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4.3256252706780307</v>
      </c>
      <c r="O20" s="136">
        <f t="shared" si="8"/>
        <v>0.22489202974171471</v>
      </c>
      <c r="P20">
        <f t="shared" si="3"/>
        <v>0</v>
      </c>
      <c r="Q20" s="136">
        <f t="shared" si="9"/>
        <v>0</v>
      </c>
      <c r="R20" s="156">
        <f t="shared" ca="1" si="4"/>
        <v>2.2489202974171472E-2</v>
      </c>
      <c r="S20" s="156">
        <f t="shared" ca="1" si="5"/>
        <v>3.6229605131612462E-2</v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0.26008348494795225</v>
      </c>
      <c r="F21" s="13">
        <f ca="1">VLOOKUP(B21,OUTPUT_COUNTRY!$B$6:$N$18, 9, FALSE)</f>
        <v>92.800000000000011</v>
      </c>
      <c r="G21" s="138">
        <f>IFERROR(VLOOKUP(B21,OUTPUT_COUNTRY!$B$6:$N$18, 7, FALSE),0)</f>
        <v>21.4</v>
      </c>
      <c r="H21" s="13">
        <f>VLOOKUP(B21,OUTPUT_COUNTRY!$B$6:$N$18, 8, FALSE)</f>
        <v>71.399999999999991</v>
      </c>
      <c r="I21" s="13">
        <f>VLOOKUP(B21,OUTPUT_COUNTRY!$B$6:$N$18, 11, FALSE)</f>
        <v>78.5</v>
      </c>
      <c r="J21" s="138">
        <f t="shared" ca="1" si="0"/>
        <v>3.844919258137899</v>
      </c>
      <c r="K21" s="137">
        <f t="shared" ca="1" si="6"/>
        <v>0.21688195885762507</v>
      </c>
      <c r="L21" s="13">
        <f t="shared" si="1"/>
        <v>0</v>
      </c>
      <c r="M21" s="137">
        <f t="shared" si="7"/>
        <v>0</v>
      </c>
      <c r="N21" s="13">
        <f t="shared" si="2"/>
        <v>3.844919258137899</v>
      </c>
      <c r="O21" s="137">
        <f t="shared" si="8"/>
        <v>0.19989981610684038</v>
      </c>
      <c r="P21" s="13">
        <f t="shared" si="3"/>
        <v>3.844919258137899</v>
      </c>
      <c r="Q21" s="137">
        <f t="shared" si="9"/>
        <v>0.22608603291177509</v>
      </c>
      <c r="R21" s="157">
        <f t="shared" ca="1" si="4"/>
        <v>0.15103956433067409</v>
      </c>
      <c r="S21" s="157">
        <f t="shared" ca="1" si="5"/>
        <v>0.24332137431618781</v>
      </c>
    </row>
    <row r="22" spans="2:21" x14ac:dyDescent="0.35">
      <c r="J22" s="47">
        <f ca="1">SUM(J9:J21)</f>
        <v>17.72816548868385</v>
      </c>
      <c r="K22" s="169"/>
      <c r="L22">
        <f>SUM(L9:L21)</f>
        <v>21.138368347543057</v>
      </c>
      <c r="N22">
        <f>SUM(N9:N21)</f>
        <v>19.234231091452862</v>
      </c>
      <c r="P22">
        <f>SUM(P9:P21)</f>
        <v>17.006443116449795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abSelected="1"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++</v>
      </c>
      <c r="J4" s="120" t="str">
        <f ca="1">IF(VLOOKUP(C4,OUTPUT_COUNTRY!$B$6:$N$18,9,FALSE)&gt;75,"++",(IF(VLOOKUP(C4,OUTPUT_COUNTRY!$B$6:$N$18,9,FALSE)&gt;50,"+",(IF(VLOOKUP(C4,OUTPUT_COUNTRY!$B$6:$N$18,9,FALSE)&gt;25,"-","--")))))</f>
        <v>--</v>
      </c>
      <c r="K4" s="153" t="str">
        <f>IF(VLOOKUP(C4,OUTPUT_COUNTRY!$B$6:$N$18,11,FALSE)&gt;75,"++",(IF(VLOOKUP(C4,OUTPUT_COUNTRY!$B$6:$N$18,11,FALSE)&gt;50,"+",(IF(VLOOKUP(C4,OUTPUT_COUNTRY!$B$6:$N$18,11,FALSE)&gt;25,"-","--")))))</f>
        <v>-</v>
      </c>
      <c r="L4" s="120" t="str">
        <f ca="1">IF(VLOOKUP(C4,OUTPUT_COUNTRY!$B$6:$N$18,13,FALSE)&gt;75,"++",(IF(VLOOKUP(C4,OUTPUT_COUNTRY!$B$6:$N$18,13,FALSE)&gt;50,"+",(IF(VLOOKUP(C4,OUTPUT_COUNTRY!$B$6:$N$18,13,FALSE)&gt;25,"-","--")))))</f>
        <v>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+</v>
      </c>
      <c r="F5" s="121" t="str">
        <f>IF(VLOOKUP(C5,OUTPUT_COUNTRY!$B$6:$N$18,4,FALSE)&gt;75,"++",(IF(VLOOKUP(C5,OUTPUT_COUNTRY!$B$6:$N$18,4,FALSE)&gt;50,"+",(IF(VLOOKUP(C5,OUTPUT_COUNTRY!$B$6:$N$18,4,FALSE)&gt;25,"-","--")))))</f>
        <v>+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--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-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+</v>
      </c>
      <c r="L6" s="121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+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-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-</v>
      </c>
      <c r="G9" s="159" t="str">
        <f>IF(VLOOKUP(C9,OUTPUT_COUNTRY!$B$6:$N$18,5,FALSE)&gt;75,"++",(IF(VLOOKUP(C9,OUTPUT_COUNTRY!$B$6:$N$18,5,FALSE)&gt;50,"+",(IF(VLOOKUP(C9,OUTPUT_COUNTRY!$B$6:$N$18,5,FALSE)&gt;25,"-","--")))))</f>
        <v>+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-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-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+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+</v>
      </c>
      <c r="J12" s="121" t="str">
        <f ca="1">IF(VLOOKUP(C12,OUTPUT_COUNTRY!$B$6:$N$18,9,FALSE)&gt;75,"++",(IF(VLOOKUP(C12,OUTPUT_COUNTRY!$B$6:$N$18,9,FALSE)&gt;50,"+",(IF(VLOOKUP(C12,OUTPUT_COUNTRY!$B$6:$N$18,9,FALSE)&gt;25,"-","--")))))</f>
        <v>--</v>
      </c>
      <c r="K12" s="159" t="str">
        <f>IF(VLOOKUP(C12,OUTPUT_COUNTRY!$B$6:$N$18,11,FALSE)&gt;75,"++",(IF(VLOOKUP(C12,OUTPUT_COUNTRY!$B$6:$N$18,11,FALSE)&gt;50,"+",(IF(VLOOKUP(C12,OUTPUT_COUNTRY!$B$6:$N$18,11,FALSE)&gt;25,"-","--")))))</f>
        <v>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-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</v>
      </c>
      <c r="K13" s="159" t="str">
        <f>IF(VLOOKUP(C13,OUTPUT_COUNTRY!$B$6:$N$18,11,FALSE)&gt;75,"++",(IF(VLOOKUP(C13,OUTPUT_COUNTRY!$B$6:$N$18,11,FALSE)&gt;50,"+",(IF(VLOOKUP(C13,OUTPUT_COUNTRY!$B$6:$N$18,11,FALSE)&gt;25,"-","--")))))</f>
        <v>--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--</v>
      </c>
      <c r="J14" s="121" t="str">
        <f ca="1">IF(VLOOKUP(C14,OUTPUT_COUNTRY!$B$6:$N$18,9,FALSE)&gt;75,"++",(IF(VLOOKUP(C14,OUTPUT_COUNTRY!$B$6:$N$18,9,FALSE)&gt;50,"+",(IF(VLOOKUP(C14,OUTPUT_COUNTRY!$B$6:$N$18,9,FALSE)&gt;25,"-","--")))))</f>
        <v>++</v>
      </c>
      <c r="K14" s="159" t="str">
        <f>IF(VLOOKUP(C14,OUTPUT_COUNTRY!$B$6:$N$18,11,FALSE)&gt;75,"++",(IF(VLOOKUP(C14,OUTPUT_COUNTRY!$B$6:$N$18,11,FALSE)&gt;50,"+",(IF(VLOOKUP(C14,OUTPUT_COUNTRY!$B$6:$N$18,11,FALSE)&gt;25,"-","--")))))</f>
        <v>++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+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</v>
      </c>
      <c r="I15" s="159" t="str">
        <f>IF(VLOOKUP(C15,OUTPUT_COUNTRY!$B$6:$N$18,8,FALSE)&gt;75,"++",(IF(VLOOKUP(C15,OUTPUT_COUNTRY!$B$6:$N$18,8,FALSE)&gt;50,"+",(IF(VLOOKUP(C15,OUTPUT_COUNTRY!$B$6:$N$18,8,FALSE)&gt;25,"-","--")))))</f>
        <v>++</v>
      </c>
      <c r="J15" s="121" t="str">
        <f ca="1">IF(VLOOKUP(C15,OUTPUT_COUNTRY!$B$6:$N$18,9,FALSE)&gt;75,"++",(IF(VLOOKUP(C15,OUTPUT_COUNTRY!$B$6:$N$18,9,FALSE)&gt;50,"+",(IF(VLOOKUP(C15,OUTPUT_COUNTRY!$B$6:$N$18,9,FALSE)&gt;25,"-","--")))))</f>
        <v>+</v>
      </c>
      <c r="K15" s="159" t="str">
        <f>IF(VLOOKUP(C15,OUTPUT_COUNTRY!$B$6:$N$18,11,FALSE)&gt;75,"++",(IF(VLOOKUP(C15,OUTPUT_COUNTRY!$B$6:$N$18,11,FALSE)&gt;50,"+",(IF(VLOOKUP(C15,OUTPUT_COUNTRY!$B$6:$N$18,11,FALSE)&gt;25,"-","--")))))</f>
        <v>--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+</v>
      </c>
      <c r="J16" s="122" t="str">
        <f ca="1">IF(VLOOKUP(C16,OUTPUT_COUNTRY!$B$6:$N$18,9,FALSE)&gt;75,"++",(IF(VLOOKUP(C16,OUTPUT_COUNTRY!$B$6:$N$18,9,FALSE)&gt;50,"+",(IF(VLOOKUP(C16,OUTPUT_COUNTRY!$B$6:$N$18,9,FALSE)&gt;25,"-","--")))))</f>
        <v>++</v>
      </c>
      <c r="K16" s="154" t="str">
        <f>IF(VLOOKUP(C16,OUTPUT_COUNTRY!$B$6:$N$18,11,FALSE)&gt;75,"++",(IF(VLOOKUP(C16,OUTPUT_COUNTRY!$B$6:$N$18,11,FALSE)&gt;50,"+",(IF(VLOOKUP(C16,OUTPUT_COUNTRY!$B$6:$N$18,11,FALSE)&gt;25,"-","--")))))</f>
        <v>++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++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45412</v>
      </c>
      <c r="G3" s="4" cm="1">
        <f t="array" ref="G3">_xll.FDS(D3,"FMA_PE(LTM,0,,,""PORTAGG"",""MEANR"")")</f>
        <v>29.568726293418798</v>
      </c>
      <c r="H3" s="4" cm="1">
        <f t="array" ref="H3">_xll.FDS(D3,"FMA_PE(NTMA,0,,,""PORTAGG"",""MEANR"")")</f>
        <v>25.041369182060201</v>
      </c>
      <c r="I3" cm="1">
        <f t="array" ref="I3">_xll.FDS(D3,"FMA_DIV_YLD(NTMA,NOW,NOW,M,""PORTAGG"",""MEANR"")")</f>
        <v>2.7463353353453002</v>
      </c>
      <c r="J3" s="52" cm="1">
        <f t="array" ref="J3">IFERROR(_xll.FDS(D3,"FG_FCF_YIELD_NTM(0)"),(1/G3*100))</f>
        <v>0.529163925264172</v>
      </c>
      <c r="K3" s="3" cm="1">
        <f t="array" ref="K3">_xll.FDS(D3,"FMA_EVAL_EBITDA(NTMA,0,,,""PORTAGG"",""MEANR"")")</f>
        <v>12.1671116656234</v>
      </c>
      <c r="L3" cm="1">
        <f t="array" ref="L3">_xll.FDS(D3,"FMA_EVAL_EBIT(LTMA,NOW,NOW,M,""PORTAGG"",""MEANR"")")</f>
        <v>20.627787659156802</v>
      </c>
      <c r="M3">
        <f>HLOOKUP(D3,'Index ROE'!$A$1:$N$25,25,FALSE)</f>
        <v>6.5791075391831502</v>
      </c>
      <c r="N3">
        <f>VLOOKUP(A3,'LIQIDITY 2'!$A$3:$E$16,5,FALSE)</f>
        <v>4.6012000000000004</v>
      </c>
      <c r="O3" cm="1">
        <f t="array" ref="O3">IFERROR(IFERROR(IFERROR(IFERROR(_xll.FDS(B3,"IMF_IFS_RCPI_Q(0)"),_xll.FDS(B3,"IMF_IFS_RCPI_Q(-1AM)")),_xll.FDS(B3,"IMF_IFS_RCPI_Q(-2AM)")),_xll.FDS(B3,"IMF_IFS_RCPI_Q(-3AM)")),$D$31)</f>
        <v>4.0229889999999999</v>
      </c>
      <c r="P3">
        <f>VLOOKUP(E3,GDP_GROWTH!$B$10:$W$165,22,FALSE)</f>
        <v>2.7196134550164452</v>
      </c>
      <c r="Q3">
        <f t="shared" ref="Q3:Q11" si="0">I3-N3</f>
        <v>-1.8548646646547002</v>
      </c>
      <c r="R3" s="52">
        <f t="shared" ref="R3:R11" si="1">J3-N3</f>
        <v>-4.0720360747358288</v>
      </c>
      <c r="S3">
        <f t="shared" ref="S3:S11" si="2">M3-N3</f>
        <v>1.9779075391831498</v>
      </c>
      <c r="T3">
        <f t="shared" ref="T3:T11" si="3">M3-O3</f>
        <v>2.5561185391831502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14.3</v>
      </c>
      <c r="Y3" cm="1">
        <f t="array" ref="Y3">(1-_xlfn.PERCENTRANK.EXC(_xlfn._xlws.FILTER(H$3:H$15, ISNUMBER(H$3:H$15)),H3))*100</f>
        <v>14.3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11.415000000000003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45412</v>
      </c>
      <c r="G4" s="4" cm="1">
        <f t="array" ref="G4">_xll.FDS(D4,"FMA_PE(LTM,0,,,""PORTAGG"",""MEANR"")")</f>
        <v>19.381237441398898</v>
      </c>
      <c r="H4" s="4" cm="1">
        <f t="array" ref="H4">_xll.FDS(D4,"FMA_PE(NTMA,0,,,""PORTAGG"",""MEANR"")")</f>
        <v>16.988358198330399</v>
      </c>
      <c r="I4" cm="1">
        <f t="array" ref="I4">_xll.FDS(D4,"FMA_DIV_YLD(NTMA,NOW,NOW,M,""PORTAGG"",""MEANR"")")</f>
        <v>4.0156245451039903</v>
      </c>
      <c r="J4" s="52" cm="1">
        <f t="array" ref="J4">IFERROR(_xll.FDS(D4,"FG_FCF_YIELD_NTM(0)"),(1/G4*100))</f>
        <v>4.8248472596380996</v>
      </c>
      <c r="K4" s="3" cm="1">
        <f t="array" ref="K4">_xll.FDS(D4,"FMA_EVAL_EBITDA(NTMA,0,,,""PORTAGG"",""MEANR"")")</f>
        <v>8.8035376142302901</v>
      </c>
      <c r="L4" cm="1">
        <f t="array" ref="L4">_xll.FDS(D4,"FMA_EVAL_EBIT(LTMA,NOW,NOW,M,""PORTAGG"",""MEANR"")")</f>
        <v>12.3737151238296</v>
      </c>
      <c r="M4">
        <f>HLOOKUP(D4,'Index ROE'!$A$1:$N$25,25,FALSE)</f>
        <v>13.226137995013501</v>
      </c>
      <c r="N4">
        <f>VLOOKUP(A4,'LIQIDITY 2'!$A$3:$E$16,5,FALSE)</f>
        <v>4.2130000000000001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-0.19737545489600983</v>
      </c>
      <c r="R4" s="52">
        <f t="shared" si="1"/>
        <v>0.61184725963809949</v>
      </c>
      <c r="S4">
        <f t="shared" si="2"/>
        <v>9.0131379950135013</v>
      </c>
      <c r="T4">
        <f t="shared" si="3"/>
        <v>9.6062279950135014</v>
      </c>
      <c r="U4" cm="1">
        <f t="array" ref="U4">_xlfn.PERCENTRANK.EXC(_xlfn._xlws.FILTER(Q$3:Q$15, ISNUMBER(Q$3:Q$15)),Q4)*100</f>
        <v>42.8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28.499999999999996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32.154999999999994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45412</v>
      </c>
      <c r="G5" s="4" cm="1">
        <f t="array" ref="G5">_xll.FDS(D5,"FMA_PE(LTM,0,,,""PORTAGG"",""MEANR"")")</f>
        <v>17.296664684931201</v>
      </c>
      <c r="H5" s="4" cm="1">
        <f t="array" ref="H5">_xll.FDS(D5,"FMA_PE(NTMA,0,,,""PORTAGG"",""MEANR"")")</f>
        <v>14.430342637326699</v>
      </c>
      <c r="I5" cm="1">
        <f t="array" ref="I5">_xll.FDS(D5,"FMA_DIV_YLD(NTMA,NOW,NOW,M,""PORTAGG"",""MEANR"")")</f>
        <v>3.1413647727970102</v>
      </c>
      <c r="J5" s="52" cm="1">
        <f t="array" ref="J5">IFERROR(_xll.FDS(D5,"FG_FCF_YIELD_NTM(0)"),(1/G5*100))</f>
        <v>5.0295722811455796</v>
      </c>
      <c r="K5" s="3" cm="1">
        <f t="array" ref="K5">_xll.FDS(D5,"FMA_EVAL_EBITDA(NTMA,0,,,""PORTAGG"",""MEANR"")")</f>
        <v>9.8700445460118704</v>
      </c>
      <c r="L5" cm="1">
        <f t="array" ref="L5">_xll.FDS(D5,"FMA_EVAL_EBIT(LTMA,NOW,NOW,M,""PORTAGG"",""MEANR"")")</f>
        <v>16.228549789940701</v>
      </c>
      <c r="M5">
        <f>HLOOKUP(D5,'Index ROE'!$A$1:$N$25,25,FALSE)</f>
        <v>13.147116166704</v>
      </c>
      <c r="N5">
        <f>VLOOKUP(A5,'LIQIDITY 2'!$A$3:$E$16,5,FALSE)</f>
        <v>3.6168999999999998</v>
      </c>
      <c r="O5" cm="1">
        <f t="array" ref="O5">IFERROR(IFERROR(IFERROR(IFERROR(_xll.FDS(B5,"IMF_IFS_RCPI_Q(0)"),_xll.FDS(B5,"IMF_IFS_RCPI_Q(-1AM)")),_xll.FDS(B5,"IMF_IFS_RCPI_Q(-2AM)")),_xll.FDS(B5,"IMF_IFS_RCPI_Q(-3AM)")),$D$31)</f>
        <v>2.8466705999999999</v>
      </c>
      <c r="P5">
        <f>VLOOKUP(E5,GDP_GROWTH!$B$10:$W$165,22,FALSE)</f>
        <v>1.4598842535213041</v>
      </c>
      <c r="Q5">
        <f t="shared" si="0"/>
        <v>-0.47553522720298957</v>
      </c>
      <c r="R5" s="52">
        <f t="shared" si="1"/>
        <v>1.4126722811455799</v>
      </c>
      <c r="S5">
        <f t="shared" si="2"/>
        <v>9.5302161667040011</v>
      </c>
      <c r="T5">
        <f t="shared" si="3"/>
        <v>10.300445566704001</v>
      </c>
      <c r="U5" cm="1">
        <f t="array" ref="U5">_xlfn.PERCENTRANK.EXC(_xlfn._xlws.FILTER(Q$3:Q$15, ISNUMBER(Q$3:Q$15)),Q5)*100</f>
        <v>28.499999999999996</v>
      </c>
      <c r="V5" cm="1">
        <f t="array" ref="V5">_xlfn.PERCENTRANK.EXC(_xlfn._xlws.FILTER(R$3:R$15, ISNUMBER(R$3:R$15)),R5)*100</f>
        <v>42.8</v>
      </c>
      <c r="W5" cm="1">
        <f t="array" ref="W5">_xlfn.PERCENTRANK.EXC(_xlfn._xlws.FILTER(S$3:S$15, ISNUMBER(S$3:S$15)),S5)*100</f>
        <v>35.699999999999996</v>
      </c>
      <c r="X5" cm="1">
        <f t="array" ref="X5">(1-_xlfn.PERCENTRANK.EXC(_xlfn._xlws.FILTER(G$3:G$15, ISNUMBER(G$3:G$15)),G5))*100</f>
        <v>42.900000000000006</v>
      </c>
      <c r="Y5" cm="1">
        <f t="array" ref="Y5">(1-_xlfn.PERCENTRANK.EXC(_xlfn._xlws.FILTER(H$3:H$15, ISNUMBER(H$3:H$15)),H5))*100</f>
        <v>71.500000000000014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48.57500000000001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45412</v>
      </c>
      <c r="G6" s="4" cm="1">
        <f t="array" ref="G6">_xll.FDS(D6,"FMA_PE(LTM,0,,,""PORTAGG"",""MEANR"")")</f>
        <v>16.586045384784999</v>
      </c>
      <c r="H6" s="4" cm="1">
        <f t="array" ref="H6">_xll.FDS(D6,"FMA_PE(NTMA,0,,,""PORTAGG"",""MEANR"")")</f>
        <v>12.2653757637992</v>
      </c>
      <c r="I6" cm="1">
        <f t="array" ref="I6">_xll.FDS(D6,"FMA_DIV_YLD(NTMA,NOW,NOW,M,""PORTAGG"",""MEANR"")")</f>
        <v>3.3906448019886999</v>
      </c>
      <c r="J6" s="52" cm="1">
        <f t="array" ref="J6">IFERROR(_xll.FDS(D6,"FG_FCF_YIELD_NTM(0)"),(1/G6*100))</f>
        <v>5.6859220665228802</v>
      </c>
      <c r="K6" s="3" cm="1">
        <f t="array" ref="K6">_xll.FDS(D6,"FMA_EVAL_EBITDA(NTMA,0,,,""PORTAGG"",""MEANR"")")</f>
        <v>8.6474551927188106</v>
      </c>
      <c r="L6" cm="1">
        <f t="array" ref="L6">_xll.FDS(D6,"FMA_EVAL_EBIT(LTMA,NOW,NOW,M,""PORTAGG"",""MEANR"")")</f>
        <v>13.277566921622901</v>
      </c>
      <c r="M6">
        <f>HLOOKUP(D6,'Index ROE'!$A$1:$N$25,25,FALSE)</f>
        <v>11.93889064433</v>
      </c>
      <c r="N6">
        <f>VLOOKUP(A6,'LIQIDITY 2'!$A$3:$E$16,5,FALSE)</f>
        <v>2.5070000000000001</v>
      </c>
      <c r="O6" cm="1">
        <f t="array" ref="O6">IFERROR(IFERROR(IFERROR(IFERROR(_xll.FDS(B6,"IMF_IFS_RCPI_Q(0)"),_xll.FDS(B6,"IMF_IFS_RCPI_Q(-1AM)")),_xll.FDS(B6,"IMF_IFS_RCPI_Q(-2AM)")),_xll.FDS(B6,"IMF_IFS_RCPI_Q(-3AM)")),$D$31)</f>
        <v>2.5173564000000002</v>
      </c>
      <c r="P6">
        <f>VLOOKUP(E6,GDP_GROWTH!$B$10:$W$165,22,FALSE)</f>
        <v>0.863192929992318</v>
      </c>
      <c r="Q6">
        <f t="shared" si="0"/>
        <v>0.88364480198869977</v>
      </c>
      <c r="R6" s="52">
        <f t="shared" si="1"/>
        <v>3.1789220665228801</v>
      </c>
      <c r="S6">
        <f t="shared" si="2"/>
        <v>9.4318906443300001</v>
      </c>
      <c r="T6">
        <f t="shared" si="3"/>
        <v>9.4215342443299992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78.5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57.2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21.4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61.775000000000013</v>
      </c>
      <c r="AC6" cm="1">
        <f t="array" ref="AC6">_xlfn.PERCENTRANK.EXC(_xlfn._xlws.FILTER(AB$3:AB$15, ISNUMBER(AB$3:AB$15)),AB6)*100</f>
        <v>64.2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45412</v>
      </c>
      <c r="G7" s="4" cm="1">
        <f t="array" ref="G7">_xll.FDS(D7,"FMA_PE(LTM,0,,,""PORTAGG"",""MEANR"")")</f>
        <v>15.9539909365438</v>
      </c>
      <c r="H7" s="4" cm="1">
        <f t="array" ref="H7">_xll.FDS(D7,"FMA_PE(NTMA,0,,,""PORTAGG"",""MEANR"")")</f>
        <v>15.4437641829219</v>
      </c>
      <c r="I7" cm="1">
        <f t="array" ref="I7">_xll.FDS(D7,"FMA_DIV_YLD(NTMA,NOW,NOW,M,""PORTAGG"",""MEANR"")")</f>
        <v>2.2053176549670601</v>
      </c>
      <c r="J7" s="52" cm="1">
        <f t="array" ref="J7">IFERROR(_xll.FDS(D7,"FG_FCF_YIELD_NTM(0)"),(1/G7*100))</f>
        <v>4.20406753952172</v>
      </c>
      <c r="K7" s="3" cm="1">
        <f t="array" ref="K7">_xll.FDS(D7,"FMA_EVAL_EBITDA(NTMA,0,,,""PORTAGG"",""MEANR"")")</f>
        <v>10.482299546997099</v>
      </c>
      <c r="L7" cm="1">
        <f t="array" ref="L7">_xll.FDS(D7,"FMA_EVAL_EBIT(LTMA,NOW,NOW,M,""PORTAGG"",""MEANR"")")</f>
        <v>17.977364130198001</v>
      </c>
      <c r="M7">
        <f>HLOOKUP(D7,'Index ROE'!$A$1:$N$25,25,FALSE)</f>
        <v>9.29960121519116</v>
      </c>
      <c r="N7">
        <f>VLOOKUP(A7,'LIQIDITY 2'!$A$3:$E$16,5,FALSE)</f>
        <v>0.94350000000000001</v>
      </c>
      <c r="O7" cm="1">
        <f t="array" ref="O7">IFERROR(IFERROR(IFERROR(IFERROR(_xll.FDS(B7,"IMF_IFS_RCPI_Q(0)"),_xll.FDS(B7,"IMF_IFS_RCPI_Q(-1AM)")),_xll.FDS(B7,"IMF_IFS_RCPI_Q(-2AM)")),_xll.FDS(B7,"IMF_IFS_RCPI_Q(-3AM)")),$D$31)</f>
        <v>2.5231561999999998</v>
      </c>
      <c r="P7">
        <f>VLOOKUP(E7,GDP_GROWTH!$B$10:$W$165,22,FALSE)</f>
        <v>0.31456851442112077</v>
      </c>
      <c r="Q7">
        <f t="shared" si="0"/>
        <v>1.2618176549670601</v>
      </c>
      <c r="R7" s="52">
        <f t="shared" si="1"/>
        <v>3.2605675395217197</v>
      </c>
      <c r="S7">
        <f t="shared" si="2"/>
        <v>8.3561012151911598</v>
      </c>
      <c r="T7">
        <f t="shared" si="3"/>
        <v>6.7764450151911602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85.7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71.500000000000014</v>
      </c>
      <c r="Y7" cm="1">
        <f t="array" ref="Y7">(1-_xlfn.PERCENTRANK.EXC(_xlfn._xlws.FILTER(H$3:H$15, ISNUMBER(H$3:H$15)),H7))*100</f>
        <v>57.2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60.365000000000009</v>
      </c>
      <c r="AC7" cm="1">
        <f t="array" ref="AC7">_xlfn.PERCENTRANK.EXC(_xlfn._xlws.FILTER(AB$3:AB$15, ISNUMBER(AB$3:AB$15)),AB7)*100</f>
        <v>57.099999999999994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45412</v>
      </c>
      <c r="G8" s="4" cm="1">
        <f t="array" ref="G8">_xll.FDS(D8,"FMA_PE(LTM,0,,,""PORTAGG"",""MEANR"")")</f>
        <v>16.155458936244301</v>
      </c>
      <c r="H8" s="4" cm="1">
        <f t="array" ref="H8">_xll.FDS(D8,"FMA_PE(NTMA,0,,,""PORTAGG"",""MEANR"")")</f>
        <v>17.350635671276599</v>
      </c>
      <c r="I8" cm="1">
        <f t="array" ref="I8">_xll.FDS(D8,"FMA_DIV_YLD(NTMA,NOW,NOW,M,""PORTAGG"",""MEANR"")")</f>
        <v>3.4144094278527302</v>
      </c>
      <c r="J8" s="52" cm="1">
        <f t="array" ref="J8">IFERROR(_xll.FDS(D8,"FG_FCF_YIELD_NTM(0)"),(1/G8*100))</f>
        <v>4.90164474834015</v>
      </c>
      <c r="K8" s="3" cm="1">
        <f t="array" ref="K8">_xll.FDS(D8,"FMA_EVAL_EBITDA(NTMA,0,,,""PORTAGG"",""MEANR"")")</f>
        <v>12.941731547857501</v>
      </c>
      <c r="L8" cm="1">
        <f t="array" ref="L8">_xll.FDS(D8,"FMA_EVAL_EBIT(LTMA,NOW,NOW,M,""PORTAGG"",""MEANR"")")</f>
        <v>16.415835178020899</v>
      </c>
      <c r="M8">
        <f>HLOOKUP(D8,'Index ROE'!$A$1:$N$25,25,FALSE)</f>
        <v>19.299686812780902</v>
      </c>
      <c r="N8">
        <f>VLOOKUP(A8,'LIQIDITY 2'!$A$3:$E$16,5,FALSE)</f>
        <v>0.754</v>
      </c>
      <c r="O8" cm="1">
        <f t="array" ref="O8">IFERROR(IFERROR(IFERROR(IFERROR(_xll.FDS(B8,"IMF_IFS_RCPI_Q(0)"),_xll.FDS(B8,"IMF_IFS_RCPI_Q(-1AM)")),_xll.FDS(B8,"IMF_IFS_RCPI_Q(-2AM)")),_xll.FDS(B8,"IMF_IFS_RCPI_Q(-3AM)")),$D$31)</f>
        <v>1.1636324</v>
      </c>
      <c r="P8">
        <f>VLOOKUP(E8,GDP_GROWTH!$B$10:$W$165,22,FALSE)</f>
        <v>2.077185911672963</v>
      </c>
      <c r="Q8">
        <f t="shared" si="0"/>
        <v>2.6604094278527302</v>
      </c>
      <c r="R8" s="52">
        <f t="shared" si="1"/>
        <v>4.1476447483401504</v>
      </c>
      <c r="S8">
        <f t="shared" si="2"/>
        <v>18.5456868127809</v>
      </c>
      <c r="T8">
        <f t="shared" si="3"/>
        <v>18.136054412780901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64.3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68.205000000000013</v>
      </c>
      <c r="AC8" cm="1">
        <f t="array" ref="AC8">_xlfn.PERCENTRANK.EXC(_xlfn._xlws.FILTER(AB$3:AB$15, ISNUMBER(AB$3:AB$15)),AB8)*100</f>
        <v>78.5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45412</v>
      </c>
      <c r="G9" s="4" cm="1">
        <f t="array" ref="G9">_xll.FDS(D9,"FMA_PE(LTM,0,,,""PORTAGG"",""MEANR"")")</f>
        <v>12.7435732439648</v>
      </c>
      <c r="H9" s="4" cm="1">
        <f t="array" ref="H9">_xll.FDS(D9,"FMA_PE(NTMA,0,,,""PORTAGG"",""MEANR"")")</f>
        <v>11.9687261103167</v>
      </c>
      <c r="I9" cm="1">
        <f t="array" ref="I9">_xll.FDS(D9,"FMA_DIV_YLD(NTMA,NOW,NOW,M,""PORTAGG"",""MEANR"")")</f>
        <v>3.9383886732978</v>
      </c>
      <c r="J9" s="52" cm="1">
        <f t="array" ref="J9">IFERROR(_xll.FDS(D9,"FG_FCF_YIELD_NTM(0)"),(1/G9*100))</f>
        <v>5.9561078851781</v>
      </c>
      <c r="K9" s="3" cm="1">
        <f t="array" ref="K9">_xll.FDS(D9,"FMA_EVAL_EBITDA(NTMA,0,,,""PORTAGG"",""MEANR"")")</f>
        <v>7.7152916628425796</v>
      </c>
      <c r="L9" cm="1">
        <f t="array" ref="L9">_xll.FDS(D9,"FMA_EVAL_EBIT(LTMA,NOW,NOW,M,""PORTAGG"",""MEANR"")")</f>
        <v>10.5369204198928</v>
      </c>
      <c r="M9">
        <f>HLOOKUP(D9,'Index ROE'!$A$1:$N$25,25,FALSE)</f>
        <v>14.7207289002436</v>
      </c>
      <c r="N9">
        <f>VLOOKUP(A9,'LIQIDITY 2'!$A$3:$E$16,5,FALSE)</f>
        <v>4.12</v>
      </c>
      <c r="O9" cm="1">
        <f t="array" ref="O9">IFERROR(IFERROR(IFERROR(IFERROR(_xll.FDS(B9,"IMF_IFS_RCPI_Q(0)"),_xll.FDS(B9,"IMF_IFS_RCPI_Q(-1AM)")),_xll.FDS(B9,"IMF_IFS_RCPI_Q(-2AM)")),_xll.FDS(B9,"IMF_IFS_RCPI_Q(-3AM)")),$D$31)</f>
        <v>3.9194993999999999</v>
      </c>
      <c r="P9">
        <f>VLOOKUP(E9,GDP_GROWTH!$B$10:$W$165,22,FALSE)</f>
        <v>1.0976426250664972</v>
      </c>
      <c r="Q9">
        <f t="shared" si="0"/>
        <v>-0.18161132670220015</v>
      </c>
      <c r="R9" s="52">
        <f t="shared" si="1"/>
        <v>1.8361078851780999</v>
      </c>
      <c r="S9">
        <f t="shared" si="2"/>
        <v>10.600728900243599</v>
      </c>
      <c r="T9">
        <f t="shared" si="3"/>
        <v>10.801229500243601</v>
      </c>
      <c r="U9" cm="1">
        <f t="array" ref="U9">_xlfn.PERCENTRANK.EXC(_xlfn._xlws.FILTER(Q$3:Q$15, ISNUMBER(Q$3:Q$15)),Q9)*100</f>
        <v>50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64.2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70.740000000000009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45412</v>
      </c>
      <c r="G10" s="4" cm="1">
        <f t="array" ref="G10">_xll.FDS(D10,"FMA_PE(LTM,0,,,""PORTAGG"",""MEANR"")")</f>
        <v>33.399589749422397</v>
      </c>
      <c r="H10" s="4" cm="1">
        <f t="array" ref="H10">_xll.FDS(D10,"FMA_PE(NTMA,0,,,""PORTAGG"",""MEANR"")")</f>
        <v>26.138219672161899</v>
      </c>
      <c r="I10" cm="1">
        <f t="array" ref="I10">_xll.FDS(D10,"FMA_DIV_YLD(NTMA,NOW,NOW,M,""PORTAGG"",""MEANR"")")</f>
        <v>0.94389688030197405</v>
      </c>
      <c r="J10" s="52" cm="1">
        <f t="array" ref="J10">IFERROR(_xll.FDS(D10,"FG_FCF_YIELD_NTM(0)"),(1/G10*100))</f>
        <v>3.6256338771031</v>
      </c>
      <c r="K10" s="3" cm="1">
        <f t="array" ref="K10">_xll.FDS(D10,"FMA_EVAL_EBITDA(NTMA,0,,,""PORTAGG"",""MEANR"")")</f>
        <v>16.3337742964885</v>
      </c>
      <c r="L10" cm="1">
        <f t="array" ref="L10">_xll.FDS(D10,"FMA_EVAL_EBIT(LTMA,NOW,NOW,M,""PORTAGG"",""MEANR"")")</f>
        <v>24.242900253614302</v>
      </c>
      <c r="M10">
        <f>HLOOKUP(D10,'Index ROE'!$A$1:$N$25,25,FALSE)</f>
        <v>25.319915596446201</v>
      </c>
      <c r="N10">
        <f>VLOOKUP(A10,'LIQIDITY 2'!$A$3:$E$16,5,FALSE)</f>
        <v>4.4207999999999998</v>
      </c>
      <c r="O10" cm="1">
        <f t="array" ref="O10">IFERROR(IFERROR(IFERROR(IFERROR(_xll.FDS(B10,"IMF_IFS_RCPI_Q(0)"),_xll.FDS(B10,"IMF_IFS_RCPI_Q(-1AM)")),_xll.FDS(B10,"IMF_IFS_RCPI_Q(-2AM)")),_xll.FDS(B10,"IMF_IFS_RCPI_Q(-3AM)")),$D$31)</f>
        <v>3.2095159999999998</v>
      </c>
      <c r="P10">
        <f>VLOOKUP(E10,GDP_GROWTH!$B$10:$W$165,22,FALSE)</f>
        <v>2.0868572594445189</v>
      </c>
      <c r="Q10">
        <f t="shared" si="0"/>
        <v>-3.4769031196980258</v>
      </c>
      <c r="R10" s="52">
        <f t="shared" si="1"/>
        <v>-0.79516612289689981</v>
      </c>
      <c r="S10">
        <f t="shared" si="2"/>
        <v>20.899115596446201</v>
      </c>
      <c r="T10">
        <f t="shared" si="3"/>
        <v>22.1103995964462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7.1999999999999957</v>
      </c>
      <c r="Y10" cm="1">
        <f t="array" ref="Y10">(1-_xlfn.PERCENTRANK.EXC(_xlfn._xlws.FILTER(H$3:H$15, ISNUMBER(H$3:H$15)),H10))*100</f>
        <v>7.1999999999999957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26.064999999999998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45412</v>
      </c>
      <c r="G11" s="4" cm="1">
        <f t="array" ref="G11">_xll.FDS(D11,"FMA_PE(LTM,0,,,""PORTAGG"",""MEANR"")")</f>
        <v>25.496828085088101</v>
      </c>
      <c r="H11" s="4" cm="1">
        <f t="array" ref="H11">_xll.FDS(D11,"FMA_PE(NTMA,0,,,""PORTAGG"",""MEANR"")")</f>
        <v>20.711115573764399</v>
      </c>
      <c r="I11" cm="1">
        <f t="array" ref="I11">_xll.FDS(D11,"FMA_DIV_YLD(NTMA,NOW,NOW,M,""PORTAGG"",""MEANR"")")</f>
        <v>1.5089500443314401</v>
      </c>
      <c r="J11" s="52" cm="1">
        <f t="array" ref="J11">IFERROR(_xll.FDS(D11,"FG_FCF_YIELD_NTM(0)"),(1/G11*100))</f>
        <v>4.0938491954661496</v>
      </c>
      <c r="K11" s="3" cm="1">
        <f t="array" ref="K11">_xll.FDS(D11,"FMA_EVAL_EBITDA(NTMA,0,,,""PORTAGG"",""MEANR"")")</f>
        <v>14.245179080997801</v>
      </c>
      <c r="L11" cm="1">
        <f t="array" ref="L11">_xll.FDS(D11,"FMA_EVAL_EBIT(LTMA,NOW,NOW,M,""PORTAGG"",""MEANR"")")</f>
        <v>20.348415424164799</v>
      </c>
      <c r="M11">
        <f>HLOOKUP(D11,'Index ROE'!$A$1:$N$25,25,FALSE)</f>
        <v>20.350503776156899</v>
      </c>
      <c r="N11">
        <f>VLOOKUP(A11,'LIQIDITY 2'!$A$3:$E$16,5,FALSE)</f>
        <v>4.4207999999999998</v>
      </c>
      <c r="O11" cm="1">
        <f t="array" ref="O11">IFERROR(IFERROR(IFERROR(IFERROR(_xll.FDS(B11,"IMF_IFS_RCPI_Q(0)"),_xll.FDS(B11,"IMF_IFS_RCPI_Q(-1AM)")),_xll.FDS(B11,"IMF_IFS_RCPI_Q(-2AM)")),_xll.FDS(B11,"IMF_IFS_RCPI_Q(-3AM)")),$D$31)</f>
        <v>3.2095159999999998</v>
      </c>
      <c r="P11">
        <f>VLOOKUP(E11,GDP_GROWTH!$B$10:$W$165,22,FALSE)</f>
        <v>2.0868572594445189</v>
      </c>
      <c r="Q11">
        <f t="shared" si="0"/>
        <v>-2.9118499556685595</v>
      </c>
      <c r="R11" s="52">
        <f t="shared" si="1"/>
        <v>-0.32695080453385028</v>
      </c>
      <c r="S11">
        <f t="shared" si="2"/>
        <v>15.929703776156899</v>
      </c>
      <c r="T11">
        <f t="shared" si="3"/>
        <v>17.140987776156898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45412</v>
      </c>
      <c r="G12" s="4" cm="1">
        <f t="array" ref="G12">_xll.FDS(D12,"FMA_PE(LTM,0,,,""PORTAGG"",""MEANR"")")</f>
        <v>17.022901631365499</v>
      </c>
      <c r="H12" s="4" cm="1">
        <f t="array" ref="H12">_xll.FDS(D12,"FMA_PE(NTMA,0,,,""PORTAGG"",""MEANR"")")</f>
        <v>14.7828634444309</v>
      </c>
      <c r="I12" cm="1">
        <f t="array" ref="I12">_xll.FDS(D12,"FMA_DIV_YLD(NTMA,NOW,NOW,M,""PORTAGG"",""MEANR"")")</f>
        <v>3.1468261163404199</v>
      </c>
      <c r="J12" s="52" cm="1">
        <f t="array" ref="J12">IFERROR(_xll.FDS(D12,"FG_FCF_YIELD_NTM(0)"),(1/G12*100))</f>
        <v>5.53922214627607</v>
      </c>
      <c r="K12" s="3" cm="1">
        <f t="array" ref="K12">_xll.FDS(D12,"FMA_EVAL_EBITDA(NTMA,0,,,""PORTAGG"",""MEANR"")")</f>
        <v>9.5510574029509598</v>
      </c>
      <c r="L12" cm="1">
        <f t="array" ref="L12">_xll.FDS(D12,"FMA_EVAL_EBIT(LTMA,NOW,NOW,M,""PORTAGG"",""MEANR"")")</f>
        <v>13.240003188932601</v>
      </c>
      <c r="M12">
        <f>HLOOKUP(D12,'Index ROE'!$A$1:$N$25,25,FALSE)</f>
        <v>13.220962405767001</v>
      </c>
      <c r="N12">
        <f>VLOOKUP(A12,'LIQIDITY 2'!$A$3:$E$16,5,FALSE)</f>
        <v>2.9830000000000001</v>
      </c>
      <c r="O12" cm="1">
        <f t="array" ref="O12">IFERROR(IFERROR(IFERROR(IFERROR(_xll.FDS(B12,"IMF_IFS_RCPI_Q(0)"),_xll.FDS(B12,"IMF_IFS_RCPI_Q(-1AM)")),_xll.FDS(B12,"IMF_IFS_RCPI_Q(-2AM)")),_xll.FDS(B12,"IMF_IFS_RCPI_Q(-3AM)")),$D$31)</f>
        <v>2.7940200000000002</v>
      </c>
      <c r="P12">
        <f>VLOOKUP(E12,GDP_GROWTH!$B$10:$W$165,22,FALSE)</f>
        <v>0.9426946158151317</v>
      </c>
      <c r="Q12">
        <f t="shared" ref="Q12:Q15" si="4">I12-N12</f>
        <v>0.16382611634041977</v>
      </c>
      <c r="R12" s="52">
        <f t="shared" ref="R12:R15" si="5">J12-N12</f>
        <v>2.5562221462760699</v>
      </c>
      <c r="S12">
        <f t="shared" ref="S12:S15" si="6">M12-N12</f>
        <v>10.237962405767</v>
      </c>
      <c r="T12">
        <f t="shared" ref="T12:T15" si="7">M12-O12</f>
        <v>10.426942405767001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50</v>
      </c>
      <c r="Y12" cm="1">
        <f t="array" ref="Y12">(1-_xlfn.PERCENTRANK.EXC(_xlfn._xlws.FILTER(H$3:H$15, ISNUMBER(H$3:H$15)),H12))*100</f>
        <v>64.3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58.190000000000005</v>
      </c>
      <c r="AC12" cm="1">
        <f t="array" ref="AC12">_xlfn.PERCENTRANK.EXC(_xlfn._xlws.FILTER(AB$3:AB$15, ISNUMBER(AB$3:AB$15)),AB12)*100</f>
        <v>50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45412</v>
      </c>
      <c r="G13" s="4" cm="1">
        <f t="array" ref="G13">_xll.FDS(D13,"FMA_PE(LTM,0,,,""PORTAGG"",""MEANR"")")</f>
        <v>20.4736607226512</v>
      </c>
      <c r="H13" s="4" cm="1">
        <f t="array" ref="H13">_xll.FDS(D13,"FMA_PE(NTMA,0,,,""PORTAGG"",""MEANR"")")</f>
        <v>16.347313976320699</v>
      </c>
      <c r="I13" cm="1">
        <f t="array" ref="I13">_xll.FDS(D13,"FMA_DIV_YLD(NTMA,NOW,NOW,M,""PORTAGG"",""MEANR"")")</f>
        <v>2.5916190010633202</v>
      </c>
      <c r="J13" s="52" cm="1">
        <f t="array" ref="J13">IFERROR(_xll.FDS(D13,"FG_FCF_YIELD_NTM(0)"),(1/G13*100))</f>
        <v>3.6267375748509201</v>
      </c>
      <c r="K13" s="3" cm="1">
        <f t="array" ref="K13">_xll.FDS(D13,"FMA_EVAL_EBITDA(NTMA,0,,,""PORTAGG"",""MEANR"")")</f>
        <v>12.5107719998164</v>
      </c>
      <c r="L13" cm="1">
        <f t="array" ref="L13">_xll.FDS(D13,"FMA_EVAL_EBIT(LTMA,NOW,NOW,M,""PORTAGG"",""MEANR"")")</f>
        <v>21.936167582114699</v>
      </c>
      <c r="M13">
        <f>HLOOKUP(D13,'Index ROE'!$A$1:$N$25,25,FALSE)</f>
        <v>12.745985665341101</v>
      </c>
      <c r="N13">
        <f>VLOOKUP(A13,'LIQIDITY 2'!$A$3:$E$16,5,FALSE)</f>
        <v>2.7970000000000002</v>
      </c>
      <c r="O13" cm="1">
        <f t="array" ref="O13">IFERROR(IFERROR(IFERROR(IFERROR(_xll.FDS(B13,"IMF_IFS_RCPI_Q(0)"),_xll.FDS(B13,"IMF_IFS_RCPI_Q(-1AM)")),_xll.FDS(B13,"IMF_IFS_RCPI_Q(-2AM)")),_xll.FDS(B13,"IMF_IFS_RCPI_Q(-3AM)")),$D$31)</f>
        <v>3.0237905999999999</v>
      </c>
      <c r="P13">
        <f>VLOOKUP(E13,GDP_GROWTH!$B$10:$W$165,22,FALSE)</f>
        <v>1.7793785730007783</v>
      </c>
      <c r="Q13">
        <f t="shared" si="4"/>
        <v>-0.20538099893667994</v>
      </c>
      <c r="R13" s="52">
        <f t="shared" si="5"/>
        <v>0.82973757485091992</v>
      </c>
      <c r="S13">
        <f t="shared" si="6"/>
        <v>9.9489856653411</v>
      </c>
      <c r="T13">
        <f t="shared" si="7"/>
        <v>9.7221950653411007</v>
      </c>
      <c r="U13" cm="1">
        <f t="array" ref="U13">_xlfn.PERCENTRANK.EXC(_xlfn._xlws.FILTER(Q$3:Q$15, ISNUMBER(Q$3:Q$15)),Q13)*100</f>
        <v>35.699999999999996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38.93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45412</v>
      </c>
      <c r="G14" s="4" cm="1">
        <f t="array" ref="G14">_xll.FDS(D14,"FMA_PE(LTM,0,,,""PORTAGG"",""MEANR"")")</f>
        <v>14.2956725538571</v>
      </c>
      <c r="H14" s="4" cm="1">
        <f t="array" ref="H14">_xll.FDS(D14,"FMA_PE(NTMA,0,,,""PORTAGG"",""MEANR"")")</f>
        <v>16.516069196066699</v>
      </c>
      <c r="I14" cm="1">
        <f t="array" ref="I14">_xll.FDS(D14,"FMA_DIV_YLD(NTMA,NOW,NOW,M,""PORTAGG"",""MEANR"")")</f>
        <v>3.2745858133541099</v>
      </c>
      <c r="J14" s="52" cm="1">
        <f t="array" ref="J14">IFERROR(_xll.FDS(D14,"FG_FCF_YIELD_NTM(0)"),(1/G14*100))</f>
        <v>4.9152171575332204</v>
      </c>
      <c r="K14" s="3" cm="1">
        <f t="array" ref="K14">_xll.FDS(D14,"FMA_EVAL_EBITDA(NTMA,0,,,""PORTAGG"",""MEANR"")")</f>
        <v>11.3521981076277</v>
      </c>
      <c r="L14" cm="1">
        <f t="array" ref="L14">_xll.FDS(D14,"FMA_EVAL_EBIT(LTMA,NOW,NOW,M,""PORTAGG"",""MEANR"")")</f>
        <v>15.9121311388266</v>
      </c>
      <c r="M14">
        <f>HLOOKUP(D14,'Index ROE'!$A$1:$N$25,25,FALSE)</f>
        <v>15.368050598586001</v>
      </c>
      <c r="N14">
        <f>VLOOKUP(A14,'LIQIDITY 2'!$A$3:$E$16,5,FALSE)</f>
        <v>2.35</v>
      </c>
      <c r="O14" cm="1">
        <f t="array" ref="O14">IFERROR(IFERROR(IFERROR(IFERROR(_xll.FDS(B14,"IMF_IFS_RCPI_Q(0)"),_xll.FDS(B14,"IMF_IFS_RCPI_Q(-1AM)")),_xll.FDS(B14,"IMF_IFS_RCPI_Q(-2AM)")),_xll.FDS(B14,"IMF_IFS_RCPI_Q(-3AM)")),$D$31)</f>
        <v>4.6701535999999999</v>
      </c>
      <c r="P14">
        <f>VLOOKUP(E14,GDP_GROWTH!$B$10:$W$165,22,FALSE)</f>
        <v>1.8182767577278436</v>
      </c>
      <c r="Q14">
        <f t="shared" si="4"/>
        <v>0.92458581335410983</v>
      </c>
      <c r="R14" s="52">
        <f t="shared" si="5"/>
        <v>2.5652171575332203</v>
      </c>
      <c r="S14">
        <f t="shared" si="6"/>
        <v>13.018050598586001</v>
      </c>
      <c r="T14">
        <f t="shared" si="7"/>
        <v>10.697896998586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57.099999999999994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64.644999999999996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45412</v>
      </c>
      <c r="G15" s="4" cm="1">
        <f t="array" ref="G15">_xll.FDS(D15,"FMA_PE(LTM,0,,,""PORTAGG"",""MEANR"")")</f>
        <v>10.4754552902725</v>
      </c>
      <c r="H15" s="4" cm="1">
        <f t="array" ref="H15">_xll.FDS(D15,"FMA_PE(NTMA,0,,,""PORTAGG"",""MEANR"")")</f>
        <v>9.9642477319536695</v>
      </c>
      <c r="I15" cm="1">
        <f t="array" ref="I15">_xll.FDS(D15,"FMA_DIV_YLD(NTMA,NOW,NOW,M,""PORTAGG"",""MEANR"")")</f>
        <v>5.3081319225203796</v>
      </c>
      <c r="J15" s="52" cm="1">
        <f t="array" ref="J15">IFERROR(_xll.FDS(D15,"FG_FCF_YIELD_NTM(0)"),(1/G15*100))</f>
        <v>6.1631046533521099</v>
      </c>
      <c r="K15" s="3" cm="1">
        <f t="array" ref="K15">_xll.FDS(D15,"FMA_EVAL_EBITDA(NTMA,0,,,""PORTAGG"",""MEANR"")")</f>
        <v>6.9180481359021604</v>
      </c>
      <c r="L15" cm="1">
        <f t="array" ref="L15">_xll.FDS(D15,"FMA_EVAL_EBIT(LTMA,NOW,NOW,M,""PORTAGG"",""MEANR"")")</f>
        <v>10.8386122168817</v>
      </c>
      <c r="M15">
        <f>HLOOKUP(D15,'Index ROE'!$A$1:$N$25,25,FALSE)</f>
        <v>13.3572149047324</v>
      </c>
      <c r="N15">
        <f>VLOOKUP(A15,'LIQIDITY 2'!$A$3:$E$16,5,FALSE)</f>
        <v>3.7949999999999999</v>
      </c>
      <c r="O15" cm="1">
        <f t="array" ref="O15">IFERROR(IFERROR(IFERROR(IFERROR(_xll.FDS(B15,"IMF_IFS_RCPI_Q(0)"),_xll.FDS(B15,"IMF_IFS_RCPI_Q(-1AM)")),_xll.FDS(B15,"IMF_IFS_RCPI_Q(-2AM)")),_xll.FDS(B15,"IMF_IFS_RCPI_Q(-3AM)")),$D$31)</f>
        <v>0.92385905999999995</v>
      </c>
      <c r="P15">
        <f>VLOOKUP(E15,GDP_GROWTH!$B$10:$W$165,22,FALSE)</f>
        <v>0.32855305426654491</v>
      </c>
      <c r="Q15">
        <f t="shared" si="4"/>
        <v>1.5131319225203796</v>
      </c>
      <c r="R15" s="52">
        <f t="shared" si="5"/>
        <v>2.36810465335211</v>
      </c>
      <c r="S15">
        <f t="shared" si="6"/>
        <v>9.5622149047324001</v>
      </c>
      <c r="T15">
        <f t="shared" si="7"/>
        <v>12.4333558447324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57.099999999999994</v>
      </c>
      <c r="W15" cm="1">
        <f t="array" ref="W15">_xlfn.PERCENTRANK.EXC(_xlfn._xlws.FILTER(S$3:S$15, ISNUMBER(S$3:S$15)),S15)*100</f>
        <v>42.8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76.429999999999993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45379</v>
      </c>
      <c r="G19" s="4" cm="1">
        <f t="array" ref="G19">_xll.FDS(D19,"FG_PE(0)")</f>
        <v>13.144074878225799</v>
      </c>
      <c r="H19" s="4" cm="1">
        <f t="array" ref="H19">_xll.FDS(D19,"FG_PE_NTM(0,,,90,0)")</f>
        <v>13.6673733533388</v>
      </c>
      <c r="I19" cm="1">
        <f t="array" ref="I19">_xll.FDS(D19,"FMA_DIV_YLD(NTMA,NOW,NOW,M,""PORTAGG"",""MEANR"")")</f>
        <v>3.44816244250881</v>
      </c>
      <c r="J19" s="52" cm="1">
        <f t="array" ref="J19">_xll.FDS(D19,"FG_FCF_YIELD_NTM(0)")</f>
        <v>5.1994556289637996</v>
      </c>
      <c r="K19" s="3" cm="1">
        <f t="array" ref="K19">_xll.FDS(D19,"FMA_EVAL_EBITDA(NTMA,0,,,""PORTAGG"",""MEANR"")")</f>
        <v>9.0199040426564405</v>
      </c>
      <c r="L19" cm="1">
        <f t="array" ref="L19">_xll.FDS(D19,"FMA_EVAL_EBIT(LTMA,NOW,NOW,M,""PORTAGG"",""MEANR"")")</f>
        <v>13.261353814803901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45412</v>
      </c>
      <c r="G20" s="4" cm="1">
        <f t="array" ref="G20">_xll.FDS(D20,"FG_PE(0)")</f>
        <v>14.39065830733</v>
      </c>
      <c r="H20" s="4" cm="1">
        <f t="array" ref="H20">_xll.FDS(D20,"FG_PE_NTM(0,,,90,0)")</f>
        <v>12.7459216412636</v>
      </c>
      <c r="I20" cm="1">
        <f t="array" ref="I20">_xll.FDS(D20,"FMA_DIV_YLD(NTMA,NOW,NOW,M,""PORTAGG"",""MEANR"")")</f>
        <v>3.0640695219748402</v>
      </c>
      <c r="J20" s="52" cm="1">
        <f t="array" ref="J20">_xll.FDS(D20,"FG_FCF_YIELD_NTM(0)")</f>
        <v>5.3559907498175603</v>
      </c>
      <c r="K20" s="3" cm="1">
        <f t="array" ref="K20">_xll.FDS(D20,"FMA_EVAL_EBITDA(NTMA,0,,,""PORTAGG"",""MEANR"")")</f>
        <v>8.9078730701762492</v>
      </c>
      <c r="L20" cm="1">
        <f t="array" ref="L20">_xll.FDS(D20,"FMA_EVAL_EBIT(LTMA,NOW,NOW,M,""PORTAGG"",""MEANR"")")</f>
        <v>14.381620477457201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3.2095159999999998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4.6012000000000004</v>
      </c>
      <c r="G3" s="26" cm="1">
        <f t="array" ref="G3">_xll.FDSB(C3,"PCTCHG(FG_YIELD(0,,,,""YTM""),FG_YIELD(-1AM,,,,""YTM""))")</f>
        <v>-7.3384866999999998</v>
      </c>
      <c r="H3" s="26" cm="1">
        <f t="array" ref="H3">_xll.FDSB(C3,"PCTCHG(FG_YIELD(0,,,,""YTM""),FG_YIELD(-3AM,,,,""YTM""))")</f>
        <v>-5.1690050000000003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0.8987999999999996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71.399999999999991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4.2130000000000001</v>
      </c>
      <c r="G4" s="26" cm="1">
        <f t="array" ref="G4">_xll.FDSB(C4,"PCTCHG(FG_YIELD(0,,,,""YTM""),FG_YIELD(-1AM,,,,""YTM""))")</f>
        <v>-3.8127922999999999</v>
      </c>
      <c r="H4" s="26" cm="1">
        <f t="array" ref="H4">_xll.FDSB(C4,"PCTCHG(FG_YIELD(0,,,,""YTM""),FG_YIELD(-3AM,,,,""YTM""))")</f>
        <v>0.42907387000000002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0.13699999999999957</v>
      </c>
      <c r="S4">
        <f t="shared" si="1"/>
        <v>0</v>
      </c>
      <c r="T4">
        <f t="shared" si="2"/>
        <v>1</v>
      </c>
      <c r="U4">
        <f t="shared" si="3"/>
        <v>0</v>
      </c>
      <c r="V4" s="47">
        <f t="shared" si="4"/>
        <v>0.25</v>
      </c>
      <c r="X4">
        <f t="shared" ref="X4:X15" si="6">_xlfn.PERCENTRANK.EXC($V$3:$V$15,V4)*100</f>
        <v>28.499999999999996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3.6168999999999998</v>
      </c>
      <c r="G5" s="26" cm="1">
        <f t="array" ref="G5">_xll.FDSB(C5,"PCTCHG(FG_YIELD(0,,,,""YTM""),FG_YIELD(-1AM,,,,""YTM""))")</f>
        <v>-1.9172343000000001</v>
      </c>
      <c r="H5" s="26" cm="1">
        <f t="array" ref="H5">_xll.FDSB(C5,"PCTCHG(FG_YIELD(0,,,,""YTM""),FG_YIELD(-3AM,,,,""YTM""))")</f>
        <v>0.97713744999999996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5</v>
      </c>
      <c r="M5" s="36" cm="1">
        <f t="array" ref="M5">_xll.FDSB(J5,"(SUBARRAY(NOT_NA(NO_REPEAT_F(FG_YIELD(now,-10AY,D))),0,1)-SUBARRAY(NOT_NA(NO_REPEAT_F(FG_YIELD(now,-10AY,D))),1,1))*100")</f>
        <v>25</v>
      </c>
      <c r="N5" s="38">
        <f t="shared" si="0"/>
        <v>-25</v>
      </c>
      <c r="O5" s="26">
        <f t="shared" si="5"/>
        <v>1.3831000000000002</v>
      </c>
      <c r="S5">
        <f t="shared" si="1"/>
        <v>0</v>
      </c>
      <c r="T5">
        <f t="shared" si="2"/>
        <v>1</v>
      </c>
      <c r="U5">
        <f t="shared" si="3"/>
        <v>0</v>
      </c>
      <c r="V5" s="47">
        <f t="shared" si="4"/>
        <v>0.25</v>
      </c>
      <c r="X5">
        <f t="shared" si="6"/>
        <v>28.499999999999996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2.5070000000000001</v>
      </c>
      <c r="G6" s="26" cm="1">
        <f t="array" ref="G6">_xll.FDSB(C6,"PCTCHG(FG_YIELD(0,,,,""YTM""),FG_YIELD(-1AM,,,,""YTM""))")</f>
        <v>1.1294827000000001</v>
      </c>
      <c r="H6" s="26" cm="1">
        <f t="array" ref="H6">_xll.FDSB(C6,"PCTCHG(FG_YIELD(0,,,,""YTM""),FG_YIELD(-3AM,,,,""YTM""))")</f>
        <v>4.5018773000000003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4.5</v>
      </c>
      <c r="M6" s="36" cm="1">
        <f t="array" ref="M6">_xll.FDSB(J6,"(SUBARRAY(NOT_NA(NO_REPEAT_F(FG_YIELD(now,-10AY,D))),0,1)-SUBARRAY(NOT_NA(NO_REPEAT_F(FG_YIELD(now,-10AY,D))),1,1))*100")</f>
        <v>25</v>
      </c>
      <c r="N6" s="38">
        <f t="shared" si="0"/>
        <v>-25</v>
      </c>
      <c r="O6" s="26">
        <f t="shared" si="5"/>
        <v>1.9929999999999999</v>
      </c>
      <c r="S6">
        <f t="shared" si="1"/>
        <v>0</v>
      </c>
      <c r="T6">
        <f t="shared" si="2"/>
        <v>0</v>
      </c>
      <c r="U6">
        <f t="shared" si="3"/>
        <v>0</v>
      </c>
      <c r="V6" s="47">
        <f t="shared" si="4"/>
        <v>0</v>
      </c>
      <c r="X6">
        <f t="shared" si="6"/>
        <v>7.1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0.94350000000000001</v>
      </c>
      <c r="G7" s="26" cm="1">
        <f t="array" ref="G7">_xll.FDSB(C7,"PCTCHG(FG_YIELD(0,,,,""YTM""),FG_YIELD(-1AM,,,,""YTM""))")</f>
        <v>7.4601325999999997</v>
      </c>
      <c r="H7" s="26" cm="1">
        <f t="array" ref="H7">_xll.FDSB(C7,"PCTCHG(FG_YIELD(0,,,,""YTM""),FG_YIELD(-3AM,,,,""YTM""))")</f>
        <v>28.472221000000001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0.1</v>
      </c>
      <c r="M7" s="36" cm="1">
        <f t="array" ref="M7">_xll.FDSB(J7,"(SUBARRAY(NOT_NA(NO_REPEAT_F(FG_YIELD(now,-10AY,D))),0,1)-SUBARRAY(NOT_NA(NO_REPEAT_F(FG_YIELD(now,-10AY,D))),1,1))*100")</f>
        <v>10</v>
      </c>
      <c r="N7" s="38">
        <f t="shared" si="0"/>
        <v>-10</v>
      </c>
      <c r="O7" s="26">
        <f t="shared" si="5"/>
        <v>-0.84350000000000003</v>
      </c>
      <c r="S7">
        <f t="shared" si="1"/>
        <v>0</v>
      </c>
      <c r="T7">
        <f t="shared" si="2"/>
        <v>0</v>
      </c>
      <c r="U7">
        <f t="shared" si="3"/>
        <v>0</v>
      </c>
      <c r="V7" s="47">
        <f t="shared" si="4"/>
        <v>0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0.754</v>
      </c>
      <c r="G8" s="26" cm="1">
        <f t="array" ref="G8">_xll.FDSB(C8,"PCTCHG(FG_YIELD(0,,,,""YTM""),FG_YIELD(-1AM,,,,""YTM""))")</f>
        <v>0</v>
      </c>
      <c r="H8" s="26" cm="1">
        <f t="array" ref="H8">_xll.FDSB(C8,"PCTCHG(FG_YIELD(0,,,,""YTM""),FG_YIELD(-3AM,,,,""YTM""))")</f>
        <v>-18.837461000000001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0.746</v>
      </c>
      <c r="S8">
        <f t="shared" si="1"/>
        <v>1</v>
      </c>
      <c r="T8">
        <f t="shared" si="2"/>
        <v>0</v>
      </c>
      <c r="U8">
        <f t="shared" si="3"/>
        <v>1</v>
      </c>
      <c r="V8" s="47">
        <f t="shared" si="4"/>
        <v>0.75</v>
      </c>
      <c r="X8">
        <f t="shared" si="6"/>
        <v>85.7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4.12</v>
      </c>
      <c r="G9" s="26" cm="1">
        <f t="array" ref="G9">_xll.FDSB(C9,"PCTCHG(FG_YIELD(0,,,,""YTM""),FG_YIELD(-1AM,,,,""YTM""))")</f>
        <v>-4.0521716999999997</v>
      </c>
      <c r="H9" s="26" cm="1">
        <f t="array" ref="H9">_xll.FDSB(C9,"PCTCHG(FG_YIELD(0,,,,""YTM""),FG_YIELD(-3AM,,,,""YTM""))")</f>
        <v>0.70886839999999995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5.25</v>
      </c>
      <c r="M9" s="36" cm="1">
        <f t="array" ref="M9">_xll.FDSB(J9,"(SUBARRAY(NOT_NA(NO_REPEAT_F(FG_YIELD(now,-10AY,D))),0,1)-SUBARRAY(NOT_NA(NO_REPEAT_F(FG_YIELD(now,-10AY,D))),1,1))*100")</f>
        <v>25</v>
      </c>
      <c r="N9" s="38">
        <f t="shared" si="0"/>
        <v>-25</v>
      </c>
      <c r="O9" s="26">
        <f t="shared" si="5"/>
        <v>1.1299999999999999</v>
      </c>
      <c r="S9">
        <f t="shared" si="1"/>
        <v>0</v>
      </c>
      <c r="T9">
        <f t="shared" si="2"/>
        <v>1</v>
      </c>
      <c r="U9">
        <f t="shared" si="3"/>
        <v>0</v>
      </c>
      <c r="V9" s="47">
        <f t="shared" si="4"/>
        <v>0.25</v>
      </c>
      <c r="X9">
        <f t="shared" si="6"/>
        <v>28.499999999999996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4.4207999999999998</v>
      </c>
      <c r="G10" s="26" cm="1">
        <f t="array" ref="G10">_xll.FDSB(C10,"PCTCHG(FG_YIELD(0,,,,""YTM""),FG_YIELD(-1AM,,,,""YTM""))")</f>
        <v>-3.5538970000000001</v>
      </c>
      <c r="H10" s="26" cm="1">
        <f t="array" ref="H10">_xll.FDSB(C10,"PCTCHG(FG_YIELD(0,,,,""YTM""),FG_YIELD(-3AM,,,,""YTM""))")</f>
        <v>3.0489568999999999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1.0792000000000002</v>
      </c>
      <c r="S10">
        <f t="shared" si="1"/>
        <v>0</v>
      </c>
      <c r="T10">
        <f t="shared" si="2"/>
        <v>1</v>
      </c>
      <c r="U10">
        <f t="shared" si="3"/>
        <v>0</v>
      </c>
      <c r="V10" s="47">
        <f t="shared" si="4"/>
        <v>0.25</v>
      </c>
      <c r="X10">
        <f t="shared" si="6"/>
        <v>28.499999999999996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4.4207999999999998</v>
      </c>
      <c r="G11" s="26" cm="1">
        <f t="array" ref="G11">_xll.FDSB(C11,"PCTCHG(FG_YIELD(0,,,,""YTM""),FG_YIELD(-1AM,,,,""YTM""))")</f>
        <v>-3.5538970000000001</v>
      </c>
      <c r="H11" s="26" cm="1">
        <f t="array" ref="H11">_xll.FDSB(C11,"PCTCHG(FG_YIELD(0,,,,""YTM""),FG_YIELD(-3AM,,,,""YTM""))")</f>
        <v>3.0489568999999999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1.0792000000000002</v>
      </c>
      <c r="S11">
        <f t="shared" si="1"/>
        <v>0</v>
      </c>
      <c r="T11">
        <f t="shared" si="2"/>
        <v>1</v>
      </c>
      <c r="U11">
        <f t="shared" si="3"/>
        <v>0</v>
      </c>
      <c r="V11" s="47">
        <f t="shared" si="4"/>
        <v>0.25</v>
      </c>
      <c r="X11">
        <f t="shared" si="6"/>
        <v>28.499999999999996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2.9830000000000001</v>
      </c>
      <c r="G12" s="26" cm="1">
        <f t="array" ref="G12">_xll.FDSB(C12,"PCTCHG(FG_YIELD(0,,,,""YTM""),FG_YIELD(-1AM,,,,""YTM""))")</f>
        <v>-0.30080425999999999</v>
      </c>
      <c r="H12" s="26" cm="1">
        <f t="array" ref="H12">_xll.FDSB(C12,"PCTCHG(FG_YIELD(0,,,,""YTM""),FG_YIELD(-3AM,,,,""YTM""))")</f>
        <v>3.7565230999999999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4.5</v>
      </c>
      <c r="M12" s="36" cm="1">
        <f t="array" ref="M12">_xll.FDSB(J12,"(SUBARRAY(NOT_NA(NO_REPEAT_F(FG_YIELD(now,-10AY,D))),0,1)-SUBARRAY(NOT_NA(NO_REPEAT_F(FG_YIELD(now,-10AY,D))),1,1))*100")</f>
        <v>25</v>
      </c>
      <c r="N12" s="38">
        <f t="shared" si="0"/>
        <v>-25</v>
      </c>
      <c r="O12" s="26">
        <f t="shared" si="5"/>
        <v>1.5169999999999999</v>
      </c>
      <c r="S12">
        <f t="shared" si="1"/>
        <v>0</v>
      </c>
      <c r="T12">
        <f t="shared" si="2"/>
        <v>1</v>
      </c>
      <c r="U12">
        <f t="shared" si="3"/>
        <v>0</v>
      </c>
      <c r="V12" s="47">
        <f t="shared" si="4"/>
        <v>0.25</v>
      </c>
      <c r="X12">
        <f t="shared" si="6"/>
        <v>28.499999999999996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2.7970000000000002</v>
      </c>
      <c r="G13" s="26" cm="1">
        <f t="array" ref="G13">_xll.FDSB(C13,"PCTCHG(FG_YIELD(0,,,,""YTM""),FG_YIELD(-1AM,,,,""YTM""))")</f>
        <v>0.72020096</v>
      </c>
      <c r="H13" s="26" cm="1">
        <f t="array" ref="H13">_xll.FDSB(C13,"PCTCHG(FG_YIELD(0,,,,""YTM""),FG_YIELD(-3AM,,,,""YTM""))")</f>
        <v>3.1722600000000001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4.5</v>
      </c>
      <c r="M13" s="36" cm="1">
        <f t="array" ref="M13">_xll.FDSB(J13,"(SUBARRAY(NOT_NA(NO_REPEAT_F(FG_YIELD(now,-10AY,D))),0,1)-SUBARRAY(NOT_NA(NO_REPEAT_F(FG_YIELD(now,-10AY,D))),1,1))*100")</f>
        <v>25</v>
      </c>
      <c r="N13" s="38">
        <f t="shared" si="0"/>
        <v>-25</v>
      </c>
      <c r="O13" s="26">
        <f t="shared" si="5"/>
        <v>1.7029999999999998</v>
      </c>
      <c r="S13">
        <f t="shared" si="1"/>
        <v>0</v>
      </c>
      <c r="T13">
        <f t="shared" si="2"/>
        <v>0</v>
      </c>
      <c r="U13">
        <f t="shared" si="3"/>
        <v>0</v>
      </c>
      <c r="V13" s="47">
        <f t="shared" si="4"/>
        <v>0</v>
      </c>
      <c r="X13">
        <f t="shared" si="6"/>
        <v>7.1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2.35</v>
      </c>
      <c r="G14" s="26" cm="1">
        <f t="array" ref="G14">_xll.FDSB(C14,"PCTCHG(FG_YIELD(0,,,,""YTM""),FG_YIELD(-1AM,,,,""YTM""))")</f>
        <v>-6.486275</v>
      </c>
      <c r="H14" s="26" cm="1">
        <f t="array" ref="H14">_xll.FDSB(C14,"PCTCHG(FG_YIELD(0,,,,""YTM""),FG_YIELD(-3AM,,,,""YTM""))")</f>
        <v>-3.331966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1.4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92.800000000000011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3.7949999999999999</v>
      </c>
      <c r="G15" s="26" cm="1">
        <f t="array" ref="G15">_xll.FDSB(C15,"PCTCHG(FG_YIELD(0,,,,""YTM""),FG_YIELD(-1AM,,,,""YTM""))")</f>
        <v>-2.0897793999999998</v>
      </c>
      <c r="H15" s="26" cm="1">
        <f t="array" ref="H15">_xll.FDSB(C15,"PCTCHG(FG_YIELD(0,,,,""YTM""),FG_YIELD(-3AM,,,,""YTM""))")</f>
        <v>-2.0139382000000001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4.5</v>
      </c>
      <c r="M15" s="36" cm="1">
        <f t="array" ref="M15">_xll.FDSB(J15,"(SUBARRAY(NOT_NA(NO_REPEAT_F(FG_YIELD(now,-10AY,D))),0,1)-SUBARRAY(NOT_NA(NO_REPEAT_F(FG_YIELD(now,-10AY,D))),1,1))*100")</f>
        <v>25</v>
      </c>
      <c r="N15" s="38">
        <f t="shared" si="0"/>
        <v>-25</v>
      </c>
      <c r="O15" s="26">
        <f t="shared" si="5"/>
        <v>0.70500000000000007</v>
      </c>
      <c r="S15">
        <f t="shared" si="1"/>
        <v>0</v>
      </c>
      <c r="T15">
        <f t="shared" si="2"/>
        <v>1</v>
      </c>
      <c r="U15">
        <f t="shared" si="3"/>
        <v>1</v>
      </c>
      <c r="V15" s="47">
        <f t="shared" si="4"/>
        <v>0.5</v>
      </c>
      <c r="X15">
        <f t="shared" si="6"/>
        <v>71.399999999999991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4.4207999999999998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4.6012000000000004</v>
      </c>
      <c r="H2" cm="1">
        <f t="array" ref="H2">_xll.FDS(B2,"FG_ROE(0)")</f>
        <v>5.6458965501041503</v>
      </c>
      <c r="I2">
        <f>HLOOKUP(B2,'Index ROE'!$B$1:$N$25,24,FALSE)</f>
        <v>9.8238973987983247</v>
      </c>
      <c r="J2" cm="1">
        <f t="array" ref="J2">_xll.FDS(B2, "FMA_RBICS_REV_CURRENT(30, LOC, ""PORTAGG"")")</f>
        <v>14.5670087916151</v>
      </c>
      <c r="K2" s="74">
        <f>HLOOKUP(B2,'Index earnings'!$B$1:$N$25,25,FALSE)</f>
        <v>-9.3828148339384354E-3</v>
      </c>
      <c r="L2">
        <f>HLOOKUP(A2,'Yearly returns'!$B$1:$N$128,126,FALSE)</f>
        <v>-33.819589999999998</v>
      </c>
      <c r="M2">
        <f t="shared" ref="M2:M10" si="0">I2-G2</f>
        <v>5.2226973987983243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28.499999999999996</v>
      </c>
      <c r="R2">
        <f>N2*Assumption!$F$64 + O2*Assumption!$F$61 + P2*Assumption!$F$62 + Q2*Assumption!$F$63</f>
        <v>28.55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4.2130000000000001</v>
      </c>
      <c r="H3" cm="1">
        <f t="array" ref="H3">_xll.FDS(B3,"FG_ROE(0)")</f>
        <v>12.608533401708</v>
      </c>
      <c r="I3">
        <f>HLOOKUP(B3,'Index ROE'!$B$1:$N$25,24,FALSE)</f>
        <v>13.020733299173699</v>
      </c>
      <c r="J3" cm="1">
        <f t="array" ref="J3">_xll.FDS(B3, "FMA_RBICS_REV_CURRENT(30, LOC, ""PORTAGG"")")</f>
        <v>40.999425073797099</v>
      </c>
      <c r="K3" s="74">
        <f>HLOOKUP(B3,'Index earnings'!$B$1:$N$25,25,FALSE)</f>
        <v>1.1173841089814562E-2</v>
      </c>
      <c r="L3">
        <f>HLOOKUP(A3,'Yearly returns'!$B$1:$N$128,126,FALSE)</f>
        <v>-24.497437000000001</v>
      </c>
      <c r="M3">
        <f t="shared" si="0"/>
        <v>8.8077332991736981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78.5</v>
      </c>
      <c r="R3">
        <f>N3*Assumption!$F$64 + O3*Assumption!$F$61 + P3*Assumption!$F$62 + Q3*Assumption!$F$63</f>
        <v>37.474999999999994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3.6168999999999998</v>
      </c>
      <c r="H4" cm="1">
        <f t="array" ref="H4">_xll.FDS(B4,"FG_ROE(0)")</f>
        <v>11.0299205534767</v>
      </c>
      <c r="I4">
        <f>HLOOKUP(B4,'Index ROE'!$B$1:$N$25,24,FALSE)</f>
        <v>12.7516875895064</v>
      </c>
      <c r="J4" cm="1">
        <f t="array" ref="J4">_xll.FDS(B4, "FMA_RBICS_REV_CURRENT(30, LOC, ""PORTAGG"")")</f>
        <v>40.0308181746705</v>
      </c>
      <c r="K4" s="74">
        <f>HLOOKUP(B4,'Index earnings'!$B$1:$N$25,25,FALSE)</f>
        <v>4.0909866878857226E-2</v>
      </c>
      <c r="L4">
        <f>HLOOKUP(A4,'Yearly returns'!$B$1:$N$128,126,FALSE)</f>
        <v>-27.949601999999999</v>
      </c>
      <c r="M4">
        <f t="shared" si="0"/>
        <v>9.1347875895064004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64.2</v>
      </c>
      <c r="R4">
        <f>N4*Assumption!$F$64 + O4*Assumption!$F$61 + P4*Assumption!$F$62 + Q4*Assumption!$F$63</f>
        <v>48.174999999999997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2.5070000000000001</v>
      </c>
      <c r="H5" cm="1">
        <f t="array" ref="H5">_xll.FDS(B5,"FG_ROE(0)")</f>
        <v>9.6320554288571394</v>
      </c>
      <c r="I5">
        <f>HLOOKUP(B5,'Index ROE'!$B$1:$N$25,24,FALSE)</f>
        <v>11.983677793053701</v>
      </c>
      <c r="J5" cm="1">
        <f t="array" ref="J5">_xll.FDS(B5, "FMA_RBICS_REV_CURRENT(30, LOC, ""PORTAGG"")")</f>
        <v>23.085749566205902</v>
      </c>
      <c r="K5" s="74">
        <f>HLOOKUP(B5,'Index earnings'!$B$1:$N$25,25,FALSE)</f>
        <v>2.8283515901657452E-2</v>
      </c>
      <c r="L5">
        <f>HLOOKUP(A5,'Yearly returns'!$B$1:$N$128,126,FALSE)</f>
        <v>-35.593640000000001</v>
      </c>
      <c r="M5">
        <f t="shared" si="0"/>
        <v>9.4766777930537014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21.4</v>
      </c>
      <c r="R5">
        <f>N5*Assumption!$F$64 + O5*Assumption!$F$61 + P5*Assumption!$F$62 + Q5*Assumption!$F$63</f>
        <v>42.85</v>
      </c>
      <c r="S5" cm="1">
        <f t="array" ref="S5">_xlfn.PERCENTRANK.EXC(_xlfn._xlws.FILTER(R$2:R$14, ISNUMBER(R$2:R$14)),R5)*100</f>
        <v>50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0.94350000000000001</v>
      </c>
      <c r="H6" cm="1">
        <f t="array" ref="H6">_xll.FDS(B6,"FG_ROE(0)")</f>
        <v>9.4952713970406393</v>
      </c>
      <c r="I6">
        <f>HLOOKUP(B6,'Index ROE'!$B$1:$N$25,24,FALSE)</f>
        <v>8.994618118763011</v>
      </c>
      <c r="J6" cm="1">
        <f t="array" ref="J6">_xll.FDS(B6, "FMA_RBICS_REV_CURRENT(30, LOC, ""PORTAGG"")")</f>
        <v>18.3501830656636</v>
      </c>
      <c r="K6" s="74">
        <f>HLOOKUP(B6,'Index earnings'!$B$1:$N$25,25,FALSE)</f>
        <v>2.4110260552424823E-2</v>
      </c>
      <c r="L6">
        <f>HLOOKUP(A6,'Yearly returns'!$B$1:$N$128,126,FALSE)</f>
        <v>-28.563445999999999</v>
      </c>
      <c r="M6">
        <f t="shared" si="0"/>
        <v>8.0511181187630108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57.099999999999994</v>
      </c>
      <c r="R6">
        <f>N6*Assumption!$F$64 + O6*Assumption!$F$61 + P6*Assumption!$F$62 + Q6*Assumption!$F$63</f>
        <v>44.625</v>
      </c>
      <c r="S6" cm="1">
        <f t="array" ref="S6">_xlfn.PERCENTRANK.EXC(_xlfn._xlws.FILTER(R$2:R$14, ISNUMBER(R$2:R$14)),R6)*100</f>
        <v>57.099999999999994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0.754</v>
      </c>
      <c r="H7" cm="1">
        <f t="array" ref="H7">_xll.FDS(B7,"FG_ROE(0)")</f>
        <v>24.1916359459291</v>
      </c>
      <c r="I7">
        <f>HLOOKUP(B7,'Index ROE'!$B$1:$N$25,24,FALSE)</f>
        <v>15.55096443559315</v>
      </c>
      <c r="J7" cm="1">
        <f t="array" ref="J7">_xll.FDS(B7, "FMA_RBICS_REV_CURRENT(30, LOC, ""PORTAGG"")")</f>
        <v>17.864911264843101</v>
      </c>
      <c r="K7" s="74">
        <f>HLOOKUP(B7,'Index earnings'!$B$1:$N$25,25,FALSE)</f>
        <v>4.6608631192781802E-2</v>
      </c>
      <c r="L7">
        <f>HLOOKUP(A7,'Yearly returns'!$B$1:$N$128,126,FALSE)</f>
        <v>-20.024754000000001</v>
      </c>
      <c r="M7">
        <f t="shared" si="0"/>
        <v>14.79696443559315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78.5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4.12</v>
      </c>
      <c r="H8" cm="1">
        <f t="array" ref="H8">_xll.FDS(B8,"FG_ROE(0)")</f>
        <v>15.0087466264632</v>
      </c>
      <c r="I8">
        <f>HLOOKUP(B8,'Index ROE'!$B$1:$N$25,24,FALSE)</f>
        <v>14.561964916400001</v>
      </c>
      <c r="J8" cm="1">
        <f t="array" ref="J8">_xll.FDS(B8, "FMA_RBICS_REV_CURRENT(30, LOC, ""PORTAGG"")")</f>
        <v>18.8933168361866</v>
      </c>
      <c r="K8" s="74">
        <f>HLOOKUP(B8,'Index earnings'!$B$1:$N$25,25,FALSE)</f>
        <v>3.7127107321246466E-3</v>
      </c>
      <c r="L8">
        <f>HLOOKUP(A8,'Yearly returns'!$B$1:$N$128,126,FALSE)</f>
        <v>-31.14357</v>
      </c>
      <c r="M8">
        <f t="shared" si="0"/>
        <v>10.4419649164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35.699999999999996</v>
      </c>
      <c r="R8">
        <f>N8*Assumption!$F$64 + O8*Assumption!$F$61 + P8*Assumption!$F$62 + Q8*Assumption!$F$63</f>
        <v>41.024999999999999</v>
      </c>
      <c r="S8" cm="1">
        <f t="array" ref="S8">_xlfn.PERCENTRANK.EXC(_xlfn._xlws.FILTER(R$2:R$14, ISNUMBER(R$2:R$14)),R8)*100</f>
        <v>28.499999999999996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4.4207999999999998</v>
      </c>
      <c r="H9" cm="1">
        <f t="array" ref="H9">_xll.FDS(B9,"FG_ROE(0)")</f>
        <v>22.652639689800299</v>
      </c>
      <c r="I9">
        <f>HLOOKUP(B9,'Index ROE'!$B$1:$N$25,24,FALSE)</f>
        <v>21.036882269896502</v>
      </c>
      <c r="J9" cm="1">
        <f t="array" ref="J9">_xll.FDS(B9, "FMA_RBICS_REV_CURRENT(30, LOC, ""PORTAGG"")")</f>
        <v>0.90761789180680896</v>
      </c>
      <c r="K9" s="74">
        <f>HLOOKUP(B9,'Index earnings'!$B$1:$N$25,25,FALSE)</f>
        <v>0.12988959959671664</v>
      </c>
      <c r="L9">
        <f>HLOOKUP(A9,'Yearly returns'!$B$1:$N$128,126,FALSE)</f>
        <v>-28.665368999999998</v>
      </c>
      <c r="M9">
        <f t="shared" si="0"/>
        <v>16.616082269896502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50</v>
      </c>
      <c r="R9">
        <f>N9*Assumption!$F$64 + O9*Assumption!$F$61 + P9*Assumption!$F$62 + Q9*Assumption!$F$63</f>
        <v>82.125</v>
      </c>
      <c r="S9" cm="1">
        <f t="array" ref="S9">_xlfn.PERCENTRANK.EXC(_xlfn._xlws.FILTER(R$2:R$14, ISNUMBER(R$2:R$14)),R9)*100</f>
        <v>85.7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4.4207999999999998</v>
      </c>
      <c r="H10" cm="1">
        <f t="array" ref="H10">_xll.FDS(B10,"FG_ROE(0)")</f>
        <v>18.414069586158099</v>
      </c>
      <c r="I10">
        <f>HLOOKUP(B10,'Index ROE'!$B$1:$N$25,24,FALSE)</f>
        <v>16.391058174766847</v>
      </c>
      <c r="J10" cm="1">
        <f t="array" ref="J10">_xll.FDS(B10, "FMA_RBICS_REV_CURRENT(30, LOC, ""PORTAGG"")")</f>
        <v>12.6373564575531</v>
      </c>
      <c r="K10" s="74">
        <f>HLOOKUP(B10,'Index earnings'!$B$1:$N$25,25,FALSE)</f>
        <v>5.9884631689594459E-2</v>
      </c>
      <c r="L10">
        <f>HLOOKUP(A10,'Yearly returns'!$B$1:$N$128,126,FALSE)</f>
        <v>-16.481584999999999</v>
      </c>
      <c r="M10">
        <f t="shared" si="0"/>
        <v>11.970258174766848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85.7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2.9830000000000001</v>
      </c>
      <c r="H11" cm="1">
        <f t="array" ref="H11">_xll.FDS(B11,"FG_ROE(0)")</f>
        <v>12.722907771070799</v>
      </c>
      <c r="I11">
        <f>HLOOKUP(B11,'Index ROE'!$B$1:$N$25,24,FALSE)</f>
        <v>11.16089938202855</v>
      </c>
      <c r="J11" cm="1">
        <f t="array" ref="J11">_xll.FDS(B11, "FMA_RBICS_REV_CURRENT(30, LOC, ""PORTAGG"")")</f>
        <v>11.6274292606376</v>
      </c>
      <c r="K11" s="74">
        <f>HLOOKUP(B11,'Index earnings'!$B$1:$N$25,25,FALSE)</f>
        <v>1.8533351282826072E-2</v>
      </c>
      <c r="L11">
        <f>HLOOKUP(A11,'Yearly returns'!$B$1:$N$128,126,FALSE)</f>
        <v>-26.595645999999999</v>
      </c>
      <c r="M11">
        <f t="shared" ref="M11:M14" si="1">I11-G11</f>
        <v>8.1778993820285493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71.399999999999991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2.7970000000000002</v>
      </c>
      <c r="H12" cm="1">
        <f t="array" ref="H12">_xll.FDS(B12,"FG_ROE(0)")</f>
        <v>11.566433735209699</v>
      </c>
      <c r="I12">
        <f>HLOOKUP(B12,'Index ROE'!$B$1:$N$25,24,FALSE)</f>
        <v>13.049660814670499</v>
      </c>
      <c r="J12" cm="1">
        <f t="array" ref="J12">_xll.FDS(B12, "FMA_RBICS_REV_CURRENT(30, LOC, ""PORTAGG"")")</f>
        <v>25.182223725343398</v>
      </c>
      <c r="K12" s="74">
        <f>HLOOKUP(B12,'Index earnings'!$B$1:$N$25,25,FALSE)</f>
        <v>3.4801405293916954E-2</v>
      </c>
      <c r="L12">
        <f>HLOOKUP(A12,'Yearly returns'!$B$1:$N$128,126,FALSE)</f>
        <v>-38.912999999999997</v>
      </c>
      <c r="M12">
        <f t="shared" si="1"/>
        <v>10.252660814670499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2.35</v>
      </c>
      <c r="H13" cm="1">
        <f t="array" ref="H13">_xll.FDS(B13,"FG_ROE(0)")</f>
        <v>16.884260777642002</v>
      </c>
      <c r="I13">
        <f>HLOOKUP(B13,'Index ROE'!$B$1:$N$25,24,FALSE)</f>
        <v>14.442823056578451</v>
      </c>
      <c r="J13" cm="1">
        <f t="array" ref="J13">_xll.FDS(B13, "FMA_RBICS_REV_CURRENT(30, LOC, ""PORTAGG"")")</f>
        <v>25.9129717795788</v>
      </c>
      <c r="K13" s="74">
        <f>HLOOKUP(B13,'Index earnings'!$B$1:$N$25,25,FALSE)</f>
        <v>2.4305006375947347E-2</v>
      </c>
      <c r="L13">
        <f>HLOOKUP(A13,'Yearly returns'!$B$1:$N$128,126,FALSE)</f>
        <v>-36.470097000000003</v>
      </c>
      <c r="M13">
        <f t="shared" si="1"/>
        <v>12.092823056578451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14.2</v>
      </c>
      <c r="R13">
        <f>N13*Assumption!$F$64 + O13*Assumption!$F$61 + P13*Assumption!$F$62 + Q13*Assumption!$F$63</f>
        <v>42.824999999999996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3.7949999999999999</v>
      </c>
      <c r="H14" cm="1">
        <f t="array" ref="H14">_xll.FDS(B14,"FG_ROE(0)")</f>
        <v>14.076764595312399</v>
      </c>
      <c r="I14">
        <f>HLOOKUP(B14,'Index ROE'!$B$1:$N$25,24,FALSE)</f>
        <v>9.6445775045501065</v>
      </c>
      <c r="J14" cm="1">
        <f t="array" ref="J14">_xll.FDS(B14, "FMA_RBICS_REV_CURRENT(30, LOC, ""PORTAGG"")")</f>
        <v>36.608914375767498</v>
      </c>
      <c r="K14" s="74">
        <f>HLOOKUP(B14,'Index earnings'!$B$1:$N$25,25,FALSE)</f>
        <v>9.2743946932130061E-3</v>
      </c>
      <c r="L14">
        <f>HLOOKUP(A14,'Yearly returns'!$B$1:$N$128,126,FALSE)</f>
        <v>-28.830475</v>
      </c>
      <c r="M14">
        <f t="shared" si="1"/>
        <v>5.8495775045501066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42.8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91031.125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5</v>
      </c>
      <c r="G3" cm="1">
        <f t="array" ref="G3">_xll.FDS(A3,"SIZE(FG_CONSTITUENTS)")</f>
        <v>14</v>
      </c>
      <c r="H3" s="9">
        <f t="shared" ref="H3:H11" si="0">E3/$G3</f>
        <v>0.35714285714285715</v>
      </c>
      <c r="I3" s="9">
        <f t="shared" ref="I3:I11" si="1">F3/$G3</f>
        <v>0.35714285714285715</v>
      </c>
      <c r="J3" s="9">
        <f t="shared" ref="J3:J11" si="2">H3-I3</f>
        <v>0</v>
      </c>
      <c r="K3" s="5" cm="1">
        <f t="array" ref="K3">_xll.FDS(A3,"FMA_PCT_ABOVE_MAVG(200,0,,,,""PORTAGG"")")/100</f>
        <v>0.28571428571428603</v>
      </c>
      <c r="L3" s="41" cm="1">
        <f t="array" ref="L3">_xll.FDSB(A3,"PERCENT_CHANGE(FMA_EPS(+1,0,,,,""PORTAGG"",""MEAN""),FMA_EPS(+1,-1AM,,,,""PORTAGG"",""MEAN""))")</f>
        <v>-0.12854639200663401</v>
      </c>
      <c r="M3" s="41" cm="1">
        <f t="array" ref="M3">_xll.FDSB(A3,"PERCENT_CHANGE(FMA_EPS(+1,0,,,,""PORTAGG"",""MEAN""),FMA_EPS(+1,-3AM,,,,""PORTAGG"",""MEAN""))")</f>
        <v>-14.262914098491599</v>
      </c>
      <c r="N3" s="3" cm="1">
        <f t="array" ref="N3">_xll.FDS(C3,"FG_TOTAL_RETURNC(0,-1AM)")</f>
        <v>2.75414</v>
      </c>
      <c r="O3" s="3" cm="1">
        <f t="array" ref="O3">_xll.FDS(C3,"FG_TOTAL_RETURNC(0,-3AM)")</f>
        <v>0.56979656000000001</v>
      </c>
      <c r="P3" s="3" cm="1">
        <f t="array" ref="P3">_xll.FDS(C3,"FG_TOTAL_RETURNC(0,-6AM)")</f>
        <v>5.6971429999999996</v>
      </c>
      <c r="Q3" s="9" cm="1">
        <f t="array" ref="Q3">_xll.FDS(C3,"P_PRICE(0)/P_PRICE_HIGH_PR(0,,,,,,""PRICE"",""INTRA"",""52W"")")</f>
        <v>0.8945419</v>
      </c>
      <c r="R3" s="9" cm="1">
        <f t="array" ref="R3">_xll.FDS(C3,"P_PRICE(0)/P_PRICE_low_PR(0,,,,,,""PRICE"",""INTRA"",""52W"")-1")</f>
        <v>0.118447185</v>
      </c>
      <c r="S3" s="3" cm="1">
        <f t="array" ref="S3">_xll.FDS(C3,"FG_TOTAL_RETURNC(0,-12AM)")</f>
        <v>-6.6326559999999999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7.1</v>
      </c>
      <c r="X3" s="4" cm="1">
        <f t="array" ref="X3">_xlfn.PERCENTRANK.EXC(_xlfn._xlws.FILTER($P$3:$P$15, ISNUMBER($P$3:$P$15)),P3)*100</f>
        <v>7.1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21.4</v>
      </c>
      <c r="AC3" s="4">
        <f t="shared" ref="AC3:AC15" si="4">_xlfn.PERCENTRANK.EXC($L$3:$L$15,L3)*100</f>
        <v>14.2</v>
      </c>
      <c r="AD3" s="4">
        <f t="shared" ref="AD3:AD15" si="5">_xlfn.PERCENTRANK.EXC($M$3:$M$15,M3)*100</f>
        <v>7.1</v>
      </c>
      <c r="AE3" s="4">
        <f t="shared" ref="AE3:AE15" si="6">_xlfn.PERCENTRANK.EXC($D$3:$D$15,D3)*100</f>
        <v>7.1</v>
      </c>
      <c r="AF3" s="4">
        <f>'Economic Momentum'!Q4</f>
        <v>35.699999999999996</v>
      </c>
      <c r="AG3" s="4">
        <f ca="1">'Economic Momentum'!R4</f>
        <v>78.5</v>
      </c>
      <c r="AH3" s="4">
        <f t="shared" ref="AH3:AH15" ca="1" si="7">SUMPRODUCT($U$2:$AG$2,U3:AG3)</f>
        <v>7.1</v>
      </c>
      <c r="AJ3" s="3" cm="1">
        <f t="array" aca="1" ref="AJ3" ca="1">_xlfn.PERCENTRANK.EXC(_xlfn._xlws.FILTER($AH$3:$AH$15, ISNUMBER($AH$3:$AH$15)),AH3)*100</f>
        <v>7.1</v>
      </c>
      <c r="AK3">
        <f t="shared" ref="AK3:AK15" si="8">COUNTIF(V3:AB3,"&gt;70")</f>
        <v>0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1717668.4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21</v>
      </c>
      <c r="G4" cm="1">
        <f t="array" ref="G4">_xll.FDS(A4,"SIZE(FG_CONSTITUENTS)")</f>
        <v>59</v>
      </c>
      <c r="H4" s="9">
        <f t="shared" si="0"/>
        <v>0.3559322033898305</v>
      </c>
      <c r="I4" s="9">
        <f t="shared" si="1"/>
        <v>0.3559322033898305</v>
      </c>
      <c r="J4" s="9">
        <f t="shared" si="2"/>
        <v>0</v>
      </c>
      <c r="K4" s="5" cm="1">
        <f t="array" ref="K4">_xll.FDS(A4,"FMA_PCT_ABOVE_MAVG(200,0,,,,""PORTAGG"")")/100</f>
        <v>0.76271186440677996</v>
      </c>
      <c r="L4" s="41" cm="1">
        <f t="array" ref="L4">_xll.FDSB(A4,"PERCENT_CHANGE(FMA_EPS(+1,0,,,,""PORTAGG"",""MEAN""),FMA_EPS(+1,-1AM,,,,""PORTAGG"",""MEAN""))")</f>
        <v>0.82481472929780897</v>
      </c>
      <c r="M4" s="41" cm="1">
        <f t="array" ref="M4">_xll.FDSB(A4,"PERCENT_CHANGE(FMA_EPS(+1,0,,,,""PORTAGG"",""MEAN""),FMA_EPS(+1,-3AM,,,,""PORTAGG"",""MEAN""))")</f>
        <v>1.69309143566496</v>
      </c>
      <c r="N4" s="3" cm="1">
        <f t="array" ref="N4">_xll.FDS(C4,"FG_TOTAL_RETURNC(0,-1AM)")</f>
        <v>7.4042560000000002</v>
      </c>
      <c r="O4" s="3" cm="1">
        <f t="array" ref="O4">_xll.FDS(C4,"FG_TOTAL_RETURNC(0,-3AM)")</f>
        <v>6.3632489999999997</v>
      </c>
      <c r="P4" s="3" cm="1">
        <f t="array" ref="P4">_xll.FDS(C4,"FG_TOTAL_RETURNC(0,-6AM)")</f>
        <v>15.983915</v>
      </c>
      <c r="Q4" s="9" cm="1">
        <f t="array" ref="Q4">_xll.FDS(C4,"P_PRICE(0)/P_PRICE_HIGH_PR(0,,,,,,""PRICE"",""INTRA"",""52W"")")</f>
        <v>1</v>
      </c>
      <c r="R4" s="9" cm="1">
        <f t="array" ref="R4">_xll.FDS(C4,"P_PRICE(0)/P_PRICE_low_PR(0,,,,,,""PRICE"",""INTRA"",""52W"")-1")</f>
        <v>0.23362659999999999</v>
      </c>
      <c r="S4" s="3" cm="1">
        <f t="array" ref="S4">_xll.FDS(C4,"FG_TOTAL_RETURNC(0,-12AM)")</f>
        <v>14.515435999999999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92.800000000000011</v>
      </c>
      <c r="W4" s="4" cm="1">
        <f t="array" ref="W4">_xlfn.PERCENTRANK.EXC(_xlfn._xlws.FILTER($O$3:$O$15, ISNUMBER($O$3:$O$15)),O4)*100</f>
        <v>50</v>
      </c>
      <c r="X4" s="4" cm="1">
        <f t="array" ref="X4">_xlfn.PERCENTRANK.EXC(_xlfn._xlws.FILTER($P$3:$P$15, ISNUMBER($P$3:$P$15)),P4)*100</f>
        <v>50</v>
      </c>
      <c r="Y4" s="201" cm="1">
        <f t="array" ref="Y4">_xlfn.PERCENTRANK.EXC(_xlfn._xlws.FILTER($S$3:$S$15, ISNUMBER($S$3:$S$15)),S4)*100</f>
        <v>35.699999999999996</v>
      </c>
      <c r="Z4" s="4" cm="1">
        <f t="array" ref="Z4">_xlfn.PERCENTRANK.EXC(_xlfn._xlws.FILTER($K$3:$K$15, ISNUMBER($K$3:$K$15)),K4)*100</f>
        <v>64.2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21.4</v>
      </c>
      <c r="AC4" s="4">
        <f t="shared" si="4"/>
        <v>35.699999999999996</v>
      </c>
      <c r="AD4" s="4">
        <f t="shared" si="5"/>
        <v>50</v>
      </c>
      <c r="AE4" s="4">
        <f t="shared" si="6"/>
        <v>35.699999999999996</v>
      </c>
      <c r="AF4" s="4">
        <f>'Economic Momentum'!Q5</f>
        <v>64.2</v>
      </c>
      <c r="AG4" s="4">
        <f ca="1">'Economic Momentum'!R5</f>
        <v>14.2</v>
      </c>
      <c r="AH4" s="4">
        <f t="shared" ca="1" si="7"/>
        <v>67.12</v>
      </c>
      <c r="AJ4" s="3" cm="1">
        <f t="array" aca="1" ref="AJ4" ca="1">_xlfn.PERCENTRANK.EXC(_xlfn._xlws.FILTER($AH$3:$AH$15, ISNUMBER($AH$3:$AH$15)),AH4)*100</f>
        <v>71.399999999999991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2787700.5</v>
      </c>
      <c r="E5" cm="1">
        <f t="array" ref="E5">_xll.FDS(C5,"FMA_COS_UP(""EPS"",""1M"",+1,0,,,""PORTAGG"",""MEANR"")")</f>
        <v>41</v>
      </c>
      <c r="F5" cm="1">
        <f t="array" ref="F5">_xll.FDS(C5,"FMA_COS_DOWN(""EPS"",""1M"",+1,0,,,""PORTAGG"",""MEANR"")")</f>
        <v>38</v>
      </c>
      <c r="G5" cm="1">
        <f t="array" ref="G5">_xll.FDS(A5,"SIZE(FG_CONSTITUENTS)")</f>
        <v>88</v>
      </c>
      <c r="H5" s="9">
        <f t="shared" si="0"/>
        <v>0.46590909090909088</v>
      </c>
      <c r="I5" s="9">
        <f t="shared" si="1"/>
        <v>0.43181818181818182</v>
      </c>
      <c r="J5" s="9">
        <f t="shared" si="2"/>
        <v>3.4090909090909061E-2</v>
      </c>
      <c r="K5" s="5" cm="1">
        <f t="array" ref="K5">_xll.FDS(A5,"FMA_PCT_ABOVE_MAVG(200,0,,,,""PORTAGG"")")/100</f>
        <v>0.76136363636363602</v>
      </c>
      <c r="L5" s="41" cm="1">
        <f t="array" ref="L5">_xll.FDSB(A5,"PERCENT_CHANGE(FMA_EPS(+1,0,,,,""PORTAGG"",""MEAN""),FMA_EPS(+1,-1AM,,,,""PORTAGG"",""MEAN""))")</f>
        <v>1.39154605329689</v>
      </c>
      <c r="M5" s="41" cm="1">
        <f t="array" ref="M5">_xll.FDSB(A5,"PERCENT_CHANGE(FMA_EPS(+1,0,,,,""PORTAGG"",""MEAN""),FMA_EPS(+1,-3AM,,,,""PORTAGG"",""MEAN""))")</f>
        <v>-0.9250208721448</v>
      </c>
      <c r="N5" s="3" cm="1">
        <f t="array" ref="N5">_xll.FDS(C5,"FG_TOTAL_RETURNC(0,-1AM)")</f>
        <v>4.9496890000000002</v>
      </c>
      <c r="O5" s="3" cm="1">
        <f t="array" ref="O5">_xll.FDS(C5,"FG_TOTAL_RETURNC(0,-3AM)")</f>
        <v>5.2071930000000002</v>
      </c>
      <c r="P5" s="3" cm="1">
        <f t="array" ref="P5">_xll.FDS(C5,"FG_TOTAL_RETURNC(0,-6AM)")</f>
        <v>13.477791</v>
      </c>
      <c r="Q5" s="9" cm="1">
        <f t="array" ref="Q5">_xll.FDS(C5,"P_PRICE(0)/P_PRICE_HIGH_PR(0,,,,,,""PRICE"",""INTRA"",""52W"")")</f>
        <v>0.99922323000000002</v>
      </c>
      <c r="R5" s="9" cm="1">
        <f t="array" ref="R5">_xll.FDS(C5,"P_PRICE(0)/P_PRICE_low_PR(0,,,,,,""PRICE"",""INTRA"",""52W"")-1")</f>
        <v>0.22858965000000001</v>
      </c>
      <c r="S5" s="3" cm="1">
        <f t="array" ref="S5">_xll.FDS(C5,"FG_TOTAL_RETURNC(0,-12AM)")</f>
        <v>13.410197999999999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35.699999999999996</v>
      </c>
      <c r="X5" s="4" cm="1">
        <f t="array" ref="X5">_xlfn.PERCENTRANK.EXC(_xlfn._xlws.FILTER($P$3:$P$15, ISNUMBER($P$3:$P$15)),P5)*100</f>
        <v>28.499999999999996</v>
      </c>
      <c r="Y5" s="201" cm="1">
        <f t="array" ref="Y5">_xlfn.PERCENTRANK.EXC(_xlfn._xlws.FILTER($S$3:$S$15, ISNUMBER($S$3:$S$15)),S5)*100</f>
        <v>28.499999999999996</v>
      </c>
      <c r="Z5" s="4" cm="1">
        <f t="array" ref="Z5">_xlfn.PERCENTRANK.EXC(_xlfn._xlws.FILTER($K$3:$K$15, ISNUMBER($K$3:$K$15)),K5)*100</f>
        <v>57.099999999999994</v>
      </c>
      <c r="AA5" s="4" cm="1">
        <f t="array" ref="AA5">_xlfn.PERCENTRANK.EXC(_xlfn._xlws.FILTER($H$3:$H$15, ISNUMBER($H$3:$H$15)),H5)*100</f>
        <v>35.699999999999996</v>
      </c>
      <c r="AB5" s="4" cm="1">
        <f t="array" ref="AB5">_xlfn.PERCENTRANK.EXC(_xlfn._xlws.FILTER($J$3:$J$15, ISNUMBER($J$3:$J$15)),J5)*100</f>
        <v>42.8</v>
      </c>
      <c r="AC5" s="4">
        <f t="shared" si="4"/>
        <v>42.8</v>
      </c>
      <c r="AD5" s="4">
        <f t="shared" si="5"/>
        <v>14.2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35.699999999999996</v>
      </c>
      <c r="AH5" s="4">
        <f t="shared" ca="1" si="7"/>
        <v>47.819999999999993</v>
      </c>
      <c r="AJ5" s="3" cm="1">
        <f t="array" aca="1" ref="AJ5" ca="1">_xlfn.PERCENTRANK.EXC(_xlfn._xlws.FILTER($AH$3:$AH$15, ISNUMBER($AH$3:$AH$15)),AH5)*100</f>
        <v>50</v>
      </c>
      <c r="AK5">
        <f t="shared" si="8"/>
        <v>1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2325798</v>
      </c>
      <c r="E6" cm="1">
        <f t="array" ref="E6">_xll.FDS(C6,"FMA_COS_UP(""EPS"",""1M"",+1,0,,,""PORTAGG"",""MEANR"")")</f>
        <v>27</v>
      </c>
      <c r="F6" cm="1">
        <f t="array" ref="F6">_xll.FDS(C6,"FMA_COS_DOWN(""EPS"",""1M"",+1,0,,,""PORTAGG"",""MEANR"")")</f>
        <v>28</v>
      </c>
      <c r="G6" cm="1">
        <f t="array" ref="G6">_xll.FDS(A6,"SIZE(FG_CONSTITUENTS)")</f>
        <v>57</v>
      </c>
      <c r="H6" s="9">
        <f t="shared" si="0"/>
        <v>0.47368421052631576</v>
      </c>
      <c r="I6" s="9">
        <f t="shared" si="1"/>
        <v>0.49122807017543857</v>
      </c>
      <c r="J6" s="9">
        <f t="shared" si="2"/>
        <v>-1.7543859649122806E-2</v>
      </c>
      <c r="K6" s="5" cm="1">
        <f t="array" ref="K6">_xll.FDS(A6,"FMA_PCT_ABOVE_MAVG(200,0,,,,""PORTAGG"")")/100</f>
        <v>0.82456140350877205</v>
      </c>
      <c r="L6" s="41" cm="1">
        <f t="array" ref="L6">_xll.FDSB(A6,"PERCENT_CHANGE(FMA_EPS(+1,0,,,,""PORTAGG"",""MEAN""),FMA_EPS(+1,-1AM,,,,""PORTAGG"",""MEAN""))")</f>
        <v>3.9707037302557899</v>
      </c>
      <c r="M6" s="41" cm="1">
        <f t="array" ref="M6">_xll.FDSB(A6,"PERCENT_CHANGE(FMA_EPS(+1,0,,,,""PORTAGG"",""MEAN""),FMA_EPS(+1,-3AM,,,,""PORTAGG"",""MEAN""))")</f>
        <v>2.6034878857544101</v>
      </c>
      <c r="N6" s="3" cm="1">
        <f t="array" ref="N6">_xll.FDS(C6,"FG_TOTAL_RETURNC(0,-1AM)")</f>
        <v>7.5290203</v>
      </c>
      <c r="O6" s="3" cm="1">
        <f t="array" ref="O6">_xll.FDS(C6,"FG_TOTAL_RETURNC(0,-3AM)")</f>
        <v>9.8610520000000008</v>
      </c>
      <c r="P6" s="3" cm="1">
        <f t="array" ref="P6">_xll.FDS(C6,"FG_TOTAL_RETURNC(0,-6AM)")</f>
        <v>15.833128</v>
      </c>
      <c r="Q6" s="9" cm="1">
        <f t="array" ref="Q6">_xll.FDS(C6,"P_PRICE(0)/P_PRICE_HIGH_PR(0,,,,,,""PRICE"",""INTRA"",""52W"")")</f>
        <v>0.98999910000000002</v>
      </c>
      <c r="R6" s="9" cm="1">
        <f t="array" ref="R6">_xll.FDS(C6,"P_PRICE(0)/P_PRICE_low_PR(0,,,,,,""PRICE"",""INTRA"",""52W"")-1")</f>
        <v>0.31228495000000001</v>
      </c>
      <c r="S6" s="3" cm="1">
        <f t="array" ref="S6">_xll.FDS(C6,"FG_TOTAL_RETURNC(0,-12AM)")</f>
        <v>15.027475000000001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28.499999999999996</v>
      </c>
      <c r="W6" s="4" cm="1">
        <f t="array" ref="W6">_xlfn.PERCENTRANK.EXC(_xlfn._xlws.FILTER($O$3:$O$15, ISNUMBER($O$3:$O$15)),O6)*100</f>
        <v>78.5</v>
      </c>
      <c r="X6" s="4" cm="1">
        <f t="array" ref="X6">_xlfn.PERCENTRANK.EXC(_xlfn._xlws.FILTER($P$3:$P$15, ISNUMBER($P$3:$P$15)),P6)*100</f>
        <v>42.8</v>
      </c>
      <c r="Y6" s="201" cm="1">
        <f t="array" ref="Y6">_xlfn.PERCENTRANK.EXC(_xlfn._xlws.FILTER($S$3:$S$15, ISNUMBER($S$3:$S$15)),S6)*100</f>
        <v>42.8</v>
      </c>
      <c r="Z6" s="4" cm="1">
        <f t="array" ref="Z6">_xlfn.PERCENTRANK.EXC(_xlfn._xlws.FILTER($K$3:$K$15, ISNUMBER($K$3:$K$15)),K6)*100</f>
        <v>85.7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14.2</v>
      </c>
      <c r="AC6" s="4">
        <f t="shared" si="4"/>
        <v>85.7</v>
      </c>
      <c r="AD6" s="4">
        <f t="shared" si="5"/>
        <v>71.399999999999991</v>
      </c>
      <c r="AE6" s="4">
        <f t="shared" si="6"/>
        <v>50</v>
      </c>
      <c r="AF6" s="4">
        <f>'Economic Momentum'!Q7</f>
        <v>14.2</v>
      </c>
      <c r="AG6" s="4">
        <f ca="1">'Economic Momentum'!R7</f>
        <v>28.499999999999996</v>
      </c>
      <c r="AH6" s="4">
        <f t="shared" ca="1" si="7"/>
        <v>47.79</v>
      </c>
      <c r="AJ6" s="3" cm="1">
        <f t="array" aca="1" ref="AJ6" ca="1">_xlfn.PERCENTRANK.EXC(_xlfn._xlws.FILTER($AH$3:$AH$15, ISNUMBER($AH$3:$AH$15)),AH6)*100</f>
        <v>42.8</v>
      </c>
      <c r="AK6">
        <f t="shared" si="8"/>
        <v>2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6434431</v>
      </c>
      <c r="E7" cm="1">
        <f t="array" ref="E7">_xll.FDS(C7,"FMA_COS_UP(""EPS"",""1M"",+1,0,,,""PORTAGG"",""MEANR"")")</f>
        <v>106</v>
      </c>
      <c r="F7" cm="1">
        <f t="array" ref="F7">_xll.FDS(C7,"FMA_COS_DOWN(""EPS"",""1M"",+1,0,,,""PORTAGG"",""MEANR"")")</f>
        <v>86</v>
      </c>
      <c r="G7" cm="1">
        <f t="array" ref="G7">_xll.FDS(A7,"SIZE(FG_CONSTITUENTS)")</f>
        <v>218</v>
      </c>
      <c r="H7" s="9">
        <f t="shared" si="0"/>
        <v>0.48623853211009177</v>
      </c>
      <c r="I7" s="9">
        <f t="shared" si="1"/>
        <v>0.39449541284403672</v>
      </c>
      <c r="J7" s="9">
        <f t="shared" si="2"/>
        <v>9.1743119266055051E-2</v>
      </c>
      <c r="K7" s="5" cm="1">
        <f t="array" ref="K7">_xll.FDS(A7,"FMA_PCT_ABOVE_MAVG(200,0,,,,""PORTAGG"")")/100</f>
        <v>0.701834862385321</v>
      </c>
      <c r="L7" s="41" cm="1">
        <f t="array" ref="L7">_xll.FDSB(A7,"PERCENT_CHANGE(FMA_EPS(+1,0,,,,""PORTAGG"",""MEAN""),FMA_EPS(+1,-1AM,,,,""PORTAGG"",""MEAN""))")</f>
        <v>0.30570369398195402</v>
      </c>
      <c r="M7" s="41" cm="1">
        <f t="array" ref="M7">_xll.FDSB(A7,"PERCENT_CHANGE(FMA_EPS(+1,0,,,,""PORTAGG"",""MEAN""),FMA_EPS(+1,-3AM,,,,""PORTAGG"",""MEAN""))")</f>
        <v>-0.26517159852260003</v>
      </c>
      <c r="N7" s="3" cm="1">
        <f t="array" ref="N7">_xll.FDS(C7,"FG_TOTAL_RETURNC(0,-1AM)")</f>
        <v>2.4444938</v>
      </c>
      <c r="O7" s="3" cm="1">
        <f t="array" ref="O7">_xll.FDS(C7,"FG_TOTAL_RETURNC(0,-3AM)")</f>
        <v>1.6265035000000001</v>
      </c>
      <c r="P7" s="3" cm="1">
        <f t="array" ref="P7">_xll.FDS(C7,"FG_TOTAL_RETURNC(0,-6AM)")</f>
        <v>11.786294</v>
      </c>
      <c r="Q7" s="9" cm="1">
        <f t="array" ref="Q7">_xll.FDS(C7,"P_PRICE(0)/P_PRICE_HIGH_PR(0,,,,,,""PRICE"",""INTRA"",""52W"")")</f>
        <v>0.95372235999999999</v>
      </c>
      <c r="R7" s="9" cm="1">
        <f t="array" ref="R7">_xll.FDS(C7,"P_PRICE(0)/P_PRICE_low_PR(0,,,,,,""PRICE"",""INTRA"",""52W"")-1")</f>
        <v>0.20157348999999999</v>
      </c>
      <c r="S7" s="3" cm="1">
        <f t="array" ref="S7">_xll.FDS(C7,"FG_TOTAL_RETURNC(0,-12AM)")</f>
        <v>15.350543999999999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14.2</v>
      </c>
      <c r="W7" s="4" cm="1">
        <f t="array" ref="W7">_xlfn.PERCENTRANK.EXC(_xlfn._xlws.FILTER($O$3:$O$15, ISNUMBER($O$3:$O$15)),O7)*100</f>
        <v>14.2</v>
      </c>
      <c r="X7" s="4" cm="1">
        <f t="array" ref="X7">_xlfn.PERCENTRANK.EXC(_xlfn._xlws.FILTER($P$3:$P$15, ISNUMBER($P$3:$P$15)),P7)*100</f>
        <v>21.4</v>
      </c>
      <c r="Y7" s="201" cm="1">
        <f t="array" ref="Y7">_xlfn.PERCENTRANK.EXC(_xlfn._xlws.FILTER($S$3:$S$15, ISNUMBER($S$3:$S$15)),S7)*100</f>
        <v>57.099999999999994</v>
      </c>
      <c r="Z7" s="4" cm="1">
        <f t="array" ref="Z7">_xlfn.PERCENTRANK.EXC(_xlfn._xlws.FILTER($K$3:$K$15, ISNUMBER($K$3:$K$15)),K7)*100</f>
        <v>21.4</v>
      </c>
      <c r="AA7" s="4" cm="1">
        <f t="array" ref="AA7">_xlfn.PERCENTRANK.EXC(_xlfn._xlws.FILTER($H$3:$H$15, ISNUMBER($H$3:$H$15)),H7)*100</f>
        <v>50</v>
      </c>
      <c r="AB7" s="4" cm="1">
        <f t="array" ref="AB7">_xlfn.PERCENTRANK.EXC(_xlfn._xlws.FILTER($J$3:$J$15, ISNUMBER($J$3:$J$15)),J7)*100</f>
        <v>64.2</v>
      </c>
      <c r="AC7" s="4">
        <f t="shared" si="4"/>
        <v>21.4</v>
      </c>
      <c r="AD7" s="4">
        <f t="shared" si="5"/>
        <v>21.4</v>
      </c>
      <c r="AE7" s="4">
        <f t="shared" si="6"/>
        <v>78.5</v>
      </c>
      <c r="AF7" s="4">
        <f>'Economic Momentum'!Q8</f>
        <v>57.099999999999994</v>
      </c>
      <c r="AG7" s="4">
        <f ca="1">'Economic Momentum'!R8</f>
        <v>7.1</v>
      </c>
      <c r="AH7" s="4">
        <f t="shared" ca="1" si="7"/>
        <v>16.36</v>
      </c>
      <c r="AJ7" s="3" cm="1">
        <f t="array" aca="1" ref="AJ7" ca="1">_xlfn.PERCENTRANK.EXC(_xlfn._xlws.FILTER($AH$3:$AH$15, ISNUMBER($AH$3:$AH$15)),AH7)*100</f>
        <v>14.2</v>
      </c>
      <c r="AK7">
        <f t="shared" si="8"/>
        <v>0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2171297.5</v>
      </c>
      <c r="E8" cm="1">
        <f t="array" ref="E8">_xll.FDS(C8,"FMA_COS_UP(""EPS"",""1M"",+1,0,,,""PORTAGG"",""MEANR"")")</f>
        <v>21</v>
      </c>
      <c r="F8" cm="1">
        <f t="array" ref="F8">_xll.FDS(C8,"FMA_COS_DOWN(""EPS"",""1M"",+1,0,,,""PORTAGG"",""MEANR"")")</f>
        <v>18</v>
      </c>
      <c r="G8" cm="1">
        <f t="array" ref="G8">_xll.FDS(A8,"SIZE(FG_CONSTITUENTS)")</f>
        <v>46</v>
      </c>
      <c r="H8" s="9">
        <f t="shared" si="0"/>
        <v>0.45652173913043476</v>
      </c>
      <c r="I8" s="9">
        <f t="shared" si="1"/>
        <v>0.39130434782608697</v>
      </c>
      <c r="J8" s="9">
        <f t="shared" si="2"/>
        <v>6.5217391304347783E-2</v>
      </c>
      <c r="K8" s="5" cm="1">
        <f t="array" ref="K8">_xll.FDS(A8,"FMA_PCT_ABOVE_MAVG(200,0,,,,""PORTAGG"")")/100</f>
        <v>0.68888888888888899</v>
      </c>
      <c r="L8" s="41" cm="1">
        <f t="array" ref="L8">_xll.FDSB(A8,"PERCENT_CHANGE(FMA_EPS(+1,0,,,,""PORTAGG"",""MEAN""),FMA_EPS(+1,-1AM,,,,""PORTAGG"",""MEAN""))")</f>
        <v>3.2948077365059101</v>
      </c>
      <c r="M8" s="41" cm="1">
        <f t="array" ref="M8">_xll.FDSB(A8,"PERCENT_CHANGE(FMA_EPS(+1,0,,,,""PORTAGG"",""MEAN""),FMA_EPS(+1,-3AM,,,,""PORTAGG"",""MEAN""))")</f>
        <v>2.2039953394354099</v>
      </c>
      <c r="N8" s="3" cm="1">
        <f t="array" ref="N8">_xll.FDS(C8,"FG_TOTAL_RETURNC(0,-1AM)")</f>
        <v>7.9585549999999996</v>
      </c>
      <c r="O8" s="3" cm="1">
        <f t="array" ref="O8">_xll.FDS(C8,"FG_TOTAL_RETURNC(0,-3AM)")</f>
        <v>4.9282311999999999</v>
      </c>
      <c r="P8" s="3" cm="1">
        <f t="array" ref="P8">_xll.FDS(C8,"FG_TOTAL_RETURNC(0,-6AM)")</f>
        <v>9.9955079999999992</v>
      </c>
      <c r="Q8" s="9" cm="1">
        <f t="array" ref="Q8">_xll.FDS(C8,"P_PRICE(0)/P_PRICE_HIGH_PR(0,,,,,,""PRICE"",""INTRA"",""52W"")")</f>
        <v>0.99877629999999995</v>
      </c>
      <c r="R8" s="9" cm="1">
        <f t="array" ref="R8">_xll.FDS(C8,"P_PRICE(0)/P_PRICE_low_PR(0,,,,,,""PRICE"",""INTRA"",""52W"")-1")</f>
        <v>0.17858004999999999</v>
      </c>
      <c r="S8" s="3" cm="1">
        <f t="array" ref="S8">_xll.FDS(C8,"FG_TOTAL_RETURNC(0,-12AM)")</f>
        <v>4.4852970000000001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64.2</v>
      </c>
      <c r="W8" s="4" cm="1">
        <f t="array" ref="W8">_xlfn.PERCENTRANK.EXC(_xlfn._xlws.FILTER($O$3:$O$15, ISNUMBER($O$3:$O$15)),O8)*100</f>
        <v>21.4</v>
      </c>
      <c r="X8" s="4" cm="1">
        <f t="array" ref="X8">_xlfn.PERCENTRANK.EXC(_xlfn._xlws.FILTER($P$3:$P$15, ISNUMBER($P$3:$P$15)),P8)*100</f>
        <v>14.2</v>
      </c>
      <c r="Y8" s="201" cm="1">
        <f t="array" ref="Y8">_xlfn.PERCENTRANK.EXC(_xlfn._xlws.FILTER($S$3:$S$15, ISNUMBER($S$3:$S$15)),S8)*100</f>
        <v>14.2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28.499999999999996</v>
      </c>
      <c r="AB8" s="4" cm="1">
        <f t="array" ref="AB8">_xlfn.PERCENTRANK.EXC(_xlfn._xlws.FILTER($J$3:$J$15, ISNUMBER($J$3:$J$15)),J8)*100</f>
        <v>57.099999999999994</v>
      </c>
      <c r="AC8" s="4">
        <f t="shared" si="4"/>
        <v>78.5</v>
      </c>
      <c r="AD8" s="4">
        <f t="shared" si="5"/>
        <v>64.2</v>
      </c>
      <c r="AE8" s="4">
        <f t="shared" si="6"/>
        <v>42.8</v>
      </c>
      <c r="AF8" s="4">
        <f>'Economic Momentum'!Q9</f>
        <v>7.1</v>
      </c>
      <c r="AG8" s="4">
        <f ca="1">'Economic Momentum'!R9</f>
        <v>42.8</v>
      </c>
      <c r="AH8" s="4">
        <f t="shared" ca="1" si="7"/>
        <v>36.36</v>
      </c>
      <c r="AJ8" s="3" cm="1">
        <f t="array" aca="1" ref="AJ8" ca="1">_xlfn.PERCENTRANK.EXC(_xlfn._xlws.FILTER($AH$3:$AH$15, ISNUMBER($AH$3:$AH$15)),AH8)*100</f>
        <v>21.4</v>
      </c>
      <c r="AK8">
        <f t="shared" si="8"/>
        <v>0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3326938.5</v>
      </c>
      <c r="E9" cm="1">
        <f t="array" ref="E9">_xll.FDS(C9,"FMA_COS_UP(""EPS"",""1M"",+1,0,,,""PORTAGG"",""MEANR"")")</f>
        <v>42</v>
      </c>
      <c r="F9" cm="1">
        <f t="array" ref="F9">_xll.FDS(C9,"FMA_COS_DOWN(""EPS"",""1M"",+1,0,,,""PORTAGG"",""MEANR"")")</f>
        <v>38</v>
      </c>
      <c r="G9" cm="1">
        <f t="array" ref="G9">_xll.FDS(A9,"SIZE(FG_CONSTITUENTS)")</f>
        <v>85</v>
      </c>
      <c r="H9" s="9">
        <f t="shared" si="0"/>
        <v>0.49411764705882355</v>
      </c>
      <c r="I9" s="9">
        <f t="shared" si="1"/>
        <v>0.44705882352941179</v>
      </c>
      <c r="J9" s="9">
        <f t="shared" si="2"/>
        <v>4.7058823529411764E-2</v>
      </c>
      <c r="K9" s="5" cm="1">
        <f t="array" ref="K9">_xll.FDS(A9,"FMA_PCT_ABOVE_MAVG(200,0,,,,""PORTAGG"")")/100</f>
        <v>0.80952380952380909</v>
      </c>
      <c r="L9" s="41" cm="1">
        <f t="array" ref="L9">_xll.FDSB(A9,"PERCENT_CHANGE(FMA_EPS(+1,0,,,,""PORTAGG"",""MEAN""),FMA_EPS(+1,-1AM,,,,""PORTAGG"",""MEAN""))")</f>
        <v>2.4588572331120502</v>
      </c>
      <c r="M9" s="41" cm="1">
        <f t="array" ref="M9">_xll.FDSB(A9,"PERCENT_CHANGE(FMA_EPS(+1,0,,,,""PORTAGG"",""MEAN""),FMA_EPS(+1,-3AM,,,,""PORTAGG"",""MEAN""))")</f>
        <v>2.7595231886493599</v>
      </c>
      <c r="N9" s="3" cm="1">
        <f t="array" ref="N9">_xll.FDS(C9,"FG_TOTAL_RETURNC(0,-1AM)")</f>
        <v>9.9670769999999997</v>
      </c>
      <c r="O9" s="3" cm="1">
        <f t="array" ref="O9">_xll.FDS(C9,"FG_TOTAL_RETURNC(0,-3AM)")</f>
        <v>12.423503999999999</v>
      </c>
      <c r="P9" s="3" cm="1">
        <f t="array" ref="P9">_xll.FDS(C9,"FG_TOTAL_RETURNC(0,-6AM)")</f>
        <v>17.089770999999999</v>
      </c>
      <c r="Q9" s="9" cm="1">
        <f t="array" ref="Q9">_xll.FDS(C9,"P_PRICE(0)/P_PRICE_HIGH_PR(0,,,,,,""PRICE"",""INTRA"",""52W"")")</f>
        <v>0.99959189999999998</v>
      </c>
      <c r="R9" s="9" cm="1">
        <f t="array" ref="R9">_xll.FDS(C9,"P_PRICE(0)/P_PRICE_low_PR(0,,,,,,""PRICE"",""INTRA"",""52W"")-1")</f>
        <v>0.21897817</v>
      </c>
      <c r="S9" s="3" cm="1">
        <f t="array" ref="S9">_xll.FDS(C9,"FG_TOTAL_RETURNC(0,-12AM)")</f>
        <v>15.028333999999999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85.7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57.099999999999994</v>
      </c>
      <c r="Y9" s="201" cm="1">
        <f t="array" ref="Y9">_xlfn.PERCENTRANK.EXC(_xlfn._xlws.FILTER($S$3:$S$15, ISNUMBER($S$3:$S$15)),S9)*100</f>
        <v>50</v>
      </c>
      <c r="Z9" s="4" cm="1">
        <f t="array" ref="Z9">_xlfn.PERCENTRANK.EXC(_xlfn._xlws.FILTER($K$3:$K$15, ISNUMBER($K$3:$K$15)),K9)*100</f>
        <v>78.5</v>
      </c>
      <c r="AA9" s="4" cm="1">
        <f t="array" ref="AA9">_xlfn.PERCENTRANK.EXC(_xlfn._xlws.FILTER($H$3:$H$15, ISNUMBER($H$3:$H$15)),H9)*100</f>
        <v>64.2</v>
      </c>
      <c r="AB9" s="4" cm="1">
        <f t="array" ref="AB9">_xlfn.PERCENTRANK.EXC(_xlfn._xlws.FILTER($J$3:$J$15, ISNUMBER($J$3:$J$15)),J9)*100</f>
        <v>50</v>
      </c>
      <c r="AC9" s="4">
        <f t="shared" si="4"/>
        <v>57.099999999999994</v>
      </c>
      <c r="AD9" s="4">
        <f t="shared" si="5"/>
        <v>78.5</v>
      </c>
      <c r="AE9" s="4">
        <f t="shared" si="6"/>
        <v>64.2</v>
      </c>
      <c r="AF9" s="4">
        <f>'Economic Momentum'!Q10</f>
        <v>42.8</v>
      </c>
      <c r="AG9" s="4">
        <f ca="1">'Economic Momentum'!R10</f>
        <v>50</v>
      </c>
      <c r="AH9" s="4">
        <f t="shared" ca="1" si="7"/>
        <v>77.12</v>
      </c>
      <c r="AJ9" s="3" cm="1">
        <f t="array" aca="1" ref="AJ9" ca="1">_xlfn.PERCENTRANK.EXC(_xlfn._xlws.FILTER($AH$3:$AH$15, ISNUMBER($AH$3:$AH$15)),AH9)*100</f>
        <v>85.7</v>
      </c>
      <c r="AK9">
        <f t="shared" si="8"/>
        <v>3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55329810</v>
      </c>
      <c r="E10" cm="1">
        <f t="array" ref="E10">_xll.FDS(C10,"FMA_COS_UP(""EPS"",""1M"",+1,0,,,""PORTAGG"",""MEANR"")")</f>
        <v>51</v>
      </c>
      <c r="F10" cm="1">
        <f t="array" ref="F10">_xll.FDS(C10,"FMA_COS_DOWN(""EPS"",""1M"",+1,0,,,""PORTAGG"",""MEANR"")")</f>
        <v>37</v>
      </c>
      <c r="G10" cm="1">
        <f t="array" ref="G10">_xll.FDS(A10,"SIZE(FG_CONSTITUENTS)")</f>
        <v>102</v>
      </c>
      <c r="H10" s="9">
        <f t="shared" si="0"/>
        <v>0.5</v>
      </c>
      <c r="I10" s="9">
        <f t="shared" si="1"/>
        <v>0.36274509803921567</v>
      </c>
      <c r="J10" s="9">
        <f t="shared" si="2"/>
        <v>0.13725490196078433</v>
      </c>
      <c r="K10" s="5" cm="1">
        <f t="array" ref="K10">_xll.FDS(A10,"FMA_PCT_ABOVE_MAVG(200,0,,,,""PORTAGG"")")/100</f>
        <v>0.70588235294117696</v>
      </c>
      <c r="L10" s="41" cm="1">
        <f t="array" ref="L10">_xll.FDSB(A10,"PERCENT_CHANGE(FMA_EPS(+1,0,,,,""PORTAGG"",""MEAN""),FMA_EPS(+1,-1AM,,,,""PORTAGG"",""MEAN""))")</f>
        <v>-0.44165316961885398</v>
      </c>
      <c r="M10" s="41" cm="1">
        <f t="array" ref="M10">_xll.FDSB(A10,"PERCENT_CHANGE(FMA_EPS(+1,0,,,,""PORTAGG"",""MEAN""),FMA_EPS(+1,-3AM,,,,""PORTAGG"",""MEAN""))")</f>
        <v>-0.155638988789877</v>
      </c>
      <c r="N10" s="3" cm="1">
        <f t="array" ref="N10">_xll.FDS(C10,"FG_TOTAL_RETURNC(0,-1AM)")</f>
        <v>6.0867905999999996</v>
      </c>
      <c r="O10" s="3" cm="1">
        <f t="array" ref="O10">_xll.FDS(C10,"FG_TOTAL_RETURNC(0,-3AM)")</f>
        <v>5.0589203999999999</v>
      </c>
      <c r="P10" s="3" cm="1">
        <f t="array" ref="P10">_xll.FDS(C10,"FG_TOTAL_RETURNC(0,-6AM)")</f>
        <v>17.471779000000002</v>
      </c>
      <c r="Q10" s="9" cm="1">
        <f t="array" ref="Q10">_xll.FDS(C10,"P_PRICE(0)/P_PRICE_HIGH_PR(0,,,,,,""PRICE"",""INTRA"",""52W"")")</f>
        <v>0.99355610000000005</v>
      </c>
      <c r="R10" s="9" cm="1">
        <f t="array" ref="R10">_xll.FDS(C10,"P_PRICE(0)/P_PRICE_low_PR(0,,,,,,""PRICE"",""INTRA"",""52W"")-1")</f>
        <v>0.37079751</v>
      </c>
      <c r="S10" s="3" cm="1">
        <f t="array" ref="S10">_xll.FDS(C10,"FG_TOTAL_RETURNC(0,-12AM)")</f>
        <v>37.34207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64.2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35.699999999999996</v>
      </c>
      <c r="AA10" s="4" cm="1">
        <f t="array" ref="AA10">_xlfn.PERCENTRANK.EXC(_xlfn._xlws.FILTER($H$3:$H$15, ISNUMBER($H$3:$H$15)),H10)*100</f>
        <v>71.399999999999991</v>
      </c>
      <c r="AB10" s="4" cm="1">
        <f t="array" ref="AB10">_xlfn.PERCENTRANK.EXC(_xlfn._xlws.FILTER($J$3:$J$15, ISNUMBER($J$3:$J$15)),J10)*100</f>
        <v>71.399999999999991</v>
      </c>
      <c r="AC10" s="4">
        <f t="shared" si="4"/>
        <v>7.1</v>
      </c>
      <c r="AD10" s="4">
        <f t="shared" si="5"/>
        <v>28.499999999999996</v>
      </c>
      <c r="AE10" s="4">
        <f t="shared" si="6"/>
        <v>85.7</v>
      </c>
      <c r="AF10" s="4">
        <f>'Economic Momentum'!Q11</f>
        <v>71.399999999999991</v>
      </c>
      <c r="AG10" s="4">
        <f ca="1">'Economic Momentum'!R11</f>
        <v>57.099999999999994</v>
      </c>
      <c r="AH10" s="4">
        <f t="shared" ca="1" si="7"/>
        <v>44.930000000000007</v>
      </c>
      <c r="AJ10" s="3" cm="1">
        <f t="array" aca="1" ref="AJ10" ca="1">_xlfn.PERCENTRANK.EXC(_xlfn._xlws.FILTER($AH$3:$AH$15, ISNUMBER($AH$3:$AH$15)),AH10)*100</f>
        <v>35.699999999999996</v>
      </c>
      <c r="AK10">
        <f t="shared" si="8"/>
        <v>3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55329810</v>
      </c>
      <c r="E11" cm="1">
        <f t="array" ref="E11">_xll.FDS(C11,"FMA_COS_UP(""EPS"",""1M"",+1,0,,,""PORTAGG"",""MEANR"")")</f>
        <v>276</v>
      </c>
      <c r="F11" cm="1">
        <f t="array" ref="F11">_xll.FDS(C11,"FMA_COS_DOWN(""EPS"",""1M"",+1,0,,,""PORTAGG"",""MEANR"")")</f>
        <v>168</v>
      </c>
      <c r="G11" cm="1">
        <f t="array" ref="G11">_xll.FDS(A11,"SIZE(FG_CONSTITUENTS)")</f>
        <v>504</v>
      </c>
      <c r="H11" s="9">
        <f t="shared" si="0"/>
        <v>0.54761904761904767</v>
      </c>
      <c r="I11" s="9">
        <f t="shared" si="1"/>
        <v>0.33333333333333331</v>
      </c>
      <c r="J11" s="9">
        <f t="shared" si="2"/>
        <v>0.21428571428571436</v>
      </c>
      <c r="K11" s="5" cm="1">
        <f t="array" ref="K11">_xll.FDS(A11,"FMA_PCT_ABOVE_MAVG(200,0,,,,""PORTAGG"")")/100</f>
        <v>0.79441117764471103</v>
      </c>
      <c r="L11" s="41" cm="1">
        <f t="array" ref="L11">_xll.FDSB(A11,"PERCENT_CHANGE(FMA_EPS(+1,0,,,,""PORTAGG"",""MEAN""),FMA_EPS(+1,-1AM,,,,""PORTAGG"",""MEAN""))")</f>
        <v>0.59239164558493496</v>
      </c>
      <c r="M11" s="41" cm="1">
        <f t="array" ref="M11">_xll.FDSB(A11,"PERCENT_CHANGE(FMA_EPS(+1,0,,,,""PORTAGG"",""MEAN""),FMA_EPS(+1,-3AM,,,,""PORTAGG"",""MEAN""))")</f>
        <v>0.24940265086424901</v>
      </c>
      <c r="N11" s="3" cm="1">
        <f t="array" ref="N11">_xll.FDS(C11,"FG_TOTAL_RETURNC(0,-1AM)")</f>
        <v>5.7736516</v>
      </c>
      <c r="O11" s="3" cm="1">
        <f t="array" ref="O11">_xll.FDS(C11,"FG_TOTAL_RETURNC(0,-3AM)")</f>
        <v>6.3254595</v>
      </c>
      <c r="P11" s="3" cm="1">
        <f t="array" ref="P11">_xll.FDS(C11,"FG_TOTAL_RETURNC(0,-6AM)")</f>
        <v>18.295287999999999</v>
      </c>
      <c r="Q11" s="9" cm="1">
        <f t="array" ref="Q11">_xll.FDS(C11,"P_PRICE(0)/P_PRICE_HIGH_PR(0,,,,,,""PRICE"",""INTRA"",""52W"")")</f>
        <v>0.99610215000000002</v>
      </c>
      <c r="R11" s="9" cm="1">
        <f t="array" ref="R11">_xll.FDS(C11,"P_PRICE(0)/P_PRICE_low_PR(0,,,,,,""PRICE"",""INTRA"",""52W"")-1")</f>
        <v>0.29383457000000002</v>
      </c>
      <c r="S11" s="3" cm="1">
        <f t="array" ref="S11">_xll.FDS(C11,"FG_TOTAL_RETURNC(0,-12AM)")</f>
        <v>29.365086000000002</v>
      </c>
      <c r="T11" s="4" cm="1">
        <f t="array" ref="T11">_xlfn.PERCENTRANK.EXC(_xlfn._xlws.FILTER($R$3:$R$15, ISNUMBER($R$3:$R$15)),R11)*100</f>
        <v>57.099999999999994</v>
      </c>
      <c r="U11" s="4">
        <f t="shared" si="3"/>
        <v>42.900000000000006</v>
      </c>
      <c r="V11" s="4" cm="1">
        <f t="array" ref="V11">_xlfn.PERCENTRANK.EXC(_xlfn._xlws.FILTER($Q$3:$Q$15, ISNUMBER($Q$3:$Q$15)),Q11)*100</f>
        <v>50</v>
      </c>
      <c r="W11" s="4" cm="1">
        <f t="array" ref="W11">_xlfn.PERCENTRANK.EXC(_xlfn._xlws.FILTER($O$3:$O$15, ISNUMBER($O$3:$O$15)),O11)*100</f>
        <v>42.8</v>
      </c>
      <c r="X11" s="4" cm="1">
        <f t="array" ref="X11">_xlfn.PERCENTRANK.EXC(_xlfn._xlws.FILTER($P$3:$P$15, ISNUMBER($P$3:$P$15)),P11)*100</f>
        <v>71.399999999999991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85.7</v>
      </c>
      <c r="AB11" s="4" cm="1">
        <f t="array" ref="AB11">_xlfn.PERCENTRANK.EXC(_xlfn._xlws.FILTER($J$3:$J$15, ISNUMBER($J$3:$J$15)),J11)*100</f>
        <v>78.5</v>
      </c>
      <c r="AC11" s="4">
        <f t="shared" si="4"/>
        <v>28.499999999999996</v>
      </c>
      <c r="AD11" s="4">
        <f t="shared" si="5"/>
        <v>35.699999999999996</v>
      </c>
      <c r="AE11" s="4">
        <f t="shared" si="6"/>
        <v>85.7</v>
      </c>
      <c r="AF11" s="4">
        <f>'Economic Momentum'!Q12</f>
        <v>71.399999999999991</v>
      </c>
      <c r="AG11" s="4">
        <f ca="1">'Economic Momentum'!R12</f>
        <v>57.099999999999994</v>
      </c>
      <c r="AH11" s="4">
        <f t="shared" ca="1" si="7"/>
        <v>54.259999999999991</v>
      </c>
      <c r="AJ11" s="3" cm="1">
        <f t="array" aca="1" ref="AJ11" ca="1">_xlfn.PERCENTRANK.EXC(_xlfn._xlws.FILTER($AH$3:$AH$15, ISNUMBER($AH$3:$AH$15)),AH11)*100</f>
        <v>64.2</v>
      </c>
      <c r="AK11">
        <f t="shared" si="8"/>
        <v>5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3444518.5</v>
      </c>
      <c r="E12" cm="1">
        <f t="array" ref="E12">_xll.FDS(C12,"FMA_COS_UP(""EPS"",""1M"",+1,0,,,""PORTAGG"",""MEANR"")")</f>
        <v>31</v>
      </c>
      <c r="F12" cm="1">
        <f t="array" ref="F12">_xll.FDS(C12,"FMA_COS_DOWN(""EPS"",""1M"",+1,0,,,""PORTAGG"",""MEANR"")")</f>
        <v>29</v>
      </c>
      <c r="G12" cm="1">
        <f t="array" ref="G12">_xll.FDS(A12,"SIZE(FG_CONSTITUENTS)")</f>
        <v>63</v>
      </c>
      <c r="H12" s="9">
        <f t="shared" ref="H12:H15" si="9">E12/$G12</f>
        <v>0.49206349206349204</v>
      </c>
      <c r="I12" s="9">
        <f t="shared" ref="I12:I15" si="10">F12/$G12</f>
        <v>0.46031746031746029</v>
      </c>
      <c r="J12" s="9">
        <f t="shared" ref="J12:J15" si="11">H12-I12</f>
        <v>3.1746031746031744E-2</v>
      </c>
      <c r="K12" s="5" cm="1">
        <f t="array" ref="K12">_xll.FDS(A12,"FMA_PCT_ABOVE_MAVG(200,0,,,,""PORTAGG"")")/100</f>
        <v>0.74603174603174593</v>
      </c>
      <c r="L12" s="41" cm="1">
        <f t="array" ref="L12">_xll.FDSB(A12,"PERCENT_CHANGE(FMA_EPS(+1,0,,,,""PORTAGG"",""MEAN""),FMA_EPS(+1,-1AM,,,,""PORTAGG"",""MEAN""))")</f>
        <v>2.6258045770610501</v>
      </c>
      <c r="M12" s="41" cm="1">
        <f t="array" ref="M12">_xll.FDSB(A12,"PERCENT_CHANGE(FMA_EPS(+1,0,,,,""PORTAGG"",""MEAN""),FMA_EPS(+1,-3AM,,,,""PORTAGG"",""MEAN""))")</f>
        <v>0.77140766394586302</v>
      </c>
      <c r="N12" s="3" cm="1">
        <f t="array" ref="N12">_xll.FDS(C12,"FG_TOTAL_RETURNC(0,-1AM)")</f>
        <v>6.2893033000000003</v>
      </c>
      <c r="O12" s="3" cm="1">
        <f t="array" ref="O12">_xll.FDS(C12,"FG_TOTAL_RETURNC(0,-3AM)")</f>
        <v>8.0839040000000004</v>
      </c>
      <c r="P12" s="3" cm="1">
        <f t="array" ref="P12">_xll.FDS(C12,"FG_TOTAL_RETURNC(0,-6AM)")</f>
        <v>13.977945</v>
      </c>
      <c r="Q12" s="9" cm="1">
        <f t="array" ref="Q12">_xll.FDS(C12,"P_PRICE(0)/P_PRICE_HIGH_PR(0,,,,,,""PRICE"",""INTRA"",""52W"")")</f>
        <v>0.99178409999999995</v>
      </c>
      <c r="R12" s="9" cm="1">
        <f t="array" ref="R12">_xll.FDS(C12,"P_PRICE(0)/P_PRICE_low_PR(0,,,,,,""PRICE"",""INTRA"",""52W"")-1")</f>
        <v>0.25519906999999997</v>
      </c>
      <c r="S12" s="3" cm="1">
        <f t="array" ref="S12">_xll.FDS(C12,"FG_TOTAL_RETURNC(0,-12AM)")</f>
        <v>11.907042000000001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35.699999999999996</v>
      </c>
      <c r="W12" s="4" cm="1">
        <f t="array" ref="W12">_xlfn.PERCENTRANK.EXC(_xlfn._xlws.FILTER($O$3:$O$15, ISNUMBER($O$3:$O$15)),O12)*100</f>
        <v>64.2</v>
      </c>
      <c r="X12" s="4" cm="1">
        <f t="array" ref="X12">_xlfn.PERCENTRANK.EXC(_xlfn._xlws.FILTER($P$3:$P$15, ISNUMBER($P$3:$P$15)),P12)*100</f>
        <v>35.699999999999996</v>
      </c>
      <c r="Y12" s="201" cm="1">
        <f t="array" ref="Y12">_xlfn.PERCENTRANK.EXC(_xlfn._xlws.FILTER($S$3:$S$15, ISNUMBER($S$3:$S$15)),S12)*100</f>
        <v>21.4</v>
      </c>
      <c r="Z12" s="4" cm="1">
        <f t="array" ref="Z12">_xlfn.PERCENTRANK.EXC(_xlfn._xlws.FILTER($K$3:$K$15, ISNUMBER($K$3:$K$15)),K12)*100</f>
        <v>50</v>
      </c>
      <c r="AA12" s="4" cm="1">
        <f t="array" ref="AA12">_xlfn.PERCENTRANK.EXC(_xlfn._xlws.FILTER($H$3:$H$15, ISNUMBER($H$3:$H$15)),H12)*100</f>
        <v>57.099999999999994</v>
      </c>
      <c r="AB12" s="4" cm="1">
        <f t="array" ref="AB12">_xlfn.PERCENTRANK.EXC(_xlfn._xlws.FILTER($J$3:$J$15, ISNUMBER($J$3:$J$15)),J12)*100</f>
        <v>35.699999999999996</v>
      </c>
      <c r="AC12" s="4">
        <f t="shared" si="4"/>
        <v>64.2</v>
      </c>
      <c r="AD12" s="4">
        <f t="shared" si="5"/>
        <v>42.8</v>
      </c>
      <c r="AE12" s="4">
        <f t="shared" si="6"/>
        <v>71.399999999999991</v>
      </c>
      <c r="AF12" s="4">
        <f>'Economic Momentum'!Q13</f>
        <v>21.4</v>
      </c>
      <c r="AG12" s="4">
        <f ca="1">'Economic Momentum'!R13</f>
        <v>71.399999999999991</v>
      </c>
      <c r="AH12" s="4">
        <f t="shared" ca="1" si="7"/>
        <v>44.25</v>
      </c>
      <c r="AJ12" s="3" cm="1">
        <f t="array" aca="1" ref="AJ12" ca="1">_xlfn.PERCENTRANK.EXC(_xlfn._xlws.FILTER($AH$3:$AH$15, ISNUMBER($AH$3:$AH$15)),AH12)*100</f>
        <v>28.499999999999996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1159770.6000000001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25</v>
      </c>
      <c r="G13" cm="1">
        <f t="array" ref="G13">_xll.FDS(A13,"SIZE(FG_CONSTITUENTS)")</f>
        <v>54</v>
      </c>
      <c r="H13" s="9">
        <f t="shared" si="9"/>
        <v>0.3888888888888889</v>
      </c>
      <c r="I13" s="9">
        <f t="shared" si="10"/>
        <v>0.46296296296296297</v>
      </c>
      <c r="J13" s="9">
        <f t="shared" si="11"/>
        <v>-7.407407407407407E-2</v>
      </c>
      <c r="K13" s="5" cm="1">
        <f t="array" ref="K13">_xll.FDS(A13,"FMA_PCT_ABOVE_MAVG(200,0,,,,""PORTAGG"")")/100</f>
        <v>0.70370370370370394</v>
      </c>
      <c r="L13" s="41" cm="1">
        <f t="array" ref="L13">_xll.FDSB(A13,"PERCENT_CHANGE(FMA_EPS(+1,0,,,,""PORTAGG"",""MEAN""),FMA_EPS(+1,-1AM,,,,""PORTAGG"",""MEAN""))")</f>
        <v>2.1585632715176799</v>
      </c>
      <c r="M13" s="41" cm="1">
        <f t="array" ref="M13">_xll.FDSB(A13,"PERCENT_CHANGE(FMA_EPS(+1,0,,,,""PORTAGG"",""MEAN""),FMA_EPS(+1,-3AM,,,,""PORTAGG"",""MEAN""))")</f>
        <v>4.5154682853511696</v>
      </c>
      <c r="N13" s="3" cm="1">
        <f t="array" ref="N13">_xll.FDS(C13,"FG_TOTAL_RETURNC(0,-1AM)")</f>
        <v>8.8613029999999995</v>
      </c>
      <c r="O13" s="3" cm="1">
        <f t="array" ref="O13">_xll.FDS(C13,"FG_TOTAL_RETURNC(0,-3AM)")</f>
        <v>9.4140049999999995</v>
      </c>
      <c r="P13" s="3" cm="1">
        <f t="array" ref="P13">_xll.FDS(C13,"FG_TOTAL_RETURNC(0,-6AM)")</f>
        <v>24.012875000000001</v>
      </c>
      <c r="Q13" s="9" cm="1">
        <f t="array" ref="Q13">_xll.FDS(C13,"P_PRICE(0)/P_PRICE_HIGH_PR(0,,,,,,""PRICE"",""INTRA"",""52W"")")</f>
        <v>0.99845563999999998</v>
      </c>
      <c r="R13" s="9" cm="1">
        <f t="array" ref="R13">_xll.FDS(C13,"P_PRICE(0)/P_PRICE_low_PR(0,,,,,,""PRICE"",""INTRA"",""52W"")-1")</f>
        <v>0.42518603999999999</v>
      </c>
      <c r="S13" s="3" cm="1">
        <f t="array" ref="S13">_xll.FDS(C13,"FG_TOTAL_RETURNC(0,-12AM)")</f>
        <v>23.927651999999998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57.099999999999994</v>
      </c>
      <c r="W13" s="4" cm="1">
        <f t="array" ref="W13">_xlfn.PERCENTRANK.EXC(_xlfn._xlws.FILTER($O$3:$O$15, ISNUMBER($O$3:$O$15)),O13)*100</f>
        <v>71.399999999999991</v>
      </c>
      <c r="X13" s="4" cm="1">
        <f t="array" ref="X13">_xlfn.PERCENTRANK.EXC(_xlfn._xlws.FILTER($P$3:$P$15, ISNUMBER($P$3:$P$15)),P13)*100</f>
        <v>92.800000000000011</v>
      </c>
      <c r="Y13" s="201" cm="1">
        <f t="array" ref="Y13">_xlfn.PERCENTRANK.EXC(_xlfn._xlws.FILTER($S$3:$S$15, ISNUMBER($S$3:$S$15)),S13)*100</f>
        <v>71.399999999999991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21.4</v>
      </c>
      <c r="AB13" s="4" cm="1">
        <f t="array" ref="AB13">_xlfn.PERCENTRANK.EXC(_xlfn._xlws.FILTER($J$3:$J$15, ISNUMBER($J$3:$J$15)),J13)*100</f>
        <v>7.1</v>
      </c>
      <c r="AC13" s="4">
        <f t="shared" si="4"/>
        <v>50</v>
      </c>
      <c r="AD13" s="4">
        <f t="shared" si="5"/>
        <v>92.800000000000011</v>
      </c>
      <c r="AE13" s="4">
        <f t="shared" si="6"/>
        <v>28.499999999999996</v>
      </c>
      <c r="AF13" s="4">
        <f>'Economic Momentum'!Q14</f>
        <v>85.7</v>
      </c>
      <c r="AG13" s="4">
        <f ca="1">'Economic Momentum'!R14</f>
        <v>92.800000000000011</v>
      </c>
      <c r="AH13" s="4">
        <f t="shared" ca="1" si="7"/>
        <v>72.099999999999994</v>
      </c>
      <c r="AJ13" s="3" cm="1">
        <f t="array" aca="1" ref="AJ13" ca="1">_xlfn.PERCENTRANK.EXC(_xlfn._xlws.FILTER($AH$3:$AH$15, ISNUMBER($AH$3:$AH$15)),AH13)*100</f>
        <v>78.5</v>
      </c>
      <c r="AK13">
        <f t="shared" si="8"/>
        <v>3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1061774.6000000001</v>
      </c>
      <c r="E14" cm="1">
        <f t="array" ref="E14">_xll.FDS(C14,"FMA_COS_UP(""EPS"",""1M"",+1,0,,,""PORTAGG"",""MEANR"")")</f>
        <v>23</v>
      </c>
      <c r="F14" cm="1">
        <f t="array" ref="F14">_xll.FDS(C14,"FMA_COS_DOWN(""EPS"",""1M"",+1,0,,,""PORTAGG"",""MEANR"")")</f>
        <v>12</v>
      </c>
      <c r="G14" cm="1">
        <f t="array" ref="G14">_xll.FDS(A14,"SIZE(FG_CONSTITUENTS)")</f>
        <v>45</v>
      </c>
      <c r="H14" s="9">
        <f t="shared" si="9"/>
        <v>0.51111111111111107</v>
      </c>
      <c r="I14" s="9">
        <f t="shared" si="10"/>
        <v>0.26666666666666666</v>
      </c>
      <c r="J14" s="9">
        <f t="shared" si="11"/>
        <v>0.24444444444444441</v>
      </c>
      <c r="K14" s="5" cm="1">
        <f t="array" ref="K14">_xll.FDS(A14,"FMA_PCT_ABOVE_MAVG(200,0,,,,""PORTAGG"")")/100</f>
        <v>0.90697674418604601</v>
      </c>
      <c r="L14" s="41" cm="1">
        <f t="array" ref="L14">_xll.FDSB(A14,"PERCENT_CHANGE(FMA_EPS(+1,0,,,,""PORTAGG"",""MEAN""),FMA_EPS(+1,-1AM,,,,""PORTAGG"",""MEAN""))")</f>
        <v>5.0806035163630101</v>
      </c>
      <c r="M14" s="41" cm="1">
        <f t="array" ref="M14">_xll.FDSB(A14,"PERCENT_CHANGE(FMA_EPS(+1,0,,,,""PORTAGG"",""MEAN""),FMA_EPS(+1,-3AM,,,,""PORTAGG"",""MEAN""))")</f>
        <v>3.9252832312353001</v>
      </c>
      <c r="N14" s="3" cm="1">
        <f t="array" ref="N14">_xll.FDS(C14,"FG_TOTAL_RETURNC(0,-1AM)")</f>
        <v>6.8902850000000004</v>
      </c>
      <c r="O14" s="3" cm="1">
        <f t="array" ref="O14">_xll.FDS(C14,"FG_TOTAL_RETURNC(0,-3AM)")</f>
        <v>7.1968794000000003</v>
      </c>
      <c r="P14" s="3" cm="1">
        <f t="array" ref="P14">_xll.FDS(C14,"FG_TOTAL_RETURNC(0,-6AM)")</f>
        <v>18.964088</v>
      </c>
      <c r="Q14" s="9" cm="1">
        <f t="array" ref="Q14">_xll.FDS(C14,"P_PRICE(0)/P_PRICE_HIGH_PR(0,,,,,,""PRICE"",""INTRA"",""52W"")")</f>
        <v>0.9844349</v>
      </c>
      <c r="R14" s="9" cm="1">
        <f t="array" ref="R14">_xll.FDS(C14,"P_PRICE(0)/P_PRICE_low_PR(0,,,,,,""PRICE"",""INTRA"",""52W"")-1")</f>
        <v>0.33974253999999998</v>
      </c>
      <c r="S14" s="3" cm="1">
        <f t="array" ref="S14">_xll.FDS(C14,"FG_TOTAL_RETURNC(0,-12AM)")</f>
        <v>16.819680000000002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21.4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78.5</v>
      </c>
      <c r="Y14" s="201" cm="1">
        <f t="array" ref="Y14">_xlfn.PERCENTRANK.EXC(_xlfn._xlws.FILTER($S$3:$S$15, ISNUMBER($S$3:$S$15)),S14)*100</f>
        <v>64.2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78.5</v>
      </c>
      <c r="AB14" s="4" cm="1">
        <f t="array" ref="AB14">_xlfn.PERCENTRANK.EXC(_xlfn._xlws.FILTER($J$3:$J$15, ISNUMBER($J$3:$J$15)),J14)*100</f>
        <v>85.7</v>
      </c>
      <c r="AC14" s="4">
        <f t="shared" si="4"/>
        <v>92.800000000000011</v>
      </c>
      <c r="AD14" s="4">
        <f t="shared" si="5"/>
        <v>85.7</v>
      </c>
      <c r="AE14" s="4">
        <f t="shared" si="6"/>
        <v>21.4</v>
      </c>
      <c r="AF14" s="4">
        <f>'Economic Momentum'!Q15</f>
        <v>92.800000000000011</v>
      </c>
      <c r="AG14" s="4">
        <f ca="1">'Economic Momentum'!R15</f>
        <v>21.4</v>
      </c>
      <c r="AH14" s="4">
        <f t="shared" ca="1" si="7"/>
        <v>49.239999999999995</v>
      </c>
      <c r="AJ14" s="3" cm="1">
        <f t="array" aca="1" ref="AJ14" ca="1">_xlfn.PERCENTRANK.EXC(_xlfn._xlws.FILTER($AH$3:$AH$15, ISNUMBER($AH$3:$AH$15)),AH14)*100</f>
        <v>57.099999999999994</v>
      </c>
      <c r="AK14">
        <f t="shared" si="8"/>
        <v>4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916203</v>
      </c>
      <c r="E15" cm="1">
        <f t="array" ref="E15">_xll.FDS(C15,"FMA_COS_UP(""EPS"",""1M"",+1,0,,,""PORTAGG"",""MEANR"")")</f>
        <v>16</v>
      </c>
      <c r="F15" cm="1">
        <f t="array" ref="F15">_xll.FDS(C15,"FMA_COS_DOWN(""EPS"",""1M"",+1,0,,,""PORTAGG"",""MEANR"")")</f>
        <v>5</v>
      </c>
      <c r="G15" cm="1">
        <f t="array" ref="G15">_xll.FDS(A15,"SIZE(FG_CONSTITUENTS)")</f>
        <v>26</v>
      </c>
      <c r="H15" s="9">
        <f t="shared" si="9"/>
        <v>0.61538461538461542</v>
      </c>
      <c r="I15" s="9">
        <f t="shared" si="10"/>
        <v>0.19230769230769232</v>
      </c>
      <c r="J15" s="9">
        <f t="shared" si="11"/>
        <v>0.42307692307692313</v>
      </c>
      <c r="K15" s="5" cm="1">
        <f t="array" ref="K15">_xll.FDS(A15,"FMA_PCT_ABOVE_MAVG(200,0,,,,""PORTAGG"")")/100</f>
        <v>0.72</v>
      </c>
      <c r="L15" s="41" cm="1">
        <f t="array" ref="L15">_xll.FDSB(A15,"PERCENT_CHANGE(FMA_EPS(+1,0,,,,""PORTAGG"",""MEAN""),FMA_EPS(+1,-1AM,,,,""PORTAGG"",""MEAN""))")</f>
        <v>2.9329661237482001</v>
      </c>
      <c r="M15" s="41" cm="1">
        <f t="array" ref="M15">_xll.FDSB(A15,"PERCENT_CHANGE(FMA_EPS(+1,0,,,,""PORTAGG"",""MEAN""),FMA_EPS(+1,-3AM,,,,""PORTAGG"",""MEAN""))")</f>
        <v>1.799232382439</v>
      </c>
      <c r="N15" s="3" cm="1">
        <f t="array" ref="N15">_xll.FDS(C15,"FG_TOTAL_RETURNC(0,-1AM)")</f>
        <v>9.1262229999999995</v>
      </c>
      <c r="O15" s="3" cm="1">
        <f t="array" ref="O15">_xll.FDS(C15,"FG_TOTAL_RETURNC(0,-3AM)")</f>
        <v>14.360464</v>
      </c>
      <c r="P15" s="3" cm="1">
        <f t="array" ref="P15">_xll.FDS(C15,"FG_TOTAL_RETURNC(0,-6AM)")</f>
        <v>22.384989000000001</v>
      </c>
      <c r="Q15" s="9" cm="1">
        <f t="array" ref="Q15">_xll.FDS(C15,"P_PRICE(0)/P_PRICE_HIGH_PR(0,,,,,,""PRICE"",""INTRA"",""52W"")")</f>
        <v>0.99923799999999996</v>
      </c>
      <c r="R15" s="9" cm="1">
        <f t="array" ref="R15">_xll.FDS(C15,"P_PRICE(0)/P_PRICE_low_PR(0,,,,,,""PRICE"",""INTRA"",""52W"")-1")</f>
        <v>0.35585045999999998</v>
      </c>
      <c r="S15" s="3" cm="1">
        <f t="array" ref="S15">_xll.FDS(C15,"FG_TOTAL_RETURNC(0,-12AM)")</f>
        <v>30.897331000000001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92.800000000000011</v>
      </c>
      <c r="X15" s="4" cm="1">
        <f t="array" ref="X15">_xlfn.PERCENTRANK.EXC(_xlfn._xlws.FILTER($P$3:$P$15, ISNUMBER($P$3:$P$15)),P15)*100</f>
        <v>85.7</v>
      </c>
      <c r="Y15" s="201" cm="1">
        <f t="array" ref="Y15">_xlfn.PERCENTRANK.EXC(_xlfn._xlws.FILTER($S$3:$S$15, ISNUMBER($S$3:$S$15)),S15)*100</f>
        <v>85.7</v>
      </c>
      <c r="Z15" s="4" cm="1">
        <f t="array" ref="Z15">_xlfn.PERCENTRANK.EXC(_xlfn._xlws.FILTER($K$3:$K$15, ISNUMBER($K$3:$K$15)),K15)*100</f>
        <v>42.8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71.399999999999991</v>
      </c>
      <c r="AD15" s="4">
        <f t="shared" si="5"/>
        <v>57.099999999999994</v>
      </c>
      <c r="AE15" s="4">
        <f t="shared" si="6"/>
        <v>14.2</v>
      </c>
      <c r="AF15" s="4">
        <f>'Economic Momentum'!Q16</f>
        <v>28.499999999999996</v>
      </c>
      <c r="AG15" s="4">
        <f ca="1">'Economic Momentum'!R16</f>
        <v>85.7</v>
      </c>
      <c r="AH15" s="4">
        <f t="shared" ca="1" si="7"/>
        <v>84.950000000000017</v>
      </c>
      <c r="AJ15" s="3" cm="1">
        <f t="array" aca="1" ref="AJ15" ca="1">_xlfn.PERCENTRANK.EXC(_xlfn._xlws.FILTER($AH$3:$AH$15, ISNUMBER($AH$3:$AH$15)),AH15)*100</f>
        <v>92.800000000000011</v>
      </c>
      <c r="AK15">
        <f t="shared" si="8"/>
        <v>6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428</v>
      </c>
      <c r="F18" cm="1">
        <f t="array" ref="F18">_xll.FDS(C18,"FMA_COS_DOWN(""EPS"",""1M"",+1,0,,,""PORTAGG"",""MEANR"")")</f>
        <v>545</v>
      </c>
      <c r="G18" cm="1">
        <f t="array" ref="G18">_xll.FDS(A18,"SIZE(FG_CONSTITUENTS)")</f>
        <v>1281</v>
      </c>
      <c r="H18" s="9">
        <f>E18/$G18</f>
        <v>0.33411397345823574</v>
      </c>
      <c r="I18" s="9">
        <f>F18/$G18</f>
        <v>0.42544886807181886</v>
      </c>
      <c r="J18" s="9">
        <f t="shared" ref="J18" si="13">H18-I18</f>
        <v>-9.1334894613583129E-2</v>
      </c>
      <c r="K18" s="5" cm="1">
        <f t="array" ref="K18">_xll.FDS(A18,"FMA_PCT_ABOVE_MAVG(200,0,,,,""PORTAGG"")")/100</f>
        <v>0.69236883942766303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-1.55445198250733</v>
      </c>
      <c r="N18" s="3" cm="1">
        <f t="array" ref="N18">_xll.FDS(C18,"FG_TOTAL_RETURNC(0,-1AM)")</f>
        <v>8.3810090000000006</v>
      </c>
      <c r="O18" s="3" cm="1">
        <f t="array" ref="O18">_xll.FDS(C18,"FG_TOTAL_RETURNC(0,-3AM)")</f>
        <v>9.5419409999999996</v>
      </c>
      <c r="P18" s="3" cm="1">
        <f t="array" ref="P18">_xll.FDS(C18,"FG_TOTAL_RETURNC(0,-6AM)")</f>
        <v>16.566420000000001</v>
      </c>
      <c r="Q18" s="9" cm="1">
        <f t="array" ref="Q18">_xll.FDS(C18,"P_PRICE(0)/P_PRICE_HIGH_PR(0,,,,,,""PRICE"",""INTRA"",""52W"")")</f>
        <v>0.99687099999999995</v>
      </c>
      <c r="R18" s="9" cm="1">
        <f t="array" ref="R18">_xll.FDS(C18,"P_PRICE(0)/P_PRICE_low_PR(0,,,,,,""PRICE"",""INTRA"",""52W"")-1")</f>
        <v>0.27297484999999999</v>
      </c>
      <c r="S18" s="3" cm="1">
        <f t="array" ref="S18">_xll.FDS(C18,"FG_TOTAL_RETURNC(0,-12AM)")</f>
        <v>15.883910999999999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856</v>
      </c>
      <c r="F19" cm="1">
        <f t="array" ref="F19">_xll.FDS(C19,"FMA_COS_DOWN(""EPS"",""1M"",+1,0,,,""PORTAGG"",""MEANR"")")</f>
        <v>1619</v>
      </c>
      <c r="G19" cm="1">
        <f t="array" ref="G19">_xll.FDS(A19,"SIZE(FG_CONSTITUENTS)")</f>
        <v>4781</v>
      </c>
      <c r="H19" s="9">
        <f>E19/$G19</f>
        <v>0.17904204141393015</v>
      </c>
      <c r="I19" s="9">
        <f>F19/$G19</f>
        <v>0.33863208533779543</v>
      </c>
      <c r="J19" s="9">
        <f t="shared" ref="J19" si="14">H19-I19</f>
        <v>-0.15959004392386528</v>
      </c>
      <c r="K19" s="5" cm="1">
        <f t="array" ref="K19">_xll.FDS(A19,"FMA_PCT_ABOVE_MAVG(200,0,,,,""PORTAGG"")")/100</f>
        <v>0.46872985170857495</v>
      </c>
      <c r="L19" s="41" cm="1">
        <f t="array" ref="L19">_xll.FDSB(A19,"PERCENT_CHANGE(FMA_EPS(+1,0,,,,""PORTAGG"",""MEAN""),FMA_EPS(+1,-1AM,,,,""PORTAGG"",""MEAN""))")</f>
        <v>-2.3142424595551598</v>
      </c>
      <c r="M19" s="41" cm="1">
        <f t="array" ref="M19">_xll.FDSB(A19,"PERCENT_CHANGE(FMA_EPS(+1,0,,,,""PORTAGG"",""MEAN""),FMA_EPS(+1,-3AM,,,,""PORTAGG"",""MEAN""))")</f>
        <v>-4.18848910287059</v>
      </c>
      <c r="N19" s="3" cm="1">
        <f t="array" ref="N19">_xll.FDS(C19,"FG_TOTAL_RETURNC(0,-1AM)")</f>
        <v>9.7554920000000003</v>
      </c>
      <c r="O19" s="3" cm="1">
        <f t="array" ref="O19">_xll.FDS(C19,"FG_TOTAL_RETURNC(0,-3AM)")</f>
        <v>9.3490959999999994</v>
      </c>
      <c r="P19" s="3" cm="1">
        <f t="array" ref="P19">_xll.FDS(C19,"FG_TOTAL_RETURNC(0,-6AM)")</f>
        <v>13.637638000000001</v>
      </c>
      <c r="Q19" s="9" cm="1">
        <f t="array" ref="Q19">_xll.FDS(C19,"P_PRICE(0)/P_PRICE_HIGH_PR(0,,,,,,""PRICE"",""INTRA"",""52W"")")</f>
        <v>0.99831205999999995</v>
      </c>
      <c r="R19" s="9" cm="1">
        <f t="array" ref="R19">_xll.FDS(C19,"P_PRICE(0)/P_PRICE_low_PR(0,,,,,,""PRICE"",""INTRA"",""52W"")-1")</f>
        <v>0.19850480000000001</v>
      </c>
      <c r="S19" s="3" cm="1">
        <f t="array" ref="S19">_xll.FDS(C19,"FG_TOTAL_RETURNC(0,-12AM)")</f>
        <v>15.858245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732</v>
      </c>
      <c r="F20" cm="1">
        <f t="array" ref="F20">_xll.FDS(C20,"FMA_COS_DOWN(""EPS"",""1M"",+1,0,,,""PORTAGG"",""MEANR"")")</f>
        <v>544</v>
      </c>
      <c r="G20" cm="1">
        <f t="array" ref="G20">_xll.FDS(A20,"SIZE(FG_CONSTITUENTS)")</f>
        <v>1468</v>
      </c>
      <c r="H20" s="9">
        <f t="shared" ref="H20" si="16">E20/$G20</f>
        <v>0.49863760217983649</v>
      </c>
      <c r="I20" s="9">
        <f t="shared" ref="I20" si="17">F20/$G20</f>
        <v>0.37057220708446864</v>
      </c>
      <c r="J20" s="9">
        <f t="shared" ref="J20" si="18">H20-I20</f>
        <v>0.12806539509536785</v>
      </c>
      <c r="K20" s="5" cm="1">
        <f t="array" ref="K20">_xll.FDS(A20,"FMA_PCT_ABOVE_MAVG(200,0,,,,""PORTAGG"")")/100</f>
        <v>0.76112251882272408</v>
      </c>
      <c r="L20" s="41" cm="1">
        <f t="array" ref="L20">_xll.FDSB(A20,"PERCENT_CHANGE(FMA_EPS(+1,0,,,,""PORTAGG"",""MEAN""),FMA_EPS(+1,-1AM,,,,""PORTAGG"",""MEAN""))")</f>
        <v>1.08652550668134</v>
      </c>
      <c r="M20" s="41" cm="1">
        <f t="array" ref="M20">_xll.FDSB(A20,"PERCENT_CHANGE(FMA_EPS(+1,0,,,,""PORTAGG"",""MEAN""),FMA_EPS(+1,-3AM,,,,""PORTAGG"",""MEAN""))")</f>
        <v>0.82213971173178002</v>
      </c>
      <c r="N20" s="3" cm="1">
        <f t="array" ref="N20">_xll.FDS(C20,"FG_TOTAL_RETURNC(0,-1AM)")</f>
        <v>5.9269309999999997</v>
      </c>
      <c r="O20" s="3" cm="1">
        <f t="array" ref="O20">_xll.FDS(C20,"FG_TOTAL_RETURNC(0,-3AM)")</f>
        <v>6.2952757000000004</v>
      </c>
      <c r="P20" s="3" cm="1">
        <f t="array" ref="P20">_xll.FDS(C20,"FG_TOTAL_RETURNC(0,-6AM)")</f>
        <v>17.144596</v>
      </c>
      <c r="Q20" s="9" cm="1">
        <f t="array" ref="Q20">_xll.FDS(C20,"P_PRICE(0)/P_PRICE_HIGH_PR(0,,,,,,""PRICE"",""INTRA"",""52W"")")</f>
        <v>0.99789170000000005</v>
      </c>
      <c r="R20" s="9" cm="1">
        <f t="array" ref="R20">_xll.FDS(C20,"P_PRICE(0)/P_PRICE_low_PR(0,,,,,,""PRICE"",""INTRA"",""52W"")-1")</f>
        <v>0.27925025999999997</v>
      </c>
      <c r="S20" s="3" cm="1">
        <f t="array" ref="S20">_xll.FDS(C20,"FG_TOTAL_RETURNC(0,-12AM)")</f>
        <v>24.95308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106</v>
      </c>
      <c r="F21" cm="1">
        <f t="array" ref="F21">_xll.FDS(C21,"FMA_COS_DOWN(""EPS"",""1M"",+1,0,,,""PORTAGG"",""MEANR"")")</f>
        <v>86</v>
      </c>
      <c r="G21" cm="1">
        <f t="array" ref="G21">_xll.FDS(A21,"SIZE(FG_CONSTITUENTS)")</f>
        <v>218</v>
      </c>
      <c r="H21" s="9">
        <f t="shared" ref="H21:H22" si="20">E21/$G21</f>
        <v>0.48623853211009177</v>
      </c>
      <c r="I21" s="9">
        <f t="shared" ref="I21:I22" si="21">F21/$G21</f>
        <v>0.39449541284403672</v>
      </c>
      <c r="J21" s="9">
        <f t="shared" ref="J21:J22" si="22">H21-I21</f>
        <v>9.1743119266055051E-2</v>
      </c>
      <c r="K21" s="5" cm="1">
        <f t="array" ref="K21">_xll.FDS(A21,"FMA_PCT_ABOVE_MAVG(200,0,,,,""PORTAGG"")")/100</f>
        <v>0.701834862385321</v>
      </c>
      <c r="L21" s="41" cm="1">
        <f t="array" ref="L21">_xll.FDSB(A21,"PERCENT_CHANGE(FMA_EPS(+1,0,,,,""PORTAGG"",""MEAN""),FMA_EPS(+1,-1AM,,,,""PORTAGG"",""MEAN""))")</f>
        <v>0.30570369398195402</v>
      </c>
      <c r="M21" s="41" cm="1">
        <f t="array" ref="M21">_xll.FDSB(A21,"PERCENT_CHANGE(FMA_EPS(+1,0,,,,""PORTAGG"",""MEAN""),FMA_EPS(+1,-3AM,,,,""PORTAGG"",""MEAN""))")</f>
        <v>-0.26517159852260003</v>
      </c>
      <c r="N21" s="3" cm="1">
        <f t="array" ref="N21">_xll.FDS(C21,"FG_TOTAL_RETURNC(0,-1AM)")</f>
        <v>2.4444938</v>
      </c>
      <c r="O21" s="3" cm="1">
        <f t="array" ref="O21">_xll.FDS(C21,"FG_TOTAL_RETURNC(0,-3AM)")</f>
        <v>1.6265035000000001</v>
      </c>
      <c r="P21" s="3" cm="1">
        <f t="array" ref="P21">_xll.FDS(C21,"FG_TOTAL_RETURNC(0,-6AM)")</f>
        <v>11.786294</v>
      </c>
      <c r="Q21" s="9" cm="1">
        <f t="array" ref="Q21">_xll.FDS(C21,"P_PRICE(0)/P_PRICE_HIGH_PR(0,,,,,,""PRICE"",""INTRA"",""52W"")")</f>
        <v>0.95372235999999999</v>
      </c>
      <c r="R21" s="9" cm="1">
        <f t="array" ref="R21">_xll.FDS(C21,"P_PRICE(0)/P_PRICE_low_PR(0,,,,,,""PRICE"",""INTRA"",""52W"")-1")</f>
        <v>0.20157348999999999</v>
      </c>
      <c r="S21" s="3" cm="1">
        <f t="array" ref="S21">_xll.FDS(C21,"FG_TOTAL_RETURNC(0,-12AM)")</f>
        <v>15.350543999999999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276</v>
      </c>
      <c r="F22" cm="1">
        <f t="array" ref="F22">_xll.FDS(C22,"FMA_COS_DOWN(""EPS"",""1M"",+1,0,,,""PORTAGG"",""MEANR"")")</f>
        <v>168</v>
      </c>
      <c r="G22" cm="1">
        <f t="array" ref="G22">_xll.FDS(A22,"SIZE(FG_CONSTITUENTS)")</f>
        <v>504</v>
      </c>
      <c r="H22" s="9">
        <f t="shared" si="20"/>
        <v>0.54761904761904767</v>
      </c>
      <c r="I22" s="9">
        <f t="shared" si="21"/>
        <v>0.33333333333333331</v>
      </c>
      <c r="J22" s="9">
        <f t="shared" si="22"/>
        <v>0.21428571428571436</v>
      </c>
      <c r="K22" s="5" cm="1">
        <f t="array" ref="K22">_xll.FDS(A22,"FMA_PCT_ABOVE_MAVG(200,0,,,,""PORTAGG"")")/100</f>
        <v>0.79441117764471103</v>
      </c>
      <c r="L22" s="41" cm="1">
        <f t="array" ref="L22">_xll.FDSB(A22,"PERCENT_CHANGE(FMA_EPS(+1,0,,,,""PORTAGG"",""MEAN""),FMA_EPS(+1,-1AM,,,,""PORTAGG"",""MEAN""))")</f>
        <v>0.59239164558493496</v>
      </c>
      <c r="M22" s="41" cm="1">
        <f t="array" ref="M22">_xll.FDSB(A22,"PERCENT_CHANGE(FMA_EPS(+1,0,,,,""PORTAGG"",""MEAN""),FMA_EPS(+1,-3AM,,,,""PORTAGG"",""MEAN""))")</f>
        <v>0.24940265086424901</v>
      </c>
      <c r="N22" s="3" cm="1">
        <f t="array" ref="N22">_xll.FDS(C22,"FG_TOTAL_RETURNC(0,-1AM)")</f>
        <v>5.7736516</v>
      </c>
      <c r="O22" s="3" cm="1">
        <f t="array" ref="O22">_xll.FDS(C22,"FG_TOTAL_RETURNC(0,-3AM)")</f>
        <v>6.3254595</v>
      </c>
      <c r="P22" s="3" cm="1">
        <f t="array" ref="P22">_xll.FDS(C22,"FG_TOTAL_RETURNC(0,-6AM)")</f>
        <v>18.295287999999999</v>
      </c>
      <c r="Q22" s="9" cm="1">
        <f t="array" ref="Q22">_xll.FDS(C22,"P_PRICE(0)/P_PRICE_HIGH_PR(0,,,,,,""PRICE"",""INTRA"",""52W"")")</f>
        <v>0.99610215000000002</v>
      </c>
      <c r="R22" s="9" cm="1">
        <f t="array" ref="R22">_xll.FDS(C22,"P_PRICE(0)/P_PRICE_low_PR(0,,,,,,""PRICE"",""INTRA"",""52W"")-1")</f>
        <v>0.29383457000000002</v>
      </c>
      <c r="S22" s="3" cm="1">
        <f t="array" ref="S22">_xll.FDS(C22,"FG_TOTAL_RETURNC(0,-12AM)")</f>
        <v>29.365086000000002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18</v>
      </c>
      <c r="F23" cm="1">
        <f t="array" ref="F23">_xll.FDS(C23,"FMA_COS_DOWN(""EPS"",""1M"",+1,0,,,""PORTAGG"",""MEANR"")")</f>
        <v>27</v>
      </c>
      <c r="G23" cm="1">
        <f t="array" ref="G23">_xll.FDS(A23,"SIZE(FG_CONSTITUENTS)")</f>
        <v>53</v>
      </c>
      <c r="H23" s="9">
        <f t="shared" ref="H23" si="24">E23/$G23</f>
        <v>0.33962264150943394</v>
      </c>
      <c r="I23" s="9">
        <f t="shared" ref="I23" si="25">F23/$G23</f>
        <v>0.50943396226415094</v>
      </c>
      <c r="J23" s="9">
        <f t="shared" ref="J23" si="26">H23-I23</f>
        <v>-0.169811320754717</v>
      </c>
      <c r="K23" s="5" cm="1">
        <f t="array" ref="K23">_xll.FDS(A23,"FMA_PCT_ABOVE_MAVG(200,0,,,,""PORTAGG"")")/100</f>
        <v>0.78431372549019596</v>
      </c>
      <c r="L23" s="41" cm="1">
        <f t="array" ref="L23">_xll.FDSB(A23,"PERCENT_CHANGE(FMA_EPS(+1,0,,,,""PORTAGG"",""MEAN""),FMA_EPS(+1,-1AM,,,,""PORTAGG"",""MEAN""))")</f>
        <v>1.4465621047836501</v>
      </c>
      <c r="M23" s="41" cm="1">
        <f t="array" ref="M23">_xll.FDSB(A23,"PERCENT_CHANGE(FMA_EPS(+1,0,,,,""PORTAGG"",""MEAN""),FMA_EPS(+1,-3AM,,,,""PORTAGG"",""MEAN""))")</f>
        <v>1.1538538295034</v>
      </c>
      <c r="N23" s="3" cm="1">
        <f t="array" ref="N23">_xll.FDS(C23,"FG_TOTAL_RETURNC(0,-1AM)")</f>
        <v>24.016915999999998</v>
      </c>
      <c r="O23" s="3" cm="1">
        <f t="array" ref="O23">_xll.FDS(C23,"FG_TOTAL_RETURNC(0,-3AM)")</f>
        <v>27.134810999999999</v>
      </c>
      <c r="P23" s="3" cm="1">
        <f t="array" ref="P23">_xll.FDS(C23,"FG_TOTAL_RETURNC(0,-6AM)")</f>
        <v>15.266693</v>
      </c>
      <c r="Q23" s="9" cm="1">
        <f t="array" ref="Q23">_xll.FDS(C23,"P_PRICE(0)/P_PRICE_HIGH_PR(0,,,,,,""PRICE"",""INTRA"",""52W"")")</f>
        <v>0.96037980000000001</v>
      </c>
      <c r="R23" s="9" cm="1">
        <f t="array" ref="R23">_xll.FDS(C23,"P_PRICE(0)/P_PRICE_low_PR(0,,,,,,""PRICE"",""INTRA"",""52W"")-1")</f>
        <v>0.40604020000000002</v>
      </c>
      <c r="S23" s="3" cm="1">
        <f t="array" ref="S23">_xll.FDS(C23,"FG_TOTAL_RETURNC(0,-12AM)")</f>
        <v>6.458056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-0.24095117999999999</v>
      </c>
      <c r="E4" s="9">
        <f>HLOOKUP(B4,'Monthly Returns'!$A$1:$Q$134, 132, FALSE)</f>
        <v>9.9173553719008267E-2</v>
      </c>
      <c r="H4" s="9">
        <f>HLOOKUP(B4,'Yearly returns'!$B$1:$N$140, 133, FALSE)</f>
        <v>0.16528925619834711</v>
      </c>
      <c r="I4" s="9">
        <f>HLOOKUP(B4,'Yearly returns'!$B$1:$N$140, 138, FALSE)</f>
        <v>0.21299999999999999</v>
      </c>
      <c r="J4" s="183">
        <f>1/E4</f>
        <v>10.083333333333334</v>
      </c>
      <c r="K4" s="185">
        <f>PERCENTRANK($J$4:$J$16,J4)*100</f>
        <v>50</v>
      </c>
      <c r="L4" s="47">
        <f>(1-PERCENTRANK($E$4:$E$16,E4))*100</f>
        <v>75</v>
      </c>
      <c r="M4" s="47">
        <f>(1-PERCENTRANK($H$4:$H$16,H4))*100</f>
        <v>33.4</v>
      </c>
      <c r="N4" s="47">
        <f>(1-PERCENTRANK($I$4:$I$16,I4))*100</f>
        <v>100</v>
      </c>
      <c r="P4">
        <f>L4*Assumption!$E$53 + M4*Assumption!$F$53 + N4*Assumption!$G$53</f>
        <v>77.099999999999994</v>
      </c>
      <c r="R4" cm="1">
        <f t="array" ref="R4">_xlfn.PERCENTRANK.EXC(_xlfn._xlws.FILTER(P$4:P$16, ISNUMBER(P$4:P$16)),P4)*100</f>
        <v>85.7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-0.32494576000000003</v>
      </c>
      <c r="E5" s="9">
        <f>HLOOKUP(B5,'Monthly Returns'!$A$1:$Q$134, 132, FALSE)</f>
        <v>0.13223140495867769</v>
      </c>
      <c r="H5" s="9">
        <f>HLOOKUP(B5,'Yearly returns'!$B$1:$N$140, 133, FALSE)</f>
        <v>0.1487603305785124</v>
      </c>
      <c r="I5" s="9">
        <f>HLOOKUP(B5,'Yearly returns'!$B$1:$N$140, 138, FALSE)</f>
        <v>0.77800000000000002</v>
      </c>
      <c r="J5" s="183">
        <f t="shared" ref="J5:J16" si="0">1/E5</f>
        <v>7.5625</v>
      </c>
      <c r="K5" s="185">
        <f t="shared" ref="K5:K16" si="1">PERCENTRANK($J$4:$J$16,J5)*100</f>
        <v>16.600000000000001</v>
      </c>
      <c r="L5" s="47">
        <f t="shared" ref="L5:L16" si="2">(1-PERCENTRANK($E$4:$E$16,E5))*100</f>
        <v>25</v>
      </c>
      <c r="M5" s="47">
        <f t="shared" ref="M5:M16" si="3">(1-PERCENTRANK($H$4:$H$16,H5))*100</f>
        <v>50</v>
      </c>
      <c r="N5" s="47">
        <f t="shared" ref="N5:N16" si="4">(1-PERCENTRANK($I$4:$I$16,I5))*100</f>
        <v>33.4</v>
      </c>
      <c r="P5">
        <f>L5*Assumption!$E$53 + M5*Assumption!$F$53 + N5*Assumption!$G$53</f>
        <v>35.450000000000003</v>
      </c>
      <c r="R5" cm="1">
        <f t="array" ref="R5">_xlfn.PERCENTRANK.EXC(_xlfn._xlws.FILTER(P$4:P$16, ISNUMBER(P$4:P$16)),P5)*100</f>
        <v>14.2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-0.36099316000000004</v>
      </c>
      <c r="E6" s="9">
        <f>HLOOKUP(B6,'Monthly Returns'!$A$1:$Q$134, 132, FALSE)</f>
        <v>0.13223140495867769</v>
      </c>
      <c r="H6" s="9">
        <f>HLOOKUP(B6,'Yearly returns'!$B$1:$N$140, 133, FALSE)</f>
        <v>0.17355371900826447</v>
      </c>
      <c r="I6" s="9">
        <f>HLOOKUP(B6,'Yearly returns'!$B$1:$N$140, 138, FALSE)</f>
        <v>0.72099999999999997</v>
      </c>
      <c r="J6" s="183">
        <f t="shared" si="0"/>
        <v>7.5625</v>
      </c>
      <c r="K6" s="185">
        <f t="shared" si="1"/>
        <v>16.600000000000001</v>
      </c>
      <c r="L6" s="47">
        <f t="shared" si="2"/>
        <v>25</v>
      </c>
      <c r="M6" s="47">
        <f t="shared" si="3"/>
        <v>25</v>
      </c>
      <c r="N6" s="47">
        <f t="shared" si="4"/>
        <v>58.400000000000006</v>
      </c>
      <c r="P6">
        <f>L6*Assumption!$E$53 + M6*Assumption!$F$53 + N6*Assumption!$G$53</f>
        <v>41.7</v>
      </c>
      <c r="R6" cm="1">
        <f t="array" ref="R6">_xlfn.PERCENTRANK.EXC(_xlfn._xlws.FILTER(P$4:P$16, ISNUMBER(P$4:P$16)),P6)*100</f>
        <v>35.699999999999996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-0.34158749999999999</v>
      </c>
      <c r="E7" s="9">
        <f>HLOOKUP(B7,'Monthly Returns'!$A$1:$Q$134, 132, FALSE)</f>
        <v>0.1487603305785124</v>
      </c>
      <c r="H7" s="9">
        <f>HLOOKUP(B7,'Yearly returns'!$B$1:$N$140, 133, FALSE)</f>
        <v>0.256198347107438</v>
      </c>
      <c r="I7" s="9">
        <f>HLOOKUP(B7,'Yearly returns'!$B$1:$N$140, 138, FALSE)</f>
        <v>0.68</v>
      </c>
      <c r="J7" s="183">
        <f t="shared" si="0"/>
        <v>6.7222222222222223</v>
      </c>
      <c r="K7" s="185">
        <f t="shared" si="1"/>
        <v>8.3000000000000007</v>
      </c>
      <c r="L7" s="47">
        <f t="shared" si="2"/>
        <v>8.3999999999999968</v>
      </c>
      <c r="M7" s="47">
        <f t="shared" si="3"/>
        <v>8.3999999999999968</v>
      </c>
      <c r="N7" s="47">
        <f t="shared" si="4"/>
        <v>75</v>
      </c>
      <c r="P7">
        <f>L7*Assumption!$E$53 + M7*Assumption!$F$53 + N7*Assumption!$G$53</f>
        <v>41.699999999999996</v>
      </c>
      <c r="R7" cm="1">
        <f t="array" ref="R7">_xlfn.PERCENTRANK.EXC(_xlfn._xlws.FILTER(P$4:P$16, ISNUMBER(P$4:P$16)),P7)*100</f>
        <v>28.499999999999996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-0.2242943</v>
      </c>
      <c r="E8" s="9">
        <f>HLOOKUP(B8,'Monthly Returns'!$A$1:$Q$134, 132, FALSE)</f>
        <v>9.9173553719008267E-2</v>
      </c>
      <c r="H8" s="9">
        <f>HLOOKUP(B8,'Yearly returns'!$B$1:$N$140, 133, FALSE)</f>
        <v>0.13223140495867769</v>
      </c>
      <c r="I8" s="9">
        <f>HLOOKUP(B8,'Yearly returns'!$B$1:$N$140, 138, FALSE)</f>
        <v>0.71299999999999997</v>
      </c>
      <c r="J8" s="183">
        <f t="shared" si="0"/>
        <v>10.083333333333334</v>
      </c>
      <c r="K8" s="185">
        <f t="shared" si="1"/>
        <v>50</v>
      </c>
      <c r="L8" s="47">
        <f t="shared" si="2"/>
        <v>75</v>
      </c>
      <c r="M8" s="47">
        <f t="shared" si="3"/>
        <v>58.400000000000006</v>
      </c>
      <c r="N8" s="47">
        <f t="shared" si="4"/>
        <v>66.7</v>
      </c>
      <c r="P8">
        <f>L8*Assumption!$E$53 + M8*Assumption!$F$53 + N8*Assumption!$G$53</f>
        <v>66.7</v>
      </c>
      <c r="R8" cm="1">
        <f t="array" ref="R8">_xlfn.PERCENTRANK.EXC(_xlfn._xlws.FILTER(P$4:P$16, ISNUMBER(P$4:P$16)),P8)*100</f>
        <v>71.399999999999991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-0.22434372</v>
      </c>
      <c r="E9" s="9">
        <f>HLOOKUP(B9,'Monthly Returns'!$A$1:$Q$134, 132, FALSE)</f>
        <v>9.0909090909090912E-2</v>
      </c>
      <c r="H9" s="9">
        <f>HLOOKUP(B9,'Yearly returns'!$B$1:$N$140, 133, FALSE)</f>
        <v>0.10743801652892562</v>
      </c>
      <c r="I9" s="9">
        <f>HLOOKUP(B9,'Yearly returns'!$B$1:$N$140, 138, FALSE)</f>
        <v>0.42599999999999999</v>
      </c>
      <c r="J9" s="183">
        <f t="shared" si="0"/>
        <v>11</v>
      </c>
      <c r="K9" s="185">
        <f t="shared" si="1"/>
        <v>83.3</v>
      </c>
      <c r="L9" s="47">
        <f t="shared" si="2"/>
        <v>83.399999999999991</v>
      </c>
      <c r="M9" s="47">
        <f t="shared" si="3"/>
        <v>83.399999999999991</v>
      </c>
      <c r="N9" s="47">
        <f t="shared" si="4"/>
        <v>91.7</v>
      </c>
      <c r="P9">
        <f>L9*Assumption!$E$53 + M9*Assumption!$F$53 + N9*Assumption!$G$53</f>
        <v>87.55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-0.33019440000000005</v>
      </c>
      <c r="E10" s="9">
        <f>HLOOKUP(B10,'Monthly Returns'!$A$1:$Q$134, 132, FALSE)</f>
        <v>7.43801652892562E-2</v>
      </c>
      <c r="H10" s="9">
        <f>HLOOKUP(B10,'Yearly returns'!$B$1:$N$140, 133, FALSE)</f>
        <v>0.1487603305785124</v>
      </c>
      <c r="I10" s="9">
        <f>HLOOKUP(B10,'Yearly returns'!$B$1:$N$140, 138, FALSE)</f>
        <v>0.77800000000000002</v>
      </c>
      <c r="J10" s="183">
        <f t="shared" si="0"/>
        <v>13.444444444444445</v>
      </c>
      <c r="K10" s="185">
        <f t="shared" si="1"/>
        <v>91.600000000000009</v>
      </c>
      <c r="L10" s="47">
        <f t="shared" si="2"/>
        <v>100</v>
      </c>
      <c r="M10" s="47">
        <f t="shared" si="3"/>
        <v>50</v>
      </c>
      <c r="N10" s="47">
        <f t="shared" si="4"/>
        <v>33.4</v>
      </c>
      <c r="P10">
        <f>L10*Assumption!$E$53 + M10*Assumption!$F$53 + N10*Assumption!$G$53</f>
        <v>54.2</v>
      </c>
      <c r="R10" cm="1">
        <f t="array" ref="R10">_xlfn.PERCENTRANK.EXC(_xlfn._xlws.FILTER(P$4:P$16, ISNUMBER(P$4:P$16)),P10)*100</f>
        <v>57.099999999999994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-0.22374701999999999</v>
      </c>
      <c r="E11" s="9">
        <f>HLOOKUP(B11,'Monthly Returns'!$A$1:$Q$134, 132, FALSE)</f>
        <v>9.9173553719008267E-2</v>
      </c>
      <c r="H11" s="9">
        <f>HLOOKUP(B11,'Yearly returns'!$B$1:$N$140, 133, FALSE)</f>
        <v>7.43801652892562E-2</v>
      </c>
      <c r="I11" s="9">
        <f>HLOOKUP(B11,'Yearly returns'!$B$1:$N$140, 138, FALSE)</f>
        <v>0.82699999999999996</v>
      </c>
      <c r="J11" s="183">
        <f t="shared" si="0"/>
        <v>10.083333333333334</v>
      </c>
      <c r="K11" s="185">
        <f t="shared" si="1"/>
        <v>50</v>
      </c>
      <c r="L11" s="47">
        <f t="shared" si="2"/>
        <v>75</v>
      </c>
      <c r="M11" s="47">
        <f t="shared" si="3"/>
        <v>91.7</v>
      </c>
      <c r="N11" s="47">
        <f t="shared" si="4"/>
        <v>16.700000000000003</v>
      </c>
      <c r="P11">
        <f>L11*Assumption!$E$53 + M11*Assumption!$F$53 + N11*Assumption!$G$53</f>
        <v>50.024999999999999</v>
      </c>
      <c r="R11" cm="1">
        <f t="array" ref="R11">_xlfn.PERCENTRANK.EXC(_xlfn._xlws.FILTER(P$4:P$16, ISNUMBER(P$4:P$16)),P11)*100</f>
        <v>50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-0.25118483000000003</v>
      </c>
      <c r="E12" s="9">
        <f>HLOOKUP(B12,'Monthly Returns'!$A$1:$Q$134, 132, FALSE)</f>
        <v>7.43801652892562E-2</v>
      </c>
      <c r="H12" s="9">
        <f>HLOOKUP(B12,'Yearly returns'!$B$1:$N$140, 133, FALSE)</f>
        <v>5.7851239669421489E-2</v>
      </c>
      <c r="I12" s="9">
        <f>HLOOKUP(B12,'Yearly returns'!$B$1:$N$140, 138, FALSE)</f>
        <v>0.90900000000000003</v>
      </c>
      <c r="J12" s="183">
        <f t="shared" si="0"/>
        <v>13.444444444444445</v>
      </c>
      <c r="K12" s="185">
        <f t="shared" si="1"/>
        <v>91.600000000000009</v>
      </c>
      <c r="L12" s="47">
        <f t="shared" si="2"/>
        <v>100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50</v>
      </c>
      <c r="R12" cm="1">
        <f t="array" ref="R12">_xlfn.PERCENTRANK.EXC(_xlfn._xlws.FILTER(P$4:P$16, ISNUMBER(P$4:P$16)),P12)*100</f>
        <v>42.8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-0.33415919999999999</v>
      </c>
      <c r="E13" s="9">
        <f>HLOOKUP(B13,'Monthly Returns'!$A$1:$Q$134, 132, FALSE)</f>
        <v>0.10743801652892562</v>
      </c>
      <c r="H13" s="9">
        <f>HLOOKUP(B13,'Yearly returns'!$B$1:$N$140, 133, FALSE)</f>
        <v>0.12396694214876033</v>
      </c>
      <c r="I13" s="9">
        <f>HLOOKUP(B13,'Yearly returns'!$B$1:$N$140, 138, FALSE)</f>
        <v>0.622</v>
      </c>
      <c r="J13" s="183">
        <f t="shared" si="0"/>
        <v>9.3076923076923066</v>
      </c>
      <c r="K13" s="185">
        <f t="shared" si="1"/>
        <v>41.6</v>
      </c>
      <c r="L13" s="47">
        <f t="shared" si="2"/>
        <v>41.7</v>
      </c>
      <c r="M13" s="47">
        <f t="shared" si="3"/>
        <v>66.7</v>
      </c>
      <c r="N13" s="47">
        <f t="shared" si="4"/>
        <v>83.399999999999991</v>
      </c>
      <c r="P13">
        <f>L13*Assumption!$E$53 + M13*Assumption!$F$53 + N13*Assumption!$G$53</f>
        <v>68.8</v>
      </c>
      <c r="R13" cm="1">
        <f t="array" ref="R13">_xlfn.PERCENTRANK.EXC(_xlfn._xlws.FILTER(P$4:P$16, ISNUMBER(P$4:P$16)),P13)*100</f>
        <v>78.5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-0.30439817000000002</v>
      </c>
      <c r="E14" s="9">
        <f>HLOOKUP(B14,'Monthly Returns'!$A$1:$Q$134, 132, FALSE)</f>
        <v>9.9173553719008267E-2</v>
      </c>
      <c r="H14" s="9">
        <f>HLOOKUP(B14,'Yearly returns'!$B$1:$N$140, 133, FALSE)</f>
        <v>0.11570247933884298</v>
      </c>
      <c r="I14" s="9">
        <f>HLOOKUP(B14,'Yearly returns'!$B$1:$N$140, 138, FALSE)</f>
        <v>0.754</v>
      </c>
      <c r="J14" s="183">
        <f t="shared" si="0"/>
        <v>10.083333333333334</v>
      </c>
      <c r="K14" s="185">
        <f t="shared" si="1"/>
        <v>50</v>
      </c>
      <c r="L14" s="47">
        <f t="shared" si="2"/>
        <v>75</v>
      </c>
      <c r="M14" s="47">
        <f t="shared" si="3"/>
        <v>75</v>
      </c>
      <c r="N14" s="47">
        <f t="shared" si="4"/>
        <v>41.7</v>
      </c>
      <c r="P14">
        <f>L14*Assumption!$E$53 + M14*Assumption!$F$53 + N14*Assumption!$G$53</f>
        <v>58.35</v>
      </c>
      <c r="R14" cm="1">
        <f t="array" ref="R14">_xlfn.PERCENTRANK.EXC(_xlfn._xlws.FILTER(P$4:P$16, ISNUMBER(P$4:P$16)),P14)*100</f>
        <v>64.2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-0.29094123999999999</v>
      </c>
      <c r="E15" s="9">
        <f>HLOOKUP(B15,'Monthly Returns'!$A$1:$Q$134, 132, FALSE)</f>
        <v>0.12396694214876033</v>
      </c>
      <c r="H15" s="9">
        <f>HLOOKUP(B15,'Yearly returns'!$B$1:$N$140, 133, FALSE)</f>
        <v>0.17355371900826447</v>
      </c>
      <c r="I15" s="9">
        <f>HLOOKUP(B15,'Yearly returns'!$B$1:$N$140, 138, FALSE)</f>
        <v>0.72899999999999998</v>
      </c>
      <c r="J15" s="183">
        <f t="shared" si="0"/>
        <v>8.0666666666666664</v>
      </c>
      <c r="K15" s="185">
        <f t="shared" si="1"/>
        <v>33.300000000000004</v>
      </c>
      <c r="L15" s="47">
        <f t="shared" si="2"/>
        <v>33.4</v>
      </c>
      <c r="M15" s="47">
        <f t="shared" si="3"/>
        <v>25</v>
      </c>
      <c r="N15" s="47">
        <f t="shared" si="4"/>
        <v>50</v>
      </c>
      <c r="P15">
        <f>L15*Assumption!$E$53 + M15*Assumption!$F$53 + N15*Assumption!$G$53</f>
        <v>39.6</v>
      </c>
      <c r="R15" cm="1">
        <f t="array" ref="R15">_xlfn.PERCENTRANK.EXC(_xlfn._xlws.FILTER(P$4:P$16, ISNUMBER(P$4:P$16)),P15)*100</f>
        <v>21.4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-0.37174349999999995</v>
      </c>
      <c r="E16" s="9">
        <f>HLOOKUP(B16,'Monthly Returns'!$A$1:$Q$134, 132, FALSE)</f>
        <v>0.16528925619834711</v>
      </c>
      <c r="H16" s="9">
        <f>HLOOKUP(B16,'Yearly returns'!$B$1:$N$140, 133, FALSE)</f>
        <v>0.2975206611570248</v>
      </c>
      <c r="I16" s="9">
        <f>HLOOKUP(B16,'Yearly returns'!$B$1:$N$140, 138, FALSE)</f>
        <v>0.82699999999999996</v>
      </c>
      <c r="J16" s="183">
        <f t="shared" si="0"/>
        <v>6.05</v>
      </c>
      <c r="K16" s="185">
        <f t="shared" si="1"/>
        <v>0</v>
      </c>
      <c r="L16" s="47">
        <f t="shared" si="2"/>
        <v>0</v>
      </c>
      <c r="M16" s="47">
        <f t="shared" si="3"/>
        <v>0</v>
      </c>
      <c r="N16" s="47">
        <f t="shared" si="4"/>
        <v>16.700000000000003</v>
      </c>
      <c r="P16">
        <f>L16*Assumption!$E$53 + M16*Assumption!$F$53 + N16*Assumption!$G$53</f>
        <v>8.3500000000000014</v>
      </c>
      <c r="R16" cm="1">
        <f t="array" ref="R16">_xlfn.PERCENTRANK.EXC(_xlfn._xlws.FILTER(P$4:P$16, ISNUMBER(P$4:P$16)),P16)*100</f>
        <v>7.1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0.68799999999999994</v>
      </c>
      <c r="G5" s="141" cm="1">
        <f t="array" ref="G5">_xll.FDSZ(C5,"FG_PRICE(0)")</f>
        <v>45.89</v>
      </c>
      <c r="H5" s="141" cm="1">
        <f t="array" ref="H5">_xll.FDSZ(C5,"FG_PRICE_MAVG(0,,,,30)")</f>
        <v>44.86468</v>
      </c>
      <c r="I5" s="141" cm="1">
        <f t="array" ref="I5">_xll.FDSZ(C5,"FG_PRICE_MAVG(0,,,,60)")</f>
        <v>45.169130000000003</v>
      </c>
      <c r="J5" s="141" cm="1">
        <f t="array" ref="J5">_xll.FDSZ(C5,"FG_PRICE_MAVG(0,,,,200)")</f>
        <v>45.408439999999999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387.16678000000002</v>
      </c>
      <c r="T5" s="7" cm="1">
        <f t="array" ref="T5">_xll.FDSZ($R5,"FG_PRICE(0)")</f>
        <v>387.16678000000002</v>
      </c>
      <c r="U5" s="7" cm="1">
        <f t="array" ref="U5">_xll.FDSZ($R5,"FG_PRICE(0)")</f>
        <v>387.16678000000002</v>
      </c>
      <c r="V5" s="7" cm="1">
        <f t="array" ref="V5">_xll.FDSZ($R5,"FG_PRICE(0)")</f>
        <v>387.16678000000002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0.90900000000000003</v>
      </c>
      <c r="G6" s="141" cm="1">
        <f t="array" ref="G6">_xll.FDSZ(C6,"FG_PRICE(0)")</f>
        <v>25.24</v>
      </c>
      <c r="H6" s="141" cm="1">
        <f t="array" ref="H6">_xll.FDSZ(C6,"FG_PRICE_MAVG(0,,,,30)")</f>
        <v>24.116</v>
      </c>
      <c r="I6" s="141" cm="1">
        <f t="array" ref="I6">_xll.FDSZ(C6,"FG_PRICE_MAVG(0,,,,60)")</f>
        <v>24.206333000000001</v>
      </c>
      <c r="J6" s="141" cm="1">
        <f t="array" ref="J6">_xll.FDSZ(C6,"FG_PRICE_MAVG(0,,,,200)")</f>
        <v>22.979099999999999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365.62497000000002</v>
      </c>
      <c r="T6" s="7" cm="1">
        <f t="array" ref="T6">_xll.FDSZ($R6,"FG_PRICE(0)")</f>
        <v>365.62497000000002</v>
      </c>
      <c r="U6" s="7" cm="1">
        <f t="array" ref="U6">_xll.FDSZ($R6,"FG_PRICE(0)")</f>
        <v>365.62497000000002</v>
      </c>
      <c r="V6" s="7" cm="1">
        <f t="array" ref="V6">_xll.FDSZ($R6,"FG_PRICE(0)")</f>
        <v>365.62497000000002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0.83599999999999997</v>
      </c>
      <c r="G7" s="141" cm="1">
        <f t="array" ref="G7">_xll.FDSZ(C7,"FG_PRICE(0)")</f>
        <v>38.590000000000003</v>
      </c>
      <c r="H7" s="141" cm="1">
        <f t="array" ref="H7">_xll.FDSZ(C7,"FG_PRICE_MAVG(0,,,,30)")</f>
        <v>37.663333999999999</v>
      </c>
      <c r="I7" s="141" cm="1">
        <f t="array" ref="I7">_xll.FDSZ(C7,"FG_PRICE_MAVG(0,,,,60)")</f>
        <v>37.652332000000001</v>
      </c>
      <c r="J7" s="141" cm="1">
        <f t="array" ref="J7">_xll.FDSZ(C7,"FG_PRICE_MAVG(0,,,,200)")</f>
        <v>35.597349999999999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297.2645</v>
      </c>
      <c r="T7" s="7" cm="1">
        <f t="array" ref="T7">_xll.FDSZ($R7,"FG_PRICE(0)")</f>
        <v>297.2645</v>
      </c>
      <c r="U7" s="7" cm="1">
        <f t="array" ref="U7">_xll.FDSZ($R7,"FG_PRICE(0)")</f>
        <v>297.2645</v>
      </c>
      <c r="V7" s="7" cm="1">
        <f t="array" ref="V7">_xll.FDSZ($R7,"FG_PRICE(0)")</f>
        <v>297.2645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0.92600000000000005</v>
      </c>
      <c r="G8" s="141" cm="1">
        <f t="array" ref="G8">_xll.FDSZ(C8,"FG_PRICE(0)")</f>
        <v>32.42</v>
      </c>
      <c r="H8" s="141" cm="1">
        <f t="array" ref="H8">_xll.FDSZ(C8,"FG_PRICE_MAVG(0,,,,30)")</f>
        <v>31.117332000000001</v>
      </c>
      <c r="I8" s="141" cm="1">
        <f t="array" ref="I8">_xll.FDSZ(C8,"FG_PRICE_MAVG(0,,,,60)")</f>
        <v>31.121834</v>
      </c>
      <c r="J8" s="141" cm="1">
        <f t="array" ref="J8">_xll.FDSZ(C8,"FG_PRICE_MAVG(0,,,,200)")</f>
        <v>28.803249999999998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10.078218</v>
      </c>
      <c r="T8" s="7" cm="1">
        <f t="array" ref="T8">_xll.FDSZ($R8,"FG_PRICE(0)")</f>
        <v>10.078218</v>
      </c>
      <c r="U8" s="7" cm="1">
        <f t="array" ref="U8">_xll.FDSZ($R8,"FG_PRICE(0)")</f>
        <v>10.078218</v>
      </c>
      <c r="V8" s="7" cm="1">
        <f t="array" ref="V8">_xll.FDSZ($R8,"FG_PRICE(0)")</f>
        <v>10.078218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0.67200000000000004</v>
      </c>
      <c r="G9" s="141" cm="1">
        <f t="array" ref="G9">_xll.FDSZ(C9,"FG_PRICE(0)")</f>
        <v>68.73</v>
      </c>
      <c r="H9" s="141" cm="1">
        <f t="array" ref="H9">_xll.FDSZ(C9,"FG_PRICE_MAVG(0,,,,30)")</f>
        <v>68.219666000000004</v>
      </c>
      <c r="I9" s="141" cm="1">
        <f t="array" ref="I9">_xll.FDSZ(C9,"FG_PRICE_MAVG(0,,,,60)")</f>
        <v>69.261170000000007</v>
      </c>
      <c r="J9" s="141" cm="1">
        <f t="array" ref="J9">_xll.FDSZ(C9,"FG_PRICE_MAVG(0,,,,200)")</f>
        <v>64.493300000000005</v>
      </c>
      <c r="L9">
        <f t="shared" si="0"/>
        <v>1</v>
      </c>
      <c r="M9">
        <f t="shared" si="1"/>
        <v>0</v>
      </c>
      <c r="N9">
        <f t="shared" si="2"/>
        <v>1</v>
      </c>
      <c r="P9">
        <f t="shared" si="3"/>
        <v>2</v>
      </c>
      <c r="R9" t="s">
        <v>842</v>
      </c>
      <c r="S9" s="7" cm="1">
        <f t="array" ref="S9">_xll.FDSZ($R9,"FG_PRICE(0)")</f>
        <v>173.59522999999999</v>
      </c>
      <c r="T9" s="7" cm="1">
        <f t="array" ref="T9">_xll.FDSZ($R9,"FG_PRICE(0)")</f>
        <v>173.59522999999999</v>
      </c>
      <c r="U9" s="7" cm="1">
        <f t="array" ref="U9">_xll.FDSZ($R9,"FG_PRICE(0)")</f>
        <v>173.59522999999999</v>
      </c>
      <c r="V9" s="7" cm="1">
        <f t="array" ref="V9">_xll.FDSZ($R9,"FG_PRICE(0)")</f>
        <v>173.59522999999999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0.95</v>
      </c>
      <c r="G10" s="141" cm="1">
        <f t="array" ref="G10">_xll.FDSZ(C10,"FG_PRICE(0)")</f>
        <v>48.97</v>
      </c>
      <c r="H10" s="141" cm="1">
        <f t="array" ref="H10">_xll.FDSZ(C10,"FG_PRICE_MAVG(0,,,,30)")</f>
        <v>46.518664999999999</v>
      </c>
      <c r="I10" s="141" cm="1">
        <f t="array" ref="I10">_xll.FDSZ(C10,"FG_PRICE_MAVG(0,,,,60)")</f>
        <v>47.0045</v>
      </c>
      <c r="J10" s="141" cm="1">
        <f t="array" ref="J10">_xll.FDSZ(C10,"FG_PRICE_MAVG(0,,,,200)")</f>
        <v>45.945050000000002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328.35329999999999</v>
      </c>
      <c r="T10" s="7" cm="1">
        <f t="array" ref="T10">_xll.FDSZ($R10,"FG_PRICE(0)")</f>
        <v>328.35329999999999</v>
      </c>
      <c r="U10" s="7" cm="1">
        <f t="array" ref="U10">_xll.FDSZ($R10,"FG_PRICE(0)")</f>
        <v>328.35329999999999</v>
      </c>
      <c r="V10" s="7" cm="1">
        <f t="array" ref="V10">_xll.FDSZ($R10,"FG_PRICE(0)")</f>
        <v>328.35329999999999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0.95</v>
      </c>
      <c r="G11" s="141" cm="1">
        <f t="array" ref="G11">_xll.FDSZ(C11,"FG_PRICE(0)")</f>
        <v>36.74</v>
      </c>
      <c r="H11" s="141" cm="1">
        <f t="array" ref="H11">_xll.FDSZ(C11,"FG_PRICE_MAVG(0,,,,30)")</f>
        <v>34.864333999999999</v>
      </c>
      <c r="I11" s="141" cm="1">
        <f t="array" ref="I11">_xll.FDSZ(C11,"FG_PRICE_MAVG(0,,,,60)")</f>
        <v>34.182834999999997</v>
      </c>
      <c r="J11" s="141" cm="1">
        <f t="array" ref="J11">_xll.FDSZ(C11,"FG_PRICE_MAVG(0,,,,200)")</f>
        <v>32.700749999999999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130.51935</v>
      </c>
      <c r="T11" s="7" cm="1">
        <f t="array" ref="T11">_xll.FDSZ($R11,"FG_PRICE(0)")</f>
        <v>130.51935</v>
      </c>
      <c r="U11" s="7" cm="1">
        <f t="array" ref="U11">_xll.FDSZ($R11,"FG_PRICE(0)")</f>
        <v>130.51935</v>
      </c>
      <c r="V11" s="7" cm="1">
        <f t="array" ref="V11">_xll.FDSZ($R11,"FG_PRICE(0)")</f>
        <v>130.51935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0.85199999999999998</v>
      </c>
      <c r="G12" s="141" cm="1">
        <f t="array" ref="G12">_xll.FDSZ(C12,"FG_PRICE(0)")</f>
        <v>451.76</v>
      </c>
      <c r="H12" s="141" cm="1">
        <f t="array" ref="H12">_xll.FDSZ(C12,"FG_PRICE_MAVG(0,,,,30)")</f>
        <v>434.91165000000001</v>
      </c>
      <c r="I12" s="141" cm="1">
        <f t="array" ref="I12">_xll.FDSZ(C12,"FG_PRICE_MAVG(0,,,,60)")</f>
        <v>437.81349999999998</v>
      </c>
      <c r="J12" s="141" cm="1">
        <f t="array" ref="J12">_xll.FDSZ(C12,"FG_PRICE_MAVG(0,,,,200)")</f>
        <v>402.01855</v>
      </c>
      <c r="L12">
        <f t="shared" si="0"/>
        <v>1</v>
      </c>
      <c r="M12">
        <f t="shared" si="1"/>
        <v>1</v>
      </c>
      <c r="N12">
        <f t="shared" si="2"/>
        <v>1</v>
      </c>
      <c r="P12">
        <f t="shared" si="3"/>
        <v>3</v>
      </c>
      <c r="R12" t="s">
        <v>845</v>
      </c>
      <c r="S12" s="7" cm="1">
        <f t="array" ref="S12">_xll.FDSZ($R12,"FG_PRICE(0)")</f>
        <v>398.70715000000001</v>
      </c>
      <c r="T12" s="7" cm="1">
        <f t="array" ref="T12">_xll.FDSZ($R12,"FG_PRICE(0)")</f>
        <v>398.70715000000001</v>
      </c>
      <c r="U12" s="7" cm="1">
        <f t="array" ref="U12">_xll.FDSZ($R12,"FG_PRICE(0)")</f>
        <v>398.70715000000001</v>
      </c>
      <c r="V12" s="7" cm="1">
        <f t="array" ref="V12">_xll.FDSZ($R12,"FG_PRICE(0)")</f>
        <v>398.70715000000001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0.92600000000000005</v>
      </c>
      <c r="G13" s="141" cm="1">
        <f t="array" ref="G13">_xll.FDSZ(C13,"FG_PRICE(0)")</f>
        <v>529.45000000000005</v>
      </c>
      <c r="H13" s="141" cm="1">
        <f t="array" ref="H13">_xll.FDSZ(C13,"FG_PRICE_MAVG(0,,,,30)")</f>
        <v>511.98334</v>
      </c>
      <c r="I13" s="141" cm="1">
        <f t="array" ref="I13">_xll.FDSZ(C13,"FG_PRICE_MAVG(0,,,,60)")</f>
        <v>513.35364000000004</v>
      </c>
      <c r="J13" s="141" cm="1">
        <f t="array" ref="J13">_xll.FDSZ(C13,"FG_PRICE_MAVG(0,,,,200)")</f>
        <v>472.548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398.70715000000001</v>
      </c>
      <c r="T13" s="7" cm="1">
        <f t="array" ref="T13">_xll.FDSZ($R13,"FG_PRICE(0)")</f>
        <v>398.70715000000001</v>
      </c>
      <c r="U13" s="7" cm="1">
        <f t="array" ref="U13">_xll.FDSZ($R13,"FG_PRICE(0)")</f>
        <v>398.70715000000001</v>
      </c>
      <c r="V13" s="7" cm="1">
        <f t="array" ref="V13">_xll.FDSZ($R13,"FG_PRICE(0)")</f>
        <v>398.70715000000001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0.89300000000000002</v>
      </c>
      <c r="G14" s="141" cm="1">
        <f t="array" ref="G14">_xll.FDSZ(C14,"FG_PRICE(0)")</f>
        <v>42.25</v>
      </c>
      <c r="H14" s="141" cm="1">
        <f t="array" ref="H14">_xll.FDSZ(C14,"FG_PRICE_MAVG(0,,,,30)")</f>
        <v>40.793999999999997</v>
      </c>
      <c r="I14" s="141" cm="1">
        <f t="array" ref="I14">_xll.FDSZ(C14,"FG_PRICE_MAVG(0,,,,60)")</f>
        <v>40.883335000000002</v>
      </c>
      <c r="J14" s="141" cm="1">
        <f t="array" ref="J14">_xll.FDSZ(C14,"FG_PRICE_MAVG(0,,,,200)")</f>
        <v>38.333373999999999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398.70715000000001</v>
      </c>
      <c r="T14" s="7" cm="1">
        <f t="array" ref="T14">_xll.FDSZ($R14,"FG_PRICE(0)")</f>
        <v>398.70715000000001</v>
      </c>
      <c r="U14" s="7" cm="1">
        <f t="array" ref="U14">_xll.FDSZ($R14,"FG_PRICE(0)")</f>
        <v>398.70715000000001</v>
      </c>
      <c r="V14" s="7" cm="1">
        <f t="array" ref="V14">_xll.FDSZ($R14,"FG_PRICE(0)")</f>
        <v>398.70715000000001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0.93400000000000005</v>
      </c>
      <c r="G15" s="141" cm="1">
        <f t="array" ref="G15">_xll.FDSZ(C15,"FG_PRICE(0)")</f>
        <v>51.72</v>
      </c>
      <c r="H15" s="141" cm="1">
        <f t="array" ref="H15">_xll.FDSZ(C15,"FG_PRICE_MAVG(0,,,,30)")</f>
        <v>49.143500000000003</v>
      </c>
      <c r="I15" s="141" cm="1">
        <f t="array" ref="I15">_xll.FDSZ(C15,"FG_PRICE_MAVG(0,,,,60)")</f>
        <v>48.949750000000002</v>
      </c>
      <c r="J15" s="141" cm="1">
        <f t="array" ref="J15">_xll.FDSZ(C15,"FG_PRICE_MAVG(0,,,,200)")</f>
        <v>43.924602999999998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398.70715000000001</v>
      </c>
      <c r="T15" s="7" cm="1">
        <f t="array" ref="T15">_xll.FDSZ($R15,"FG_PRICE(0)")</f>
        <v>398.70715000000001</v>
      </c>
      <c r="U15" s="7" cm="1">
        <f t="array" ref="U15">_xll.FDSZ($R15,"FG_PRICE(0)")</f>
        <v>398.70715000000001</v>
      </c>
      <c r="V15" s="7" cm="1">
        <f t="array" ref="V15">_xll.FDSZ($R15,"FG_PRICE(0)")</f>
        <v>398.70715000000001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0.89300000000000002</v>
      </c>
      <c r="G16" s="141" cm="1">
        <f t="array" ref="G16">_xll.FDSZ(C16,"FG_PRICE(0)")</f>
        <v>41.11</v>
      </c>
      <c r="H16" s="141" cm="1">
        <f t="array" ref="H16">_xll.FDSZ(C16,"FG_PRICE_MAVG(0,,,,30)")</f>
        <v>39.609499999999997</v>
      </c>
      <c r="I16" s="141" cm="1">
        <f t="array" ref="I16">_xll.FDSZ(C16,"FG_PRICE_MAVG(0,,,,60)")</f>
        <v>39.918083000000003</v>
      </c>
      <c r="J16" s="141" cm="1">
        <f t="array" ref="J16">_xll.FDSZ(C16,"FG_PRICE_MAVG(0,,,,200)")</f>
        <v>36.562350000000002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398.70715000000001</v>
      </c>
      <c r="T16" s="7" cm="1">
        <f t="array" ref="T16">_xll.FDSZ($R16,"FG_PRICE(0)")</f>
        <v>398.70715000000001</v>
      </c>
      <c r="U16" s="7" cm="1">
        <f t="array" ref="U16">_xll.FDSZ($R16,"FG_PRICE(0)")</f>
        <v>398.70715000000001</v>
      </c>
      <c r="V16" s="7" cm="1">
        <f t="array" ref="V16">_xll.FDSZ($R16,"FG_PRICE(0)")</f>
        <v>398.70715000000001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0.90100000000000002</v>
      </c>
      <c r="G17" s="141" cm="1">
        <f t="array" ref="G17">_xll.FDSZ(C17,"FG_PRICE(0)")</f>
        <v>39.340000000000003</v>
      </c>
      <c r="H17" s="141" cm="1">
        <f t="array" ref="H17">_xll.FDSZ(C17,"FG_PRICE_MAVG(0,,,,30)")</f>
        <v>37.251334999999997</v>
      </c>
      <c r="I17" s="141" cm="1">
        <f t="array" ref="I17">_xll.FDSZ(C17,"FG_PRICE_MAVG(0,,,,60)")</f>
        <v>37.067833</v>
      </c>
      <c r="J17" s="141" cm="1">
        <f t="array" ref="J17">_xll.FDSZ(C17,"FG_PRICE_MAVG(0,,,,200)")</f>
        <v>33.646599999999999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398.70715000000001</v>
      </c>
      <c r="T17" s="7" cm="1">
        <f t="array" ref="T17">_xll.FDSZ($R17,"FG_PRICE(0)")</f>
        <v>398.70715000000001</v>
      </c>
      <c r="U17" s="7" cm="1">
        <f t="array" ref="U17">_xll.FDSZ($R17,"FG_PRICE(0)")</f>
        <v>398.70715000000001</v>
      </c>
      <c r="V17" s="7" cm="1">
        <f t="array" ref="V17">_xll.FDSZ($R17,"FG_PRICE(0)")</f>
        <v>398.70715000000001</v>
      </c>
    </row>
    <row r="19" spans="1:22" x14ac:dyDescent="0.35">
      <c r="K19" s="1" t="s">
        <v>906</v>
      </c>
      <c r="L19" s="1">
        <f>SUM(L5:L17)</f>
        <v>13</v>
      </c>
      <c r="M19" s="1">
        <f t="shared" ref="M19:N19" si="4">SUM(M5:M17)</f>
        <v>12</v>
      </c>
      <c r="N19" s="1">
        <f t="shared" si="4"/>
        <v>13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1</v>
      </c>
      <c r="M22" s="182">
        <f t="shared" ref="M22:N22" si="6">M19/M20</f>
        <v>0.92307692307692313</v>
      </c>
      <c r="N22" s="182">
        <f t="shared" si="6"/>
        <v>1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116.85</v>
      </c>
      <c r="D3" cm="1">
        <f t="array" ref="D3">_xll.FDS($A3,"FG_PRICE_MAVG(0,,,,30)")</f>
        <v>111.71066999999999</v>
      </c>
      <c r="E3" s="47" cm="1">
        <f t="array" ref="E3">_xll.FDS($A3,"FG_PRICE_CHANGE(0,-1AM)")</f>
        <v>8.90027958993476</v>
      </c>
      <c r="F3" s="47" cm="1">
        <f t="array" ref="F3">_xll.FDS($A3,"FG_PRICE_CHANGE(0,-3AM)")</f>
        <v>-9.6217804934643105</v>
      </c>
      <c r="G3" s="47" cm="1">
        <f t="array" ref="G3">_xll.FDS($A3,"FG_PRICE_CHANGE(0,-6AM)")</f>
        <v>-9.3834819697557101</v>
      </c>
      <c r="H3" s="47" cm="1">
        <f t="array" ref="H3">_xll.FDS($A3,"FG_PRICE_CHANGE(0,-1AY)")</f>
        <v>8.8191469547401802</v>
      </c>
      <c r="I3" s="47" cm="1">
        <f t="array" ref="I3">_xll.FDS($A3,"FG_PRICE(0)/MAX(FG_PRICE(0,-1AY))")</f>
        <v>0.81055771365149798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0</v>
      </c>
      <c r="T3">
        <f>S3</f>
        <v>0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5.0570000000000004</v>
      </c>
      <c r="D4" cm="1">
        <f t="array" ref="D4">_xll.FDS($A4,"FG_PRICE_MAVG(0,,,,30)")</f>
        <v>4.5521500000000001</v>
      </c>
      <c r="E4" s="47" cm="1">
        <f t="array" ref="E4">_xll.FDS($A4,"FG_PRICE_CHANGE(0,-1AM)")</f>
        <v>16.453655728267101</v>
      </c>
      <c r="F4" s="47" cm="1">
        <f t="array" ref="F4">_xll.FDS($A4,"FG_PRICE_CHANGE(0,-3AM)")</f>
        <v>31.7613340281397</v>
      </c>
      <c r="G4" s="47" cm="1">
        <f t="array" ref="G4">_xll.FDS($A4,"FG_PRICE_CHANGE(0,-6AM)")</f>
        <v>35.304347826087003</v>
      </c>
      <c r="H4" s="47" cm="1">
        <f t="array" ref="H4">_xll.FDS($A4,"FG_PRICE_CHANGE(0,-1AY)")</f>
        <v>35.105530323270102</v>
      </c>
      <c r="I4" s="47" cm="1">
        <f t="array" ref="I4">_xll.FDS($A4,"FG_PRICE(0)/MAX(FG_PRICE(0,-1AY))")</f>
        <v>1</v>
      </c>
      <c r="J4" cm="1">
        <f t="array" ref="J4">_xll.FDS($A4,"MAX(FG_PRICE(0,-5AY))")</f>
        <v>5.0570000000000004</v>
      </c>
      <c r="P4" t="s">
        <v>27</v>
      </c>
      <c r="Q4" t="s">
        <v>433</v>
      </c>
      <c r="R4" t="s">
        <v>27</v>
      </c>
      <c r="S4">
        <f>IF(E4&lt;$C$19, 1, IF(E4&gt;$C$20,-1,0))</f>
        <v>-1</v>
      </c>
      <c r="T4">
        <f t="shared" ref="T4:T5" si="0">S4</f>
        <v>-1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12.0156555772994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-1</v>
      </c>
      <c r="T5">
        <f t="shared" si="0"/>
        <v>-1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6.5125000000000002</v>
      </c>
      <c r="D6" cm="1">
        <f t="array" ref="D6">_xll.FDS($A6,"FG_PRICE_MAVG(0,,,,30)")</f>
        <v>5.9552500000000004</v>
      </c>
      <c r="E6" s="47" cm="1">
        <f t="array" ref="E6">_xll.FDS($A6,"FG_PRICE_CHANGE(0,-1AM)")</f>
        <v>21.275605214152701</v>
      </c>
      <c r="F6" s="47" cm="1">
        <f t="array" ref="F6">_xll.FDS($A6,"FG_PRICE_CHANGE(0,-3AM)")</f>
        <v>16.190900981266701</v>
      </c>
      <c r="G6" s="47" cm="1">
        <f t="array" ref="G6">_xll.FDS($A6,"FG_PRICE_CHANGE(0,-6AM)")</f>
        <v>18.247843849296402</v>
      </c>
      <c r="H6" s="47" cm="1">
        <f t="array" ref="H6">_xll.FDS($A6,"FG_PRICE_CHANGE(0,-1AY)")</f>
        <v>4.1167066346922603</v>
      </c>
      <c r="I6" s="47" cm="1">
        <f t="array" ref="I6">_xll.FDS($A6,"FG_PRICE(0)/MAX(FG_PRICE(0,-1AY))")</f>
        <v>0.85662610983229204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3895</v>
      </c>
      <c r="D7" cm="1">
        <f t="array" ref="D7">_xll.FDS($A7,"FG_PRICE_MAVG(0,,,,30)")</f>
        <v>4062.9666000000002</v>
      </c>
      <c r="E7" s="47" cm="1">
        <f t="array" ref="E7">_xll.FDS($A7,"FG_PRICE_CHANGE(0,-1AM)")</f>
        <v>-6.3476797307044901</v>
      </c>
      <c r="F7" s="47" cm="1">
        <f t="array" ref="F7">_xll.FDS($A7,"FG_PRICE_CHANGE(0,-3AM)")</f>
        <v>-0.38363171355498799</v>
      </c>
      <c r="G7" s="47" cm="1">
        <f t="array" ref="G7">_xll.FDS($A7,"FG_PRICE_CHANGE(0,-6AM)")</f>
        <v>2.2578104489367399</v>
      </c>
      <c r="H7" s="47" cm="1">
        <f t="array" ref="H7">_xll.FDS($A7,"FG_PRICE_CHANGE(0,-1AY)")</f>
        <v>4.5918367346938798</v>
      </c>
      <c r="I7" s="47" cm="1">
        <f t="array" ref="I7">_xll.FDS($A7,"FG_PRICE(0)/MAX(FG_PRICE(0,-1AY))")</f>
        <v>0.85062240663900401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1066</v>
      </c>
      <c r="D8" cm="1">
        <f t="array" ref="D8">_xll.FDS($A8,"FG_PRICE_MAVG(0,,,,30)")</f>
        <v>970.93335000000002</v>
      </c>
      <c r="E8" s="47" cm="1">
        <f t="array" ref="E8">_xll.FDS($A8,"FG_PRICE_CHANGE(0,-1AM)")</f>
        <v>11.623036649214701</v>
      </c>
      <c r="F8" s="47" cm="1">
        <f t="array" ref="F8">_xll.FDS($A8,"FG_PRICE_CHANGE(0,-3AM)")</f>
        <v>18.4444444444444</v>
      </c>
      <c r="G8" s="47" cm="1">
        <f t="array" ref="G8">_xll.FDS($A8,"FG_PRICE_CHANGE(0,-6AM)")</f>
        <v>17.790055248618799</v>
      </c>
      <c r="H8" s="47" cm="1">
        <f t="array" ref="H8">_xll.FDS($A8,"FG_PRICE_CHANGE(0,-1AY)")</f>
        <v>-1.4787430683918601</v>
      </c>
      <c r="I8" s="47" cm="1">
        <f t="array" ref="I8">_xll.FDS($A8,"FG_PRICE(0)/MAX(FG_PRICE(0,-1AY))")</f>
        <v>0.98521256931608103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20735</v>
      </c>
      <c r="D9" cm="1">
        <f t="array" ref="D9">_xll.FDS($A9,"FG_PRICE_MAVG(0,,,,30)")</f>
        <v>18640.166000000001</v>
      </c>
      <c r="E9" s="47" cm="1">
        <f t="array" ref="E9">_xll.FDS($A9,"FG_PRICE_CHANGE(0,-1AM)")</f>
        <v>16.0324566312255</v>
      </c>
      <c r="F9" s="47" cm="1">
        <f t="array" ref="F9">_xll.FDS($A9,"FG_PRICE_CHANGE(0,-3AM)")</f>
        <v>28.868862647607202</v>
      </c>
      <c r="G9" s="47" cm="1">
        <f t="array" ref="G9">_xll.FDS($A9,"FG_PRICE_CHANGE(0,-6AM)")</f>
        <v>23.569725864123999</v>
      </c>
      <c r="H9" s="47" cm="1">
        <f t="array" ref="H9">_xll.FDS($A9,"FG_PRICE_CHANGE(0,-1AY)")</f>
        <v>-2.74390243902439</v>
      </c>
      <c r="I9" s="47" cm="1">
        <f t="array" ref="I9">_xll.FDS($A9,"FG_PRICE(0)/MAX(FG_PRICE(0,-1AY))")</f>
        <v>0.89606741573033699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1</v>
      </c>
      <c r="T9">
        <f t="shared" ref="T9" si="1">S9</f>
        <v>1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1024</v>
      </c>
      <c r="D10" cm="1">
        <f t="array" ref="D10">_xll.FDS($A10,"FG_PRICE_MAVG(0,,,,30)")</f>
        <v>1009.7</v>
      </c>
      <c r="E10" s="47" cm="1">
        <f t="array" ref="E10">_xll.FDS($A10,"FG_PRICE_CHANGE(0,-1AM)")</f>
        <v>-1.06280193236715</v>
      </c>
      <c r="F10" s="47" cm="1">
        <f t="array" ref="F10">_xll.FDS($A10,"FG_PRICE_CHANGE(0,-3AM)")</f>
        <v>7.2251308900523696</v>
      </c>
      <c r="G10" s="47" cm="1">
        <f t="array" ref="G10">_xll.FDS($A10,"FG_PRICE_CHANGE(0,-6AM)")</f>
        <v>-2.4761904761904798</v>
      </c>
      <c r="H10" s="47" cm="1">
        <f t="array" ref="H10">_xll.FDS($A10,"FG_PRICE_CHANGE(0,-1AY)")</f>
        <v>-31.960132890365401</v>
      </c>
      <c r="I10" s="47" cm="1">
        <f t="array" ref="I10">_xll.FDS($A10,"FG_PRICE(0)/MAX(FG_PRICE(0,-1AY))")</f>
        <v>0.67147540983606602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534.70000000000005</v>
      </c>
      <c r="D11" cm="1">
        <f t="array" ref="D11">_xll.FDS($A11,"FG_PRICE_MAVG(0,,,,30)")</f>
        <v>577.73</v>
      </c>
      <c r="E11" s="47" cm="1">
        <f t="array" ref="E11">_xll.FDS($A11,"FG_PRICE_CHANGE(0,-1AM)")</f>
        <v>-4.3983550867155197</v>
      </c>
      <c r="F11" s="47" cm="1">
        <f t="array" ref="F11">_xll.FDS($A11,"FG_PRICE_CHANGE(0,-3AM)")</f>
        <v>-16.230612564624799</v>
      </c>
      <c r="G11" s="47" cm="1">
        <f t="array" ref="G11">_xll.FDS($A11,"FG_PRICE_CHANGE(0,-6AM)")</f>
        <v>-27.409720336682099</v>
      </c>
      <c r="H11" s="47" cm="1">
        <f t="array" ref="H11">_xll.FDS($A11,"FG_PRICE_CHANGE(0,-1AY)")</f>
        <v>-24.870029506814699</v>
      </c>
      <c r="I11" s="47" cm="1">
        <f t="array" ref="I11">_xll.FDS($A11,"FG_PRICE(0)/MAX(FG_PRICE(0,-1AY))")</f>
        <v>0.70041917736442205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0.96377115999999996</v>
      </c>
      <c r="D12" cm="1">
        <f t="array" ref="D12">_xll.FDS($A12,"FG_PRICE_MAVG(0,,,,30)")</f>
        <v>0.96873313000000005</v>
      </c>
      <c r="E12" s="47" cm="1">
        <f t="array" ref="E12">_xll.FDS($A12,"FG_PRICE_CHANGE(0,-1AM)")</f>
        <v>-0.61349645169871403</v>
      </c>
      <c r="F12" s="47" cm="1">
        <f t="array" ref="F12">_xll.FDS($A12,"FG_PRICE_CHANGE(0,-3AM)")</f>
        <v>-0.75683058618138999</v>
      </c>
      <c r="G12" s="47" cm="1">
        <f t="array" ref="G12">_xll.FDS($A12,"FG_PRICE_CHANGE(0,-6AM)")</f>
        <v>-6.8781177028952003</v>
      </c>
      <c r="H12" s="47" cm="1">
        <f t="array" ref="H12">_xll.FDS($A12,"FG_PRICE_CHANGE(0,-1AY)")</f>
        <v>-8.2492241934177297</v>
      </c>
      <c r="I12" s="47" cm="1">
        <f t="array" ref="I12">_xll.FDS($A12,"FG_PRICE(0)/MAX(FG_PRICE(0,-1AY))")</f>
        <v>0.91750775806582296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0</v>
      </c>
      <c r="T13">
        <f t="shared" ref="T13:T23" si="2">S13</f>
        <v>0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41775</v>
      </c>
      <c r="B2" s="3" cm="1">
        <f t="array" ref="B2:B122">_xll.FDS(B1,"FMA_PE(LTMA,-10AY,0,AM,""PORTAGG"",""MEANR"")")</f>
        <v>18.053944192443399</v>
      </c>
      <c r="C2" s="3" cm="1">
        <f t="array" ref="C2:C122">_xll.FDS(C1,"FMA_PE(LTMA,-10AY,0,AM,""PORTAGG"",""MEANR"")")</f>
        <v>15.227336114107301</v>
      </c>
      <c r="D2" s="3" cm="1">
        <f t="array" ref="D2:D122">_xll.FDS(D1,"FMA_PE(LTMA,-10AY,0,AM,""PORTAGG"",""MEANR"")")</f>
        <v>16.201357822158599</v>
      </c>
      <c r="E2" s="3" cm="1">
        <f t="array" ref="E2:E122">_xll.FDS(E1,"FMA_PE(LTMA,-10AY,0,AM,""PORTAGG"",""MEANR"")")</f>
        <v>14.5665490654276</v>
      </c>
      <c r="F2" s="3" cm="1">
        <f t="array" ref="F2:F122">_xll.FDS(F1,"FMA_PE(LTMA,-10AY,0,AM,""PORTAGG"",""MEANR"")")</f>
        <v>15.0839231576337</v>
      </c>
      <c r="G2" s="3" cm="1">
        <f t="array" ref="G2:G122">_xll.FDS(G1,"FMA_PE(LTMA,-10AY,0,AM,""PORTAGG"",""MEANR"")")</f>
        <v>17.202785152175199</v>
      </c>
      <c r="H2" s="3" cm="1">
        <f t="array" ref="H2:H122">_xll.FDS(H1,"FMA_PE(LTMA,-10AY,0,AM,""PORTAGG"",""MEANR"")")</f>
        <v>14.415737192319501</v>
      </c>
      <c r="I2" s="3" cm="1">
        <f t="array" ref="I2:I122">_xll.FDS(I1,"FMA_PE(LTMA,-10AY,0,AM,""PORTAGG"",""MEANR"")")</f>
        <v>18.698880106923401</v>
      </c>
      <c r="J2" s="3" cm="1">
        <f t="array" ref="J2:J122">_xll.FDS(J1,"FMA_PE(LTMA,-10AY,0,AM,""PORTAGG"",""MEANR"")")</f>
        <v>16.1805850851913</v>
      </c>
      <c r="K2" s="3" cm="1">
        <f t="array" ref="K2:K122">_xll.FDS(K1,"FMA_PE(LTMA,-10AY,0,AM,""PORTAGG"",""MEANR"")")</f>
        <v>15.783437482101</v>
      </c>
      <c r="L2" s="3" cm="1">
        <f t="array" ref="L2:L122">_xll.FDS(L1,"FMA_PE(LTMA,-10AY,0,AM,""PORTAGG"",""MEANR"")")</f>
        <v>16.7747597336726</v>
      </c>
      <c r="M2" s="3" cm="1">
        <f t="array" ref="M2:M122">_xll.FDS(M1,"FMA_PE(LTMA,-10AY,0,AM,""PORTAGG"",""MEANR"")")</f>
        <v>15.608338076013601</v>
      </c>
      <c r="N2" s="3" cm="1">
        <f t="array" ref="N2:N122">_xll.FDS(N1,"FMA_PE(LTMA,-10AY,0,AM,""PORTAGG"",""MEANR"")")</f>
        <v>16.949014463329</v>
      </c>
    </row>
    <row r="3" spans="1:14" x14ac:dyDescent="0.35">
      <c r="A3" s="2">
        <v>41807</v>
      </c>
      <c r="B3" s="3">
        <v>18.038647003141801</v>
      </c>
      <c r="C3" s="3">
        <v>15.098265238064499</v>
      </c>
      <c r="D3" s="3">
        <v>16.2714082105438</v>
      </c>
      <c r="E3" s="3">
        <v>14.682886521064299</v>
      </c>
      <c r="F3" s="3">
        <v>15.2568039870711</v>
      </c>
      <c r="G3" s="3">
        <v>17.195585405891102</v>
      </c>
      <c r="H3" s="3">
        <v>14.352702726528801</v>
      </c>
      <c r="I3" s="3">
        <v>18.9065817180566</v>
      </c>
      <c r="J3" s="3">
        <v>16.3243006704894</v>
      </c>
      <c r="K3" s="3">
        <v>15.843052027614499</v>
      </c>
      <c r="L3" s="3">
        <v>16.825684962038999</v>
      </c>
      <c r="M3" s="3">
        <v>15.7235251116958</v>
      </c>
      <c r="N3" s="3">
        <v>17.332610633114701</v>
      </c>
    </row>
    <row r="4" spans="1:14" x14ac:dyDescent="0.35">
      <c r="A4" s="2">
        <v>41837</v>
      </c>
      <c r="B4" s="3">
        <v>17.943011588526701</v>
      </c>
      <c r="C4" s="3">
        <v>15.3450707206443</v>
      </c>
      <c r="D4" s="3">
        <v>16.286152542217302</v>
      </c>
      <c r="E4" s="3">
        <v>14.466898612305799</v>
      </c>
      <c r="F4" s="3">
        <v>15.2825546219564</v>
      </c>
      <c r="G4" s="3">
        <v>17.1271540468124</v>
      </c>
      <c r="H4" s="3">
        <v>14.330588854710999</v>
      </c>
      <c r="I4" s="3">
        <v>19.036478521065298</v>
      </c>
      <c r="J4" s="3">
        <v>16.341889029538301</v>
      </c>
      <c r="K4" s="3">
        <v>15.4378595643197</v>
      </c>
      <c r="L4" s="3">
        <v>16.5082684082569</v>
      </c>
      <c r="M4" s="3">
        <v>15.837009769802901</v>
      </c>
      <c r="N4" s="3">
        <v>17.033597053211999</v>
      </c>
    </row>
    <row r="5" spans="1:14" x14ac:dyDescent="0.35">
      <c r="A5" s="2">
        <v>41866</v>
      </c>
      <c r="B5" s="3">
        <v>17.91548203036</v>
      </c>
      <c r="C5" s="3">
        <v>15.371225532892799</v>
      </c>
      <c r="D5" s="3">
        <v>16.319267185431698</v>
      </c>
      <c r="E5" s="3">
        <v>13.892845959771799</v>
      </c>
      <c r="F5" s="3">
        <v>15.061032571280499</v>
      </c>
      <c r="G5" s="3">
        <v>17.088286802036599</v>
      </c>
      <c r="H5" s="3">
        <v>14.158518346815001</v>
      </c>
      <c r="I5" s="3">
        <v>19.1861699893287</v>
      </c>
      <c r="J5" s="3">
        <v>16.273149728353999</v>
      </c>
      <c r="K5" s="3">
        <v>15.073004984053</v>
      </c>
      <c r="L5" s="3">
        <v>16.1897218337818</v>
      </c>
      <c r="M5" s="3">
        <v>15.8467368467113</v>
      </c>
      <c r="N5" s="3">
        <v>16.689013657587601</v>
      </c>
    </row>
    <row r="6" spans="1:14" x14ac:dyDescent="0.35">
      <c r="A6" s="2">
        <v>41899</v>
      </c>
      <c r="B6" s="3">
        <v>17.662348329422901</v>
      </c>
      <c r="C6" s="3">
        <v>14.998809887756201</v>
      </c>
      <c r="D6" s="3">
        <v>16.389089661460002</v>
      </c>
      <c r="E6" s="3">
        <v>14.26259857863</v>
      </c>
      <c r="F6" s="3">
        <v>15.1900837302057</v>
      </c>
      <c r="G6" s="3">
        <v>17.431911839129999</v>
      </c>
      <c r="H6" s="3">
        <v>14.157579013328901</v>
      </c>
      <c r="I6" s="3">
        <v>19.409736988132799</v>
      </c>
      <c r="J6" s="3">
        <v>16.551035418503801</v>
      </c>
      <c r="K6" s="3">
        <v>15.4909640063445</v>
      </c>
      <c r="L6" s="3">
        <v>16.694670278020698</v>
      </c>
      <c r="M6" s="3">
        <v>16.055286832596799</v>
      </c>
      <c r="N6" s="3">
        <v>18.112861049283499</v>
      </c>
    </row>
    <row r="7" spans="1:14" x14ac:dyDescent="0.35">
      <c r="A7" s="2">
        <v>41929</v>
      </c>
      <c r="B7" s="3">
        <v>17.638548590257901</v>
      </c>
      <c r="C7" s="3">
        <v>14.770733588585999</v>
      </c>
      <c r="D7" s="3">
        <v>15.3434476033209</v>
      </c>
      <c r="E7" s="3">
        <v>13.313307080107601</v>
      </c>
      <c r="F7" s="3">
        <v>14.0298153948272</v>
      </c>
      <c r="G7" s="3">
        <v>16.494017805701599</v>
      </c>
      <c r="H7" s="3">
        <v>13.4024909452766</v>
      </c>
      <c r="I7" s="3">
        <v>18.446668664406602</v>
      </c>
      <c r="J7" s="3">
        <v>15.8473913586229</v>
      </c>
      <c r="K7" s="3">
        <v>14.4454434475899</v>
      </c>
      <c r="L7" s="3">
        <v>15.759072294353899</v>
      </c>
      <c r="M7" s="3">
        <v>15.3152851529383</v>
      </c>
      <c r="N7" s="3">
        <v>16.307712352423501</v>
      </c>
    </row>
    <row r="8" spans="1:14" x14ac:dyDescent="0.35">
      <c r="A8" s="2">
        <v>41960</v>
      </c>
      <c r="B8" s="3">
        <v>18.805894883264699</v>
      </c>
      <c r="C8" s="3">
        <v>14.987959208481699</v>
      </c>
      <c r="D8" s="3">
        <v>15.827599876134</v>
      </c>
      <c r="E8" s="3">
        <v>13.6842799430726</v>
      </c>
      <c r="F8" s="3">
        <v>15.614550679010801</v>
      </c>
      <c r="G8" s="3">
        <v>17.4756846717565</v>
      </c>
      <c r="H8" s="3">
        <v>13.904034678814099</v>
      </c>
      <c r="I8" s="3">
        <v>19.9873295165667</v>
      </c>
      <c r="J8" s="3">
        <v>16.905811240162599</v>
      </c>
      <c r="K8" s="3">
        <v>14.9504311552049</v>
      </c>
      <c r="L8" s="3">
        <v>17.3304460627512</v>
      </c>
      <c r="M8" s="3">
        <v>16.743247959261801</v>
      </c>
      <c r="N8" s="3">
        <v>17.7177878596478</v>
      </c>
    </row>
    <row r="9" spans="1:14" x14ac:dyDescent="0.35">
      <c r="A9" s="2">
        <v>41990</v>
      </c>
      <c r="B9" s="3">
        <v>18.911619553511201</v>
      </c>
      <c r="C9" s="3">
        <v>13.9774345735545</v>
      </c>
      <c r="D9" s="3">
        <v>15.2165630242628</v>
      </c>
      <c r="E9" s="3">
        <v>13.953188726311</v>
      </c>
      <c r="F9" s="3">
        <v>15.235909636418301</v>
      </c>
      <c r="G9" s="3">
        <v>16.967843326821999</v>
      </c>
      <c r="H9" s="3">
        <v>13.345098409361</v>
      </c>
      <c r="I9" s="3">
        <v>19.779273469764199</v>
      </c>
      <c r="J9" s="3">
        <v>16.878172580742</v>
      </c>
      <c r="K9" s="3">
        <v>14.558396989530801</v>
      </c>
      <c r="L9" s="3">
        <v>16.872312864634701</v>
      </c>
      <c r="M9" s="3">
        <v>16.8737366940736</v>
      </c>
      <c r="N9" s="3">
        <v>17.851592022759899</v>
      </c>
    </row>
    <row r="10" spans="1:14" x14ac:dyDescent="0.35">
      <c r="A10" s="2">
        <v>42020</v>
      </c>
      <c r="B10" s="3">
        <v>19.417833128354101</v>
      </c>
      <c r="C10" s="3">
        <v>14.4967175436913</v>
      </c>
      <c r="D10" s="3">
        <v>15.289376963440899</v>
      </c>
      <c r="E10" s="3">
        <v>14.805503885188701</v>
      </c>
      <c r="F10" s="3">
        <v>15.345766396041601</v>
      </c>
      <c r="G10" s="3">
        <v>16.014746713951499</v>
      </c>
      <c r="H10" s="3">
        <v>13.626945151973199</v>
      </c>
      <c r="I10" s="3">
        <v>19.535213360567301</v>
      </c>
      <c r="J10" s="3">
        <v>16.9591436776908</v>
      </c>
      <c r="K10" s="3">
        <v>15.3428384201067</v>
      </c>
      <c r="L10" s="3">
        <v>18.090362975048599</v>
      </c>
      <c r="M10" s="3">
        <v>17.5544061642548</v>
      </c>
      <c r="N10" s="3">
        <v>19.9002375160191</v>
      </c>
    </row>
    <row r="11" spans="1:14" x14ac:dyDescent="0.35">
      <c r="A11" s="2">
        <v>42052</v>
      </c>
      <c r="B11" s="3">
        <v>19.847655522088999</v>
      </c>
      <c r="C11" s="3">
        <v>15.955139324417001</v>
      </c>
      <c r="D11" s="3">
        <v>16.8846027168318</v>
      </c>
      <c r="E11" s="3">
        <v>15.731200218976699</v>
      </c>
      <c r="F11" s="3">
        <v>16.232360664288802</v>
      </c>
      <c r="G11" s="3">
        <v>17.526179884625801</v>
      </c>
      <c r="H11" s="3">
        <v>14.691270155838</v>
      </c>
      <c r="I11" s="3">
        <v>20.482417963818701</v>
      </c>
      <c r="J11" s="3">
        <v>17.566162380424501</v>
      </c>
      <c r="K11" s="3">
        <v>16.736261103856599</v>
      </c>
      <c r="L11" s="3">
        <v>19.213323835329501</v>
      </c>
      <c r="M11" s="3">
        <v>19.657497330078201</v>
      </c>
      <c r="N11" s="3">
        <v>43.226246587832499</v>
      </c>
    </row>
    <row r="12" spans="1:14" x14ac:dyDescent="0.35">
      <c r="A12" s="2">
        <v>42080</v>
      </c>
      <c r="B12" s="3">
        <v>20.426246831009301</v>
      </c>
      <c r="C12" s="3">
        <v>16.184662476249098</v>
      </c>
      <c r="D12" s="3">
        <v>17.026870101518199</v>
      </c>
      <c r="E12" s="3">
        <v>16.564868838719601</v>
      </c>
      <c r="F12" s="3">
        <v>16.941009457257401</v>
      </c>
      <c r="G12" s="3">
        <v>17.990619533484399</v>
      </c>
      <c r="H12" s="3">
        <v>15.1831633036842</v>
      </c>
      <c r="I12" s="3">
        <v>20.615459041345801</v>
      </c>
      <c r="J12" s="3">
        <v>17.524864542213599</v>
      </c>
      <c r="K12" s="3">
        <v>17.56316568566</v>
      </c>
      <c r="L12" s="3">
        <v>20.093241335898099</v>
      </c>
      <c r="M12" s="3">
        <v>20.1011623089069</v>
      </c>
      <c r="N12" s="3">
        <v>43.669987224804402</v>
      </c>
    </row>
    <row r="13" spans="1:14" x14ac:dyDescent="0.35">
      <c r="A13" s="2">
        <v>42111</v>
      </c>
      <c r="B13" s="3">
        <v>20.186389028746198</v>
      </c>
      <c r="C13" s="3">
        <v>16.3460728609376</v>
      </c>
      <c r="D13" s="3">
        <v>17.268117002510401</v>
      </c>
      <c r="E13" s="3">
        <v>16.374745912487199</v>
      </c>
      <c r="F13" s="3">
        <v>16.898555102802099</v>
      </c>
      <c r="G13" s="3">
        <v>18.147094078857901</v>
      </c>
      <c r="H13" s="3">
        <v>15.491855118161601</v>
      </c>
      <c r="I13" s="3">
        <v>20.386235744306301</v>
      </c>
      <c r="J13" s="3">
        <v>17.520282507324701</v>
      </c>
      <c r="K13" s="3">
        <v>17.593702881412899</v>
      </c>
      <c r="L13" s="3">
        <v>19.8038417552964</v>
      </c>
      <c r="M13" s="3">
        <v>19.690273978708401</v>
      </c>
      <c r="N13" s="3">
        <v>40.822059344470297</v>
      </c>
    </row>
    <row r="14" spans="1:14" x14ac:dyDescent="0.35">
      <c r="A14" s="2">
        <v>42139</v>
      </c>
      <c r="B14" s="3">
        <v>19.999759491271998</v>
      </c>
      <c r="C14" s="3">
        <v>16.307634433263701</v>
      </c>
      <c r="D14" s="3">
        <v>17.227991158614198</v>
      </c>
      <c r="E14" s="3">
        <v>16.053881164598899</v>
      </c>
      <c r="F14" s="3">
        <v>16.967318960269399</v>
      </c>
      <c r="G14" s="3">
        <v>18.0596897370386</v>
      </c>
      <c r="H14" s="3">
        <v>15.706076298140999</v>
      </c>
      <c r="I14" s="3">
        <v>20.3364625893627</v>
      </c>
      <c r="J14" s="3">
        <v>17.5736238276499</v>
      </c>
      <c r="K14" s="3">
        <v>17.425042599934201</v>
      </c>
      <c r="L14" s="3">
        <v>19.5093799629052</v>
      </c>
      <c r="M14" s="3">
        <v>19.111407417898601</v>
      </c>
      <c r="N14" s="3">
        <v>38.344963392634902</v>
      </c>
    </row>
    <row r="15" spans="1:14" x14ac:dyDescent="0.35">
      <c r="A15" s="2">
        <v>42172</v>
      </c>
      <c r="B15" s="3">
        <v>19.7860371155205</v>
      </c>
      <c r="C15" s="3">
        <v>16.0513866538864</v>
      </c>
      <c r="D15" s="3">
        <v>17.1171474757939</v>
      </c>
      <c r="E15" s="3">
        <v>15.516094092977699</v>
      </c>
      <c r="F15" s="3">
        <v>16.911040569202701</v>
      </c>
      <c r="G15" s="3">
        <v>17.833343844696799</v>
      </c>
      <c r="H15" s="3">
        <v>15.576376912363401</v>
      </c>
      <c r="I15" s="3">
        <v>20.095877415550401</v>
      </c>
      <c r="J15" s="3">
        <v>17.476016132786899</v>
      </c>
      <c r="K15" s="3">
        <v>17.022224599774699</v>
      </c>
      <c r="L15" s="3">
        <v>18.936405298098201</v>
      </c>
      <c r="M15" s="3">
        <v>18.731150687200099</v>
      </c>
      <c r="N15" s="3">
        <v>34.7750790837867</v>
      </c>
    </row>
    <row r="16" spans="1:14" x14ac:dyDescent="0.35">
      <c r="A16" s="2">
        <v>42202</v>
      </c>
      <c r="B16" s="3">
        <v>19.790725469610202</v>
      </c>
      <c r="C16" s="3">
        <v>16.113830734670199</v>
      </c>
      <c r="D16" s="3">
        <v>17.08570769628</v>
      </c>
      <c r="E16" s="3">
        <v>15.7472214466477</v>
      </c>
      <c r="F16" s="3">
        <v>16.8815462465843</v>
      </c>
      <c r="G16" s="3">
        <v>18.2476272129439</v>
      </c>
      <c r="H16" s="3">
        <v>15.799995020816</v>
      </c>
      <c r="I16" s="3">
        <v>20.477333509004701</v>
      </c>
      <c r="J16" s="3">
        <v>17.630249790001201</v>
      </c>
      <c r="K16" s="3">
        <v>17.410208131494102</v>
      </c>
      <c r="L16" s="3">
        <v>19.274666241034002</v>
      </c>
      <c r="M16" s="3">
        <v>18.778407317984001</v>
      </c>
      <c r="N16" s="3">
        <v>32.508319714062303</v>
      </c>
    </row>
    <row r="17" spans="1:14" x14ac:dyDescent="0.35">
      <c r="A17" s="2">
        <v>42233</v>
      </c>
      <c r="B17" s="3">
        <v>19.4085881322736</v>
      </c>
      <c r="C17" s="3">
        <v>15.773583692705101</v>
      </c>
      <c r="D17" s="3">
        <v>16.934960383788301</v>
      </c>
      <c r="E17" s="3">
        <v>14.983240986514501</v>
      </c>
      <c r="F17" s="3">
        <v>16.8298765627707</v>
      </c>
      <c r="G17" s="3">
        <v>18.031806397928399</v>
      </c>
      <c r="H17" s="3">
        <v>15.6288329075505</v>
      </c>
      <c r="I17" s="3">
        <v>20.329746080875001</v>
      </c>
      <c r="J17" s="3">
        <v>17.523515491236001</v>
      </c>
      <c r="K17" s="3">
        <v>16.897585975531001</v>
      </c>
      <c r="L17" s="3">
        <v>18.2840880857364</v>
      </c>
      <c r="M17" s="3">
        <v>18.3315239556437</v>
      </c>
      <c r="N17" s="3">
        <v>29.813327407946101</v>
      </c>
    </row>
    <row r="18" spans="1:14" x14ac:dyDescent="0.35">
      <c r="A18" s="2">
        <v>42264</v>
      </c>
      <c r="B18" s="3">
        <v>19.139537923939798</v>
      </c>
      <c r="C18" s="3">
        <v>15.4153366482868</v>
      </c>
      <c r="D18" s="3">
        <v>16.728284337773399</v>
      </c>
      <c r="E18" s="3">
        <v>14.221479396180801</v>
      </c>
      <c r="F18" s="3">
        <v>15.5092007704433</v>
      </c>
      <c r="G18" s="3">
        <v>17.422689287771401</v>
      </c>
      <c r="H18" s="3">
        <v>15.209159773389599</v>
      </c>
      <c r="I18" s="3">
        <v>19.683943913645699</v>
      </c>
      <c r="J18" s="3">
        <v>16.892096119222899</v>
      </c>
      <c r="K18" s="3">
        <v>16.055340820914601</v>
      </c>
      <c r="L18" s="3">
        <v>17.209656182451798</v>
      </c>
      <c r="M18" s="3">
        <v>17.1730440595781</v>
      </c>
      <c r="N18" s="3">
        <v>26.422801260004</v>
      </c>
    </row>
    <row r="19" spans="1:14" x14ac:dyDescent="0.35">
      <c r="A19" s="2">
        <v>42293</v>
      </c>
      <c r="B19" s="3">
        <v>19.1368195551428</v>
      </c>
      <c r="C19" s="3">
        <v>15.673842823258999</v>
      </c>
      <c r="D19" s="3">
        <v>16.953101294358799</v>
      </c>
      <c r="E19" s="3">
        <v>13.9467038416892</v>
      </c>
      <c r="F19" s="3">
        <v>15.491529146970301</v>
      </c>
      <c r="G19" s="3">
        <v>17.527806045658</v>
      </c>
      <c r="H19" s="3">
        <v>15.7571704215956</v>
      </c>
      <c r="I19" s="3">
        <v>19.752297790997201</v>
      </c>
      <c r="J19" s="3">
        <v>17.1847933276884</v>
      </c>
      <c r="K19" s="3">
        <v>15.9960417350144</v>
      </c>
      <c r="L19" s="3">
        <v>17.095165143146701</v>
      </c>
      <c r="M19" s="3">
        <v>16.742666425336299</v>
      </c>
      <c r="N19" s="3">
        <v>24.2645142485921</v>
      </c>
    </row>
    <row r="20" spans="1:14" x14ac:dyDescent="0.35">
      <c r="A20" s="2">
        <v>42325</v>
      </c>
      <c r="B20" s="3">
        <v>19.338421850522799</v>
      </c>
      <c r="C20" s="3">
        <v>15.265987648459101</v>
      </c>
      <c r="D20" s="3">
        <v>16.558176362319699</v>
      </c>
      <c r="E20" s="3">
        <v>14.6319791980253</v>
      </c>
      <c r="F20" s="3">
        <v>16.151118468542499</v>
      </c>
      <c r="G20" s="3">
        <v>17.565447535262798</v>
      </c>
      <c r="H20" s="3">
        <v>15.7541286974747</v>
      </c>
      <c r="I20" s="3">
        <v>20.0156544249406</v>
      </c>
      <c r="J20" s="3">
        <v>17.2080594132801</v>
      </c>
      <c r="K20" s="3">
        <v>16.4181999362978</v>
      </c>
      <c r="L20" s="3">
        <v>18.104057030813799</v>
      </c>
      <c r="M20" s="3">
        <v>16.915929908297699</v>
      </c>
      <c r="N20" s="3">
        <v>22.370415694337499</v>
      </c>
    </row>
    <row r="21" spans="1:14" x14ac:dyDescent="0.35">
      <c r="A21" s="2">
        <v>42355</v>
      </c>
      <c r="B21" s="3">
        <v>19.451937963843999</v>
      </c>
      <c r="C21" s="3">
        <v>15.346999054368499</v>
      </c>
      <c r="D21" s="3">
        <v>16.2075449238069</v>
      </c>
      <c r="E21" s="3">
        <v>14.1512052831866</v>
      </c>
      <c r="F21" s="3">
        <v>15.834439186522101</v>
      </c>
      <c r="G21" s="3">
        <v>17.229141109449301</v>
      </c>
      <c r="H21" s="3">
        <v>15.3411251342506</v>
      </c>
      <c r="I21" s="3">
        <v>20.1222345663761</v>
      </c>
      <c r="J21" s="3">
        <v>17.110860104214801</v>
      </c>
      <c r="K21" s="3">
        <v>15.633770775555501</v>
      </c>
      <c r="L21" s="3">
        <v>17.215934969096299</v>
      </c>
      <c r="M21" s="3">
        <v>16.180813149722798</v>
      </c>
      <c r="N21" s="3">
        <v>19.191778931629901</v>
      </c>
    </row>
    <row r="22" spans="1:14" x14ac:dyDescent="0.35">
      <c r="A22" s="2">
        <v>42384</v>
      </c>
      <c r="B22" s="3">
        <v>19.2866706508681</v>
      </c>
      <c r="C22" s="3">
        <v>14.688911328528601</v>
      </c>
      <c r="D22" s="3">
        <v>14.614080256696999</v>
      </c>
      <c r="E22" s="3">
        <v>12.434742956048</v>
      </c>
      <c r="F22" s="3">
        <v>14.318579786696899</v>
      </c>
      <c r="G22" s="3">
        <v>16.079632055310501</v>
      </c>
      <c r="H22" s="3">
        <v>14.521775842277</v>
      </c>
      <c r="I22" s="3">
        <v>18.263432883592799</v>
      </c>
      <c r="J22" s="3">
        <v>15.776711047748501</v>
      </c>
      <c r="K22" s="3">
        <v>14.0278255720747</v>
      </c>
      <c r="L22" s="3">
        <v>15.432246166966699</v>
      </c>
      <c r="M22" s="3">
        <v>14.3421430706431</v>
      </c>
      <c r="N22" s="3">
        <v>16.144303011085501</v>
      </c>
    </row>
    <row r="23" spans="1:14" x14ac:dyDescent="0.35">
      <c r="A23" s="2">
        <v>42417</v>
      </c>
      <c r="B23" s="3">
        <v>18.9845504713983</v>
      </c>
      <c r="C23" s="3">
        <v>14.9553300208525</v>
      </c>
      <c r="D23" s="3">
        <v>15.5972905423993</v>
      </c>
      <c r="E23" s="3">
        <v>12.450667382408</v>
      </c>
      <c r="F23" s="3">
        <v>13.4737997879713</v>
      </c>
      <c r="G23" s="3">
        <v>16.694583429322702</v>
      </c>
      <c r="H23" s="3">
        <v>15.074228294894599</v>
      </c>
      <c r="I23" s="3">
        <v>18.3984388613056</v>
      </c>
      <c r="J23" s="3">
        <v>16.2966838906097</v>
      </c>
      <c r="K23" s="3">
        <v>14.744266657237199</v>
      </c>
      <c r="L23" s="3">
        <v>15.642977927550699</v>
      </c>
      <c r="M23" s="3">
        <v>15.274633824665001</v>
      </c>
      <c r="N23" s="3">
        <v>15.2546839418826</v>
      </c>
    </row>
    <row r="24" spans="1:14" x14ac:dyDescent="0.35">
      <c r="A24" s="2">
        <v>42446</v>
      </c>
      <c r="B24" s="3">
        <v>19.335349040798299</v>
      </c>
      <c r="C24" s="3">
        <v>15.183454918889</v>
      </c>
      <c r="D24" s="3">
        <v>16.0275912173955</v>
      </c>
      <c r="E24" s="3">
        <v>12.741666259529801</v>
      </c>
      <c r="F24" s="3">
        <v>13.8818922454612</v>
      </c>
      <c r="G24" s="3">
        <v>16.646843332091599</v>
      </c>
      <c r="H24" s="3">
        <v>15.7158861414349</v>
      </c>
      <c r="I24" s="3">
        <v>18.2920480578975</v>
      </c>
      <c r="J24" s="3">
        <v>16.188193427520002</v>
      </c>
      <c r="K24" s="3">
        <v>15.1854713600693</v>
      </c>
      <c r="L24" s="3">
        <v>16.412215434619299</v>
      </c>
      <c r="M24" s="3">
        <v>15.613262822494599</v>
      </c>
      <c r="N24" s="3">
        <v>15.409349110816301</v>
      </c>
    </row>
    <row r="25" spans="1:14" x14ac:dyDescent="0.35">
      <c r="A25" s="2">
        <v>42475</v>
      </c>
      <c r="B25" s="3">
        <v>19.464336126866499</v>
      </c>
      <c r="C25" s="3">
        <v>15.277632226235699</v>
      </c>
      <c r="D25" s="3">
        <v>16.1416154074434</v>
      </c>
      <c r="E25" s="3">
        <v>12.842965995313</v>
      </c>
      <c r="F25" s="3">
        <v>13.8661892851473</v>
      </c>
      <c r="G25" s="3">
        <v>16.806592096390499</v>
      </c>
      <c r="H25" s="3">
        <v>15.9393670751932</v>
      </c>
      <c r="I25" s="3">
        <v>18.476385481340401</v>
      </c>
      <c r="J25" s="3">
        <v>16.445215307047398</v>
      </c>
      <c r="K25" s="3">
        <v>15.235073097571901</v>
      </c>
      <c r="L25" s="3">
        <v>16.394344971526898</v>
      </c>
      <c r="M25" s="3">
        <v>15.6474832747269</v>
      </c>
      <c r="N25" s="3">
        <v>15.2829594089</v>
      </c>
    </row>
    <row r="26" spans="1:14" x14ac:dyDescent="0.35">
      <c r="A26" s="2">
        <v>42507</v>
      </c>
      <c r="B26" s="3">
        <v>19.696012851795899</v>
      </c>
      <c r="C26" s="3">
        <v>15.737806969956999</v>
      </c>
      <c r="D26" s="3">
        <v>16.547627692348399</v>
      </c>
      <c r="E26" s="3">
        <v>12.765187863930301</v>
      </c>
      <c r="F26" s="3">
        <v>13.9017413319054</v>
      </c>
      <c r="G26" s="3">
        <v>16.838291746336601</v>
      </c>
      <c r="H26" s="3">
        <v>15.905183619983699</v>
      </c>
      <c r="I26" s="3">
        <v>18.301317686880999</v>
      </c>
      <c r="J26" s="3">
        <v>16.565182572190999</v>
      </c>
      <c r="K26" s="3">
        <v>15.036107040361401</v>
      </c>
      <c r="L26" s="3">
        <v>16.097705393765398</v>
      </c>
      <c r="M26" s="3">
        <v>15.4261801941747</v>
      </c>
      <c r="N26" s="3">
        <v>15.378960197250001</v>
      </c>
    </row>
    <row r="27" spans="1:14" x14ac:dyDescent="0.35">
      <c r="A27" s="2">
        <v>42538</v>
      </c>
      <c r="B27" s="3">
        <v>19.603613967774201</v>
      </c>
      <c r="C27" s="3">
        <v>15.569245424699499</v>
      </c>
      <c r="D27" s="3">
        <v>16.6565012785106</v>
      </c>
      <c r="E27" s="3">
        <v>12.5866842655909</v>
      </c>
      <c r="F27" s="3">
        <v>13.6701820351596</v>
      </c>
      <c r="G27" s="3">
        <v>16.778864712096599</v>
      </c>
      <c r="H27" s="3">
        <v>15.798643409237201</v>
      </c>
      <c r="I27" s="3">
        <v>18.384591933517601</v>
      </c>
      <c r="J27" s="3">
        <v>16.7256261745427</v>
      </c>
      <c r="K27" s="3">
        <v>14.765409122468499</v>
      </c>
      <c r="L27" s="3">
        <v>15.722661048027399</v>
      </c>
      <c r="M27" s="3">
        <v>15.245019041131499</v>
      </c>
      <c r="N27" s="3">
        <v>14.7092398888453</v>
      </c>
    </row>
    <row r="28" spans="1:14" x14ac:dyDescent="0.35">
      <c r="A28" s="2">
        <v>42566</v>
      </c>
      <c r="B28" s="3">
        <v>19.9812940631355</v>
      </c>
      <c r="C28" s="3">
        <v>16.101515187422301</v>
      </c>
      <c r="D28" s="3">
        <v>17.137995660627201</v>
      </c>
      <c r="E28" s="3">
        <v>12.9193952947314</v>
      </c>
      <c r="F28" s="3">
        <v>14.1554741515511</v>
      </c>
      <c r="G28" s="3">
        <v>17.3242519198926</v>
      </c>
      <c r="H28" s="3">
        <v>16.458534105425102</v>
      </c>
      <c r="I28" s="3">
        <v>19.023264615601299</v>
      </c>
      <c r="J28" s="3">
        <v>17.245174705281599</v>
      </c>
      <c r="K28" s="3">
        <v>14.993707480139699</v>
      </c>
      <c r="L28" s="3">
        <v>15.967932657915499</v>
      </c>
      <c r="M28" s="3">
        <v>15.625956962512999</v>
      </c>
      <c r="N28" s="3">
        <v>14.6834441813784</v>
      </c>
    </row>
    <row r="29" spans="1:14" x14ac:dyDescent="0.35">
      <c r="A29" s="2">
        <v>42599</v>
      </c>
      <c r="B29" s="3">
        <v>20.6923972559132</v>
      </c>
      <c r="C29" s="3">
        <v>16.665243157286501</v>
      </c>
      <c r="D29" s="3">
        <v>17.464208567015099</v>
      </c>
      <c r="E29" s="3">
        <v>13.3177395442157</v>
      </c>
      <c r="F29" s="3">
        <v>14.099690624645101</v>
      </c>
      <c r="G29" s="3">
        <v>17.807281667659801</v>
      </c>
      <c r="H29" s="3">
        <v>16.891673369722199</v>
      </c>
      <c r="I29" s="3">
        <v>19.578648335533298</v>
      </c>
      <c r="J29" s="3">
        <v>17.543234953606799</v>
      </c>
      <c r="K29" s="3">
        <v>14.9014399369673</v>
      </c>
      <c r="L29" s="3">
        <v>16.038132897322001</v>
      </c>
      <c r="M29" s="3">
        <v>15.8908601405269</v>
      </c>
      <c r="N29" s="3">
        <v>14.917104562787801</v>
      </c>
    </row>
    <row r="30" spans="1:14" x14ac:dyDescent="0.35">
      <c r="A30" s="2">
        <v>42629</v>
      </c>
      <c r="B30" s="3">
        <v>20.7799639113457</v>
      </c>
      <c r="C30" s="3">
        <v>16.278763481534199</v>
      </c>
      <c r="D30" s="3">
        <v>17.503883660972299</v>
      </c>
      <c r="E30" s="3">
        <v>13.321155487903701</v>
      </c>
      <c r="F30" s="3">
        <v>14.1347798618028</v>
      </c>
      <c r="G30" s="3">
        <v>17.834477350752</v>
      </c>
      <c r="H30" s="3">
        <v>16.654391669021599</v>
      </c>
      <c r="I30" s="3">
        <v>19.694326583160102</v>
      </c>
      <c r="J30" s="3">
        <v>17.484039997096701</v>
      </c>
      <c r="K30" s="3">
        <v>14.6746970155932</v>
      </c>
      <c r="L30" s="3">
        <v>15.7667852999638</v>
      </c>
      <c r="M30" s="3">
        <v>15.998553291842599</v>
      </c>
      <c r="N30" s="3">
        <v>14.4842834856679</v>
      </c>
    </row>
    <row r="31" spans="1:14" x14ac:dyDescent="0.35">
      <c r="A31" s="2">
        <v>42660</v>
      </c>
      <c r="B31" s="3">
        <v>20.324647919550401</v>
      </c>
      <c r="C31" s="3">
        <v>16.692961302472199</v>
      </c>
      <c r="D31" s="3">
        <v>17.912158718261701</v>
      </c>
      <c r="E31" s="3">
        <v>13.617110879583301</v>
      </c>
      <c r="F31" s="3">
        <v>14.425061735036</v>
      </c>
      <c r="G31" s="3">
        <v>17.755384753704</v>
      </c>
      <c r="H31" s="3">
        <v>16.7706388108227</v>
      </c>
      <c r="I31" s="3">
        <v>19.799672506275801</v>
      </c>
      <c r="J31" s="3">
        <v>17.551683761167201</v>
      </c>
      <c r="K31" s="3">
        <v>14.869080541661001</v>
      </c>
      <c r="L31" s="3">
        <v>15.817515247806799</v>
      </c>
      <c r="M31" s="3">
        <v>16.928739940279002</v>
      </c>
      <c r="N31" s="3">
        <v>14.836644676036601</v>
      </c>
    </row>
    <row r="32" spans="1:14" x14ac:dyDescent="0.35">
      <c r="A32" s="2">
        <v>42691</v>
      </c>
      <c r="B32" s="3">
        <v>19.863866571636699</v>
      </c>
      <c r="C32" s="3">
        <v>16.9288694068373</v>
      </c>
      <c r="D32" s="3">
        <v>18.608007513445099</v>
      </c>
      <c r="E32" s="3">
        <v>13.6740719687769</v>
      </c>
      <c r="F32" s="3">
        <v>15.1312100155821</v>
      </c>
      <c r="G32" s="3">
        <v>17.724595071031999</v>
      </c>
      <c r="H32" s="3">
        <v>16.3538282226727</v>
      </c>
      <c r="I32" s="3">
        <v>19.907431478112201</v>
      </c>
      <c r="J32" s="3">
        <v>18.096433992187499</v>
      </c>
      <c r="K32" s="3">
        <v>14.853354716442301</v>
      </c>
      <c r="L32" s="3">
        <v>15.5720123265877</v>
      </c>
      <c r="M32" s="3">
        <v>17.260231659044599</v>
      </c>
      <c r="N32" s="3">
        <v>14.298831744186099</v>
      </c>
    </row>
    <row r="33" spans="1:14" x14ac:dyDescent="0.35">
      <c r="A33" s="2">
        <v>42720</v>
      </c>
      <c r="B33" s="3">
        <v>19.550714252456</v>
      </c>
      <c r="C33" s="3">
        <v>17.2656872029063</v>
      </c>
      <c r="D33" s="3">
        <v>19.196348222136201</v>
      </c>
      <c r="E33" s="3">
        <v>14.605632542558199</v>
      </c>
      <c r="F33" s="3">
        <v>16.637551121612301</v>
      </c>
      <c r="G33" s="3">
        <v>18.066753429357298</v>
      </c>
      <c r="H33" s="3">
        <v>16.936042208670798</v>
      </c>
      <c r="I33" s="3">
        <v>20.3620809062086</v>
      </c>
      <c r="J33" s="3">
        <v>18.8285687523753</v>
      </c>
      <c r="K33" s="3">
        <v>15.639021150818399</v>
      </c>
      <c r="L33" s="3">
        <v>16.0828483935714</v>
      </c>
      <c r="M33" s="3">
        <v>18.3076274568384</v>
      </c>
      <c r="N33" s="3">
        <v>16.3027663274373</v>
      </c>
    </row>
    <row r="34" spans="1:14" x14ac:dyDescent="0.35">
      <c r="A34" s="2">
        <v>42752</v>
      </c>
      <c r="B34" s="3">
        <v>20.435211188553701</v>
      </c>
      <c r="C34" s="3">
        <v>17.813832725655299</v>
      </c>
      <c r="D34" s="3">
        <v>19.826349019121899</v>
      </c>
      <c r="E34" s="3">
        <v>14.806738648432299</v>
      </c>
      <c r="F34" s="3">
        <v>16.251212114957301</v>
      </c>
      <c r="G34" s="3">
        <v>18.484001423982299</v>
      </c>
      <c r="H34" s="3">
        <v>17.158302811255702</v>
      </c>
      <c r="I34" s="3">
        <v>20.9476095340402</v>
      </c>
      <c r="J34" s="3">
        <v>18.941175220504299</v>
      </c>
      <c r="K34" s="3">
        <v>15.7904746875241</v>
      </c>
      <c r="L34" s="3">
        <v>16.197314524362099</v>
      </c>
      <c r="M34" s="3">
        <v>18.0241460961022</v>
      </c>
      <c r="N34" s="3">
        <v>27.366182400950699</v>
      </c>
    </row>
    <row r="35" spans="1:14" x14ac:dyDescent="0.35">
      <c r="A35" s="2">
        <v>42783</v>
      </c>
      <c r="B35" s="3">
        <v>20.350506557785501</v>
      </c>
      <c r="C35" s="3">
        <v>17.984845900517101</v>
      </c>
      <c r="D35" s="3">
        <v>19.860837995600299</v>
      </c>
      <c r="E35" s="3">
        <v>14.6594529214376</v>
      </c>
      <c r="F35" s="3">
        <v>16.193709579529902</v>
      </c>
      <c r="G35" s="3">
        <v>19.644969151858099</v>
      </c>
      <c r="H35" s="3">
        <v>17.291174192182702</v>
      </c>
      <c r="I35" s="3">
        <v>21.762919350429399</v>
      </c>
      <c r="J35" s="3">
        <v>19.4499488578833</v>
      </c>
      <c r="K35" s="3">
        <v>15.5069192023849</v>
      </c>
      <c r="L35" s="3">
        <v>16.659478015415299</v>
      </c>
      <c r="M35" s="3">
        <v>17.423999391124301</v>
      </c>
      <c r="N35" s="3">
        <v>20.631946507462501</v>
      </c>
    </row>
    <row r="36" spans="1:14" x14ac:dyDescent="0.35">
      <c r="A36" s="2">
        <v>42811</v>
      </c>
      <c r="B36" s="3">
        <v>19.751688964733599</v>
      </c>
      <c r="C36" s="3">
        <v>17.433156744289199</v>
      </c>
      <c r="D36" s="3">
        <v>19.2297529044701</v>
      </c>
      <c r="E36" s="3">
        <v>14.973715831194999</v>
      </c>
      <c r="F36" s="3">
        <v>15.901228386527601</v>
      </c>
      <c r="G36" s="3">
        <v>19.639292210691099</v>
      </c>
      <c r="H36" s="3">
        <v>17.262694513754301</v>
      </c>
      <c r="I36" s="3">
        <v>21.691597704249599</v>
      </c>
      <c r="J36" s="3">
        <v>19.4355308648251</v>
      </c>
      <c r="K36" s="3">
        <v>15.620271304274301</v>
      </c>
      <c r="L36" s="3">
        <v>16.5136383339274</v>
      </c>
      <c r="M36" s="3">
        <v>17.506873593446201</v>
      </c>
      <c r="N36" s="3">
        <v>82.094099266410794</v>
      </c>
    </row>
    <row r="37" spans="1:14" x14ac:dyDescent="0.35">
      <c r="A37" s="2">
        <v>42842</v>
      </c>
      <c r="B37" s="3">
        <v>19.811446326048699</v>
      </c>
      <c r="C37" s="3">
        <v>17.3276709311797</v>
      </c>
      <c r="D37" s="3">
        <v>18.9701498925373</v>
      </c>
      <c r="E37" s="3">
        <v>14.8712584265489</v>
      </c>
      <c r="F37" s="3">
        <v>15.485734224157801</v>
      </c>
      <c r="G37" s="3">
        <v>19.403086445922899</v>
      </c>
      <c r="H37" s="3">
        <v>16.998449364781699</v>
      </c>
      <c r="I37" s="3">
        <v>21.5630583966411</v>
      </c>
      <c r="J37" s="3">
        <v>19.228096462372999</v>
      </c>
      <c r="K37" s="3">
        <v>15.6072107054739</v>
      </c>
      <c r="L37" s="3">
        <v>16.547927935428</v>
      </c>
      <c r="M37" s="3">
        <v>17.560033698516602</v>
      </c>
      <c r="N37" s="3">
        <v>74.668760169916197</v>
      </c>
    </row>
    <row r="38" spans="1:14" x14ac:dyDescent="0.35">
      <c r="A38" s="2">
        <v>42872</v>
      </c>
      <c r="B38" s="3">
        <v>19.981710196084101</v>
      </c>
      <c r="C38" s="3">
        <v>17.054415201430899</v>
      </c>
      <c r="D38" s="3">
        <v>18.4917955959334</v>
      </c>
      <c r="E38" s="3">
        <v>14.821299854271</v>
      </c>
      <c r="F38" s="3">
        <v>15.693982175114099</v>
      </c>
      <c r="G38" s="3">
        <v>19.508562753964899</v>
      </c>
      <c r="H38" s="3">
        <v>16.9077039672345</v>
      </c>
      <c r="I38" s="3">
        <v>21.676495951553601</v>
      </c>
      <c r="J38" s="3">
        <v>19.064468130671699</v>
      </c>
      <c r="K38" s="3">
        <v>15.789814954066999</v>
      </c>
      <c r="L38" s="3">
        <v>16.679696575221701</v>
      </c>
      <c r="M38" s="3">
        <v>18.0440534852784</v>
      </c>
      <c r="N38" s="3">
        <v>67.915372487281104</v>
      </c>
    </row>
    <row r="39" spans="1:14" x14ac:dyDescent="0.35">
      <c r="A39" s="2">
        <v>42902</v>
      </c>
      <c r="B39" s="3">
        <v>20.077791739061499</v>
      </c>
      <c r="C39" s="3">
        <v>16.881450139885999</v>
      </c>
      <c r="D39" s="3">
        <v>18.1752045616531</v>
      </c>
      <c r="E39" s="3">
        <v>14.766349642378101</v>
      </c>
      <c r="F39" s="3">
        <v>15.622539240135501</v>
      </c>
      <c r="G39" s="3">
        <v>19.501511668971201</v>
      </c>
      <c r="H39" s="3">
        <v>16.598412962028998</v>
      </c>
      <c r="I39" s="3">
        <v>21.7612940494373</v>
      </c>
      <c r="J39" s="3">
        <v>19.1742879317122</v>
      </c>
      <c r="K39" s="3">
        <v>15.715821945795399</v>
      </c>
      <c r="L39" s="3">
        <v>16.650961573333099</v>
      </c>
      <c r="M39" s="3">
        <v>17.629168526669599</v>
      </c>
      <c r="N39" s="3">
        <v>60.789487283378797</v>
      </c>
    </row>
    <row r="40" spans="1:14" x14ac:dyDescent="0.35">
      <c r="A40" s="2">
        <v>42933</v>
      </c>
      <c r="B40" s="3">
        <v>20.260539831321001</v>
      </c>
      <c r="C40" s="3">
        <v>16.8261294688803</v>
      </c>
      <c r="D40" s="3">
        <v>17.9833729413605</v>
      </c>
      <c r="E40" s="3">
        <v>14.604095282361</v>
      </c>
      <c r="F40" s="3">
        <v>15.4873911863403</v>
      </c>
      <c r="G40" s="3">
        <v>19.448756330631198</v>
      </c>
      <c r="H40" s="3">
        <v>16.464786406846201</v>
      </c>
      <c r="I40" s="3">
        <v>22.093606218640598</v>
      </c>
      <c r="J40" s="3">
        <v>19.198021149976899</v>
      </c>
      <c r="K40" s="3">
        <v>15.7253158795296</v>
      </c>
      <c r="L40" s="3">
        <v>16.702645381185199</v>
      </c>
      <c r="M40" s="3">
        <v>17.731175621778501</v>
      </c>
      <c r="N40" s="3">
        <v>53.7554693613571</v>
      </c>
    </row>
    <row r="41" spans="1:14" x14ac:dyDescent="0.35">
      <c r="A41" s="2">
        <v>42964</v>
      </c>
      <c r="B41" s="3">
        <v>20.792478131778498</v>
      </c>
      <c r="C41" s="3">
        <v>16.8069844571299</v>
      </c>
      <c r="D41" s="3">
        <v>17.681262319082901</v>
      </c>
      <c r="E41" s="3">
        <v>14.2332249978846</v>
      </c>
      <c r="F41" s="3">
        <v>15.1055511103025</v>
      </c>
      <c r="G41" s="3">
        <v>19.191854435323499</v>
      </c>
      <c r="H41" s="3">
        <v>16.147576310608901</v>
      </c>
      <c r="I41" s="3">
        <v>21.853473645875699</v>
      </c>
      <c r="J41" s="3">
        <v>18.921331845093899</v>
      </c>
      <c r="K41" s="3">
        <v>15.5500041039049</v>
      </c>
      <c r="L41" s="3">
        <v>16.684671202515201</v>
      </c>
      <c r="M41" s="3">
        <v>16.823319770279699</v>
      </c>
      <c r="N41" s="3">
        <v>46.413406340394999</v>
      </c>
    </row>
    <row r="42" spans="1:14" x14ac:dyDescent="0.35">
      <c r="A42" s="2">
        <v>42993</v>
      </c>
      <c r="B42" s="3">
        <v>20.449893656136702</v>
      </c>
      <c r="C42" s="3">
        <v>16.497261528713199</v>
      </c>
      <c r="D42" s="3">
        <v>17.390889739083899</v>
      </c>
      <c r="E42" s="3">
        <v>14.359893991199099</v>
      </c>
      <c r="F42" s="3">
        <v>14.837542512855901</v>
      </c>
      <c r="G42" s="3">
        <v>19.290425718539002</v>
      </c>
      <c r="H42" s="3">
        <v>15.831917359683899</v>
      </c>
      <c r="I42" s="3">
        <v>22.325071847108099</v>
      </c>
      <c r="J42" s="3">
        <v>19.211311827369201</v>
      </c>
      <c r="K42" s="3">
        <v>15.711995051110801</v>
      </c>
      <c r="L42" s="3">
        <v>16.822591048548901</v>
      </c>
      <c r="M42" s="3">
        <v>17.116069935694799</v>
      </c>
      <c r="N42" s="3">
        <v>39.7047371536623</v>
      </c>
    </row>
    <row r="43" spans="1:14" x14ac:dyDescent="0.35">
      <c r="A43" s="2">
        <v>43025</v>
      </c>
      <c r="B43" s="3">
        <v>20.955888836595399</v>
      </c>
      <c r="C43" s="3">
        <v>16.690537006923801</v>
      </c>
      <c r="D43" s="3">
        <v>17.5212695548068</v>
      </c>
      <c r="E43" s="3">
        <v>14.8120355144753</v>
      </c>
      <c r="F43" s="3">
        <v>15.225775118211301</v>
      </c>
      <c r="G43" s="3">
        <v>19.7301040355532</v>
      </c>
      <c r="H43" s="3">
        <v>15.7951631774511</v>
      </c>
      <c r="I43" s="3">
        <v>22.742705317017201</v>
      </c>
      <c r="J43" s="3">
        <v>19.566099690829802</v>
      </c>
      <c r="K43" s="3">
        <v>16.055815575385701</v>
      </c>
      <c r="L43" s="3">
        <v>17.289555377544598</v>
      </c>
      <c r="M43" s="3">
        <v>17.534142353564899</v>
      </c>
      <c r="N43" s="3">
        <v>32.437287614087197</v>
      </c>
    </row>
    <row r="44" spans="1:14" x14ac:dyDescent="0.35">
      <c r="A44" s="2">
        <v>43056</v>
      </c>
      <c r="B44" s="3">
        <v>21.302075029626899</v>
      </c>
      <c r="C44" s="3">
        <v>16.623909572935101</v>
      </c>
      <c r="D44" s="3">
        <v>17.318643737524599</v>
      </c>
      <c r="E44" s="3">
        <v>15.145309000538701</v>
      </c>
      <c r="F44" s="3">
        <v>15.6017854248111</v>
      </c>
      <c r="G44" s="3">
        <v>20.203402369397299</v>
      </c>
      <c r="H44" s="3">
        <v>15.1965921933713</v>
      </c>
      <c r="I44" s="3">
        <v>22.987996329021598</v>
      </c>
      <c r="J44" s="3">
        <v>19.571053721284599</v>
      </c>
      <c r="K44" s="3">
        <v>15.8531549814856</v>
      </c>
      <c r="L44" s="3">
        <v>17.190587955815602</v>
      </c>
      <c r="M44" s="3">
        <v>18.030009540037899</v>
      </c>
      <c r="N44" s="3">
        <v>25.123340396163499</v>
      </c>
    </row>
    <row r="45" spans="1:14" x14ac:dyDescent="0.35">
      <c r="A45" s="2">
        <v>43084</v>
      </c>
      <c r="B45" s="3">
        <v>22.178933689875699</v>
      </c>
      <c r="C45" s="3">
        <v>16.614390611766002</v>
      </c>
      <c r="D45" s="3">
        <v>17.178158433058499</v>
      </c>
      <c r="E45" s="3">
        <v>15.465363626783899</v>
      </c>
      <c r="F45" s="3">
        <v>16.043752685634601</v>
      </c>
      <c r="G45" s="3">
        <v>20.584194345732101</v>
      </c>
      <c r="H45" s="3">
        <v>15.2129207186856</v>
      </c>
      <c r="I45" s="3">
        <v>23.5511027597558</v>
      </c>
      <c r="J45" s="3">
        <v>20.245039381029802</v>
      </c>
      <c r="K45" s="3">
        <v>16.046706022553501</v>
      </c>
      <c r="L45" s="3">
        <v>17.322936221857798</v>
      </c>
      <c r="M45" s="3">
        <v>17.936322051430899</v>
      </c>
      <c r="N45" s="3">
        <v>18.934916804686601</v>
      </c>
    </row>
    <row r="46" spans="1:14" x14ac:dyDescent="0.35">
      <c r="A46" s="2">
        <v>43117</v>
      </c>
      <c r="B46" s="3">
        <v>22.049765309240499</v>
      </c>
      <c r="C46" s="3">
        <v>16.6400679723534</v>
      </c>
      <c r="D46" s="3">
        <v>17.261808981474399</v>
      </c>
      <c r="E46" s="3">
        <v>15.520086665779401</v>
      </c>
      <c r="F46" s="3">
        <v>16.980051564444601</v>
      </c>
      <c r="G46" s="3">
        <v>20.9703647116959</v>
      </c>
      <c r="H46" s="3">
        <v>15.6380424338883</v>
      </c>
      <c r="I46" s="3">
        <v>24.925878116579199</v>
      </c>
      <c r="J46" s="3">
        <v>21.059521398637902</v>
      </c>
      <c r="K46" s="3">
        <v>16.5427227400472</v>
      </c>
      <c r="L46" s="3">
        <v>17.525568710755898</v>
      </c>
      <c r="M46" s="3">
        <v>18.2217234774063</v>
      </c>
      <c r="N46" s="3">
        <v>15.966526113084599</v>
      </c>
    </row>
    <row r="47" spans="1:14" x14ac:dyDescent="0.35">
      <c r="A47" s="2">
        <v>43147</v>
      </c>
      <c r="B47" s="3">
        <v>21.874513361131299</v>
      </c>
      <c r="C47" s="3">
        <v>16.348062710048001</v>
      </c>
      <c r="D47" s="3">
        <v>15.909619082998301</v>
      </c>
      <c r="E47" s="3">
        <v>14.5329369343567</v>
      </c>
      <c r="F47" s="3">
        <v>15.0221899402473</v>
      </c>
      <c r="G47" s="3">
        <v>21.802982471816001</v>
      </c>
      <c r="H47" s="3">
        <v>14.701670998310799</v>
      </c>
      <c r="I47" s="3">
        <v>23.965741981684399</v>
      </c>
      <c r="J47" s="3">
        <v>20.0308807036986</v>
      </c>
      <c r="K47" s="3">
        <v>15.7154374416483</v>
      </c>
      <c r="L47" s="3">
        <v>16.521642830762399</v>
      </c>
      <c r="M47" s="3">
        <v>16.743230538000901</v>
      </c>
      <c r="N47" s="3">
        <v>14.4947001707681</v>
      </c>
    </row>
    <row r="48" spans="1:14" x14ac:dyDescent="0.35">
      <c r="A48" s="2">
        <v>43175</v>
      </c>
      <c r="B48" s="3">
        <v>22.570091467049501</v>
      </c>
      <c r="C48" s="3">
        <v>16.456460218115399</v>
      </c>
      <c r="D48" s="3">
        <v>15.8167066919703</v>
      </c>
      <c r="E48" s="3">
        <v>14.2028946496887</v>
      </c>
      <c r="F48" s="3">
        <v>14.3822592309669</v>
      </c>
      <c r="G48" s="3">
        <v>20.969054769654601</v>
      </c>
      <c r="H48" s="3">
        <v>13.9431176558217</v>
      </c>
      <c r="I48" s="3">
        <v>24.071331752556699</v>
      </c>
      <c r="J48" s="3">
        <v>19.708534960942199</v>
      </c>
      <c r="K48" s="3">
        <v>15.5723302975611</v>
      </c>
      <c r="L48" s="3">
        <v>16.653808172903702</v>
      </c>
      <c r="M48" s="3">
        <v>16.9421789863474</v>
      </c>
      <c r="N48" s="3">
        <v>14.1852545697043</v>
      </c>
    </row>
    <row r="49" spans="1:14" x14ac:dyDescent="0.35">
      <c r="A49" s="2">
        <v>43207</v>
      </c>
      <c r="B49" s="3">
        <v>22.3172137081459</v>
      </c>
      <c r="C49" s="3">
        <v>16.2743790824568</v>
      </c>
      <c r="D49" s="3">
        <v>15.584499905409601</v>
      </c>
      <c r="E49" s="3">
        <v>14.177833341069</v>
      </c>
      <c r="F49" s="3">
        <v>14.223378562189399</v>
      </c>
      <c r="G49" s="3">
        <v>20.463416553283299</v>
      </c>
      <c r="H49" s="3">
        <v>13.9537672825562</v>
      </c>
      <c r="I49" s="3">
        <v>23.632127432064198</v>
      </c>
      <c r="J49" s="3">
        <v>19.370405392925999</v>
      </c>
      <c r="K49" s="3">
        <v>15.538511988479501</v>
      </c>
      <c r="L49" s="3">
        <v>16.633387633093601</v>
      </c>
      <c r="M49" s="3">
        <v>16.8354973866638</v>
      </c>
      <c r="N49" s="3">
        <v>14.163875608638101</v>
      </c>
    </row>
    <row r="50" spans="1:14" x14ac:dyDescent="0.35">
      <c r="A50" s="2">
        <v>43237</v>
      </c>
      <c r="B50" s="3">
        <v>22.3843692778253</v>
      </c>
      <c r="C50" s="3">
        <v>16.339100869208</v>
      </c>
      <c r="D50" s="3">
        <v>15.657809139839401</v>
      </c>
      <c r="E50" s="3">
        <v>14.257401940373301</v>
      </c>
      <c r="F50" s="3">
        <v>14.3150392374991</v>
      </c>
      <c r="G50" s="3">
        <v>20.140053853960602</v>
      </c>
      <c r="H50" s="3">
        <v>14.146413714726901</v>
      </c>
      <c r="I50" s="3">
        <v>23.245470501357101</v>
      </c>
      <c r="J50" s="3">
        <v>19.039614627522599</v>
      </c>
      <c r="K50" s="3">
        <v>15.6500199025761</v>
      </c>
      <c r="L50" s="3">
        <v>16.6421395866439</v>
      </c>
      <c r="M50" s="3">
        <v>16.873119082261798</v>
      </c>
      <c r="N50" s="3">
        <v>14.0251739727179</v>
      </c>
    </row>
    <row r="51" spans="1:14" x14ac:dyDescent="0.35">
      <c r="A51" s="2">
        <v>43266</v>
      </c>
      <c r="B51" s="3">
        <v>22.837132017185201</v>
      </c>
      <c r="C51" s="3">
        <v>16.152694239718901</v>
      </c>
      <c r="D51" s="3">
        <v>15.6023470359393</v>
      </c>
      <c r="E51" s="3">
        <v>14.2373079989336</v>
      </c>
      <c r="F51" s="3">
        <v>14.167236305793001</v>
      </c>
      <c r="G51" s="3">
        <v>19.513586226267801</v>
      </c>
      <c r="H51" s="3">
        <v>13.898472979084</v>
      </c>
      <c r="I51" s="3">
        <v>23.390957061603</v>
      </c>
      <c r="J51" s="3">
        <v>18.938996237334202</v>
      </c>
      <c r="K51" s="3">
        <v>15.4131642136325</v>
      </c>
      <c r="L51" s="3">
        <v>16.717246706789499</v>
      </c>
      <c r="M51" s="3">
        <v>16.502848768002401</v>
      </c>
      <c r="N51" s="3">
        <v>13.5107993476456</v>
      </c>
    </row>
    <row r="52" spans="1:14" x14ac:dyDescent="0.35">
      <c r="A52" s="2">
        <v>43298</v>
      </c>
      <c r="B52" s="3">
        <v>22.8610728055252</v>
      </c>
      <c r="C52" s="3">
        <v>16.216879678449502</v>
      </c>
      <c r="D52" s="3">
        <v>15.5458138133045</v>
      </c>
      <c r="E52" s="3">
        <v>14.093919446036001</v>
      </c>
      <c r="F52" s="3">
        <v>13.9189046577605</v>
      </c>
      <c r="G52" s="3">
        <v>19.253743465374399</v>
      </c>
      <c r="H52" s="3">
        <v>13.7740033808118</v>
      </c>
      <c r="I52" s="3">
        <v>23.415196998671998</v>
      </c>
      <c r="J52" s="3">
        <v>18.742338623697101</v>
      </c>
      <c r="K52" s="3">
        <v>15.2725627410765</v>
      </c>
      <c r="L52" s="3">
        <v>16.622916716416501</v>
      </c>
      <c r="M52" s="3">
        <v>16.3972006842606</v>
      </c>
      <c r="N52" s="3">
        <v>13.256070722644999</v>
      </c>
    </row>
    <row r="53" spans="1:14" x14ac:dyDescent="0.35">
      <c r="A53" s="2">
        <v>43329</v>
      </c>
      <c r="B53" s="3">
        <v>23.139267884873799</v>
      </c>
      <c r="C53" s="3">
        <v>16.439142062914701</v>
      </c>
      <c r="D53" s="3">
        <v>15.3785952002805</v>
      </c>
      <c r="E53" s="3">
        <v>13.8665895518683</v>
      </c>
      <c r="F53" s="3">
        <v>13.5574427994852</v>
      </c>
      <c r="G53" s="3">
        <v>18.862021500484801</v>
      </c>
      <c r="H53" s="3">
        <v>13.619676469327</v>
      </c>
      <c r="I53" s="3">
        <v>23.016995403998902</v>
      </c>
      <c r="J53" s="3">
        <v>18.593627506390799</v>
      </c>
      <c r="K53" s="3">
        <v>14.9546197531653</v>
      </c>
      <c r="L53" s="3">
        <v>16.472942204945699</v>
      </c>
      <c r="M53" s="3">
        <v>16.586003292887</v>
      </c>
      <c r="N53" s="3">
        <v>12.612723504903499</v>
      </c>
    </row>
    <row r="54" spans="1:14" x14ac:dyDescent="0.35">
      <c r="A54" s="2">
        <v>43360</v>
      </c>
      <c r="B54" s="3">
        <v>23.5763314118709</v>
      </c>
      <c r="C54" s="3">
        <v>16.023331879433801</v>
      </c>
      <c r="D54" s="3">
        <v>15.053794796156501</v>
      </c>
      <c r="E54" s="3">
        <v>13.819684395924501</v>
      </c>
      <c r="F54" s="3">
        <v>13.537979245683101</v>
      </c>
      <c r="G54" s="3">
        <v>18.584509610703002</v>
      </c>
      <c r="H54" s="3">
        <v>13.403957619925899</v>
      </c>
      <c r="I54" s="3">
        <v>22.8860257781581</v>
      </c>
      <c r="J54" s="3">
        <v>18.5296691909315</v>
      </c>
      <c r="K54" s="3">
        <v>14.879714053565801</v>
      </c>
      <c r="L54" s="3">
        <v>16.255424346555898</v>
      </c>
      <c r="M54" s="3">
        <v>16.707033197159198</v>
      </c>
      <c r="N54" s="3">
        <v>12.5717894603373</v>
      </c>
    </row>
    <row r="55" spans="1:14" x14ac:dyDescent="0.35">
      <c r="A55" s="2">
        <v>43390</v>
      </c>
      <c r="B55" s="3">
        <v>22.883478509037602</v>
      </c>
      <c r="C55" s="3">
        <v>15.518150883019199</v>
      </c>
      <c r="D55" s="3">
        <v>14.555417678829199</v>
      </c>
      <c r="E55" s="3">
        <v>13.414726857715999</v>
      </c>
      <c r="F55" s="3">
        <v>13.301053906677801</v>
      </c>
      <c r="G55" s="3">
        <v>17.732947494931601</v>
      </c>
      <c r="H55" s="3">
        <v>12.948016763131299</v>
      </c>
      <c r="I55" s="3">
        <v>22.3583234115222</v>
      </c>
      <c r="J55" s="3">
        <v>17.966743302571501</v>
      </c>
      <c r="K55" s="3">
        <v>14.3271950871521</v>
      </c>
      <c r="L55" s="3">
        <v>15.7472284442518</v>
      </c>
      <c r="M55" s="3">
        <v>15.7902280325295</v>
      </c>
      <c r="N55" s="3">
        <v>11.694177109692401</v>
      </c>
    </row>
    <row r="56" spans="1:14" x14ac:dyDescent="0.35">
      <c r="A56" s="2">
        <v>43420</v>
      </c>
      <c r="B56" s="3">
        <v>22.720777881036199</v>
      </c>
      <c r="C56" s="3">
        <v>15.0557026032624</v>
      </c>
      <c r="D56" s="3">
        <v>14.107601794778001</v>
      </c>
      <c r="E56" s="3">
        <v>12.9794593873438</v>
      </c>
      <c r="F56" s="3">
        <v>12.6288741947664</v>
      </c>
      <c r="G56" s="3">
        <v>17.638567306400201</v>
      </c>
      <c r="H56" s="3">
        <v>12.7023905463366</v>
      </c>
      <c r="I56" s="3">
        <v>20.701360101106498</v>
      </c>
      <c r="J56" s="3">
        <v>17.255367794408301</v>
      </c>
      <c r="K56" s="3">
        <v>13.9356086321765</v>
      </c>
      <c r="L56" s="3">
        <v>15.514110034106199</v>
      </c>
      <c r="M56" s="3">
        <v>14.903590335419199</v>
      </c>
      <c r="N56" s="3">
        <v>11.2121493992115</v>
      </c>
    </row>
    <row r="57" spans="1:14" x14ac:dyDescent="0.35">
      <c r="A57" s="2">
        <v>43451</v>
      </c>
      <c r="B57" s="3">
        <v>22.724086991421601</v>
      </c>
      <c r="C57" s="3">
        <v>14.71609898342</v>
      </c>
      <c r="D57" s="3">
        <v>13.262493102666401</v>
      </c>
      <c r="E57" s="3">
        <v>12.342775285260799</v>
      </c>
      <c r="F57" s="3">
        <v>12.296706885151099</v>
      </c>
      <c r="G57" s="3">
        <v>16.722514145992999</v>
      </c>
      <c r="H57" s="3">
        <v>12.077661938452501</v>
      </c>
      <c r="I57" s="3">
        <v>19.147243364781598</v>
      </c>
      <c r="J57" s="3">
        <v>15.8625952629281</v>
      </c>
      <c r="K57" s="3">
        <v>13.199066952210201</v>
      </c>
      <c r="L57" s="3">
        <v>14.677166179318</v>
      </c>
      <c r="M57" s="3">
        <v>14.1996660478554</v>
      </c>
      <c r="N57" s="3">
        <v>10.7386186666951</v>
      </c>
    </row>
    <row r="58" spans="1:14" x14ac:dyDescent="0.35">
      <c r="A58" s="2">
        <v>43482</v>
      </c>
      <c r="B58" s="3">
        <v>23.580546642867201</v>
      </c>
      <c r="C58" s="3">
        <v>15.171032756432</v>
      </c>
      <c r="D58" s="3">
        <v>14.0231919416025</v>
      </c>
      <c r="E58" s="3">
        <v>12.4789037771765</v>
      </c>
      <c r="F58" s="3">
        <v>11.881629124158</v>
      </c>
      <c r="G58" s="3">
        <v>17.147732001425801</v>
      </c>
      <c r="H58" s="3">
        <v>12.225496107450599</v>
      </c>
      <c r="I58" s="3">
        <v>19.868991248853899</v>
      </c>
      <c r="J58" s="3">
        <v>16.288407489281902</v>
      </c>
      <c r="K58" s="3">
        <v>13.1930861749877</v>
      </c>
      <c r="L58" s="3">
        <v>14.674091794664299</v>
      </c>
      <c r="M58" s="3">
        <v>14.928187188944101</v>
      </c>
      <c r="N58" s="3">
        <v>11.046308502875901</v>
      </c>
    </row>
    <row r="59" spans="1:14" x14ac:dyDescent="0.35">
      <c r="A59" s="2">
        <v>43511</v>
      </c>
      <c r="B59" s="3">
        <v>23.821019752360499</v>
      </c>
      <c r="C59" s="3">
        <v>15.6489885190806</v>
      </c>
      <c r="D59" s="3">
        <v>14.694286605312101</v>
      </c>
      <c r="E59" s="3">
        <v>13.0500552139688</v>
      </c>
      <c r="F59" s="3">
        <v>12.408873108884199</v>
      </c>
      <c r="G59" s="3">
        <v>17.905965542058301</v>
      </c>
      <c r="H59" s="3">
        <v>12.8363496045825</v>
      </c>
      <c r="I59" s="3">
        <v>20.760157103496699</v>
      </c>
      <c r="J59" s="3">
        <v>17.077215917171799</v>
      </c>
      <c r="K59" s="3">
        <v>14.193526173623599</v>
      </c>
      <c r="L59" s="3">
        <v>16.128568890803901</v>
      </c>
      <c r="M59" s="3">
        <v>18.4479125766109</v>
      </c>
      <c r="N59" s="3">
        <v>11.1305089337494</v>
      </c>
    </row>
    <row r="60" spans="1:14" x14ac:dyDescent="0.35">
      <c r="A60" s="2">
        <v>43539</v>
      </c>
      <c r="B60" s="3">
        <v>24.0857067825863</v>
      </c>
      <c r="C60" s="3">
        <v>15.864695306604901</v>
      </c>
      <c r="D60" s="3">
        <v>14.7333914127315</v>
      </c>
      <c r="E60" s="3">
        <v>13.2335376668333</v>
      </c>
      <c r="F60" s="3">
        <v>12.7014294929199</v>
      </c>
      <c r="G60" s="3">
        <v>18.3217764710399</v>
      </c>
      <c r="H60" s="3">
        <v>12.963781332040799</v>
      </c>
      <c r="I60" s="3">
        <v>20.9834539553982</v>
      </c>
      <c r="J60" s="3">
        <v>17.128284575588399</v>
      </c>
      <c r="K60" s="3">
        <v>14.608651501669501</v>
      </c>
      <c r="L60" s="3">
        <v>16.204884785732101</v>
      </c>
      <c r="M60" s="3">
        <v>18.051134296691799</v>
      </c>
      <c r="N60" s="3">
        <v>11.3091144024336</v>
      </c>
    </row>
    <row r="61" spans="1:14" x14ac:dyDescent="0.35">
      <c r="A61" s="2">
        <v>43572</v>
      </c>
      <c r="B61" s="3">
        <v>24.208397356973499</v>
      </c>
      <c r="C61" s="3">
        <v>15.8564441021006</v>
      </c>
      <c r="D61" s="3">
        <v>14.670272461137399</v>
      </c>
      <c r="E61" s="3">
        <v>13.340655308023001</v>
      </c>
      <c r="F61" s="3">
        <v>12.787302101885301</v>
      </c>
      <c r="G61" s="3">
        <v>18.306860504021099</v>
      </c>
      <c r="H61" s="3">
        <v>13.0404172205299</v>
      </c>
      <c r="I61" s="3">
        <v>21.289785776941301</v>
      </c>
      <c r="J61" s="3">
        <v>17.234585885823801</v>
      </c>
      <c r="K61" s="3">
        <v>14.6727588053833</v>
      </c>
      <c r="L61" s="3">
        <v>16.2956172046785</v>
      </c>
      <c r="M61" s="3">
        <v>17.8677344125717</v>
      </c>
      <c r="N61" s="3">
        <v>11.3725305564992</v>
      </c>
    </row>
    <row r="62" spans="1:14" x14ac:dyDescent="0.35">
      <c r="A62" s="2">
        <v>43602</v>
      </c>
      <c r="B62" s="3">
        <v>24.3509707040085</v>
      </c>
      <c r="C62" s="3">
        <v>15.875287477795601</v>
      </c>
      <c r="D62" s="3">
        <v>14.5237470741693</v>
      </c>
      <c r="E62" s="3">
        <v>13.3042134624328</v>
      </c>
      <c r="F62" s="3">
        <v>12.666319731967601</v>
      </c>
      <c r="G62" s="3">
        <v>18.183469584775601</v>
      </c>
      <c r="H62" s="3">
        <v>12.9163043081167</v>
      </c>
      <c r="I62" s="3">
        <v>21.213964295841699</v>
      </c>
      <c r="J62" s="3">
        <v>17.1403868413901</v>
      </c>
      <c r="K62" s="3">
        <v>14.5685429181405</v>
      </c>
      <c r="L62" s="3">
        <v>16.2298200150131</v>
      </c>
      <c r="M62" s="3">
        <v>17.518844468655999</v>
      </c>
      <c r="N62" s="3">
        <v>11.168975027500901</v>
      </c>
    </row>
    <row r="63" spans="1:14" x14ac:dyDescent="0.35">
      <c r="A63" s="2">
        <v>43633</v>
      </c>
      <c r="B63" s="3">
        <v>24.2278455337647</v>
      </c>
      <c r="C63" s="3">
        <v>16.0711034020743</v>
      </c>
      <c r="D63" s="3">
        <v>14.4744082812649</v>
      </c>
      <c r="E63" s="3">
        <v>13.1844125287164</v>
      </c>
      <c r="F63" s="3">
        <v>12.7645453136046</v>
      </c>
      <c r="G63" s="3">
        <v>18.260309914705399</v>
      </c>
      <c r="H63" s="3">
        <v>12.9371740205395</v>
      </c>
      <c r="I63" s="3">
        <v>21.327883505370099</v>
      </c>
      <c r="J63" s="3">
        <v>17.227620821178999</v>
      </c>
      <c r="K63" s="3">
        <v>14.5011071444327</v>
      </c>
      <c r="L63" s="3">
        <v>16.207645833301999</v>
      </c>
      <c r="M63" s="3">
        <v>17.0956557135898</v>
      </c>
      <c r="N63" s="3">
        <v>11.0021199600329</v>
      </c>
    </row>
    <row r="64" spans="1:14" x14ac:dyDescent="0.35">
      <c r="A64" s="2">
        <v>43663</v>
      </c>
      <c r="B64" s="3">
        <v>24.998818993331501</v>
      </c>
      <c r="C64" s="3">
        <v>16.300427478114901</v>
      </c>
      <c r="D64" s="3">
        <v>14.489248894652</v>
      </c>
      <c r="E64" s="3">
        <v>13.532372733643999</v>
      </c>
      <c r="F64" s="3">
        <v>12.9522114209144</v>
      </c>
      <c r="G64" s="3">
        <v>18.396743906754001</v>
      </c>
      <c r="H64" s="3">
        <v>13.133323513402599</v>
      </c>
      <c r="I64" s="3">
        <v>22.005781607653901</v>
      </c>
      <c r="J64" s="3">
        <v>17.601439167031899</v>
      </c>
      <c r="K64" s="3">
        <v>14.8212432221907</v>
      </c>
      <c r="L64" s="3">
        <v>16.543283344781099</v>
      </c>
      <c r="M64" s="3">
        <v>16.9297326482519</v>
      </c>
      <c r="N64" s="3">
        <v>11.3407767058043</v>
      </c>
    </row>
    <row r="65" spans="1:14" x14ac:dyDescent="0.35">
      <c r="A65" s="2">
        <v>43693</v>
      </c>
      <c r="B65" s="3">
        <v>25.032273500832702</v>
      </c>
      <c r="C65" s="3">
        <v>16.055784626560602</v>
      </c>
      <c r="D65" s="3">
        <v>14.3046126127651</v>
      </c>
      <c r="E65" s="3">
        <v>13.2410566979382</v>
      </c>
      <c r="F65" s="3">
        <v>12.6469793270733</v>
      </c>
      <c r="G65" s="3">
        <v>18.115840431576299</v>
      </c>
      <c r="H65" s="3">
        <v>12.665827447106601</v>
      </c>
      <c r="I65" s="3">
        <v>21.633405715730898</v>
      </c>
      <c r="J65" s="3">
        <v>17.365373421884399</v>
      </c>
      <c r="K65" s="3">
        <v>14.4682297774342</v>
      </c>
      <c r="L65" s="3">
        <v>16.228982516585202</v>
      </c>
      <c r="M65" s="3">
        <v>15.78093210904</v>
      </c>
      <c r="N65" s="3">
        <v>10.8001183198277</v>
      </c>
    </row>
    <row r="66" spans="1:14" x14ac:dyDescent="0.35">
      <c r="A66" s="2">
        <v>43725</v>
      </c>
      <c r="B66" s="3">
        <v>28.615150271544699</v>
      </c>
      <c r="C66" s="3">
        <v>16.7871910733341</v>
      </c>
      <c r="D66" s="3">
        <v>14.7361022196371</v>
      </c>
      <c r="E66" s="3">
        <v>14.004330778601201</v>
      </c>
      <c r="F66" s="3">
        <v>13.5439217251134</v>
      </c>
      <c r="G66" s="3">
        <v>18.3807552167955</v>
      </c>
      <c r="H66" s="3">
        <v>13.0822545413203</v>
      </c>
      <c r="I66" s="3">
        <v>22.3064319201305</v>
      </c>
      <c r="J66" s="3">
        <v>17.909538218646102</v>
      </c>
      <c r="K66" s="3">
        <v>15.0575108189255</v>
      </c>
      <c r="L66" s="3">
        <v>17.070186666358001</v>
      </c>
      <c r="M66" s="3">
        <v>16.2646377355365</v>
      </c>
      <c r="N66" s="3">
        <v>11.242326944483001</v>
      </c>
    </row>
    <row r="67" spans="1:14" x14ac:dyDescent="0.35">
      <c r="A67" s="2">
        <v>43755</v>
      </c>
      <c r="B67" s="3">
        <v>29.260652653980799</v>
      </c>
      <c r="C67" s="3">
        <v>17.079084363943299</v>
      </c>
      <c r="D67" s="3">
        <v>14.596215446205401</v>
      </c>
      <c r="E67" s="3">
        <v>14.374322279671</v>
      </c>
      <c r="F67" s="3">
        <v>13.755378296421201</v>
      </c>
      <c r="G67" s="3">
        <v>18.4028134413938</v>
      </c>
      <c r="H67" s="3">
        <v>13.151398860559199</v>
      </c>
      <c r="I67" s="3">
        <v>22.605384304819101</v>
      </c>
      <c r="J67" s="3">
        <v>18.090944870098799</v>
      </c>
      <c r="K67" s="3">
        <v>15.350240528832501</v>
      </c>
      <c r="L67" s="3">
        <v>17.228134231553302</v>
      </c>
      <c r="M67" s="3">
        <v>16.595541780244901</v>
      </c>
      <c r="N67" s="3">
        <v>11.5144162557937</v>
      </c>
    </row>
    <row r="68" spans="1:14" x14ac:dyDescent="0.35">
      <c r="A68" s="2">
        <v>43784</v>
      </c>
      <c r="B68" s="3">
        <v>29.194579285155601</v>
      </c>
      <c r="C68" s="3">
        <v>17.597238371893798</v>
      </c>
      <c r="D68" s="3">
        <v>15.150904475869099</v>
      </c>
      <c r="E68" s="3">
        <v>15.1325487943312</v>
      </c>
      <c r="F68" s="3">
        <v>14.4505060846045</v>
      </c>
      <c r="G68" s="3">
        <v>18.887571922566899</v>
      </c>
      <c r="H68" s="3">
        <v>13.3687119680629</v>
      </c>
      <c r="I68" s="3">
        <v>23.6158369122175</v>
      </c>
      <c r="J68" s="3">
        <v>18.839762217469001</v>
      </c>
      <c r="K68" s="3">
        <v>16.1053543954649</v>
      </c>
      <c r="L68" s="3">
        <v>18.008499770354799</v>
      </c>
      <c r="M68" s="3">
        <v>16.213594118750201</v>
      </c>
      <c r="N68" s="3">
        <v>12.007555792085</v>
      </c>
    </row>
    <row r="69" spans="1:14" x14ac:dyDescent="0.35">
      <c r="A69" s="2">
        <v>43816</v>
      </c>
      <c r="B69" s="3">
        <v>31.533379139167</v>
      </c>
      <c r="C69" s="3">
        <v>17.998953477619999</v>
      </c>
      <c r="D69" s="3">
        <v>15.233755712245101</v>
      </c>
      <c r="E69" s="3">
        <v>15.4836169885549</v>
      </c>
      <c r="F69" s="3">
        <v>15.381602006204201</v>
      </c>
      <c r="G69" s="3">
        <v>19.389837053051998</v>
      </c>
      <c r="H69" s="3">
        <v>14.011500374867</v>
      </c>
      <c r="I69" s="3">
        <v>24.7983910170522</v>
      </c>
      <c r="J69" s="3">
        <v>19.503746721014998</v>
      </c>
      <c r="K69" s="3">
        <v>16.388530213198798</v>
      </c>
      <c r="L69" s="3">
        <v>18.546800484096298</v>
      </c>
      <c r="M69" s="3">
        <v>16.315196405315401</v>
      </c>
      <c r="N69" s="3">
        <v>12.1428929437322</v>
      </c>
    </row>
    <row r="70" spans="1:14" x14ac:dyDescent="0.35">
      <c r="A70" s="2">
        <v>43847</v>
      </c>
      <c r="B70" s="3">
        <v>33.030377082529299</v>
      </c>
      <c r="C70" s="3">
        <v>18.6674392411147</v>
      </c>
      <c r="D70" s="3">
        <v>15.6737986203494</v>
      </c>
      <c r="E70" s="3">
        <v>15.8273695274935</v>
      </c>
      <c r="F70" s="3">
        <v>15.473126532624301</v>
      </c>
      <c r="G70" s="3">
        <v>19.993372715883002</v>
      </c>
      <c r="H70" s="3">
        <v>14.3314461552574</v>
      </c>
      <c r="I70" s="3">
        <v>26.603763329554901</v>
      </c>
      <c r="J70" s="3">
        <v>20.434499431311099</v>
      </c>
      <c r="K70" s="3">
        <v>16.837636633794698</v>
      </c>
      <c r="L70" s="3">
        <v>18.832468898593099</v>
      </c>
      <c r="M70" s="3">
        <v>16.904126352704299</v>
      </c>
      <c r="N70" s="3">
        <v>12.3791748547343</v>
      </c>
    </row>
    <row r="71" spans="1:14" x14ac:dyDescent="0.35">
      <c r="A71" s="2">
        <v>43875</v>
      </c>
      <c r="B71" s="3">
        <v>33.323888385085198</v>
      </c>
      <c r="C71" s="3">
        <v>18.8899791188243</v>
      </c>
      <c r="D71" s="3">
        <v>15.734423015637701</v>
      </c>
      <c r="E71" s="3">
        <v>16.272088288727701</v>
      </c>
      <c r="F71" s="3">
        <v>15.390644638600399</v>
      </c>
      <c r="G71" s="3">
        <v>20.078176104687198</v>
      </c>
      <c r="H71" s="3">
        <v>13.852430312727</v>
      </c>
      <c r="I71" s="3">
        <v>27.203944389819402</v>
      </c>
      <c r="J71" s="3">
        <v>20.521563852731202</v>
      </c>
      <c r="K71" s="3">
        <v>16.723766909179101</v>
      </c>
      <c r="L71" s="3">
        <v>20.0281500078848</v>
      </c>
      <c r="M71" s="3">
        <v>14.4317921581356</v>
      </c>
      <c r="N71" s="3">
        <v>12.738684257548099</v>
      </c>
    </row>
    <row r="72" spans="1:14" x14ac:dyDescent="0.35">
      <c r="A72" s="2">
        <v>43907</v>
      </c>
      <c r="B72" s="3">
        <v>29.932843254330901</v>
      </c>
      <c r="C72" s="3">
        <v>16.348498375821201</v>
      </c>
      <c r="D72" s="3">
        <v>13.8945014993418</v>
      </c>
      <c r="E72" s="3">
        <v>13.343952128134999</v>
      </c>
      <c r="F72" s="3">
        <v>13.5079906962177</v>
      </c>
      <c r="G72" s="3">
        <v>17.460276641087201</v>
      </c>
      <c r="H72" s="3">
        <v>11.9370337868893</v>
      </c>
      <c r="I72" s="3">
        <v>23.221672767025101</v>
      </c>
      <c r="J72" s="3">
        <v>17.424510891874899</v>
      </c>
      <c r="K72" s="3">
        <v>14.003179212201101</v>
      </c>
      <c r="L72" s="3">
        <v>16.5792754326657</v>
      </c>
      <c r="M72" s="3">
        <v>12.443319297711</v>
      </c>
      <c r="N72" s="3">
        <v>10.727609504796099</v>
      </c>
    </row>
    <row r="73" spans="1:14" x14ac:dyDescent="0.35">
      <c r="A73" s="2">
        <v>43938</v>
      </c>
      <c r="B73" s="3">
        <v>31.600385851215801</v>
      </c>
      <c r="C73" s="3">
        <v>17.003060070891198</v>
      </c>
      <c r="D73" s="3">
        <v>15.0115118554391</v>
      </c>
      <c r="E73" s="3">
        <v>14.448599350415</v>
      </c>
      <c r="F73" s="3">
        <v>14.075924087347801</v>
      </c>
      <c r="G73" s="3">
        <v>18.334320965516699</v>
      </c>
      <c r="H73" s="3">
        <v>13.028479062368399</v>
      </c>
      <c r="I73" s="3">
        <v>24.646964873173399</v>
      </c>
      <c r="J73" s="3">
        <v>18.799060839229099</v>
      </c>
      <c r="K73" s="3">
        <v>15.263818789340901</v>
      </c>
      <c r="L73" s="3">
        <v>17.497158115435901</v>
      </c>
      <c r="M73" s="3">
        <v>14.032282537447999</v>
      </c>
      <c r="N73" s="3">
        <v>11.613162463504199</v>
      </c>
    </row>
    <row r="74" spans="1:14" x14ac:dyDescent="0.35">
      <c r="A74" s="2">
        <v>43966</v>
      </c>
      <c r="B74" s="3">
        <v>32.112421616684202</v>
      </c>
      <c r="C74" s="3">
        <v>17.3859288224522</v>
      </c>
      <c r="D74" s="3">
        <v>16.376452127788099</v>
      </c>
      <c r="E74" s="3">
        <v>15.214535628152801</v>
      </c>
      <c r="F74" s="3">
        <v>14.535858527151101</v>
      </c>
      <c r="G74" s="3">
        <v>18.7266479224091</v>
      </c>
      <c r="H74" s="3">
        <v>13.8436700026278</v>
      </c>
      <c r="I74" s="3">
        <v>25.682740407315698</v>
      </c>
      <c r="J74" s="3">
        <v>19.6292390309893</v>
      </c>
      <c r="K74" s="3">
        <v>15.9100011548589</v>
      </c>
      <c r="L74" s="3">
        <v>17.8380907708267</v>
      </c>
      <c r="M74" s="3">
        <v>14.7463102669791</v>
      </c>
      <c r="N74" s="3">
        <v>13.350117904643801</v>
      </c>
    </row>
    <row r="75" spans="1:14" x14ac:dyDescent="0.35">
      <c r="A75" s="2">
        <v>43999</v>
      </c>
      <c r="B75" s="3">
        <v>32.601712918702901</v>
      </c>
      <c r="C75" s="3">
        <v>18.553803648607499</v>
      </c>
      <c r="D75" s="3">
        <v>17.202176167645401</v>
      </c>
      <c r="E75" s="3">
        <v>17.381600128789099</v>
      </c>
      <c r="F75" s="3">
        <v>16.773860818797498</v>
      </c>
      <c r="G75" s="3">
        <v>19.479320806513499</v>
      </c>
      <c r="H75" s="3">
        <v>15.1064803267321</v>
      </c>
      <c r="I75" s="3">
        <v>27.4000742468811</v>
      </c>
      <c r="J75" s="3">
        <v>20.991759473534898</v>
      </c>
      <c r="K75" s="3">
        <v>18.166477523422699</v>
      </c>
      <c r="L75" s="3">
        <v>19.465936950307199</v>
      </c>
      <c r="M75" s="3">
        <v>16.629226049646899</v>
      </c>
      <c r="N75" s="3">
        <v>15.9084750423507</v>
      </c>
    </row>
    <row r="76" spans="1:14" x14ac:dyDescent="0.35">
      <c r="A76" s="2">
        <v>44029</v>
      </c>
      <c r="B76" s="3">
        <v>33.481323417155899</v>
      </c>
      <c r="C76" s="3">
        <v>18.845945760404199</v>
      </c>
      <c r="D76" s="3">
        <v>17.823940012160101</v>
      </c>
      <c r="E76" s="3">
        <v>18.826364129308399</v>
      </c>
      <c r="F76" s="3">
        <v>17.529064144990699</v>
      </c>
      <c r="G76" s="3">
        <v>20.168183107257299</v>
      </c>
      <c r="H76" s="3">
        <v>15.6553454044647</v>
      </c>
      <c r="I76" s="3">
        <v>28.741064501554401</v>
      </c>
      <c r="J76" s="3">
        <v>22.0250043357081</v>
      </c>
      <c r="K76" s="3">
        <v>20.0877548994366</v>
      </c>
      <c r="L76" s="3">
        <v>20.274199758976401</v>
      </c>
      <c r="M76" s="3">
        <v>18.1520264476177</v>
      </c>
      <c r="N76" s="3">
        <v>17.533762430446501</v>
      </c>
    </row>
    <row r="77" spans="1:14" x14ac:dyDescent="0.35">
      <c r="A77" s="2">
        <v>44060</v>
      </c>
      <c r="B77" s="3">
        <v>34.011032177875101</v>
      </c>
      <c r="C77" s="3">
        <v>19.5132500766288</v>
      </c>
      <c r="D77" s="3">
        <v>18.308612208702598</v>
      </c>
      <c r="E77" s="3">
        <v>19.5891140987424</v>
      </c>
      <c r="F77" s="3">
        <v>18.1570936501498</v>
      </c>
      <c r="G77" s="3">
        <v>20.459577215281598</v>
      </c>
      <c r="H77" s="3">
        <v>16.387084577262598</v>
      </c>
      <c r="I77" s="3">
        <v>29.5656697138567</v>
      </c>
      <c r="J77" s="3">
        <v>22.8776092479102</v>
      </c>
      <c r="K77" s="3">
        <v>22.138418954206401</v>
      </c>
      <c r="L77" s="3">
        <v>21.0875417597648</v>
      </c>
      <c r="M77" s="3">
        <v>16.966281336902199</v>
      </c>
      <c r="N77" s="3">
        <v>17.753767070757501</v>
      </c>
    </row>
    <row r="78" spans="1:14" x14ac:dyDescent="0.35">
      <c r="A78" s="2">
        <v>44091</v>
      </c>
      <c r="B78" s="3">
        <v>33.699452541608402</v>
      </c>
      <c r="C78" s="3">
        <v>19.317091604005501</v>
      </c>
      <c r="D78" s="3">
        <v>18.232680755451</v>
      </c>
      <c r="E78" s="3">
        <v>20.5868333491802</v>
      </c>
      <c r="F78" s="3">
        <v>19.794656859437598</v>
      </c>
      <c r="G78" s="3">
        <v>21.040237566499499</v>
      </c>
      <c r="H78" s="3">
        <v>16.921735354207399</v>
      </c>
      <c r="I78" s="3">
        <v>29.8426002491959</v>
      </c>
      <c r="J78" s="3">
        <v>23.236245176731298</v>
      </c>
      <c r="K78" s="3">
        <v>23.4290396307374</v>
      </c>
      <c r="L78" s="3">
        <v>21.5886784432581</v>
      </c>
      <c r="M78" s="3">
        <v>17.9530584486008</v>
      </c>
      <c r="N78" s="3">
        <v>18.344531433279599</v>
      </c>
    </row>
    <row r="79" spans="1:14" x14ac:dyDescent="0.35">
      <c r="A79" s="2">
        <v>44120</v>
      </c>
      <c r="B79" s="3">
        <v>35.187628319231798</v>
      </c>
      <c r="C79" s="3">
        <v>19.879648291386701</v>
      </c>
      <c r="D79" s="3">
        <v>18.819729010005599</v>
      </c>
      <c r="E79" s="3">
        <v>20.6238676354725</v>
      </c>
      <c r="F79" s="3">
        <v>20.361685735987098</v>
      </c>
      <c r="G79" s="3">
        <v>20.909403157973799</v>
      </c>
      <c r="H79" s="3">
        <v>16.992364310024001</v>
      </c>
      <c r="I79" s="3">
        <v>32.148185122723902</v>
      </c>
      <c r="J79" s="3">
        <v>24.364595661632301</v>
      </c>
      <c r="K79" s="3">
        <v>24.261128981451801</v>
      </c>
      <c r="L79" s="3">
        <v>22.658279939274799</v>
      </c>
      <c r="M79" s="3">
        <v>16.3449573886579</v>
      </c>
      <c r="N79" s="3">
        <v>18.957251857329702</v>
      </c>
    </row>
    <row r="80" spans="1:14" x14ac:dyDescent="0.35">
      <c r="A80" s="2">
        <v>44152</v>
      </c>
      <c r="B80" s="3">
        <v>36.346482315550404</v>
      </c>
      <c r="C80" s="3">
        <v>21.5844616418633</v>
      </c>
      <c r="D80" s="3">
        <v>19.479401133889901</v>
      </c>
      <c r="E80" s="3">
        <v>20.727107067270602</v>
      </c>
      <c r="F80" s="3">
        <v>22.230507918245301</v>
      </c>
      <c r="G80" s="3">
        <v>21.3789677817742</v>
      </c>
      <c r="H80" s="3">
        <v>18.510421540775301</v>
      </c>
      <c r="I80" s="3">
        <v>32.159132101280797</v>
      </c>
      <c r="J80" s="3">
        <v>25.038270595662802</v>
      </c>
      <c r="K80" s="3">
        <v>27.297200497296899</v>
      </c>
      <c r="L80" s="3">
        <v>24.725016801465401</v>
      </c>
      <c r="M80" s="3">
        <v>16.6105941775267</v>
      </c>
      <c r="N80" s="3">
        <v>21.683885190798598</v>
      </c>
    </row>
    <row r="81" spans="1:14" x14ac:dyDescent="0.35">
      <c r="A81" s="2">
        <v>44182</v>
      </c>
      <c r="B81" s="3">
        <v>36.919321585482699</v>
      </c>
      <c r="C81" s="3">
        <v>23.063578895599701</v>
      </c>
      <c r="D81" s="3">
        <v>20.415142043096999</v>
      </c>
      <c r="E81" s="3">
        <v>21.6467114574695</v>
      </c>
      <c r="F81" s="3">
        <v>23.018484884332899</v>
      </c>
      <c r="G81" s="3">
        <v>21.5183398800901</v>
      </c>
      <c r="H81" s="3">
        <v>19.580657965453899</v>
      </c>
      <c r="I81" s="3">
        <v>34.857338551374198</v>
      </c>
      <c r="J81" s="3">
        <v>26.326302328534599</v>
      </c>
      <c r="K81" s="3">
        <v>28.319516879248098</v>
      </c>
      <c r="L81" s="3">
        <v>26.637821888900898</v>
      </c>
      <c r="M81" s="3">
        <v>17.1325520542898</v>
      </c>
      <c r="N81" s="3">
        <v>22.759885662996901</v>
      </c>
    </row>
    <row r="82" spans="1:14" x14ac:dyDescent="0.35">
      <c r="A82" s="2">
        <v>44211</v>
      </c>
      <c r="B82" s="3">
        <v>37.458280017736598</v>
      </c>
      <c r="C82" s="3">
        <v>23.257172696768901</v>
      </c>
      <c r="D82" s="3">
        <v>21.080439758426898</v>
      </c>
      <c r="E82" s="3">
        <v>21.864544955894701</v>
      </c>
      <c r="F82" s="3">
        <v>23.974536877558702</v>
      </c>
      <c r="G82" s="3">
        <v>21.973984026871399</v>
      </c>
      <c r="H82" s="3">
        <v>20.2047061127445</v>
      </c>
      <c r="I82" s="3">
        <v>34.709958465709803</v>
      </c>
      <c r="J82" s="3">
        <v>27.128753878498699</v>
      </c>
      <c r="K82" s="3">
        <v>28.7166772036827</v>
      </c>
      <c r="L82" s="3">
        <v>28.286081415152001</v>
      </c>
      <c r="M82" s="3">
        <v>18.549184113613599</v>
      </c>
      <c r="N82" s="3">
        <v>23.317799800399399</v>
      </c>
    </row>
    <row r="83" spans="1:14" x14ac:dyDescent="0.35">
      <c r="A83" s="2">
        <v>44244</v>
      </c>
      <c r="B83" s="3">
        <v>35.150703261589904</v>
      </c>
      <c r="C83" s="3">
        <v>22.901833408918701</v>
      </c>
      <c r="D83" s="3">
        <v>20.782075357739501</v>
      </c>
      <c r="E83" s="3">
        <v>21.256168975716601</v>
      </c>
      <c r="F83" s="3">
        <v>23.7733676574551</v>
      </c>
      <c r="G83" s="3">
        <v>21.055641531068801</v>
      </c>
      <c r="H83" s="3">
        <v>19.800630605376099</v>
      </c>
      <c r="I83" s="3">
        <v>35.239403424042401</v>
      </c>
      <c r="J83" s="3">
        <v>27.325480720797501</v>
      </c>
      <c r="K83" s="3">
        <v>27.6311689415957</v>
      </c>
      <c r="L83" s="3">
        <v>29.9468986408584</v>
      </c>
      <c r="M83" s="3">
        <v>17.548259831121001</v>
      </c>
      <c r="N83" s="3">
        <v>20.298101982342601</v>
      </c>
    </row>
    <row r="84" spans="1:14" x14ac:dyDescent="0.35">
      <c r="A84" s="2">
        <v>44272</v>
      </c>
      <c r="B84" s="3">
        <v>34.573242232752797</v>
      </c>
      <c r="C84" s="3">
        <v>21.603119631060299</v>
      </c>
      <c r="D84" s="3">
        <v>19.8220533830481</v>
      </c>
      <c r="E84" s="3">
        <v>20.1772275895398</v>
      </c>
      <c r="F84" s="3">
        <v>21.544051040224598</v>
      </c>
      <c r="G84" s="3">
        <v>20.460582488564</v>
      </c>
      <c r="H84" s="3">
        <v>18.571494991840499</v>
      </c>
      <c r="I84" s="3">
        <v>32.792203415394297</v>
      </c>
      <c r="J84" s="3">
        <v>26.1831768615512</v>
      </c>
      <c r="K84" s="3">
        <v>26.710198895970802</v>
      </c>
      <c r="L84" s="3">
        <v>28.677368305224899</v>
      </c>
      <c r="M84" s="3">
        <v>17.963315590427101</v>
      </c>
      <c r="N84" s="3">
        <v>20.060453415729398</v>
      </c>
    </row>
    <row r="85" spans="1:14" x14ac:dyDescent="0.35">
      <c r="A85" s="2">
        <v>44302</v>
      </c>
      <c r="B85" s="3">
        <v>34.525060215616101</v>
      </c>
      <c r="C85" s="3">
        <v>21.272406053701999</v>
      </c>
      <c r="D85" s="3">
        <v>19.472701126388898</v>
      </c>
      <c r="E85" s="3">
        <v>19.907488828686901</v>
      </c>
      <c r="F85" s="3">
        <v>21.115110137027902</v>
      </c>
      <c r="G85" s="3">
        <v>20.649610022204101</v>
      </c>
      <c r="H85" s="3">
        <v>18.026734447399601</v>
      </c>
      <c r="I85" s="3">
        <v>32.933143288728999</v>
      </c>
      <c r="J85" s="3">
        <v>25.995465340946399</v>
      </c>
      <c r="K85" s="3">
        <v>25.938865308959599</v>
      </c>
      <c r="L85" s="3">
        <v>28.454542573119198</v>
      </c>
      <c r="M85" s="3">
        <v>18.492755587498898</v>
      </c>
      <c r="N85" s="3">
        <v>19.513641063496198</v>
      </c>
    </row>
    <row r="86" spans="1:14" x14ac:dyDescent="0.35">
      <c r="A86" s="2">
        <v>44333</v>
      </c>
      <c r="B86" s="3">
        <v>34.732157940793201</v>
      </c>
      <c r="C86" s="3">
        <v>20.720808403585099</v>
      </c>
      <c r="D86" s="3">
        <v>18.970221853597501</v>
      </c>
      <c r="E86" s="3">
        <v>19.005518469296401</v>
      </c>
      <c r="F86" s="3">
        <v>20.263554684325399</v>
      </c>
      <c r="G86" s="3">
        <v>20.4492500462948</v>
      </c>
      <c r="H86" s="3">
        <v>17.3830451346406</v>
      </c>
      <c r="I86" s="3">
        <v>31.451387841551199</v>
      </c>
      <c r="J86" s="3">
        <v>25.2433484996277</v>
      </c>
      <c r="K86" s="3">
        <v>24.9062225769901</v>
      </c>
      <c r="L86" s="3">
        <v>27.274377722608101</v>
      </c>
      <c r="M86" s="3">
        <v>17.466168279152399</v>
      </c>
      <c r="N86" s="3">
        <v>18.733910477727701</v>
      </c>
    </row>
    <row r="87" spans="1:14" x14ac:dyDescent="0.35">
      <c r="A87" s="2">
        <v>44364</v>
      </c>
      <c r="B87" s="3">
        <v>35.7060545658777</v>
      </c>
      <c r="C87" s="3">
        <v>20.544362751613001</v>
      </c>
      <c r="D87" s="3">
        <v>18.671255977695701</v>
      </c>
      <c r="E87" s="3">
        <v>18.6587932412315</v>
      </c>
      <c r="F87" s="3">
        <v>20.062867731237901</v>
      </c>
      <c r="G87" s="3">
        <v>20.924648191285002</v>
      </c>
      <c r="H87" s="3">
        <v>16.858914409566701</v>
      </c>
      <c r="I87" s="3">
        <v>31.631718552299098</v>
      </c>
      <c r="J87" s="3">
        <v>24.846275445688502</v>
      </c>
      <c r="K87" s="3">
        <v>24.321361816744599</v>
      </c>
      <c r="L87" s="3">
        <v>26.976412615867101</v>
      </c>
      <c r="M87" s="3">
        <v>17.943939355694798</v>
      </c>
      <c r="N87" s="3">
        <v>18.411026523238501</v>
      </c>
    </row>
    <row r="88" spans="1:14" x14ac:dyDescent="0.35">
      <c r="A88" s="2">
        <v>44393</v>
      </c>
      <c r="B88" s="3">
        <v>36.484100747311203</v>
      </c>
      <c r="C88" s="3">
        <v>19.4227864908401</v>
      </c>
      <c r="D88" s="3">
        <v>18.015286234245199</v>
      </c>
      <c r="E88" s="3">
        <v>17.962411156369601</v>
      </c>
      <c r="F88" s="3">
        <v>19.427884596661801</v>
      </c>
      <c r="G88" s="3">
        <v>20.952768317510898</v>
      </c>
      <c r="H88" s="3">
        <v>15.8730767831742</v>
      </c>
      <c r="I88" s="3">
        <v>31.808256580158499</v>
      </c>
      <c r="J88" s="3">
        <v>24.550995827290599</v>
      </c>
      <c r="K88" s="3">
        <v>22.882018913996902</v>
      </c>
      <c r="L88" s="3">
        <v>26.2391934668936</v>
      </c>
      <c r="M88" s="3">
        <v>17.744388291336598</v>
      </c>
      <c r="N88" s="3">
        <v>17.489081593940799</v>
      </c>
    </row>
    <row r="89" spans="1:14" x14ac:dyDescent="0.35">
      <c r="A89" s="2">
        <v>44425</v>
      </c>
      <c r="B89" s="3">
        <v>36.8726785625568</v>
      </c>
      <c r="C89" s="3">
        <v>19.178745298251599</v>
      </c>
      <c r="D89" s="3">
        <v>17.417895143611801</v>
      </c>
      <c r="E89" s="3">
        <v>17.204916765336201</v>
      </c>
      <c r="F89" s="3">
        <v>18.573520115637098</v>
      </c>
      <c r="G89" s="3">
        <v>21.249531030393801</v>
      </c>
      <c r="H89" s="3">
        <v>15.1048899664845</v>
      </c>
      <c r="I89" s="3">
        <v>31.124802591036801</v>
      </c>
      <c r="J89" s="3">
        <v>23.9878032694856</v>
      </c>
      <c r="K89" s="3">
        <v>21.685310901123898</v>
      </c>
      <c r="L89" s="3">
        <v>25.936386039571602</v>
      </c>
      <c r="M89" s="3">
        <v>17.529032810294801</v>
      </c>
      <c r="N89" s="3">
        <v>16.170035547643302</v>
      </c>
    </row>
    <row r="90" spans="1:14" x14ac:dyDescent="0.35">
      <c r="A90" s="2">
        <v>44456</v>
      </c>
      <c r="B90" s="3">
        <v>38.793350257311303</v>
      </c>
      <c r="C90" s="3">
        <v>18.716813668114799</v>
      </c>
      <c r="D90" s="3">
        <v>16.804223906285699</v>
      </c>
      <c r="E90" s="3">
        <v>16.3896357364526</v>
      </c>
      <c r="F90" s="3">
        <v>18.754623782780801</v>
      </c>
      <c r="G90" s="3">
        <v>20.5528427778215</v>
      </c>
      <c r="H90" s="3">
        <v>14.1489646210826</v>
      </c>
      <c r="I90" s="3">
        <v>31.228698409771901</v>
      </c>
      <c r="J90" s="3">
        <v>23.491480860560198</v>
      </c>
      <c r="K90" s="3">
        <v>20.262328030901301</v>
      </c>
      <c r="L90" s="3">
        <v>25.4324964573599</v>
      </c>
      <c r="M90" s="3">
        <v>17.375519546739699</v>
      </c>
      <c r="N90" s="3">
        <v>14.998485144433699</v>
      </c>
    </row>
    <row r="91" spans="1:14" x14ac:dyDescent="0.35">
      <c r="A91" s="2">
        <v>44484</v>
      </c>
      <c r="B91" s="3">
        <v>38.600490266068597</v>
      </c>
      <c r="C91" s="3">
        <v>18.719751679529999</v>
      </c>
      <c r="D91" s="3">
        <v>16.721190578079501</v>
      </c>
      <c r="E91" s="3">
        <v>16.013608688576099</v>
      </c>
      <c r="F91" s="3">
        <v>17.867652723860399</v>
      </c>
      <c r="G91" s="3">
        <v>20.4932502600136</v>
      </c>
      <c r="H91" s="3">
        <v>13.9507118269074</v>
      </c>
      <c r="I91" s="3">
        <v>30.697854874413</v>
      </c>
      <c r="J91" s="3">
        <v>23.1830221169553</v>
      </c>
      <c r="K91" s="3">
        <v>19.307938100420799</v>
      </c>
      <c r="L91" s="3">
        <v>24.503395000669201</v>
      </c>
      <c r="M91" s="3">
        <v>17.458674542208801</v>
      </c>
      <c r="N91" s="3">
        <v>14.4903992555711</v>
      </c>
    </row>
    <row r="92" spans="1:14" x14ac:dyDescent="0.35">
      <c r="A92" s="2">
        <v>44517</v>
      </c>
      <c r="B92" s="3">
        <v>38.654213378300597</v>
      </c>
      <c r="C92" s="3">
        <v>18.072727246617202</v>
      </c>
      <c r="D92" s="3">
        <v>16.445975149523701</v>
      </c>
      <c r="E92" s="3">
        <v>15.3608455163979</v>
      </c>
      <c r="F92" s="3">
        <v>17.503163921215702</v>
      </c>
      <c r="G92" s="3">
        <v>21.065688425187201</v>
      </c>
      <c r="H92" s="3">
        <v>13.142814706443</v>
      </c>
      <c r="I92" s="3">
        <v>32.067840819356903</v>
      </c>
      <c r="J92" s="3">
        <v>23.3610213266677</v>
      </c>
      <c r="K92" s="3">
        <v>18.574817562809798</v>
      </c>
      <c r="L92" s="3">
        <v>24.502447573784</v>
      </c>
      <c r="M92" s="3">
        <v>16.826005059496399</v>
      </c>
      <c r="N92" s="3">
        <v>13.812856564304401</v>
      </c>
    </row>
    <row r="93" spans="1:14" x14ac:dyDescent="0.35">
      <c r="A93" s="2">
        <v>44547</v>
      </c>
      <c r="B93" s="3">
        <v>38.368535798664702</v>
      </c>
      <c r="C93" s="3">
        <v>17.595373991347401</v>
      </c>
      <c r="D93" s="3">
        <v>15.3815597773545</v>
      </c>
      <c r="E93" s="3">
        <v>14.163211730060899</v>
      </c>
      <c r="F93" s="3">
        <v>16.309940421874298</v>
      </c>
      <c r="G93" s="3">
        <v>21.234487260488901</v>
      </c>
      <c r="H93" s="3">
        <v>12.362211897457399</v>
      </c>
      <c r="I93" s="3">
        <v>30.859014005554201</v>
      </c>
      <c r="J93" s="3">
        <v>22.6499125521586</v>
      </c>
      <c r="K93" s="3">
        <v>17.103461368621002</v>
      </c>
      <c r="L93" s="3">
        <v>22.1467288430275</v>
      </c>
      <c r="M93" s="3">
        <v>16.157309808063399</v>
      </c>
      <c r="N93" s="3">
        <v>12.119747027398599</v>
      </c>
    </row>
    <row r="94" spans="1:14" x14ac:dyDescent="0.35">
      <c r="A94" s="2">
        <v>44575</v>
      </c>
      <c r="B94" s="3">
        <v>38.129272964544597</v>
      </c>
      <c r="C94" s="3">
        <v>17.698889495439101</v>
      </c>
      <c r="D94" s="3">
        <v>15.5671639505639</v>
      </c>
      <c r="E94" s="3">
        <v>14.0934204288255</v>
      </c>
      <c r="F94" s="3">
        <v>15.8660227320337</v>
      </c>
      <c r="G94" s="3">
        <v>20.8293094697787</v>
      </c>
      <c r="H94" s="3">
        <v>12.7048407343751</v>
      </c>
      <c r="I94" s="3">
        <v>30.390409047821599</v>
      </c>
      <c r="J94" s="3">
        <v>22.607789475718398</v>
      </c>
      <c r="K94" s="3">
        <v>16.977069020687399</v>
      </c>
      <c r="L94" s="3">
        <v>21.820992227686698</v>
      </c>
      <c r="M94" s="3">
        <v>15.8856714043028</v>
      </c>
      <c r="N94" s="3">
        <v>12.125775004066099</v>
      </c>
    </row>
    <row r="95" spans="1:14" x14ac:dyDescent="0.35">
      <c r="A95" s="2">
        <v>44609</v>
      </c>
      <c r="B95" s="3">
        <v>36.424816845563299</v>
      </c>
      <c r="C95" s="3">
        <v>16.3041710533683</v>
      </c>
      <c r="D95" s="3">
        <v>15.319389696654699</v>
      </c>
      <c r="E95" s="3">
        <v>13.4589519246612</v>
      </c>
      <c r="F95" s="3">
        <v>15.0780698342415</v>
      </c>
      <c r="G95" s="3">
        <v>18.5030861439555</v>
      </c>
      <c r="H95" s="3">
        <v>12.729671190422099</v>
      </c>
      <c r="I95" s="3">
        <v>26.674878473757001</v>
      </c>
      <c r="J95" s="3">
        <v>20.828084457448298</v>
      </c>
      <c r="K95" s="3">
        <v>16.173868759101701</v>
      </c>
      <c r="L95" s="3">
        <v>19.1428738066021</v>
      </c>
      <c r="M95" s="3">
        <v>12.0195886995041</v>
      </c>
      <c r="N95" s="3">
        <v>11.631980734284699</v>
      </c>
    </row>
    <row r="96" spans="1:14" x14ac:dyDescent="0.35">
      <c r="A96" s="2">
        <v>44637</v>
      </c>
      <c r="B96" s="3">
        <v>35.036281594819101</v>
      </c>
      <c r="C96" s="3">
        <v>15.734791645655401</v>
      </c>
      <c r="D96" s="3">
        <v>15.134875848254</v>
      </c>
      <c r="E96" s="3">
        <v>12.486797700509699</v>
      </c>
      <c r="F96" s="3">
        <v>14.607088277073199</v>
      </c>
      <c r="G96" s="3">
        <v>18.5090212131967</v>
      </c>
      <c r="H96" s="3">
        <v>12.445250131900099</v>
      </c>
      <c r="I96" s="3">
        <v>26.574051195513501</v>
      </c>
      <c r="J96" s="3">
        <v>20.647251364183099</v>
      </c>
      <c r="K96" s="3">
        <v>15.373364399287899</v>
      </c>
      <c r="L96" s="3">
        <v>18.392542735922198</v>
      </c>
      <c r="M96" s="3">
        <v>11.949845618030899</v>
      </c>
      <c r="N96" s="3">
        <v>10.5591860190705</v>
      </c>
    </row>
    <row r="97" spans="1:14" x14ac:dyDescent="0.35">
      <c r="A97" s="2">
        <v>44665</v>
      </c>
      <c r="B97" s="3">
        <v>34.4962054461311</v>
      </c>
      <c r="C97" s="3">
        <v>15.662555774154299</v>
      </c>
      <c r="D97" s="3">
        <v>14.9320499078101</v>
      </c>
      <c r="E97" s="3">
        <v>12.3439781009498</v>
      </c>
      <c r="F97" s="3">
        <v>14.480912000116399</v>
      </c>
      <c r="G97" s="3">
        <v>18.6824282663476</v>
      </c>
      <c r="H97" s="3">
        <v>12.245860588015701</v>
      </c>
      <c r="I97" s="3">
        <v>26.337275148012399</v>
      </c>
      <c r="J97" s="3">
        <v>20.455318907804902</v>
      </c>
      <c r="K97" s="3">
        <v>15.0699557672355</v>
      </c>
      <c r="L97" s="3">
        <v>18.423579924086901</v>
      </c>
      <c r="M97" s="3">
        <v>12.2045469583265</v>
      </c>
      <c r="N97" s="3">
        <v>10.5267190562693</v>
      </c>
    </row>
    <row r="98" spans="1:14" x14ac:dyDescent="0.35">
      <c r="A98" s="2">
        <v>44698</v>
      </c>
      <c r="B98" s="3">
        <v>33.903044138204898</v>
      </c>
      <c r="C98" s="3">
        <v>15.0917002706388</v>
      </c>
      <c r="D98" s="3">
        <v>14.359026630687</v>
      </c>
      <c r="E98" s="3">
        <v>12.108720752627001</v>
      </c>
      <c r="F98" s="3">
        <v>14.195643128351</v>
      </c>
      <c r="G98" s="3">
        <v>18.205554574823399</v>
      </c>
      <c r="H98" s="3">
        <v>11.8078201829279</v>
      </c>
      <c r="I98" s="3">
        <v>25.432046498698501</v>
      </c>
      <c r="J98" s="3">
        <v>19.788433634182901</v>
      </c>
      <c r="K98" s="3">
        <v>14.5260570215891</v>
      </c>
      <c r="L98" s="3">
        <v>18.3842417172457</v>
      </c>
      <c r="M98" s="3">
        <v>13.406856765756601</v>
      </c>
      <c r="N98" s="3">
        <v>10.150814589312301</v>
      </c>
    </row>
    <row r="99" spans="1:14" x14ac:dyDescent="0.35">
      <c r="A99" s="2">
        <v>44729</v>
      </c>
      <c r="B99" s="3">
        <v>32.712180048397499</v>
      </c>
      <c r="C99" s="3">
        <v>14.1163854541898</v>
      </c>
      <c r="D99" s="3">
        <v>13.6027472027309</v>
      </c>
      <c r="E99" s="3">
        <v>11.6165419685536</v>
      </c>
      <c r="F99" s="3">
        <v>13.837945131864799</v>
      </c>
      <c r="G99" s="3">
        <v>17.355695866335498</v>
      </c>
      <c r="H99" s="3">
        <v>11.204711850340701</v>
      </c>
      <c r="I99" s="3">
        <v>24.014463307094001</v>
      </c>
      <c r="J99" s="3">
        <v>18.661765935611299</v>
      </c>
      <c r="K99" s="3">
        <v>13.691142989250199</v>
      </c>
      <c r="L99" s="3">
        <v>17.708994767487301</v>
      </c>
      <c r="M99" s="3">
        <v>13.104887206913499</v>
      </c>
      <c r="N99" s="3">
        <v>9.5022669575248404</v>
      </c>
    </row>
    <row r="100" spans="1:14" x14ac:dyDescent="0.35">
      <c r="A100" s="2">
        <v>44757</v>
      </c>
      <c r="B100" s="3">
        <v>33.010111153358601</v>
      </c>
      <c r="C100" s="3">
        <v>14.018667418019</v>
      </c>
      <c r="D100" s="3">
        <v>13.0431998914239</v>
      </c>
      <c r="E100" s="3">
        <v>11.3000117278324</v>
      </c>
      <c r="F100" s="3">
        <v>13.8332694408473</v>
      </c>
      <c r="G100" s="3">
        <v>17.726267482621601</v>
      </c>
      <c r="H100" s="3">
        <v>10.9066420045079</v>
      </c>
      <c r="I100" s="3">
        <v>24.4076559125043</v>
      </c>
      <c r="J100" s="3">
        <v>18.754863949650801</v>
      </c>
      <c r="K100" s="3">
        <v>13.3054628836947</v>
      </c>
      <c r="L100" s="3">
        <v>18.265676286800499</v>
      </c>
      <c r="M100" s="3">
        <v>13.7592683694628</v>
      </c>
      <c r="N100" s="3">
        <v>9.0533648007963894</v>
      </c>
    </row>
    <row r="101" spans="1:14" x14ac:dyDescent="0.35">
      <c r="A101" s="2">
        <v>44790</v>
      </c>
      <c r="B101" s="3">
        <v>33.901143856956402</v>
      </c>
      <c r="C101" s="3">
        <v>14.603572357185699</v>
      </c>
      <c r="D101" s="3">
        <v>13.316311498992899</v>
      </c>
      <c r="E101" s="3">
        <v>11.195209193693</v>
      </c>
      <c r="F101" s="3">
        <v>14.137706889896499</v>
      </c>
      <c r="G101" s="3">
        <v>18.276739075788601</v>
      </c>
      <c r="H101" s="3">
        <v>10.766913378875101</v>
      </c>
      <c r="I101" s="3">
        <v>26.3110007951983</v>
      </c>
      <c r="J101" s="3">
        <v>19.655626666893198</v>
      </c>
      <c r="K101" s="3">
        <v>13.1453095282848</v>
      </c>
      <c r="L101" s="3">
        <v>19.6261745771987</v>
      </c>
      <c r="M101" s="3">
        <v>14.9081659295533</v>
      </c>
      <c r="N101" s="3">
        <v>8.6793490735081207</v>
      </c>
    </row>
    <row r="102" spans="1:14" x14ac:dyDescent="0.35">
      <c r="A102" s="2">
        <v>44820</v>
      </c>
      <c r="B102" s="3">
        <v>33.735782992823502</v>
      </c>
      <c r="C102" s="3">
        <v>13.797663754172801</v>
      </c>
      <c r="D102" s="3">
        <v>12.712329746086599</v>
      </c>
      <c r="E102" s="3">
        <v>10.6291626951989</v>
      </c>
      <c r="F102" s="3">
        <v>13.5805908542134</v>
      </c>
      <c r="G102" s="3">
        <v>17.562442883847499</v>
      </c>
      <c r="H102" s="3">
        <v>10.036706158979699</v>
      </c>
      <c r="I102" s="3">
        <v>24.0252426063436</v>
      </c>
      <c r="J102" s="3">
        <v>18.261689613059701</v>
      </c>
      <c r="K102" s="3">
        <v>12.2383060053671</v>
      </c>
      <c r="L102" s="3">
        <v>18.0711075889628</v>
      </c>
      <c r="M102" s="3">
        <v>14.533238384976199</v>
      </c>
      <c r="N102" s="3">
        <v>8.42534118953348</v>
      </c>
    </row>
    <row r="103" spans="1:14" x14ac:dyDescent="0.35">
      <c r="A103" s="2">
        <v>44851</v>
      </c>
      <c r="B103" s="3">
        <v>30.925011728186298</v>
      </c>
      <c r="C103" s="3">
        <v>13.240862115132201</v>
      </c>
      <c r="D103" s="3">
        <v>12.102343239680399</v>
      </c>
      <c r="E103" s="3">
        <v>10.2289812249329</v>
      </c>
      <c r="F103" s="3">
        <v>13.0829131957019</v>
      </c>
      <c r="G103" s="3">
        <v>17.273992959900699</v>
      </c>
      <c r="H103" s="3">
        <v>9.5019238198000195</v>
      </c>
      <c r="I103" s="3">
        <v>22.6911908183801</v>
      </c>
      <c r="J103" s="3">
        <v>17.440175607403201</v>
      </c>
      <c r="K103" s="3">
        <v>11.6531556870604</v>
      </c>
      <c r="L103" s="3">
        <v>16.994657388331799</v>
      </c>
      <c r="M103" s="3">
        <v>14.963751215649999</v>
      </c>
      <c r="N103" s="3">
        <v>7.9875925776952901</v>
      </c>
    </row>
    <row r="104" spans="1:14" x14ac:dyDescent="0.35">
      <c r="A104" s="2">
        <v>44882</v>
      </c>
      <c r="B104" s="3">
        <v>30.269457475606998</v>
      </c>
      <c r="C104" s="3">
        <v>14.1110240598228</v>
      </c>
      <c r="D104" s="3">
        <v>12.562924851119201</v>
      </c>
      <c r="E104" s="3">
        <v>11.0575220932708</v>
      </c>
      <c r="F104" s="3">
        <v>13.5279969468085</v>
      </c>
      <c r="G104" s="3">
        <v>19.365557615658901</v>
      </c>
      <c r="H104" s="3">
        <v>9.6607592496419397</v>
      </c>
      <c r="I104" s="3">
        <v>23.628065587392499</v>
      </c>
      <c r="J104" s="3">
        <v>18.237996464595799</v>
      </c>
      <c r="K104" s="3">
        <v>12.0911482630645</v>
      </c>
      <c r="L104" s="3">
        <v>18.422854617680699</v>
      </c>
      <c r="M104" s="3">
        <v>13.9191007776594</v>
      </c>
      <c r="N104" s="3">
        <v>8.2556400908803695</v>
      </c>
    </row>
    <row r="105" spans="1:14" x14ac:dyDescent="0.35">
      <c r="A105" s="2">
        <v>44911</v>
      </c>
      <c r="B105" s="3">
        <v>29.579550773352501</v>
      </c>
      <c r="C105" s="3">
        <v>13.982139251915999</v>
      </c>
      <c r="D105" s="3">
        <v>12.194192129104</v>
      </c>
      <c r="E105" s="3">
        <v>10.449496023449999</v>
      </c>
      <c r="F105" s="3">
        <v>13.270036629343499</v>
      </c>
      <c r="G105" s="3">
        <v>20.0034162188729</v>
      </c>
      <c r="H105" s="3">
        <v>9.5758958762701507</v>
      </c>
      <c r="I105" s="3">
        <v>22.486196062873201</v>
      </c>
      <c r="J105" s="3">
        <v>17.5851735716234</v>
      </c>
      <c r="K105" s="3">
        <v>11.627975895998</v>
      </c>
      <c r="L105" s="3">
        <v>18.016629335335399</v>
      </c>
      <c r="M105" s="3">
        <v>15.2739553195544</v>
      </c>
      <c r="N105" s="3">
        <v>7.4757163263452</v>
      </c>
    </row>
    <row r="106" spans="1:14" x14ac:dyDescent="0.35">
      <c r="A106" s="2">
        <v>44943</v>
      </c>
      <c r="B106" s="3">
        <v>29.952463314644501</v>
      </c>
      <c r="C106" s="3">
        <v>14.683040526049901</v>
      </c>
      <c r="D106" s="3">
        <v>12.6912271524352</v>
      </c>
      <c r="E106" s="3">
        <v>11.4646115603579</v>
      </c>
      <c r="F106" s="3">
        <v>12.908150669044399</v>
      </c>
      <c r="G106" s="3">
        <v>21.5017078804268</v>
      </c>
      <c r="H106" s="3">
        <v>10.2561824527016</v>
      </c>
      <c r="I106" s="3">
        <v>23.949376656456799</v>
      </c>
      <c r="J106" s="3">
        <v>18.1014478908893</v>
      </c>
      <c r="K106" s="3">
        <v>12.702595422755101</v>
      </c>
      <c r="L106" s="3">
        <v>19.474150234661899</v>
      </c>
      <c r="M106" s="3">
        <v>16.6564398417921</v>
      </c>
      <c r="N106" s="3">
        <v>8.0899244577458003</v>
      </c>
    </row>
    <row r="107" spans="1:14" x14ac:dyDescent="0.35">
      <c r="A107" s="2">
        <v>44974</v>
      </c>
      <c r="B107" s="3">
        <v>30.178710464723402</v>
      </c>
      <c r="C107" s="3">
        <v>14.4395982576794</v>
      </c>
      <c r="D107" s="3">
        <v>12.7472612003568</v>
      </c>
      <c r="E107" s="3">
        <v>11.6298046011716</v>
      </c>
      <c r="F107" s="3">
        <v>13.561323137537901</v>
      </c>
      <c r="G107" s="3">
        <v>21.3325768443549</v>
      </c>
      <c r="H107" s="3">
        <v>10.3364301582561</v>
      </c>
      <c r="I107" s="3">
        <v>25.728724399580901</v>
      </c>
      <c r="J107" s="3">
        <v>18.524231215826099</v>
      </c>
      <c r="K107" s="3">
        <v>13.052499136238</v>
      </c>
      <c r="L107" s="3">
        <v>21.425593276408598</v>
      </c>
      <c r="M107" s="3">
        <v>26.201400954842001</v>
      </c>
      <c r="N107" s="3">
        <v>8.3801154228642805</v>
      </c>
    </row>
    <row r="108" spans="1:14" x14ac:dyDescent="0.35">
      <c r="A108" s="2">
        <v>45002</v>
      </c>
      <c r="B108" s="3">
        <v>29.074110841049801</v>
      </c>
      <c r="C108" s="3">
        <v>14.159925189683699</v>
      </c>
      <c r="D108" s="3">
        <v>12.4963225690679</v>
      </c>
      <c r="E108" s="3">
        <v>11.2444887599476</v>
      </c>
      <c r="F108" s="3">
        <v>13.5882860248163</v>
      </c>
      <c r="G108" s="3">
        <v>20.3872833746677</v>
      </c>
      <c r="H108" s="3">
        <v>10.1241143958047</v>
      </c>
      <c r="I108" s="3">
        <v>25.3557605241914</v>
      </c>
      <c r="J108" s="3">
        <v>17.9933581288842</v>
      </c>
      <c r="K108" s="3">
        <v>12.8072454475983</v>
      </c>
      <c r="L108" s="3">
        <v>20.320171851637301</v>
      </c>
      <c r="M108" s="3">
        <v>24.827980488535701</v>
      </c>
      <c r="N108" s="3">
        <v>8.1808952022811301</v>
      </c>
    </row>
    <row r="109" spans="1:14" x14ac:dyDescent="0.35">
      <c r="A109" s="2">
        <v>45033</v>
      </c>
      <c r="B109" s="3">
        <v>28.639703448860899</v>
      </c>
      <c r="C109" s="3">
        <v>14.361764592822199</v>
      </c>
      <c r="D109" s="3">
        <v>12.7906102440118</v>
      </c>
      <c r="E109" s="3">
        <v>11.4204405353246</v>
      </c>
      <c r="F109" s="3">
        <v>13.708287946358499</v>
      </c>
      <c r="G109" s="3">
        <v>20.3622821297262</v>
      </c>
      <c r="H109" s="3">
        <v>10.395829033453699</v>
      </c>
      <c r="I109" s="3">
        <v>25.675292728060601</v>
      </c>
      <c r="J109" s="3">
        <v>18.316479848878402</v>
      </c>
      <c r="K109" s="3">
        <v>13.134668830585399</v>
      </c>
      <c r="L109" s="3">
        <v>20.098052460479298</v>
      </c>
      <c r="M109" s="3">
        <v>23.825955494344399</v>
      </c>
      <c r="N109" s="3">
        <v>8.3872209903533008</v>
      </c>
    </row>
    <row r="110" spans="1:14" x14ac:dyDescent="0.35">
      <c r="A110" s="2">
        <v>45063</v>
      </c>
      <c r="B110" s="3">
        <v>28.177973498893799</v>
      </c>
      <c r="C110" s="3">
        <v>14.3056177334526</v>
      </c>
      <c r="D110" s="3">
        <v>12.847234686804899</v>
      </c>
      <c r="E110" s="3">
        <v>11.3067625377501</v>
      </c>
      <c r="F110" s="3">
        <v>13.9975284850973</v>
      </c>
      <c r="G110" s="3">
        <v>20.062574169007998</v>
      </c>
      <c r="H110" s="3">
        <v>10.3347998465907</v>
      </c>
      <c r="I110" s="3">
        <v>25.9375366732652</v>
      </c>
      <c r="J110" s="3">
        <v>18.3627662200069</v>
      </c>
      <c r="K110" s="3">
        <v>13.1382377439744</v>
      </c>
      <c r="L110" s="3">
        <v>19.5820923823612</v>
      </c>
      <c r="M110" s="3">
        <v>22.5585219672375</v>
      </c>
      <c r="N110" s="3">
        <v>8.2636039451784402</v>
      </c>
    </row>
    <row r="111" spans="1:14" x14ac:dyDescent="0.35">
      <c r="A111" s="2">
        <v>45093</v>
      </c>
      <c r="B111" s="3">
        <v>26.361675750622499</v>
      </c>
      <c r="C111" s="3">
        <v>14.609150174102099</v>
      </c>
      <c r="D111" s="3">
        <v>12.938846330369399</v>
      </c>
      <c r="E111" s="3">
        <v>11.355936032989799</v>
      </c>
      <c r="F111" s="3">
        <v>14.560304026931901</v>
      </c>
      <c r="G111" s="3">
        <v>19.503682529699901</v>
      </c>
      <c r="H111" s="3">
        <v>10.398479203666</v>
      </c>
      <c r="I111" s="3">
        <v>27.1852121166581</v>
      </c>
      <c r="J111" s="3">
        <v>18.921812698918099</v>
      </c>
      <c r="K111" s="3">
        <v>13.278337623527401</v>
      </c>
      <c r="L111" s="3">
        <v>19.367069291403499</v>
      </c>
      <c r="M111" s="3">
        <v>21.5498496229045</v>
      </c>
      <c r="N111" s="3">
        <v>8.5518814801609899</v>
      </c>
    </row>
    <row r="112" spans="1:14" x14ac:dyDescent="0.35">
      <c r="A112" s="2">
        <v>45124</v>
      </c>
      <c r="B112" s="3">
        <v>25.685721825793699</v>
      </c>
      <c r="C112" s="3">
        <v>14.8552146046573</v>
      </c>
      <c r="D112" s="3">
        <v>13.276103316612399</v>
      </c>
      <c r="E112" s="3">
        <v>11.261015195976499</v>
      </c>
      <c r="F112" s="3">
        <v>14.464967151386</v>
      </c>
      <c r="G112" s="3">
        <v>19.133579690838801</v>
      </c>
      <c r="H112" s="3">
        <v>10.4069561483341</v>
      </c>
      <c r="I112" s="3">
        <v>28.022299822935501</v>
      </c>
      <c r="J112" s="3">
        <v>19.507002259125301</v>
      </c>
      <c r="K112" s="3">
        <v>13.2568872725224</v>
      </c>
      <c r="L112" s="3">
        <v>19.2218239550898</v>
      </c>
      <c r="M112" s="3">
        <v>20.119915641206099</v>
      </c>
      <c r="N112" s="3">
        <v>8.6451703055910691</v>
      </c>
    </row>
    <row r="113" spans="1:25" x14ac:dyDescent="0.35">
      <c r="A113" s="2">
        <v>45155</v>
      </c>
      <c r="B113" s="3">
        <v>24.478401502131099</v>
      </c>
      <c r="C113" s="3">
        <v>14.708263695616001</v>
      </c>
      <c r="D113" s="3">
        <v>13.2557384847899</v>
      </c>
      <c r="E113" s="3">
        <v>11.1428782878648</v>
      </c>
      <c r="F113" s="3">
        <v>14.426158479506901</v>
      </c>
      <c r="G113" s="3">
        <v>18.696418743025301</v>
      </c>
      <c r="H113" s="3">
        <v>10.3754167154221</v>
      </c>
      <c r="I113" s="3">
        <v>25.993518467790398</v>
      </c>
      <c r="J113" s="3">
        <v>19.118598794339299</v>
      </c>
      <c r="K113" s="3">
        <v>13.1403417622359</v>
      </c>
      <c r="L113" s="3">
        <v>17.918962716043499</v>
      </c>
      <c r="M113" s="3">
        <v>18.459369178199498</v>
      </c>
      <c r="N113" s="3">
        <v>8.1430624373750895</v>
      </c>
    </row>
    <row r="114" spans="1:25" x14ac:dyDescent="0.35">
      <c r="A114" s="2">
        <v>45184</v>
      </c>
      <c r="B114" s="3">
        <v>23.995020624976299</v>
      </c>
      <c r="C114" s="3">
        <v>15.1881796580514</v>
      </c>
      <c r="D114" s="3">
        <v>13.784839836177399</v>
      </c>
      <c r="E114" s="3">
        <v>11.291460219293601</v>
      </c>
      <c r="F114" s="3">
        <v>15.272504006998799</v>
      </c>
      <c r="G114" s="3">
        <v>18.870115202280701</v>
      </c>
      <c r="H114" s="3">
        <v>10.718941642621299</v>
      </c>
      <c r="I114" s="3">
        <v>26.490316569760299</v>
      </c>
      <c r="J114" s="3">
        <v>19.466940338877102</v>
      </c>
      <c r="K114" s="3">
        <v>13.347021625020201</v>
      </c>
      <c r="L114" s="3">
        <v>17.286847049467202</v>
      </c>
      <c r="M114" s="3">
        <v>17.4317872338654</v>
      </c>
      <c r="N114" s="3">
        <v>8.4179380415025804</v>
      </c>
    </row>
    <row r="115" spans="1:25" x14ac:dyDescent="0.35">
      <c r="A115" s="2">
        <v>45216</v>
      </c>
      <c r="B115" s="3">
        <v>23.1811494140217</v>
      </c>
      <c r="C115" s="3">
        <v>14.753707929137899</v>
      </c>
      <c r="D115" s="3">
        <v>13.400774186508601</v>
      </c>
      <c r="E115" s="3">
        <v>10.933950711745601</v>
      </c>
      <c r="F115" s="3">
        <v>14.7295213307914</v>
      </c>
      <c r="G115" s="3">
        <v>18.228081426577798</v>
      </c>
      <c r="H115" s="3">
        <v>10.672732920806901</v>
      </c>
      <c r="I115" s="3">
        <v>26.5793201117081</v>
      </c>
      <c r="J115" s="3">
        <v>19.478243164889101</v>
      </c>
      <c r="K115" s="3">
        <v>12.8286787271487</v>
      </c>
      <c r="L115" s="3">
        <v>16.361674652093001</v>
      </c>
      <c r="M115" s="3">
        <v>16.8859655811758</v>
      </c>
      <c r="N115" s="3">
        <v>8.2272649851377704</v>
      </c>
    </row>
    <row r="116" spans="1:25" x14ac:dyDescent="0.35">
      <c r="A116" s="2">
        <v>45247</v>
      </c>
      <c r="B116" s="3">
        <v>22.268153823134501</v>
      </c>
      <c r="C116" s="3">
        <v>15.020775682626001</v>
      </c>
      <c r="D116" s="3">
        <v>13.7244481989154</v>
      </c>
      <c r="E116" s="3">
        <v>11.3990878145322</v>
      </c>
      <c r="F116" s="3">
        <v>15.3470127847729</v>
      </c>
      <c r="G116" s="3">
        <v>17.8846575240681</v>
      </c>
      <c r="H116" s="3">
        <v>10.694860028148501</v>
      </c>
      <c r="I116" s="3">
        <v>27.506618776623998</v>
      </c>
      <c r="J116" s="3">
        <v>20.166861219970301</v>
      </c>
      <c r="K116" s="3">
        <v>13.2551739272244</v>
      </c>
      <c r="L116" s="3">
        <v>16.598834127306901</v>
      </c>
      <c r="M116" s="3">
        <v>15.8744415282001</v>
      </c>
      <c r="N116" s="3">
        <v>8.29273202667747</v>
      </c>
    </row>
    <row r="117" spans="1:25" x14ac:dyDescent="0.35">
      <c r="A117" s="2">
        <v>45275</v>
      </c>
      <c r="B117" s="3">
        <v>23.879227029725499</v>
      </c>
      <c r="C117" s="3">
        <v>16.074966125711398</v>
      </c>
      <c r="D117" s="3">
        <v>14.1944916842496</v>
      </c>
      <c r="E117" s="3">
        <v>11.936229490119199</v>
      </c>
      <c r="F117" s="3">
        <v>15.056848094685799</v>
      </c>
      <c r="G117" s="3">
        <v>18.4568002707754</v>
      </c>
      <c r="H117" s="3">
        <v>11.024405420472</v>
      </c>
      <c r="I117" s="3">
        <v>28.698301183427901</v>
      </c>
      <c r="J117" s="3">
        <v>21.252485810143</v>
      </c>
      <c r="K117" s="3">
        <v>14.0540100476215</v>
      </c>
      <c r="L117" s="3">
        <v>16.992476258048001</v>
      </c>
      <c r="M117" s="3">
        <v>18.240916873097401</v>
      </c>
      <c r="N117" s="3">
        <v>8.8187459936056598</v>
      </c>
    </row>
    <row r="118" spans="1:25" x14ac:dyDescent="0.35">
      <c r="A118" s="2">
        <v>45308</v>
      </c>
      <c r="B118" s="3">
        <v>23.279119460210701</v>
      </c>
      <c r="C118" s="3">
        <v>15.881487921544</v>
      </c>
      <c r="D118" s="3">
        <v>14.4123615849369</v>
      </c>
      <c r="E118" s="3">
        <v>11.6598766351243</v>
      </c>
      <c r="F118" s="3">
        <v>16.221648207411299</v>
      </c>
      <c r="G118" s="3">
        <v>18.1936615844558</v>
      </c>
      <c r="H118" s="3">
        <v>10.965118657304799</v>
      </c>
      <c r="I118" s="3">
        <v>28.8438056688892</v>
      </c>
      <c r="J118" s="3">
        <v>21.5856299305302</v>
      </c>
      <c r="K118" s="3">
        <v>13.810451580024599</v>
      </c>
      <c r="L118" s="3">
        <v>16.220395534465801</v>
      </c>
      <c r="M118" s="3">
        <v>16.960463525829599</v>
      </c>
      <c r="N118" s="3">
        <v>8.9544084622354205</v>
      </c>
    </row>
    <row r="119" spans="1:25" x14ac:dyDescent="0.35">
      <c r="A119" s="2">
        <v>45338</v>
      </c>
      <c r="B119" s="3">
        <v>23.0635498826774</v>
      </c>
      <c r="C119" s="3">
        <v>16.533652608751201</v>
      </c>
      <c r="D119" s="3">
        <v>14.7497323454767</v>
      </c>
      <c r="E119" s="3">
        <v>12.1853452835611</v>
      </c>
      <c r="F119" s="3">
        <v>16.801249472310801</v>
      </c>
      <c r="G119" s="3">
        <v>19.001780256369099</v>
      </c>
      <c r="H119" s="3">
        <v>11.3521913607171</v>
      </c>
      <c r="I119" s="3">
        <v>29.920367004487101</v>
      </c>
      <c r="J119" s="3">
        <v>22.4549861616876</v>
      </c>
      <c r="K119" s="3">
        <v>15.1599865283107</v>
      </c>
      <c r="L119" s="3">
        <v>17.9050698407687</v>
      </c>
      <c r="M119" s="3">
        <v>15.467010061272401</v>
      </c>
      <c r="N119" s="3">
        <v>9.0717589342036096</v>
      </c>
    </row>
    <row r="120" spans="1:25" x14ac:dyDescent="0.35">
      <c r="A120" s="2">
        <v>45366</v>
      </c>
      <c r="B120" s="3">
        <v>23.840064093624701</v>
      </c>
      <c r="C120" s="3">
        <v>16.580668228614801</v>
      </c>
      <c r="D120" s="3">
        <v>14.9214229547106</v>
      </c>
      <c r="E120" s="3">
        <v>12.5252087837234</v>
      </c>
      <c r="F120" s="3">
        <v>16.947392975218602</v>
      </c>
      <c r="G120" s="3">
        <v>19.198030297293901</v>
      </c>
      <c r="H120" s="3">
        <v>11.465253395036401</v>
      </c>
      <c r="I120" s="3">
        <v>30.074544847415101</v>
      </c>
      <c r="J120" s="3">
        <v>22.697948501462399</v>
      </c>
      <c r="K120" s="3">
        <v>15.5307691431964</v>
      </c>
      <c r="L120" s="3">
        <v>18.404387953060901</v>
      </c>
      <c r="M120" s="3">
        <v>15.935621233606399</v>
      </c>
      <c r="N120" s="3">
        <v>9.4236140331173193</v>
      </c>
    </row>
    <row r="121" spans="1:25" x14ac:dyDescent="0.35">
      <c r="A121" s="2">
        <v>45399</v>
      </c>
      <c r="B121" s="3">
        <v>24.118250661456798</v>
      </c>
      <c r="C121" s="3">
        <v>16.486711961942898</v>
      </c>
      <c r="D121" s="3">
        <v>14.851190389030901</v>
      </c>
      <c r="E121" s="3">
        <v>12.468590711812899</v>
      </c>
      <c r="F121" s="3">
        <v>16.763599389791899</v>
      </c>
      <c r="G121" s="3">
        <v>18.842478750772202</v>
      </c>
      <c r="H121" s="3">
        <v>11.481507755208099</v>
      </c>
      <c r="I121" s="3">
        <v>29.5369182785596</v>
      </c>
      <c r="J121" s="3">
        <v>22.4165246159959</v>
      </c>
      <c r="K121" s="3">
        <v>15.383301882984499</v>
      </c>
      <c r="L121" s="3">
        <v>18.171437855255199</v>
      </c>
      <c r="M121" s="3">
        <v>15.887411399641</v>
      </c>
      <c r="N121" s="3">
        <v>9.4203243185621393</v>
      </c>
    </row>
    <row r="122" spans="1:25" x14ac:dyDescent="0.35">
      <c r="A122" s="2">
        <v>45427</v>
      </c>
      <c r="B122" s="3">
        <v>24.475421645111101</v>
      </c>
      <c r="C122" s="3">
        <v>16.8205263971345</v>
      </c>
      <c r="D122" s="3">
        <v>14.9742913439602</v>
      </c>
      <c r="E122" s="3">
        <v>12.645738746367901</v>
      </c>
      <c r="F122" s="3">
        <v>16.766969135414101</v>
      </c>
      <c r="G122" s="3">
        <v>18.9416914709171</v>
      </c>
      <c r="H122" s="3">
        <v>11.7937091898843</v>
      </c>
      <c r="I122" s="3">
        <v>29.774836543545302</v>
      </c>
      <c r="J122" s="3">
        <v>22.6073173772572</v>
      </c>
      <c r="K122" s="3">
        <v>15.544491766906001</v>
      </c>
      <c r="L122" s="3">
        <v>18.3434813792555</v>
      </c>
      <c r="M122" s="3">
        <v>16.154254824585902</v>
      </c>
      <c r="N122" s="3">
        <v>9.6424493674026106</v>
      </c>
    </row>
    <row r="124" spans="1:25" x14ac:dyDescent="0.35">
      <c r="A124" s="2" t="s">
        <v>91</v>
      </c>
      <c r="B124" s="3" cm="1">
        <f t="array" ref="B124">MIN(_xlfn._xlws.FILTER(B1:B122, ISNUMBER(B1:B122)))</f>
        <v>17.638548590257901</v>
      </c>
      <c r="C124" s="3" cm="1">
        <f t="array" ref="C124">MIN(_xlfn._xlws.FILTER(C1:C122, ISNUMBER(C1:C122)))</f>
        <v>13.240862115132201</v>
      </c>
      <c r="D124" s="3" cm="1">
        <f t="array" ref="D124">MIN(_xlfn._xlws.FILTER(D1:D122, ISNUMBER(D1:D122)))</f>
        <v>12.102343239680399</v>
      </c>
      <c r="E124" s="3" cm="1">
        <f t="array" ref="E124">MIN(_xlfn._xlws.FILTER(E1:E122, ISNUMBER(E1:E122)))</f>
        <v>10.2289812249329</v>
      </c>
      <c r="F124" s="3" cm="1">
        <f t="array" ref="F124">MIN(_xlfn._xlws.FILTER(F1:F122, ISNUMBER(F1:F122)))</f>
        <v>11.881629124158</v>
      </c>
      <c r="G124" s="3" cm="1">
        <f t="array" ref="G124">MIN(_xlfn._xlws.FILTER(G1:G122, ISNUMBER(G1:G122)))</f>
        <v>16.014746713951499</v>
      </c>
      <c r="H124" s="3" cm="1">
        <f t="array" ref="H124">MIN(_xlfn._xlws.FILTER(H1:H122, ISNUMBER(H1:H122)))</f>
        <v>9.5019238198000195</v>
      </c>
      <c r="I124" s="3" cm="1">
        <f t="array" ref="I124">MIN(_xlfn._xlws.FILTER(I1:I122, ISNUMBER(I1:I122)))</f>
        <v>18.263432883592799</v>
      </c>
      <c r="J124" s="3" cm="1">
        <f t="array" ref="J124">MIN(_xlfn._xlws.FILTER(J1:J122, ISNUMBER(J1:J122)))</f>
        <v>15.776711047748501</v>
      </c>
      <c r="K124" s="3" cm="1">
        <f t="array" ref="K124">MIN(_xlfn._xlws.FILTER(K1:K122, ISNUMBER(K1:K122)))</f>
        <v>11.627975895998</v>
      </c>
      <c r="L124" s="3" cm="1">
        <f t="array" ref="L124">MIN(_xlfn._xlws.FILTER(L1:L122, ISNUMBER(L1:L122)))</f>
        <v>14.674091794664299</v>
      </c>
      <c r="M124" s="3" cm="1">
        <f t="array" ref="M124">MIN(_xlfn._xlws.FILTER(M1:M122, ISNUMBER(M1:M122)))</f>
        <v>11.949845618030899</v>
      </c>
      <c r="N124" s="3" cm="1">
        <f t="array" ref="N124">MIN(_xlfn._xlws.FILTER(N1:N122, ISNUMBER(N1:N122)))</f>
        <v>7.4757163263452</v>
      </c>
    </row>
    <row r="125" spans="1:25" x14ac:dyDescent="0.35">
      <c r="A125" s="2" t="s">
        <v>92</v>
      </c>
      <c r="B125" s="3" cm="1">
        <f t="array" ref="B125">MAX(_xlfn._xlws.FILTER(B1:B122, ISNUMBER(B1:B122)))</f>
        <v>38.793350257311303</v>
      </c>
      <c r="C125" s="3" cm="1">
        <f t="array" ref="C125">MAX(_xlfn._xlws.FILTER(C1:C122, ISNUMBER(C1:C122)))</f>
        <v>23.257172696768901</v>
      </c>
      <c r="D125" s="3" cm="1">
        <f t="array" ref="D125">MAX(_xlfn._xlws.FILTER(D1:D122, ISNUMBER(D1:D122)))</f>
        <v>21.080439758426898</v>
      </c>
      <c r="E125" s="3" cm="1">
        <f t="array" ref="E125">MAX(_xlfn._xlws.FILTER(E1:E122, ISNUMBER(E1:E122)))</f>
        <v>21.864544955894701</v>
      </c>
      <c r="F125" s="3" cm="1">
        <f t="array" ref="F125">MAX(_xlfn._xlws.FILTER(F1:F122, ISNUMBER(F1:F122)))</f>
        <v>23.974536877558702</v>
      </c>
      <c r="G125" s="3" cm="1">
        <f t="array" ref="G125">MAX(_xlfn._xlws.FILTER(G1:G122, ISNUMBER(G1:G122)))</f>
        <v>21.973984026871399</v>
      </c>
      <c r="H125" s="3" cm="1">
        <f t="array" ref="H125">MAX(_xlfn._xlws.FILTER(H1:H122, ISNUMBER(H1:H122)))</f>
        <v>20.2047061127445</v>
      </c>
      <c r="I125" s="3" cm="1">
        <f t="array" ref="I125">MAX(_xlfn._xlws.FILTER(I1:I122, ISNUMBER(I1:I122)))</f>
        <v>35.239403424042401</v>
      </c>
      <c r="J125" s="3" cm="1">
        <f t="array" ref="J125">MAX(_xlfn._xlws.FILTER(J1:J122, ISNUMBER(J1:J122)))</f>
        <v>27.325480720797501</v>
      </c>
      <c r="K125" s="3" cm="1">
        <f t="array" ref="K125">MAX(_xlfn._xlws.FILTER(K1:K122, ISNUMBER(K1:K122)))</f>
        <v>28.7166772036827</v>
      </c>
      <c r="L125" s="3" cm="1">
        <f t="array" ref="L125">MAX(_xlfn._xlws.FILTER(L1:L122, ISNUMBER(L1:L122)))</f>
        <v>29.9468986408584</v>
      </c>
      <c r="M125" s="3" cm="1">
        <f t="array" ref="M125">MAX(_xlfn._xlws.FILTER(M1:M122, ISNUMBER(M1:M122)))</f>
        <v>26.201400954842001</v>
      </c>
      <c r="N125" s="3" cm="1">
        <f t="array" ref="N125">MAX(_xlfn._xlws.FILTER(N1:N122, ISNUMBER(N1:N122)))</f>
        <v>82.094099266410794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0.54900000000000004</v>
      </c>
      <c r="C127" s="9" cm="1">
        <f t="array" ref="C127">_xlfn.PERCENTRANK.EXC(_xlfn._xlws.FILTER(C1:C122, ISNUMBER(C1:C122)),C121)</f>
        <v>0.59799999999999998</v>
      </c>
      <c r="D127" s="9" cm="1">
        <f t="array" ref="D127">_xlfn.PERCENTRANK.EXC(_xlfn._xlws.FILTER(D1:D122, ISNUMBER(D1:D122)),D121)</f>
        <v>0.311</v>
      </c>
      <c r="E127" s="9" cm="1">
        <f t="array" ref="E127">_xlfn.PERCENTRANK.EXC(_xlfn._xlws.FILTER(E1:E122, ISNUMBER(E1:E122)),E121)</f>
        <v>0.221</v>
      </c>
      <c r="F127" s="9" cm="1">
        <f t="array" ref="F127">_xlfn.PERCENTRANK.EXC(_xlfn._xlws.FILTER(F1:F122, ISNUMBER(F1:F122)),F121)</f>
        <v>0.76200000000000001</v>
      </c>
      <c r="G127" s="9" cm="1">
        <f t="array" ref="G127">_xlfn.PERCENTRANK.EXC(_xlfn._xlws.FILTER(G1:G122, ISNUMBER(G1:G122)),G121)</f>
        <v>0.53200000000000003</v>
      </c>
      <c r="H127" s="9" cm="1">
        <f t="array" ref="H127">_xlfn.PERCENTRANK.EXC(_xlfn._xlws.FILTER(H1:H122, ISNUMBER(H1:H122)),H121)</f>
        <v>0.188</v>
      </c>
      <c r="I127" s="9" cm="1">
        <f t="array" ref="I127">_xlfn.PERCENTRANK.EXC(_xlfn._xlws.FILTER(I1:I122, ISNUMBER(I1:I122)),I121)</f>
        <v>0.81899999999999995</v>
      </c>
      <c r="J127" s="9" cm="1">
        <f t="array" ref="J127">_xlfn.PERCENTRANK.EXC(_xlfn._xlws.FILTER(J1:J122, ISNUMBER(J1:J122)),J121)</f>
        <v>0.81899999999999995</v>
      </c>
      <c r="K127" s="9" cm="1">
        <f t="array" ref="K127">_xlfn.PERCENTRANK.EXC(_xlfn._xlws.FILTER(K1:K122, ISNUMBER(K1:K122)),K121)</f>
        <v>0.48299999999999998</v>
      </c>
      <c r="L127" s="9" cm="1">
        <f t="array" ref="L127">_xlfn.PERCENTRANK.EXC(_xlfn._xlws.FILTER(L1:L122, ISNUMBER(L1:L122)),L121)</f>
        <v>0.61399999999999999</v>
      </c>
      <c r="M127" s="9" cm="1">
        <f t="array" ref="M127">_xlfn.PERCENTRANK.EXC(_xlfn._xlws.FILTER(M1:M122, ISNUMBER(M1:M122)),M121)</f>
        <v>0.29499999999999998</v>
      </c>
      <c r="N127" s="9" cm="1">
        <f t="array" ref="N127">_xlfn.PERCENTRANK.EXC(_xlfn._xlws.FILTER(N1:N122, ISNUMBER(N1:N122)),N121)</f>
        <v>0.17199999999999999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41775</v>
      </c>
      <c r="B2" s="3" cm="1">
        <f t="array" ref="B2:B122">_xll.FDS(B1,"FMA_PE(NTMA,-10AY,0,AM,""PORTAGG"",""MEANR"")")</f>
        <v>17.465533554149001</v>
      </c>
      <c r="C2" s="3" cm="1">
        <f t="array" ref="C2:C122">_xll.FDS(C1,"FMA_PE(NTMA,-10AY,0,AM,""PORTAGG"",""MEANR"")")</f>
        <v>14.3333576955102</v>
      </c>
      <c r="D2" s="3" cm="1">
        <f t="array" ref="D2:D122">_xll.FDS(D1,"FMA_PE(NTMA,-10AY,0,AM,""PORTAGG"",""MEANR"")")</f>
        <v>14.6704752274815</v>
      </c>
      <c r="E2" s="3" cm="1">
        <f t="array" ref="E2:E122">_xll.FDS(E1,"FMA_PE(NTMA,-10AY,0,AM,""PORTAGG"",""MEANR"")")</f>
        <v>12.9439513438682</v>
      </c>
      <c r="F2" s="3" cm="1">
        <f t="array" ref="F2:F122">_xll.FDS(F1,"FMA_PE(NTMA,-10AY,0,AM,""PORTAGG"",""MEANR"")")</f>
        <v>12.7665449359567</v>
      </c>
      <c r="G2" s="3" cm="1">
        <f t="array" ref="G2:G122">_xll.FDS(G1,"FMA_PE(NTMA,-10AY,0,AM,""PORTAGG"",""MEANR"")")</f>
        <v>16.382312535443202</v>
      </c>
      <c r="H2" s="3" cm="1">
        <f t="array" ref="H2:H122">_xll.FDS(H1,"FMA_PE(NTMA,-10AY,0,AM,""PORTAGG"",""MEANR"")")</f>
        <v>13.7145585489155</v>
      </c>
      <c r="I2" s="3" cm="1">
        <f t="array" ref="I2:I122">_xll.FDS(I1,"FMA_PE(NTMA,-10AY,0,AM,""PORTAGG"",""MEANR"")")</f>
        <v>16.598622804596001</v>
      </c>
      <c r="J2" s="3" cm="1">
        <f t="array" ref="J2:J122">_xll.FDS(J1,"FMA_PE(NTMA,-10AY,0,AM,""PORTAGG"",""MEANR"")")</f>
        <v>14.8864570130049</v>
      </c>
      <c r="K2" s="3" cm="1">
        <f t="array" ref="K2:K122">_xll.FDS(K1,"FMA_PE(NTMA,-10AY,0,AM,""PORTAGG"",""MEANR"")")</f>
        <v>14.036757254923</v>
      </c>
      <c r="L2" s="3" cm="1">
        <f t="array" ref="L2:L122">_xll.FDS(L1,"FMA_PE(NTMA,-10AY,0,AM,""PORTAGG"",""MEANR"")")</f>
        <v>14.0213257835973</v>
      </c>
      <c r="M2" s="3" cm="1">
        <f t="array" ref="M2:M122">_xll.FDS(M1,"FMA_PE(NTMA,-10AY,0,AM,""PORTAGG"",""MEANR"")")</f>
        <v>15.8372478736628</v>
      </c>
      <c r="N2" s="3" cm="1">
        <f t="array" ref="N2:N122">_xll.FDS(N1,"FMA_PE(NTMA,-10AY,0,AM,""PORTAGG"",""MEANR"")")</f>
        <v>13.5752952232511</v>
      </c>
    </row>
    <row r="3" spans="1:14" x14ac:dyDescent="0.35">
      <c r="A3" s="2">
        <v>41807</v>
      </c>
      <c r="B3" s="3">
        <v>17.3852383414272</v>
      </c>
      <c r="C3" s="3">
        <v>14.1678346150587</v>
      </c>
      <c r="D3" s="3">
        <v>14.9785743838414</v>
      </c>
      <c r="E3" s="3">
        <v>13.302584318993199</v>
      </c>
      <c r="F3" s="3">
        <v>13.56527519178</v>
      </c>
      <c r="G3" s="3">
        <v>16.255731758253699</v>
      </c>
      <c r="H3" s="3">
        <v>13.6017211627323</v>
      </c>
      <c r="I3" s="3">
        <v>17.217361136274398</v>
      </c>
      <c r="J3" s="3">
        <v>15.2492457736869</v>
      </c>
      <c r="K3" s="3">
        <v>14.282727033683001</v>
      </c>
      <c r="L3" s="3">
        <v>14.521336045427701</v>
      </c>
      <c r="M3" s="3">
        <v>15.6232785978946</v>
      </c>
      <c r="N3" s="3">
        <v>14.5345461299792</v>
      </c>
    </row>
    <row r="4" spans="1:14" x14ac:dyDescent="0.35">
      <c r="A4" s="2">
        <v>41837</v>
      </c>
      <c r="B4" s="3">
        <v>17.197902635254799</v>
      </c>
      <c r="C4" s="3">
        <v>14.7167900236094</v>
      </c>
      <c r="D4" s="3">
        <v>15.0040207419813</v>
      </c>
      <c r="E4" s="3">
        <v>12.956274857441599</v>
      </c>
      <c r="F4" s="3">
        <v>13.8258466091667</v>
      </c>
      <c r="G4" s="3">
        <v>15.9947630102833</v>
      </c>
      <c r="H4" s="3">
        <v>13.567727626594801</v>
      </c>
      <c r="I4" s="3">
        <v>17.405258996876299</v>
      </c>
      <c r="J4" s="3">
        <v>15.211667731423001</v>
      </c>
      <c r="K4" s="3">
        <v>13.590923358631301</v>
      </c>
      <c r="L4" s="3">
        <v>14.118670777000499</v>
      </c>
      <c r="M4" s="3">
        <v>15.412531396072801</v>
      </c>
      <c r="N4" s="3">
        <v>13.798845279625001</v>
      </c>
    </row>
    <row r="5" spans="1:14" x14ac:dyDescent="0.35">
      <c r="A5" s="2">
        <v>41866</v>
      </c>
      <c r="B5" s="3">
        <v>17.0640200899694</v>
      </c>
      <c r="C5" s="3">
        <v>14.7660627172875</v>
      </c>
      <c r="D5" s="3">
        <v>15.0069709765165</v>
      </c>
      <c r="E5" s="3">
        <v>12.148359489921299</v>
      </c>
      <c r="F5" s="3">
        <v>13.6010207446168</v>
      </c>
      <c r="G5" s="3">
        <v>15.773685737101999</v>
      </c>
      <c r="H5" s="3">
        <v>13.3444614365721</v>
      </c>
      <c r="I5" s="3">
        <v>17.552255350528601</v>
      </c>
      <c r="J5" s="3">
        <v>15.0470916718712</v>
      </c>
      <c r="K5" s="3">
        <v>13.1231148310632</v>
      </c>
      <c r="L5" s="3">
        <v>13.806436441452099</v>
      </c>
      <c r="M5" s="3">
        <v>15.0521725222958</v>
      </c>
      <c r="N5" s="3">
        <v>13.038617398543799</v>
      </c>
    </row>
    <row r="6" spans="1:14" x14ac:dyDescent="0.35">
      <c r="A6" s="2">
        <v>41899</v>
      </c>
      <c r="B6" s="3">
        <v>16.808762440542498</v>
      </c>
      <c r="C6" s="3">
        <v>14.243817346196</v>
      </c>
      <c r="D6" s="3">
        <v>15.0822559987189</v>
      </c>
      <c r="E6" s="3">
        <v>12.7604412129831</v>
      </c>
      <c r="F6" s="3">
        <v>13.836630618232499</v>
      </c>
      <c r="G6" s="3">
        <v>16.174426932302499</v>
      </c>
      <c r="H6" s="3">
        <v>13.3565391341176</v>
      </c>
      <c r="I6" s="3">
        <v>17.651158012014399</v>
      </c>
      <c r="J6" s="3">
        <v>15.277434861192001</v>
      </c>
      <c r="K6" s="3">
        <v>13.725526869915999</v>
      </c>
      <c r="L6" s="3">
        <v>14.5533414070829</v>
      </c>
      <c r="M6" s="3">
        <v>14.807665516834</v>
      </c>
      <c r="N6" s="3">
        <v>14.052363729981799</v>
      </c>
    </row>
    <row r="7" spans="1:14" x14ac:dyDescent="0.35">
      <c r="A7" s="2">
        <v>41929</v>
      </c>
      <c r="B7" s="3">
        <v>16.7401097983836</v>
      </c>
      <c r="C7" s="3">
        <v>13.923514718566199</v>
      </c>
      <c r="D7" s="3">
        <v>13.7889254230146</v>
      </c>
      <c r="E7" s="3">
        <v>11.6960462198589</v>
      </c>
      <c r="F7" s="3">
        <v>12.415970232637999</v>
      </c>
      <c r="G7" s="3">
        <v>14.9560518475671</v>
      </c>
      <c r="H7" s="3">
        <v>12.518195894633299</v>
      </c>
      <c r="I7" s="3">
        <v>16.357041465684201</v>
      </c>
      <c r="J7" s="3">
        <v>14.4216673069704</v>
      </c>
      <c r="K7" s="3">
        <v>12.548915399283199</v>
      </c>
      <c r="L7" s="3">
        <v>13.500685860673499</v>
      </c>
      <c r="M7" s="3">
        <v>13.6107748756822</v>
      </c>
      <c r="N7" s="3">
        <v>12.158894061738099</v>
      </c>
    </row>
    <row r="8" spans="1:14" x14ac:dyDescent="0.35">
      <c r="A8" s="2">
        <v>41960</v>
      </c>
      <c r="B8" s="3">
        <v>18.087948344297001</v>
      </c>
      <c r="C8" s="3">
        <v>14.2464687466853</v>
      </c>
      <c r="D8" s="3">
        <v>14.6616001646674</v>
      </c>
      <c r="E8" s="3">
        <v>12.265515984954501</v>
      </c>
      <c r="F8" s="3">
        <v>14.2403711641215</v>
      </c>
      <c r="G8" s="3">
        <v>16.011101247449101</v>
      </c>
      <c r="H8" s="3">
        <v>13.390422283491599</v>
      </c>
      <c r="I8" s="3">
        <v>17.887894047307299</v>
      </c>
      <c r="J8" s="3">
        <v>15.6371454084994</v>
      </c>
      <c r="K8" s="3">
        <v>13.2466105822063</v>
      </c>
      <c r="L8" s="3">
        <v>14.8213942161515</v>
      </c>
      <c r="M8" s="3">
        <v>15.304926787602801</v>
      </c>
      <c r="N8" s="3">
        <v>12.7439780484957</v>
      </c>
    </row>
    <row r="9" spans="1:14" x14ac:dyDescent="0.35">
      <c r="A9" s="2">
        <v>41990</v>
      </c>
      <c r="B9" s="3">
        <v>17.9777120553576</v>
      </c>
      <c r="C9" s="3">
        <v>13.7583780795326</v>
      </c>
      <c r="D9" s="3">
        <v>14.9801930173521</v>
      </c>
      <c r="E9" s="3">
        <v>12.538117133585599</v>
      </c>
      <c r="F9" s="3">
        <v>13.7639555099551</v>
      </c>
      <c r="G9" s="3">
        <v>15.499292911383799</v>
      </c>
      <c r="H9" s="3">
        <v>13.3076954877489</v>
      </c>
      <c r="I9" s="3">
        <v>17.427740292933699</v>
      </c>
      <c r="J9" s="3">
        <v>15.6005563844704</v>
      </c>
      <c r="K9" s="3">
        <v>13.2526119655485</v>
      </c>
      <c r="L9" s="3">
        <v>14.2188501220215</v>
      </c>
      <c r="M9" s="3">
        <v>15.031827701481999</v>
      </c>
      <c r="N9" s="3">
        <v>12.1798685909369</v>
      </c>
    </row>
    <row r="10" spans="1:14" x14ac:dyDescent="0.35">
      <c r="A10" s="2">
        <v>42020</v>
      </c>
      <c r="B10" s="3">
        <v>18.5478301470677</v>
      </c>
      <c r="C10" s="3">
        <v>14.448427476446801</v>
      </c>
      <c r="D10" s="3">
        <v>15.5026934232119</v>
      </c>
      <c r="E10" s="3">
        <v>13.3310697659629</v>
      </c>
      <c r="F10" s="3">
        <v>13.7228271357823</v>
      </c>
      <c r="G10" s="3">
        <v>15.0684969938974</v>
      </c>
      <c r="H10" s="3">
        <v>14.200991445325499</v>
      </c>
      <c r="I10" s="3">
        <v>16.933023279921301</v>
      </c>
      <c r="J10" s="3">
        <v>15.9384278995937</v>
      </c>
      <c r="K10" s="3">
        <v>14.310118685396301</v>
      </c>
      <c r="L10" s="3">
        <v>15.092685874733901</v>
      </c>
      <c r="M10" s="3">
        <v>15.629468021384801</v>
      </c>
      <c r="N10" s="3">
        <v>12.971391281477599</v>
      </c>
    </row>
    <row r="11" spans="1:14" x14ac:dyDescent="0.35">
      <c r="A11" s="2">
        <v>42052</v>
      </c>
      <c r="B11" s="3">
        <v>18.8906162156397</v>
      </c>
      <c r="C11" s="3">
        <v>16.090318949697998</v>
      </c>
      <c r="D11" s="3">
        <v>17.439142061462299</v>
      </c>
      <c r="E11" s="3">
        <v>14.1741004122175</v>
      </c>
      <c r="F11" s="3">
        <v>14.516324649880501</v>
      </c>
      <c r="G11" s="3">
        <v>17.179390981640399</v>
      </c>
      <c r="H11" s="3">
        <v>15.471575235609</v>
      </c>
      <c r="I11" s="3">
        <v>17.917246349634699</v>
      </c>
      <c r="J11" s="3">
        <v>16.867644536549101</v>
      </c>
      <c r="K11" s="3">
        <v>15.816737263910101</v>
      </c>
      <c r="L11" s="3">
        <v>16.169780786380802</v>
      </c>
      <c r="M11" s="3">
        <v>16.651308100286801</v>
      </c>
      <c r="N11" s="3">
        <v>14.723183643785999</v>
      </c>
    </row>
    <row r="12" spans="1:14" x14ac:dyDescent="0.35">
      <c r="A12" s="2">
        <v>42080</v>
      </c>
      <c r="B12" s="3">
        <v>18.9932458427906</v>
      </c>
      <c r="C12" s="3">
        <v>16.0233190833988</v>
      </c>
      <c r="D12" s="3">
        <v>17.096265293018099</v>
      </c>
      <c r="E12" s="3">
        <v>15.5102362291618</v>
      </c>
      <c r="F12" s="3">
        <v>15.513832904497599</v>
      </c>
      <c r="G12" s="3">
        <v>17.587377974023902</v>
      </c>
      <c r="H12" s="3">
        <v>15.407964707658</v>
      </c>
      <c r="I12" s="3">
        <v>17.803617082980299</v>
      </c>
      <c r="J12" s="3">
        <v>16.594362985506699</v>
      </c>
      <c r="K12" s="3">
        <v>16.528408373828</v>
      </c>
      <c r="L12" s="3">
        <v>17.505408652678</v>
      </c>
      <c r="M12" s="3">
        <v>17.090705764955601</v>
      </c>
      <c r="N12" s="3">
        <v>15.5150295405526</v>
      </c>
    </row>
    <row r="13" spans="1:14" x14ac:dyDescent="0.35">
      <c r="A13" s="2">
        <v>42111</v>
      </c>
      <c r="B13" s="3">
        <v>18.433273265375099</v>
      </c>
      <c r="C13" s="3">
        <v>16.431156295136901</v>
      </c>
      <c r="D13" s="3">
        <v>17.443698689847299</v>
      </c>
      <c r="E13" s="3">
        <v>15.000404630431399</v>
      </c>
      <c r="F13" s="3">
        <v>15.6274564646433</v>
      </c>
      <c r="G13" s="3">
        <v>18.0300186729242</v>
      </c>
      <c r="H13" s="3">
        <v>16.035069337353601</v>
      </c>
      <c r="I13" s="3">
        <v>17.694638088964201</v>
      </c>
      <c r="J13" s="3">
        <v>16.606376521083199</v>
      </c>
      <c r="K13" s="3">
        <v>16.681820367625001</v>
      </c>
      <c r="L13" s="3">
        <v>17.177710483143201</v>
      </c>
      <c r="M13" s="3">
        <v>16.5876658927194</v>
      </c>
      <c r="N13" s="3">
        <v>15.6874618983984</v>
      </c>
    </row>
    <row r="14" spans="1:14" x14ac:dyDescent="0.35">
      <c r="A14" s="2">
        <v>42139</v>
      </c>
      <c r="B14" s="3">
        <v>18.157748127263901</v>
      </c>
      <c r="C14" s="3">
        <v>16.1448385527572</v>
      </c>
      <c r="D14" s="3">
        <v>16.789873396279798</v>
      </c>
      <c r="E14" s="3">
        <v>14.279960880956001</v>
      </c>
      <c r="F14" s="3">
        <v>15.876333483762799</v>
      </c>
      <c r="G14" s="3">
        <v>17.668352710266699</v>
      </c>
      <c r="H14" s="3">
        <v>16.1600649341813</v>
      </c>
      <c r="I14" s="3">
        <v>18.034241715018599</v>
      </c>
      <c r="J14" s="3">
        <v>16.7321049064136</v>
      </c>
      <c r="K14" s="3">
        <v>16.192689253357599</v>
      </c>
      <c r="L14" s="3">
        <v>16.879777261953699</v>
      </c>
      <c r="M14" s="3">
        <v>15.832666268048399</v>
      </c>
      <c r="N14" s="3">
        <v>15.881899550209701</v>
      </c>
    </row>
    <row r="15" spans="1:14" x14ac:dyDescent="0.35">
      <c r="A15" s="2">
        <v>42172</v>
      </c>
      <c r="B15" s="3">
        <v>17.973299672869501</v>
      </c>
      <c r="C15" s="3">
        <v>15.440468776302</v>
      </c>
      <c r="D15" s="3">
        <v>16.157057717728801</v>
      </c>
      <c r="E15" s="3">
        <v>13.424084794275901</v>
      </c>
      <c r="F15" s="3">
        <v>15.673845818832699</v>
      </c>
      <c r="G15" s="3">
        <v>17.060311315348901</v>
      </c>
      <c r="H15" s="3">
        <v>15.3768931027705</v>
      </c>
      <c r="I15" s="3">
        <v>17.7982261879974</v>
      </c>
      <c r="J15" s="3">
        <v>16.412278620586701</v>
      </c>
      <c r="K15" s="3">
        <v>15.3265185872859</v>
      </c>
      <c r="L15" s="3">
        <v>16.114557855908402</v>
      </c>
      <c r="M15" s="3">
        <v>15.6029065097929</v>
      </c>
      <c r="N15" s="3">
        <v>14.7161983701988</v>
      </c>
    </row>
    <row r="16" spans="1:14" x14ac:dyDescent="0.35">
      <c r="A16" s="2">
        <v>42202</v>
      </c>
      <c r="B16" s="3">
        <v>18.1715087899683</v>
      </c>
      <c r="C16" s="3">
        <v>15.578087098154301</v>
      </c>
      <c r="D16" s="3">
        <v>15.8584294860784</v>
      </c>
      <c r="E16" s="3">
        <v>14.150343345254999</v>
      </c>
      <c r="F16" s="3">
        <v>15.6311543919345</v>
      </c>
      <c r="G16" s="3">
        <v>17.7916840278546</v>
      </c>
      <c r="H16" s="3">
        <v>15.6018789049891</v>
      </c>
      <c r="I16" s="3">
        <v>18.6502740976733</v>
      </c>
      <c r="J16" s="3">
        <v>16.6080094788332</v>
      </c>
      <c r="K16" s="3">
        <v>16.079066522744998</v>
      </c>
      <c r="L16" s="3">
        <v>17.095056775538701</v>
      </c>
      <c r="M16" s="3">
        <v>16.240203497934999</v>
      </c>
      <c r="N16" s="3">
        <v>15.530985017359599</v>
      </c>
    </row>
    <row r="17" spans="1:14" x14ac:dyDescent="0.35">
      <c r="A17" s="2">
        <v>42233</v>
      </c>
      <c r="B17" s="3">
        <v>17.727762767232999</v>
      </c>
      <c r="C17" s="3">
        <v>14.9929436043781</v>
      </c>
      <c r="D17" s="3">
        <v>15.4018823845154</v>
      </c>
      <c r="E17" s="3">
        <v>13.2168541080246</v>
      </c>
      <c r="F17" s="3">
        <v>15.4915155220303</v>
      </c>
      <c r="G17" s="3">
        <v>17.456478115533798</v>
      </c>
      <c r="H17" s="3">
        <v>15.1012359959901</v>
      </c>
      <c r="I17" s="3">
        <v>18.4936523908349</v>
      </c>
      <c r="J17" s="3">
        <v>16.383209378218702</v>
      </c>
      <c r="K17" s="3">
        <v>15.372467197156</v>
      </c>
      <c r="L17" s="3">
        <v>15.9009564703212</v>
      </c>
      <c r="M17" s="3">
        <v>15.9050686279042</v>
      </c>
      <c r="N17" s="3">
        <v>15.3783470989985</v>
      </c>
    </row>
    <row r="18" spans="1:14" x14ac:dyDescent="0.35">
      <c r="A18" s="2">
        <v>42264</v>
      </c>
      <c r="B18" s="3">
        <v>17.526290196077301</v>
      </c>
      <c r="C18" s="3">
        <v>14.5474262266479</v>
      </c>
      <c r="D18" s="3">
        <v>14.988857036203401</v>
      </c>
      <c r="E18" s="3">
        <v>12.377068022301099</v>
      </c>
      <c r="F18" s="3">
        <v>13.7575454315961</v>
      </c>
      <c r="G18" s="3">
        <v>16.601296002967199</v>
      </c>
      <c r="H18" s="3">
        <v>14.5850119401237</v>
      </c>
      <c r="I18" s="3">
        <v>17.643141402123099</v>
      </c>
      <c r="J18" s="3">
        <v>15.496912703398401</v>
      </c>
      <c r="K18" s="3">
        <v>14.4487012940236</v>
      </c>
      <c r="L18" s="3">
        <v>14.8593586606607</v>
      </c>
      <c r="M18" s="3">
        <v>14.7613109715605</v>
      </c>
      <c r="N18" s="3">
        <v>14.5329857002314</v>
      </c>
    </row>
    <row r="19" spans="1:14" x14ac:dyDescent="0.35">
      <c r="A19" s="2">
        <v>42293</v>
      </c>
      <c r="B19" s="3">
        <v>17.623606559610899</v>
      </c>
      <c r="C19" s="3">
        <v>15.073812673239701</v>
      </c>
      <c r="D19" s="3">
        <v>15.1105735831615</v>
      </c>
      <c r="E19" s="3">
        <v>12.4512656761967</v>
      </c>
      <c r="F19" s="3">
        <v>13.901785880767701</v>
      </c>
      <c r="G19" s="3">
        <v>16.634721580352899</v>
      </c>
      <c r="H19" s="3">
        <v>15.286524205425099</v>
      </c>
      <c r="I19" s="3">
        <v>17.7982614318244</v>
      </c>
      <c r="J19" s="3">
        <v>15.918646410385</v>
      </c>
      <c r="K19" s="3">
        <v>14.612536731074099</v>
      </c>
      <c r="L19" s="3">
        <v>15.1715846055331</v>
      </c>
      <c r="M19" s="3">
        <v>14.7821973688787</v>
      </c>
      <c r="N19" s="3">
        <v>14.6660591370084</v>
      </c>
    </row>
    <row r="20" spans="1:14" x14ac:dyDescent="0.35">
      <c r="A20" s="2">
        <v>42325</v>
      </c>
      <c r="B20" s="3">
        <v>17.870479174861199</v>
      </c>
      <c r="C20" s="3">
        <v>14.730790619896499</v>
      </c>
      <c r="D20" s="3">
        <v>14.4829979593856</v>
      </c>
      <c r="E20" s="3">
        <v>13.6673287507798</v>
      </c>
      <c r="F20" s="3">
        <v>14.6518495363909</v>
      </c>
      <c r="G20" s="3">
        <v>16.944010788415898</v>
      </c>
      <c r="H20" s="3">
        <v>15.241242959395899</v>
      </c>
      <c r="I20" s="3">
        <v>18.289568926187499</v>
      </c>
      <c r="J20" s="3">
        <v>16.056272992510099</v>
      </c>
      <c r="K20" s="3">
        <v>15.3012998384753</v>
      </c>
      <c r="L20" s="3">
        <v>16.302991750715901</v>
      </c>
      <c r="M20" s="3">
        <v>15.443021322005199</v>
      </c>
      <c r="N20" s="3">
        <v>14.838829742010899</v>
      </c>
    </row>
    <row r="21" spans="1:14" x14ac:dyDescent="0.35">
      <c r="A21" s="2">
        <v>42355</v>
      </c>
      <c r="B21" s="3">
        <v>17.880327847189498</v>
      </c>
      <c r="C21" s="3">
        <v>15.023046661107999</v>
      </c>
      <c r="D21" s="3">
        <v>14.269168391405699</v>
      </c>
      <c r="E21" s="3">
        <v>13.365997925457201</v>
      </c>
      <c r="F21" s="3">
        <v>14.244371095132299</v>
      </c>
      <c r="G21" s="3">
        <v>16.688185417418101</v>
      </c>
      <c r="H21" s="3">
        <v>14.876699007640401</v>
      </c>
      <c r="I21" s="3">
        <v>18.337451615565602</v>
      </c>
      <c r="J21" s="3">
        <v>15.9636213914759</v>
      </c>
      <c r="K21" s="3">
        <v>14.6901716038528</v>
      </c>
      <c r="L21" s="3">
        <v>15.617796675579299</v>
      </c>
      <c r="M21" s="3">
        <v>14.871611423454199</v>
      </c>
      <c r="N21" s="3">
        <v>14.187914728014</v>
      </c>
    </row>
    <row r="22" spans="1:14" x14ac:dyDescent="0.35">
      <c r="A22" s="2">
        <v>42384</v>
      </c>
      <c r="B22" s="3">
        <v>17.734603684898499</v>
      </c>
      <c r="C22" s="3">
        <v>14.5769176103174</v>
      </c>
      <c r="D22" s="3">
        <v>13.318075418393899</v>
      </c>
      <c r="E22" s="3">
        <v>11.922405109908601</v>
      </c>
      <c r="F22" s="3">
        <v>12.7150164356575</v>
      </c>
      <c r="G22" s="3">
        <v>15.6865596623357</v>
      </c>
      <c r="H22" s="3">
        <v>14.588535689746999</v>
      </c>
      <c r="I22" s="3">
        <v>16.673726400448601</v>
      </c>
      <c r="J22" s="3">
        <v>14.8633281655956</v>
      </c>
      <c r="K22" s="3">
        <v>13.465144185762099</v>
      </c>
      <c r="L22" s="3">
        <v>14.127197771931399</v>
      </c>
      <c r="M22" s="3">
        <v>13.5975182581164</v>
      </c>
      <c r="N22" s="3">
        <v>12.937563081157201</v>
      </c>
    </row>
    <row r="23" spans="1:14" x14ac:dyDescent="0.35">
      <c r="A23" s="2">
        <v>42417</v>
      </c>
      <c r="B23" s="3">
        <v>17.161856031585302</v>
      </c>
      <c r="C23" s="3">
        <v>15.0624122129682</v>
      </c>
      <c r="D23" s="3">
        <v>14.829005390792</v>
      </c>
      <c r="E23" s="3">
        <v>11.9205148625941</v>
      </c>
      <c r="F23" s="3">
        <v>11.9142104013048</v>
      </c>
      <c r="G23" s="3">
        <v>16.275386310414401</v>
      </c>
      <c r="H23" s="3">
        <v>15.425955391791501</v>
      </c>
      <c r="I23" s="3">
        <v>16.9360461811082</v>
      </c>
      <c r="J23" s="3">
        <v>15.5099438140132</v>
      </c>
      <c r="K23" s="3">
        <v>13.8448811124301</v>
      </c>
      <c r="L23" s="3">
        <v>14.3662466390366</v>
      </c>
      <c r="M23" s="3">
        <v>15.1251425475443</v>
      </c>
      <c r="N23" s="3">
        <v>12.5017985665501</v>
      </c>
    </row>
    <row r="24" spans="1:14" x14ac:dyDescent="0.35">
      <c r="A24" s="2">
        <v>42446</v>
      </c>
      <c r="B24" s="3">
        <v>18.2344763863005</v>
      </c>
      <c r="C24" s="3">
        <v>16.108489032854301</v>
      </c>
      <c r="D24" s="3">
        <v>16.246781888132801</v>
      </c>
      <c r="E24" s="3">
        <v>12.618491979635801</v>
      </c>
      <c r="F24" s="3">
        <v>12.926598637732299</v>
      </c>
      <c r="G24" s="3">
        <v>16.542582589797799</v>
      </c>
      <c r="H24" s="3">
        <v>16.307222605020801</v>
      </c>
      <c r="I24" s="3">
        <v>17.546541317281999</v>
      </c>
      <c r="J24" s="3">
        <v>15.516736353630501</v>
      </c>
      <c r="K24" s="3">
        <v>14.5225549883324</v>
      </c>
      <c r="L24" s="3">
        <v>15.301210904826601</v>
      </c>
      <c r="M24" s="3">
        <v>15.2978718863344</v>
      </c>
      <c r="N24" s="3">
        <v>13.440515670377399</v>
      </c>
    </row>
    <row r="25" spans="1:14" x14ac:dyDescent="0.35">
      <c r="A25" s="2">
        <v>42475</v>
      </c>
      <c r="B25" s="3">
        <v>18.8865434485466</v>
      </c>
      <c r="C25" s="3">
        <v>15.9106871610048</v>
      </c>
      <c r="D25" s="3">
        <v>16.154441546631901</v>
      </c>
      <c r="E25" s="3">
        <v>12.8184334767625</v>
      </c>
      <c r="F25" s="3">
        <v>13.0444713937215</v>
      </c>
      <c r="G25" s="3">
        <v>16.842706697084001</v>
      </c>
      <c r="H25" s="3">
        <v>16.465016384060199</v>
      </c>
      <c r="I25" s="3">
        <v>18.060715204200498</v>
      </c>
      <c r="J25" s="3">
        <v>16.500463546018398</v>
      </c>
      <c r="K25" s="3">
        <v>14.6977510510707</v>
      </c>
      <c r="L25" s="3">
        <v>15.376711138895701</v>
      </c>
      <c r="M25" s="3">
        <v>15.302649227564199</v>
      </c>
      <c r="N25" s="3">
        <v>13.282176241987701</v>
      </c>
    </row>
    <row r="26" spans="1:14" x14ac:dyDescent="0.35">
      <c r="A26" s="2">
        <v>42507</v>
      </c>
      <c r="B26" s="3">
        <v>19.397930235270898</v>
      </c>
      <c r="C26" s="3">
        <v>16.629478120591301</v>
      </c>
      <c r="D26" s="3">
        <v>16.644366064404799</v>
      </c>
      <c r="E26" s="3">
        <v>12.3634323088268</v>
      </c>
      <c r="F26" s="3">
        <v>13.1205616312094</v>
      </c>
      <c r="G26" s="3">
        <v>16.590341985359</v>
      </c>
      <c r="H26" s="3">
        <v>15.801403262650799</v>
      </c>
      <c r="I26" s="3">
        <v>17.330019770553999</v>
      </c>
      <c r="J26" s="3">
        <v>16.522677016730398</v>
      </c>
      <c r="K26" s="3">
        <v>14.0801398264648</v>
      </c>
      <c r="L26" s="3">
        <v>14.648576346355499</v>
      </c>
      <c r="M26" s="3">
        <v>14.654487034269501</v>
      </c>
      <c r="N26" s="3">
        <v>13.3850728730183</v>
      </c>
    </row>
    <row r="27" spans="1:14" x14ac:dyDescent="0.35">
      <c r="A27" s="2">
        <v>42538</v>
      </c>
      <c r="B27" s="3">
        <v>18.921750472500801</v>
      </c>
      <c r="C27" s="3">
        <v>15.763073804868499</v>
      </c>
      <c r="D27" s="3">
        <v>16.299875888434698</v>
      </c>
      <c r="E27" s="3">
        <v>11.860282003659799</v>
      </c>
      <c r="F27" s="3">
        <v>12.5994391161941</v>
      </c>
      <c r="G27" s="3">
        <v>16.208104340357501</v>
      </c>
      <c r="H27" s="3">
        <v>15.180132865256599</v>
      </c>
      <c r="I27" s="3">
        <v>17.339218876508198</v>
      </c>
      <c r="J27" s="3">
        <v>16.3100236406347</v>
      </c>
      <c r="K27" s="3">
        <v>13.4661705103172</v>
      </c>
      <c r="L27" s="3">
        <v>13.951320330413401</v>
      </c>
      <c r="M27" s="3">
        <v>14.257975637837999</v>
      </c>
      <c r="N27" s="3">
        <v>12.3419643320221</v>
      </c>
    </row>
    <row r="28" spans="1:14" x14ac:dyDescent="0.35">
      <c r="A28" s="2">
        <v>42566</v>
      </c>
      <c r="B28" s="3">
        <v>19.493464036366301</v>
      </c>
      <c r="C28" s="3">
        <v>16.374238650953401</v>
      </c>
      <c r="D28" s="3">
        <v>16.581316424126801</v>
      </c>
      <c r="E28" s="3">
        <v>12.4206475282759</v>
      </c>
      <c r="F28" s="3">
        <v>13.4940333005006</v>
      </c>
      <c r="G28" s="3">
        <v>16.977540374524899</v>
      </c>
      <c r="H28" s="3">
        <v>16.075787561476599</v>
      </c>
      <c r="I28" s="3">
        <v>18.2690755934434</v>
      </c>
      <c r="J28" s="3">
        <v>16.9559896987878</v>
      </c>
      <c r="K28" s="3">
        <v>13.963616843325999</v>
      </c>
      <c r="L28" s="3">
        <v>14.518558114541699</v>
      </c>
      <c r="M28" s="3">
        <v>15.014713772557601</v>
      </c>
      <c r="N28" s="3">
        <v>12.393525893575299</v>
      </c>
    </row>
    <row r="29" spans="1:14" x14ac:dyDescent="0.35">
      <c r="A29" s="2">
        <v>42599</v>
      </c>
      <c r="B29" s="3">
        <v>20.316467238288698</v>
      </c>
      <c r="C29" s="3">
        <v>16.790024522243101</v>
      </c>
      <c r="D29" s="3">
        <v>16.460649252734399</v>
      </c>
      <c r="E29" s="3">
        <v>12.9270920762679</v>
      </c>
      <c r="F29" s="3">
        <v>13.3387985808198</v>
      </c>
      <c r="G29" s="3">
        <v>17.345796152806798</v>
      </c>
      <c r="H29" s="3">
        <v>16.1575932888355</v>
      </c>
      <c r="I29" s="3">
        <v>18.7792928789077</v>
      </c>
      <c r="J29" s="3">
        <v>16.9491743528238</v>
      </c>
      <c r="K29" s="3">
        <v>13.925212974774499</v>
      </c>
      <c r="L29" s="3">
        <v>14.7616373707354</v>
      </c>
      <c r="M29" s="3">
        <v>15.2765420692986</v>
      </c>
      <c r="N29" s="3">
        <v>12.402149348313699</v>
      </c>
    </row>
    <row r="30" spans="1:14" x14ac:dyDescent="0.35">
      <c r="A30" s="2">
        <v>42629</v>
      </c>
      <c r="B30" s="3">
        <v>20.199549799894701</v>
      </c>
      <c r="C30" s="3">
        <v>15.8920567278143</v>
      </c>
      <c r="D30" s="3">
        <v>15.946425188273199</v>
      </c>
      <c r="E30" s="3">
        <v>12.6510087153016</v>
      </c>
      <c r="F30" s="3">
        <v>13.254529973235901</v>
      </c>
      <c r="G30" s="3">
        <v>17.0451400333788</v>
      </c>
      <c r="H30" s="3">
        <v>15.4392493465808</v>
      </c>
      <c r="I30" s="3">
        <v>18.511185749232698</v>
      </c>
      <c r="J30" s="3">
        <v>16.484823090990499</v>
      </c>
      <c r="K30" s="3">
        <v>13.6024941273295</v>
      </c>
      <c r="L30" s="3">
        <v>14.4750377367676</v>
      </c>
      <c r="M30" s="3">
        <v>15.3242835708722</v>
      </c>
      <c r="N30" s="3">
        <v>11.6759630743512</v>
      </c>
    </row>
    <row r="31" spans="1:14" x14ac:dyDescent="0.35">
      <c r="A31" s="2">
        <v>42660</v>
      </c>
      <c r="B31" s="3">
        <v>19.359698198093</v>
      </c>
      <c r="C31" s="3">
        <v>15.9882557260604</v>
      </c>
      <c r="D31" s="3">
        <v>15.887608384993801</v>
      </c>
      <c r="E31" s="3">
        <v>12.8254366667048</v>
      </c>
      <c r="F31" s="3">
        <v>13.4957205872077</v>
      </c>
      <c r="G31" s="3">
        <v>16.664847180611201</v>
      </c>
      <c r="H31" s="3">
        <v>15.0956094525098</v>
      </c>
      <c r="I31" s="3">
        <v>18.257310410674702</v>
      </c>
      <c r="J31" s="3">
        <v>16.263098211808899</v>
      </c>
      <c r="K31" s="3">
        <v>13.815035188828499</v>
      </c>
      <c r="L31" s="3">
        <v>14.6796794456718</v>
      </c>
      <c r="M31" s="3">
        <v>15.962055293909501</v>
      </c>
      <c r="N31" s="3">
        <v>11.822336027861301</v>
      </c>
    </row>
    <row r="32" spans="1:14" x14ac:dyDescent="0.35">
      <c r="A32" s="2">
        <v>42691</v>
      </c>
      <c r="B32" s="3">
        <v>18.605851835980101</v>
      </c>
      <c r="C32" s="3">
        <v>15.758628948932</v>
      </c>
      <c r="D32" s="3">
        <v>15.883920392235201</v>
      </c>
      <c r="E32" s="3">
        <v>12.7912908323617</v>
      </c>
      <c r="F32" s="3">
        <v>14.0924207248956</v>
      </c>
      <c r="G32" s="3">
        <v>16.543349732149501</v>
      </c>
      <c r="H32" s="3">
        <v>14.376813200880401</v>
      </c>
      <c r="I32" s="3">
        <v>18.1982130003849</v>
      </c>
      <c r="J32" s="3">
        <v>16.667414437414799</v>
      </c>
      <c r="K32" s="3">
        <v>13.7704748425568</v>
      </c>
      <c r="L32" s="3">
        <v>14.5539644147704</v>
      </c>
      <c r="M32" s="3">
        <v>16.1208892373641</v>
      </c>
      <c r="N32" s="3">
        <v>11.6212527463336</v>
      </c>
    </row>
    <row r="33" spans="1:14" x14ac:dyDescent="0.35">
      <c r="A33" s="2">
        <v>42720</v>
      </c>
      <c r="B33" s="3">
        <v>18.1634957042499</v>
      </c>
      <c r="C33" s="3">
        <v>15.567546220194201</v>
      </c>
      <c r="D33" s="3">
        <v>15.921878729519699</v>
      </c>
      <c r="E33" s="3">
        <v>13.582688290161</v>
      </c>
      <c r="F33" s="3">
        <v>15.0974042728696</v>
      </c>
      <c r="G33" s="3">
        <v>16.7363261949343</v>
      </c>
      <c r="H33" s="3">
        <v>14.347430424857601</v>
      </c>
      <c r="I33" s="3">
        <v>18.3237547324015</v>
      </c>
      <c r="J33" s="3">
        <v>17.019118731153998</v>
      </c>
      <c r="K33" s="3">
        <v>14.515871716706201</v>
      </c>
      <c r="L33" s="3">
        <v>14.946536712276</v>
      </c>
      <c r="M33" s="3">
        <v>16.751199717486301</v>
      </c>
      <c r="N33" s="3">
        <v>13.4700170878655</v>
      </c>
    </row>
    <row r="34" spans="1:14" x14ac:dyDescent="0.35">
      <c r="A34" s="2">
        <v>42752</v>
      </c>
      <c r="B34" s="3">
        <v>18.9483913194195</v>
      </c>
      <c r="C34" s="3">
        <v>15.877336093988999</v>
      </c>
      <c r="D34" s="3">
        <v>16.0915677748986</v>
      </c>
      <c r="E34" s="3">
        <v>13.6586678685665</v>
      </c>
      <c r="F34" s="3">
        <v>14.4403052156695</v>
      </c>
      <c r="G34" s="3">
        <v>17.0302142149479</v>
      </c>
      <c r="H34" s="3">
        <v>14.3571634975635</v>
      </c>
      <c r="I34" s="3">
        <v>18.631083816718998</v>
      </c>
      <c r="J34" s="3">
        <v>16.9136228520819</v>
      </c>
      <c r="K34" s="3">
        <v>14.5121536053033</v>
      </c>
      <c r="L34" s="3">
        <v>14.869514732973199</v>
      </c>
      <c r="M34" s="3">
        <v>15.928203335906799</v>
      </c>
      <c r="N34" s="3">
        <v>13.280684823323501</v>
      </c>
    </row>
    <row r="35" spans="1:14" x14ac:dyDescent="0.35">
      <c r="A35" s="2">
        <v>42783</v>
      </c>
      <c r="B35" s="3">
        <v>18.922786933211899</v>
      </c>
      <c r="C35" s="3">
        <v>16.060171072014299</v>
      </c>
      <c r="D35" s="3">
        <v>16.385075998960101</v>
      </c>
      <c r="E35" s="3">
        <v>13.3332944813125</v>
      </c>
      <c r="F35" s="3">
        <v>14.346113802570899</v>
      </c>
      <c r="G35" s="3">
        <v>17.5057578485245</v>
      </c>
      <c r="H35" s="3">
        <v>14.5152731486049</v>
      </c>
      <c r="I35" s="3">
        <v>20.083947065918998</v>
      </c>
      <c r="J35" s="3">
        <v>17.589442812159302</v>
      </c>
      <c r="K35" s="3">
        <v>14.273920010363</v>
      </c>
      <c r="L35" s="3">
        <v>15.678284271040701</v>
      </c>
      <c r="M35" s="3">
        <v>16.3751415979077</v>
      </c>
      <c r="N35" s="3">
        <v>13.0803427844456</v>
      </c>
    </row>
    <row r="36" spans="1:14" x14ac:dyDescent="0.35">
      <c r="A36" s="2">
        <v>42811</v>
      </c>
      <c r="B36" s="3">
        <v>18.796203249859801</v>
      </c>
      <c r="C36" s="3">
        <v>15.758833090724901</v>
      </c>
      <c r="D36" s="3">
        <v>15.8361930356761</v>
      </c>
      <c r="E36" s="3">
        <v>13.955854384831101</v>
      </c>
      <c r="F36" s="3">
        <v>14.2762787931405</v>
      </c>
      <c r="G36" s="3">
        <v>17.786644838320001</v>
      </c>
      <c r="H36" s="3">
        <v>14.551066394754701</v>
      </c>
      <c r="I36" s="3">
        <v>20.1588511394013</v>
      </c>
      <c r="J36" s="3">
        <v>17.686612792745901</v>
      </c>
      <c r="K36" s="3">
        <v>14.6149066064755</v>
      </c>
      <c r="L36" s="3">
        <v>16.097558091908098</v>
      </c>
      <c r="M36" s="3">
        <v>16.818742922799601</v>
      </c>
      <c r="N36" s="3">
        <v>13.5188472491037</v>
      </c>
    </row>
    <row r="37" spans="1:14" x14ac:dyDescent="0.35">
      <c r="A37" s="2">
        <v>42842</v>
      </c>
      <c r="B37" s="3">
        <v>19.1187013641172</v>
      </c>
      <c r="C37" s="3">
        <v>15.916267342667799</v>
      </c>
      <c r="D37" s="3">
        <v>15.889805522878101</v>
      </c>
      <c r="E37" s="3">
        <v>13.7938766494491</v>
      </c>
      <c r="F37" s="3">
        <v>13.29402568469</v>
      </c>
      <c r="G37" s="3">
        <v>17.392299953319501</v>
      </c>
      <c r="H37" s="3">
        <v>14.4584636742496</v>
      </c>
      <c r="I37" s="3">
        <v>19.8910550041767</v>
      </c>
      <c r="J37" s="3">
        <v>17.3166766300026</v>
      </c>
      <c r="K37" s="3">
        <v>14.7100605762197</v>
      </c>
      <c r="L37" s="3">
        <v>16.114066404318599</v>
      </c>
      <c r="M37" s="3">
        <v>16.906151370953101</v>
      </c>
      <c r="N37" s="3">
        <v>12.9826947920323</v>
      </c>
    </row>
    <row r="38" spans="1:14" x14ac:dyDescent="0.35">
      <c r="A38" s="2">
        <v>42872</v>
      </c>
      <c r="B38" s="3">
        <v>19.543933381933901</v>
      </c>
      <c r="C38" s="3">
        <v>15.507783846841001</v>
      </c>
      <c r="D38" s="3">
        <v>15.3151616361252</v>
      </c>
      <c r="E38" s="3">
        <v>13.8186826860609</v>
      </c>
      <c r="F38" s="3">
        <v>14.322138002624801</v>
      </c>
      <c r="G38" s="3">
        <v>17.966643683871101</v>
      </c>
      <c r="H38" s="3">
        <v>14.854537109891099</v>
      </c>
      <c r="I38" s="3">
        <v>20.264269128094799</v>
      </c>
      <c r="J38" s="3">
        <v>17.1551186874274</v>
      </c>
      <c r="K38" s="3">
        <v>15.2299655124766</v>
      </c>
      <c r="L38" s="3">
        <v>16.295978585089902</v>
      </c>
      <c r="M38" s="3">
        <v>18.011267276349798</v>
      </c>
      <c r="N38" s="3">
        <v>13.680272791623301</v>
      </c>
    </row>
    <row r="39" spans="1:14" x14ac:dyDescent="0.35">
      <c r="A39" s="2">
        <v>42902</v>
      </c>
      <c r="B39" s="3">
        <v>19.5568107789944</v>
      </c>
      <c r="C39" s="3">
        <v>15.4931070075755</v>
      </c>
      <c r="D39" s="3">
        <v>15.232667786430699</v>
      </c>
      <c r="E39" s="3">
        <v>13.786406918179599</v>
      </c>
      <c r="F39" s="3">
        <v>14.340645834621499</v>
      </c>
      <c r="G39" s="3">
        <v>18.008330383263399</v>
      </c>
      <c r="H39" s="3">
        <v>14.600598566393201</v>
      </c>
      <c r="I39" s="3">
        <v>20.3634873398926</v>
      </c>
      <c r="J39" s="3">
        <v>17.562141391508799</v>
      </c>
      <c r="K39" s="3">
        <v>14.9809724417214</v>
      </c>
      <c r="L39" s="3">
        <v>16.059606933031802</v>
      </c>
      <c r="M39" s="3">
        <v>16.837880659682799</v>
      </c>
      <c r="N39" s="3">
        <v>13.356857243235</v>
      </c>
    </row>
    <row r="40" spans="1:14" x14ac:dyDescent="0.35">
      <c r="A40" s="2">
        <v>42933</v>
      </c>
      <c r="B40" s="3">
        <v>19.718487205470499</v>
      </c>
      <c r="C40" s="3">
        <v>15.6389181479776</v>
      </c>
      <c r="D40" s="3">
        <v>15.3515052311896</v>
      </c>
      <c r="E40" s="3">
        <v>13.5324722627136</v>
      </c>
      <c r="F40" s="3">
        <v>14.2873531753705</v>
      </c>
      <c r="G40" s="3">
        <v>17.9520914153394</v>
      </c>
      <c r="H40" s="3">
        <v>14.684944355992601</v>
      </c>
      <c r="I40" s="3">
        <v>20.688379079235201</v>
      </c>
      <c r="J40" s="3">
        <v>17.641546088660899</v>
      </c>
      <c r="K40" s="3">
        <v>14.893860454548101</v>
      </c>
      <c r="L40" s="3">
        <v>15.9874685450655</v>
      </c>
      <c r="M40" s="3">
        <v>16.796848090891899</v>
      </c>
      <c r="N40" s="3">
        <v>13.5616738185724</v>
      </c>
    </row>
    <row r="41" spans="1:14" x14ac:dyDescent="0.35">
      <c r="A41" s="2">
        <v>42964</v>
      </c>
      <c r="B41" s="3">
        <v>20.2298144438357</v>
      </c>
      <c r="C41" s="3">
        <v>15.832422905305499</v>
      </c>
      <c r="D41" s="3">
        <v>15.414118152517799</v>
      </c>
      <c r="E41" s="3">
        <v>13.0845965522314</v>
      </c>
      <c r="F41" s="3">
        <v>13.8560930161225</v>
      </c>
      <c r="G41" s="3">
        <v>17.551373075083301</v>
      </c>
      <c r="H41" s="3">
        <v>14.4961511337729</v>
      </c>
      <c r="I41" s="3">
        <v>20.182567386595199</v>
      </c>
      <c r="J41" s="3">
        <v>17.267995918524999</v>
      </c>
      <c r="K41" s="3">
        <v>14.610479836914701</v>
      </c>
      <c r="L41" s="3">
        <v>15.893902350496701</v>
      </c>
      <c r="M41" s="3">
        <v>15.7142943093165</v>
      </c>
      <c r="N41" s="3">
        <v>13.345438255022501</v>
      </c>
    </row>
    <row r="42" spans="1:14" x14ac:dyDescent="0.35">
      <c r="A42" s="2">
        <v>42993</v>
      </c>
      <c r="B42" s="3">
        <v>19.6407115554074</v>
      </c>
      <c r="C42" s="3">
        <v>15.532044620334201</v>
      </c>
      <c r="D42" s="3">
        <v>15.3112882603128</v>
      </c>
      <c r="E42" s="3">
        <v>13.3674365898591</v>
      </c>
      <c r="F42" s="3">
        <v>13.7321776224153</v>
      </c>
      <c r="G42" s="3">
        <v>17.6332706768824</v>
      </c>
      <c r="H42" s="3">
        <v>14.4170380507208</v>
      </c>
      <c r="I42" s="3">
        <v>20.575692323501801</v>
      </c>
      <c r="J42" s="3">
        <v>17.649590154690902</v>
      </c>
      <c r="K42" s="3">
        <v>14.8258607092245</v>
      </c>
      <c r="L42" s="3">
        <v>15.8558988987342</v>
      </c>
      <c r="M42" s="3">
        <v>16.162872612190299</v>
      </c>
      <c r="N42" s="3">
        <v>13.411543363138399</v>
      </c>
    </row>
    <row r="43" spans="1:14" x14ac:dyDescent="0.35">
      <c r="A43" s="2">
        <v>43025</v>
      </c>
      <c r="B43" s="3">
        <v>20.097737281580802</v>
      </c>
      <c r="C43" s="3">
        <v>15.864088180670599</v>
      </c>
      <c r="D43" s="3">
        <v>15.749348993791999</v>
      </c>
      <c r="E43" s="3">
        <v>13.838378551630001</v>
      </c>
      <c r="F43" s="3">
        <v>14.308631619314699</v>
      </c>
      <c r="G43" s="3">
        <v>17.8762734620815</v>
      </c>
      <c r="H43" s="3">
        <v>14.5638391777281</v>
      </c>
      <c r="I43" s="3">
        <v>20.717535886619601</v>
      </c>
      <c r="J43" s="3">
        <v>17.907634473293299</v>
      </c>
      <c r="K43" s="3">
        <v>15.136285227038</v>
      </c>
      <c r="L43" s="3">
        <v>16.2069115460991</v>
      </c>
      <c r="M43" s="3">
        <v>16.7704500336568</v>
      </c>
      <c r="N43" s="3">
        <v>13.486514868793201</v>
      </c>
    </row>
    <row r="44" spans="1:14" x14ac:dyDescent="0.35">
      <c r="A44" s="2">
        <v>43056</v>
      </c>
      <c r="B44" s="3">
        <v>20.197324452538201</v>
      </c>
      <c r="C44" s="3">
        <v>15.8505622006117</v>
      </c>
      <c r="D44" s="3">
        <v>15.8463516639139</v>
      </c>
      <c r="E44" s="3">
        <v>13.8003083422623</v>
      </c>
      <c r="F44" s="3">
        <v>14.5129847382699</v>
      </c>
      <c r="G44" s="3">
        <v>17.607557883893101</v>
      </c>
      <c r="H44" s="3">
        <v>14.215054560518499</v>
      </c>
      <c r="I44" s="3">
        <v>20.832730611538299</v>
      </c>
      <c r="J44" s="3">
        <v>17.8547288172865</v>
      </c>
      <c r="K44" s="3">
        <v>14.8219308118101</v>
      </c>
      <c r="L44" s="3">
        <v>15.9378221525605</v>
      </c>
      <c r="M44" s="3">
        <v>16.6859208443406</v>
      </c>
      <c r="N44" s="3">
        <v>13.1060458015238</v>
      </c>
    </row>
    <row r="45" spans="1:14" x14ac:dyDescent="0.35">
      <c r="A45" s="2">
        <v>43084</v>
      </c>
      <c r="B45" s="3">
        <v>20.8536530945937</v>
      </c>
      <c r="C45" s="3">
        <v>15.828354244678801</v>
      </c>
      <c r="D45" s="3">
        <v>15.888477644915801</v>
      </c>
      <c r="E45" s="3">
        <v>13.9771902174272</v>
      </c>
      <c r="F45" s="3">
        <v>14.5217449062466</v>
      </c>
      <c r="G45" s="3">
        <v>17.704733726246101</v>
      </c>
      <c r="H45" s="3">
        <v>14.4019127183173</v>
      </c>
      <c r="I45" s="3">
        <v>21.064695593348301</v>
      </c>
      <c r="J45" s="3">
        <v>18.331967638594701</v>
      </c>
      <c r="K45" s="3">
        <v>14.9053094936228</v>
      </c>
      <c r="L45" s="3">
        <v>16.065092497502</v>
      </c>
      <c r="M45" s="3">
        <v>16.3142436737457</v>
      </c>
      <c r="N45" s="3">
        <v>13.2084720865987</v>
      </c>
    </row>
    <row r="46" spans="1:14" x14ac:dyDescent="0.35">
      <c r="A46" s="2">
        <v>43117</v>
      </c>
      <c r="B46" s="3">
        <v>20.603914373172699</v>
      </c>
      <c r="C46" s="3">
        <v>15.8304265045601</v>
      </c>
      <c r="D46" s="3">
        <v>15.7930964608531</v>
      </c>
      <c r="E46" s="3">
        <v>14.0128517688751</v>
      </c>
      <c r="F46" s="3">
        <v>15.2881581629949</v>
      </c>
      <c r="G46" s="3">
        <v>17.811551275731698</v>
      </c>
      <c r="H46" s="3">
        <v>14.721219328994801</v>
      </c>
      <c r="I46" s="3">
        <v>21.848444286576701</v>
      </c>
      <c r="J46" s="3">
        <v>18.368232404437801</v>
      </c>
      <c r="K46" s="3">
        <v>15.2267697128066</v>
      </c>
      <c r="L46" s="3">
        <v>16.300018236814399</v>
      </c>
      <c r="M46" s="3">
        <v>16.624235869613599</v>
      </c>
      <c r="N46" s="3">
        <v>13.6224851252248</v>
      </c>
    </row>
    <row r="47" spans="1:14" x14ac:dyDescent="0.35">
      <c r="A47" s="2">
        <v>43147</v>
      </c>
      <c r="B47" s="3">
        <v>20.2818365986933</v>
      </c>
      <c r="C47" s="3">
        <v>15.3536324233092</v>
      </c>
      <c r="D47" s="3">
        <v>14.5794402462917</v>
      </c>
      <c r="E47" s="3">
        <v>13.197983061500899</v>
      </c>
      <c r="F47" s="3">
        <v>13.676500491688801</v>
      </c>
      <c r="G47" s="3">
        <v>16.906642917334999</v>
      </c>
      <c r="H47" s="3">
        <v>13.7878042820511</v>
      </c>
      <c r="I47" s="3">
        <v>20.639802904559101</v>
      </c>
      <c r="J47" s="3">
        <v>17.067900096512599</v>
      </c>
      <c r="K47" s="3">
        <v>14.600920569188499</v>
      </c>
      <c r="L47" s="3">
        <v>15.5175437484168</v>
      </c>
      <c r="M47" s="3">
        <v>16.156119724084299</v>
      </c>
      <c r="N47" s="3">
        <v>12.705610191554401</v>
      </c>
    </row>
    <row r="48" spans="1:14" x14ac:dyDescent="0.35">
      <c r="A48" s="2">
        <v>43175</v>
      </c>
      <c r="B48" s="3">
        <v>20.4977190042163</v>
      </c>
      <c r="C48" s="3">
        <v>15.2802382453732</v>
      </c>
      <c r="D48" s="3">
        <v>14.5510696313716</v>
      </c>
      <c r="E48" s="3">
        <v>13.051422367995899</v>
      </c>
      <c r="F48" s="3">
        <v>12.9926588377316</v>
      </c>
      <c r="G48" s="3">
        <v>16.344389973639402</v>
      </c>
      <c r="H48" s="3">
        <v>13.394161170834501</v>
      </c>
      <c r="I48" s="3">
        <v>21.1703525274099</v>
      </c>
      <c r="J48" s="3">
        <v>17.049454350359799</v>
      </c>
      <c r="K48" s="3">
        <v>14.5360915971499</v>
      </c>
      <c r="L48" s="3">
        <v>15.691995133409</v>
      </c>
      <c r="M48" s="3">
        <v>16.2175354668837</v>
      </c>
      <c r="N48" s="3">
        <v>12.70020595427</v>
      </c>
    </row>
    <row r="49" spans="1:14" x14ac:dyDescent="0.35">
      <c r="A49" s="2">
        <v>43207</v>
      </c>
      <c r="B49" s="3">
        <v>19.9717328035122</v>
      </c>
      <c r="C49" s="3">
        <v>14.9832265955424</v>
      </c>
      <c r="D49" s="3">
        <v>14.01883964932</v>
      </c>
      <c r="E49" s="3">
        <v>13.203654750932801</v>
      </c>
      <c r="F49" s="3">
        <v>12.8800155334745</v>
      </c>
      <c r="G49" s="3">
        <v>16.119645881448701</v>
      </c>
      <c r="H49" s="3">
        <v>13.513232492673501</v>
      </c>
      <c r="I49" s="3">
        <v>20.372814652867</v>
      </c>
      <c r="J49" s="3">
        <v>16.636699681981298</v>
      </c>
      <c r="K49" s="3">
        <v>14.5749247204479</v>
      </c>
      <c r="L49" s="3">
        <v>15.735708212662299</v>
      </c>
      <c r="M49" s="3">
        <v>15.8894562531499</v>
      </c>
      <c r="N49" s="3">
        <v>12.9451431018274</v>
      </c>
    </row>
    <row r="50" spans="1:14" x14ac:dyDescent="0.35">
      <c r="A50" s="2">
        <v>43237</v>
      </c>
      <c r="B50" s="3">
        <v>20.382122572994</v>
      </c>
      <c r="C50" s="3">
        <v>15.454038404687299</v>
      </c>
      <c r="D50" s="3">
        <v>14.439384945626299</v>
      </c>
      <c r="E50" s="3">
        <v>13.541964850824799</v>
      </c>
      <c r="F50" s="3">
        <v>13.423645660539</v>
      </c>
      <c r="G50" s="3">
        <v>16.307068881515399</v>
      </c>
      <c r="H50" s="3">
        <v>14.024564821164599</v>
      </c>
      <c r="I50" s="3">
        <v>20.001614804832499</v>
      </c>
      <c r="J50" s="3">
        <v>16.356240601511001</v>
      </c>
      <c r="K50" s="3">
        <v>14.9449679299273</v>
      </c>
      <c r="L50" s="3">
        <v>15.837812268184299</v>
      </c>
      <c r="M50" s="3">
        <v>16.137372228166399</v>
      </c>
      <c r="N50" s="3">
        <v>12.670291689828399</v>
      </c>
    </row>
    <row r="51" spans="1:14" x14ac:dyDescent="0.35">
      <c r="A51" s="2">
        <v>43266</v>
      </c>
      <c r="B51" s="3">
        <v>21.380467304624499</v>
      </c>
      <c r="C51" s="3">
        <v>15.137698540431501</v>
      </c>
      <c r="D51" s="3">
        <v>14.3946798751586</v>
      </c>
      <c r="E51" s="3">
        <v>13.4527270584679</v>
      </c>
      <c r="F51" s="3">
        <v>13.2205469851466</v>
      </c>
      <c r="G51" s="3">
        <v>15.6965312297304</v>
      </c>
      <c r="H51" s="3">
        <v>13.398531316607301</v>
      </c>
      <c r="I51" s="3">
        <v>20.767587789122299</v>
      </c>
      <c r="J51" s="3">
        <v>16.581977902913401</v>
      </c>
      <c r="K51" s="3">
        <v>14.492681269394</v>
      </c>
      <c r="L51" s="3">
        <v>15.958923139956701</v>
      </c>
      <c r="M51" s="3">
        <v>15.385277052936299</v>
      </c>
      <c r="N51" s="3">
        <v>11.688832834910601</v>
      </c>
    </row>
    <row r="52" spans="1:14" x14ac:dyDescent="0.35">
      <c r="A52" s="2">
        <v>43298</v>
      </c>
      <c r="B52" s="3">
        <v>21.1301044112151</v>
      </c>
      <c r="C52" s="3">
        <v>15.4138963198151</v>
      </c>
      <c r="D52" s="3">
        <v>14.336008937328</v>
      </c>
      <c r="E52" s="3">
        <v>13.085954036953501</v>
      </c>
      <c r="F52" s="3">
        <v>12.901530316340599</v>
      </c>
      <c r="G52" s="3">
        <v>15.9201269309466</v>
      </c>
      <c r="H52" s="3">
        <v>13.1062141420364</v>
      </c>
      <c r="I52" s="3">
        <v>21.027443923608899</v>
      </c>
      <c r="J52" s="3">
        <v>16.567077134534699</v>
      </c>
      <c r="K52" s="3">
        <v>14.1118452798394</v>
      </c>
      <c r="L52" s="3">
        <v>15.688615610116001</v>
      </c>
      <c r="M52" s="3">
        <v>15.2627796558754</v>
      </c>
      <c r="N52" s="3">
        <v>11.4451235160109</v>
      </c>
    </row>
    <row r="53" spans="1:14" x14ac:dyDescent="0.35">
      <c r="A53" s="2">
        <v>43329</v>
      </c>
      <c r="B53" s="3">
        <v>21.3168575086892</v>
      </c>
      <c r="C53" s="3">
        <v>15.788216800034499</v>
      </c>
      <c r="D53" s="3">
        <v>13.997146502642799</v>
      </c>
      <c r="E53" s="3">
        <v>12.664244864540001</v>
      </c>
      <c r="F53" s="3">
        <v>12.485941052281801</v>
      </c>
      <c r="G53" s="3">
        <v>15.942973507355401</v>
      </c>
      <c r="H53" s="3">
        <v>12.7957001057414</v>
      </c>
      <c r="I53" s="3">
        <v>20.4708595873138</v>
      </c>
      <c r="J53" s="3">
        <v>16.573742831805301</v>
      </c>
      <c r="K53" s="3">
        <v>13.6578535341948</v>
      </c>
      <c r="L53" s="3">
        <v>15.354632279996499</v>
      </c>
      <c r="M53" s="3">
        <v>15.555938769901701</v>
      </c>
      <c r="N53" s="3">
        <v>10.708590832916601</v>
      </c>
    </row>
    <row r="54" spans="1:14" x14ac:dyDescent="0.35">
      <c r="A54" s="2">
        <v>43360</v>
      </c>
      <c r="B54" s="3">
        <v>21.5936576068083</v>
      </c>
      <c r="C54" s="3">
        <v>15.217433593486</v>
      </c>
      <c r="D54" s="3">
        <v>13.570719116120699</v>
      </c>
      <c r="E54" s="3">
        <v>12.5544808444337</v>
      </c>
      <c r="F54" s="3">
        <v>12.6425929617496</v>
      </c>
      <c r="G54" s="3">
        <v>15.943684035401301</v>
      </c>
      <c r="H54" s="3">
        <v>12.478598436832399</v>
      </c>
      <c r="I54" s="3">
        <v>20.388218153920501</v>
      </c>
      <c r="J54" s="3">
        <v>16.654541959471999</v>
      </c>
      <c r="K54" s="3">
        <v>13.5833309063866</v>
      </c>
      <c r="L54" s="3">
        <v>14.9123348124348</v>
      </c>
      <c r="M54" s="3">
        <v>15.655700442261701</v>
      </c>
      <c r="N54" s="3">
        <v>10.853652370200599</v>
      </c>
    </row>
    <row r="55" spans="1:14" x14ac:dyDescent="0.35">
      <c r="A55" s="2">
        <v>43390</v>
      </c>
      <c r="B55" s="3">
        <v>20.507269287438501</v>
      </c>
      <c r="C55" s="3">
        <v>14.5516372651255</v>
      </c>
      <c r="D55" s="3">
        <v>12.9363557160566</v>
      </c>
      <c r="E55" s="3">
        <v>12.0909193612062</v>
      </c>
      <c r="F55" s="3">
        <v>12.49447835346</v>
      </c>
      <c r="G55" s="3">
        <v>15.269461178767299</v>
      </c>
      <c r="H55" s="3">
        <v>11.9023462843719</v>
      </c>
      <c r="I55" s="3">
        <v>19.8318438231865</v>
      </c>
      <c r="J55" s="3">
        <v>16.090474574285999</v>
      </c>
      <c r="K55" s="3">
        <v>12.9110981824804</v>
      </c>
      <c r="L55" s="3">
        <v>14.304758467148501</v>
      </c>
      <c r="M55" s="3">
        <v>14.682484152575</v>
      </c>
      <c r="N55" s="3">
        <v>9.9658568389110194</v>
      </c>
    </row>
    <row r="56" spans="1:14" x14ac:dyDescent="0.35">
      <c r="A56" s="2">
        <v>43420</v>
      </c>
      <c r="B56" s="3">
        <v>20.073527640433099</v>
      </c>
      <c r="C56" s="3">
        <v>14.175619304102399</v>
      </c>
      <c r="D56" s="3">
        <v>12.6451568470615</v>
      </c>
      <c r="E56" s="3">
        <v>11.6359773118956</v>
      </c>
      <c r="F56" s="3">
        <v>11.954737754808599</v>
      </c>
      <c r="G56" s="3">
        <v>15.4614244484418</v>
      </c>
      <c r="H56" s="3">
        <v>11.7389457056459</v>
      </c>
      <c r="I56" s="3">
        <v>18.624333458586001</v>
      </c>
      <c r="J56" s="3">
        <v>15.633484501414801</v>
      </c>
      <c r="K56" s="3">
        <v>12.6135588062794</v>
      </c>
      <c r="L56" s="3">
        <v>14.1917440632078</v>
      </c>
      <c r="M56" s="3">
        <v>14.100775528687899</v>
      </c>
      <c r="N56" s="3">
        <v>9.5888466101009708</v>
      </c>
    </row>
    <row r="57" spans="1:14" x14ac:dyDescent="0.35">
      <c r="A57" s="2">
        <v>43451</v>
      </c>
      <c r="B57" s="3">
        <v>19.921038236788402</v>
      </c>
      <c r="C57" s="3">
        <v>14.001999649690401</v>
      </c>
      <c r="D57" s="3">
        <v>12.144785160023799</v>
      </c>
      <c r="E57" s="3">
        <v>11.154770640040599</v>
      </c>
      <c r="F57" s="3">
        <v>11.797547347498099</v>
      </c>
      <c r="G57" s="3">
        <v>14.8208445157067</v>
      </c>
      <c r="H57" s="3">
        <v>11.4391929917107</v>
      </c>
      <c r="I57" s="3">
        <v>17.420592536995098</v>
      </c>
      <c r="J57" s="3">
        <v>14.5601570751846</v>
      </c>
      <c r="K57" s="3">
        <v>12.0769190390746</v>
      </c>
      <c r="L57" s="3">
        <v>13.4424698509564</v>
      </c>
      <c r="M57" s="3">
        <v>13.652068937762699</v>
      </c>
      <c r="N57" s="3">
        <v>9.3890201020770796</v>
      </c>
    </row>
    <row r="58" spans="1:14" x14ac:dyDescent="0.35">
      <c r="A58" s="2">
        <v>43482</v>
      </c>
      <c r="B58" s="3">
        <v>20.619215457780999</v>
      </c>
      <c r="C58" s="3">
        <v>14.596590388218599</v>
      </c>
      <c r="D58" s="3">
        <v>13.210688734396699</v>
      </c>
      <c r="E58" s="3">
        <v>11.390296151052</v>
      </c>
      <c r="F58" s="3">
        <v>11.605412365328201</v>
      </c>
      <c r="G58" s="3">
        <v>15.3772902571275</v>
      </c>
      <c r="H58" s="3">
        <v>11.7992554184629</v>
      </c>
      <c r="I58" s="3">
        <v>18.424758986941502</v>
      </c>
      <c r="J58" s="3">
        <v>15.293965763641401</v>
      </c>
      <c r="K58" s="3">
        <v>12.317483702385699</v>
      </c>
      <c r="L58" s="3">
        <v>13.4031411426171</v>
      </c>
      <c r="M58" s="3">
        <v>14.1572387316938</v>
      </c>
      <c r="N58" s="3">
        <v>9.79330836187121</v>
      </c>
    </row>
    <row r="59" spans="1:14" x14ac:dyDescent="0.35">
      <c r="A59" s="2">
        <v>43511</v>
      </c>
      <c r="B59" s="3">
        <v>21.018988736511002</v>
      </c>
      <c r="C59" s="3">
        <v>15.0265526899971</v>
      </c>
      <c r="D59" s="3">
        <v>13.9455945451503</v>
      </c>
      <c r="E59" s="3">
        <v>11.918576844760301</v>
      </c>
      <c r="F59" s="3">
        <v>12.1300495250649</v>
      </c>
      <c r="G59" s="3">
        <v>15.8878373452864</v>
      </c>
      <c r="H59" s="3">
        <v>12.4858689884881</v>
      </c>
      <c r="I59" s="3">
        <v>19.5287904397589</v>
      </c>
      <c r="J59" s="3">
        <v>16.1790743240804</v>
      </c>
      <c r="K59" s="3">
        <v>13.193327705720099</v>
      </c>
      <c r="L59" s="3">
        <v>14.854793667672601</v>
      </c>
      <c r="M59" s="3">
        <v>14.9294651026098</v>
      </c>
      <c r="N59" s="3">
        <v>10.3589539345726</v>
      </c>
    </row>
    <row r="60" spans="1:14" x14ac:dyDescent="0.35">
      <c r="A60" s="2">
        <v>43539</v>
      </c>
      <c r="B60" s="3">
        <v>21.6177622744923</v>
      </c>
      <c r="C60" s="3">
        <v>15.221972219089</v>
      </c>
      <c r="D60" s="3">
        <v>14.1989655847854</v>
      </c>
      <c r="E60" s="3">
        <v>12.352694185309</v>
      </c>
      <c r="F60" s="3">
        <v>12.547675739947501</v>
      </c>
      <c r="G60" s="3">
        <v>16.5442366262203</v>
      </c>
      <c r="H60" s="3">
        <v>12.5998477189738</v>
      </c>
      <c r="I60" s="3">
        <v>20.169424025692201</v>
      </c>
      <c r="J60" s="3">
        <v>16.3805050615818</v>
      </c>
      <c r="K60" s="3">
        <v>13.8089476751275</v>
      </c>
      <c r="L60" s="3">
        <v>15.3325260907041</v>
      </c>
      <c r="M60" s="3">
        <v>15.013350763552699</v>
      </c>
      <c r="N60" s="3">
        <v>10.6705866578494</v>
      </c>
    </row>
    <row r="61" spans="1:14" x14ac:dyDescent="0.35">
      <c r="A61" s="2">
        <v>43572</v>
      </c>
      <c r="B61" s="3">
        <v>22.6337556137101</v>
      </c>
      <c r="C61" s="3">
        <v>15.3167910222926</v>
      </c>
      <c r="D61" s="3">
        <v>14.003209935832</v>
      </c>
      <c r="E61" s="3">
        <v>12.8339798501163</v>
      </c>
      <c r="F61" s="3">
        <v>12.8020514184813</v>
      </c>
      <c r="G61" s="3">
        <v>16.893968269504999</v>
      </c>
      <c r="H61" s="3">
        <v>12.818466802158399</v>
      </c>
      <c r="I61" s="3">
        <v>21.0500379867044</v>
      </c>
      <c r="J61" s="3">
        <v>16.736143198874899</v>
      </c>
      <c r="K61" s="3">
        <v>14.107048899369</v>
      </c>
      <c r="L61" s="3">
        <v>15.6722203848157</v>
      </c>
      <c r="M61" s="3">
        <v>15.4466789541528</v>
      </c>
      <c r="N61" s="3">
        <v>10.9966626808465</v>
      </c>
    </row>
    <row r="62" spans="1:14" x14ac:dyDescent="0.35">
      <c r="A62" s="2">
        <v>43602</v>
      </c>
      <c r="B62" s="3">
        <v>23.1098901534411</v>
      </c>
      <c r="C62" s="3">
        <v>15.4211261748783</v>
      </c>
      <c r="D62" s="3">
        <v>13.6603926710374</v>
      </c>
      <c r="E62" s="3">
        <v>12.627160190613299</v>
      </c>
      <c r="F62" s="3">
        <v>12.3512842800335</v>
      </c>
      <c r="G62" s="3">
        <v>16.723283861496199</v>
      </c>
      <c r="H62" s="3">
        <v>12.377927137540899</v>
      </c>
      <c r="I62" s="3">
        <v>20.449279332865</v>
      </c>
      <c r="J62" s="3">
        <v>16.350766314040399</v>
      </c>
      <c r="K62" s="3">
        <v>13.754216614496</v>
      </c>
      <c r="L62" s="3">
        <v>15.3786629098857</v>
      </c>
      <c r="M62" s="3">
        <v>15.039152981408201</v>
      </c>
      <c r="N62" s="3">
        <v>10.4634374155735</v>
      </c>
    </row>
    <row r="63" spans="1:14" x14ac:dyDescent="0.35">
      <c r="A63" s="2">
        <v>43633</v>
      </c>
      <c r="B63" s="3">
        <v>22.8403552267355</v>
      </c>
      <c r="C63" s="3">
        <v>15.848467733408899</v>
      </c>
      <c r="D63" s="3">
        <v>13.6163046560577</v>
      </c>
      <c r="E63" s="3">
        <v>12.322551705071</v>
      </c>
      <c r="F63" s="3">
        <v>12.5600830829858</v>
      </c>
      <c r="G63" s="3">
        <v>16.966586976553199</v>
      </c>
      <c r="H63" s="3">
        <v>12.3967752731352</v>
      </c>
      <c r="I63" s="3">
        <v>20.398322927640098</v>
      </c>
      <c r="J63" s="3">
        <v>16.440755877029201</v>
      </c>
      <c r="K63" s="3">
        <v>13.561125463199</v>
      </c>
      <c r="L63" s="3">
        <v>15.1739942918827</v>
      </c>
      <c r="M63" s="3">
        <v>14.722227992085701</v>
      </c>
      <c r="N63" s="3">
        <v>10.2081596596077</v>
      </c>
    </row>
    <row r="64" spans="1:14" x14ac:dyDescent="0.35">
      <c r="A64" s="2">
        <v>43663</v>
      </c>
      <c r="B64" s="3">
        <v>24.214980009014202</v>
      </c>
      <c r="C64" s="3">
        <v>16.170303901667001</v>
      </c>
      <c r="D64" s="3">
        <v>13.6889708158656</v>
      </c>
      <c r="E64" s="3">
        <v>12.8561927987922</v>
      </c>
      <c r="F64" s="3">
        <v>12.8470099194251</v>
      </c>
      <c r="G64" s="3">
        <v>17.185893108174</v>
      </c>
      <c r="H64" s="3">
        <v>12.6596662936771</v>
      </c>
      <c r="I64" s="3">
        <v>21.267285850756</v>
      </c>
      <c r="J64" s="3">
        <v>16.968939878311399</v>
      </c>
      <c r="K64" s="3">
        <v>14.036138885116401</v>
      </c>
      <c r="L64" s="3">
        <v>15.691393018889</v>
      </c>
      <c r="M64" s="3">
        <v>14.9080449339328</v>
      </c>
      <c r="N64" s="3">
        <v>10.897679740008501</v>
      </c>
    </row>
    <row r="65" spans="1:14" x14ac:dyDescent="0.35">
      <c r="A65" s="2">
        <v>43693</v>
      </c>
      <c r="B65" s="3">
        <v>24.030331231260899</v>
      </c>
      <c r="C65" s="3">
        <v>15.631555354932001</v>
      </c>
      <c r="D65" s="3">
        <v>13.4515578282522</v>
      </c>
      <c r="E65" s="3">
        <v>12.222251066375501</v>
      </c>
      <c r="F65" s="3">
        <v>12.2720166094583</v>
      </c>
      <c r="G65" s="3">
        <v>16.719347687759701</v>
      </c>
      <c r="H65" s="3">
        <v>11.8195668557379</v>
      </c>
      <c r="I65" s="3">
        <v>20.328167536301802</v>
      </c>
      <c r="J65" s="3">
        <v>16.403562696147102</v>
      </c>
      <c r="K65" s="3">
        <v>13.4067156635136</v>
      </c>
      <c r="L65" s="3">
        <v>15.0658977755566</v>
      </c>
      <c r="M65" s="3">
        <v>13.5136919098557</v>
      </c>
      <c r="N65" s="3">
        <v>10.0166494519419</v>
      </c>
    </row>
    <row r="66" spans="1:14" x14ac:dyDescent="0.35">
      <c r="A66" s="2">
        <v>43725</v>
      </c>
      <c r="B66" s="3">
        <v>25.8572589813813</v>
      </c>
      <c r="C66" s="3">
        <v>16.655451526694598</v>
      </c>
      <c r="D66" s="3">
        <v>14.0725301714295</v>
      </c>
      <c r="E66" s="3">
        <v>13.031513707122601</v>
      </c>
      <c r="F66" s="3">
        <v>13.4767835005888</v>
      </c>
      <c r="G66" s="3">
        <v>17.062959973676602</v>
      </c>
      <c r="H66" s="3">
        <v>12.375353061946599</v>
      </c>
      <c r="I66" s="3">
        <v>20.8580113811934</v>
      </c>
      <c r="J66" s="3">
        <v>16.945637213343701</v>
      </c>
      <c r="K66" s="3">
        <v>14.090659337575399</v>
      </c>
      <c r="L66" s="3">
        <v>16.249504831033502</v>
      </c>
      <c r="M66" s="3">
        <v>14.610609328387</v>
      </c>
      <c r="N66" s="3">
        <v>10.7175279020229</v>
      </c>
    </row>
    <row r="67" spans="1:14" x14ac:dyDescent="0.35">
      <c r="A67" s="2">
        <v>43755</v>
      </c>
      <c r="B67" s="3">
        <v>25.670458029178299</v>
      </c>
      <c r="C67" s="3">
        <v>16.786268013280299</v>
      </c>
      <c r="D67" s="3">
        <v>13.7926839786376</v>
      </c>
      <c r="E67" s="3">
        <v>13.2927529023525</v>
      </c>
      <c r="F67" s="3">
        <v>13.5272782936349</v>
      </c>
      <c r="G67" s="3">
        <v>17.050902655876499</v>
      </c>
      <c r="H67" s="3">
        <v>12.417059723493701</v>
      </c>
      <c r="I67" s="3">
        <v>20.814753564904102</v>
      </c>
      <c r="J67" s="3">
        <v>16.9573719386688</v>
      </c>
      <c r="K67" s="3">
        <v>14.306982757523301</v>
      </c>
      <c r="L67" s="3">
        <v>16.193652661944199</v>
      </c>
      <c r="M67" s="3">
        <v>15.3094471875057</v>
      </c>
      <c r="N67" s="3">
        <v>10.916614243995401</v>
      </c>
    </row>
    <row r="68" spans="1:14" x14ac:dyDescent="0.35">
      <c r="A68" s="2">
        <v>43784</v>
      </c>
      <c r="B68" s="3">
        <v>24.685375243658601</v>
      </c>
      <c r="C68" s="3">
        <v>17.2580255634787</v>
      </c>
      <c r="D68" s="3">
        <v>14.402982530523699</v>
      </c>
      <c r="E68" s="3">
        <v>14.011704126436999</v>
      </c>
      <c r="F68" s="3">
        <v>14.1171314009461</v>
      </c>
      <c r="G68" s="3">
        <v>17.391200930436799</v>
      </c>
      <c r="H68" s="3">
        <v>12.810238321513699</v>
      </c>
      <c r="I68" s="3">
        <v>21.644377296301499</v>
      </c>
      <c r="J68" s="3">
        <v>17.603776106558399</v>
      </c>
      <c r="K68" s="3">
        <v>14.859332601253101</v>
      </c>
      <c r="L68" s="3">
        <v>16.7938144432127</v>
      </c>
      <c r="M68" s="3">
        <v>15.8540238937633</v>
      </c>
      <c r="N68" s="3">
        <v>11.376836190124401</v>
      </c>
    </row>
    <row r="69" spans="1:14" x14ac:dyDescent="0.35">
      <c r="A69" s="2">
        <v>43816</v>
      </c>
      <c r="B69" s="3">
        <v>25.518469999534901</v>
      </c>
      <c r="C69" s="3">
        <v>17.5353816499094</v>
      </c>
      <c r="D69" s="3">
        <v>14.435895172117799</v>
      </c>
      <c r="E69" s="3">
        <v>14.208568413843199</v>
      </c>
      <c r="F69" s="3">
        <v>14.753614109612601</v>
      </c>
      <c r="G69" s="3">
        <v>17.687007059688401</v>
      </c>
      <c r="H69" s="3">
        <v>13.4197373859569</v>
      </c>
      <c r="I69" s="3">
        <v>22.326382905268101</v>
      </c>
      <c r="J69" s="3">
        <v>17.958865868261999</v>
      </c>
      <c r="K69" s="3">
        <v>14.8948701039435</v>
      </c>
      <c r="L69" s="3">
        <v>17.052583937984299</v>
      </c>
      <c r="M69" s="3">
        <v>16.293613823511102</v>
      </c>
      <c r="N69" s="3">
        <v>11.4816358504231</v>
      </c>
    </row>
    <row r="70" spans="1:14" x14ac:dyDescent="0.35">
      <c r="A70" s="2">
        <v>43847</v>
      </c>
      <c r="B70" s="3">
        <v>26.343827542687102</v>
      </c>
      <c r="C70" s="3">
        <v>18.036642423486999</v>
      </c>
      <c r="D70" s="3">
        <v>14.717578660921999</v>
      </c>
      <c r="E70" s="3">
        <v>14.380747508894601</v>
      </c>
      <c r="F70" s="3">
        <v>14.6604383399493</v>
      </c>
      <c r="G70" s="3">
        <v>18.222927339907798</v>
      </c>
      <c r="H70" s="3">
        <v>13.6208464082618</v>
      </c>
      <c r="I70" s="3">
        <v>23.740387383002901</v>
      </c>
      <c r="J70" s="3">
        <v>18.649678852307101</v>
      </c>
      <c r="K70" s="3">
        <v>15.1735496145974</v>
      </c>
      <c r="L70" s="3">
        <v>17.361706202470199</v>
      </c>
      <c r="M70" s="3">
        <v>16.491011925161299</v>
      </c>
      <c r="N70" s="3">
        <v>11.664904854808301</v>
      </c>
    </row>
    <row r="71" spans="1:14" x14ac:dyDescent="0.35">
      <c r="A71" s="2">
        <v>43875</v>
      </c>
      <c r="B71" s="3">
        <v>26.962356529590402</v>
      </c>
      <c r="C71" s="3">
        <v>18.295100008265401</v>
      </c>
      <c r="D71" s="3">
        <v>15.041156050748601</v>
      </c>
      <c r="E71" s="3">
        <v>14.543382728318599</v>
      </c>
      <c r="F71" s="3">
        <v>14.3638999597467</v>
      </c>
      <c r="G71" s="3">
        <v>18.4790363072254</v>
      </c>
      <c r="H71" s="3">
        <v>13.323362755510599</v>
      </c>
      <c r="I71" s="3">
        <v>24.352441860662001</v>
      </c>
      <c r="J71" s="3">
        <v>18.953323969778801</v>
      </c>
      <c r="K71" s="3">
        <v>15.2160122704363</v>
      </c>
      <c r="L71" s="3">
        <v>18.228601075693099</v>
      </c>
      <c r="M71" s="3">
        <v>17.011102096109799</v>
      </c>
      <c r="N71" s="3">
        <v>11.843322728852099</v>
      </c>
    </row>
    <row r="72" spans="1:14" x14ac:dyDescent="0.35">
      <c r="A72" s="2">
        <v>43907</v>
      </c>
      <c r="B72" s="3">
        <v>21.544552960515698</v>
      </c>
      <c r="C72" s="3">
        <v>13.728917543710301</v>
      </c>
      <c r="D72" s="3">
        <v>11.586199556080199</v>
      </c>
      <c r="E72" s="3">
        <v>9.6737317638626692</v>
      </c>
      <c r="F72" s="3">
        <v>10.960561616884201</v>
      </c>
      <c r="G72" s="3">
        <v>14.197363245498501</v>
      </c>
      <c r="H72" s="3">
        <v>10.0305556302431</v>
      </c>
      <c r="I72" s="3">
        <v>19.049828991506601</v>
      </c>
      <c r="J72" s="3">
        <v>14.525310583054999</v>
      </c>
      <c r="K72" s="3">
        <v>10.6290619514632</v>
      </c>
      <c r="L72" s="3">
        <v>12.436267355271401</v>
      </c>
      <c r="M72" s="3">
        <v>12.3317579025851</v>
      </c>
      <c r="N72" s="3">
        <v>7.7395350698240204</v>
      </c>
    </row>
    <row r="73" spans="1:14" x14ac:dyDescent="0.35">
      <c r="A73" s="2">
        <v>43938</v>
      </c>
      <c r="B73" s="3">
        <v>29.2371303809708</v>
      </c>
      <c r="C73" s="3">
        <v>16.588577189591501</v>
      </c>
      <c r="D73" s="3">
        <v>15.400443669717699</v>
      </c>
      <c r="E73" s="3">
        <v>13.930438435828499</v>
      </c>
      <c r="F73" s="3">
        <v>13.464317007902</v>
      </c>
      <c r="G73" s="3">
        <v>17.8451703911572</v>
      </c>
      <c r="H73" s="3">
        <v>13.710240677250299</v>
      </c>
      <c r="I73" s="3">
        <v>24.3781998474104</v>
      </c>
      <c r="J73" s="3">
        <v>19.353797404677</v>
      </c>
      <c r="K73" s="3">
        <v>15.2151726039703</v>
      </c>
      <c r="L73" s="3">
        <v>16.393724111135299</v>
      </c>
      <c r="M73" s="3">
        <v>16.472640049813101</v>
      </c>
      <c r="N73" s="3">
        <v>11.1768083775679</v>
      </c>
    </row>
    <row r="74" spans="1:14" x14ac:dyDescent="0.35">
      <c r="A74" s="2">
        <v>43966</v>
      </c>
      <c r="B74" s="3">
        <v>30.4586867154365</v>
      </c>
      <c r="C74" s="3">
        <v>17.242240621585101</v>
      </c>
      <c r="D74" s="3">
        <v>17.561659970809998</v>
      </c>
      <c r="E74" s="3">
        <v>15.000020200683201</v>
      </c>
      <c r="F74" s="3">
        <v>14.3744555752568</v>
      </c>
      <c r="G74" s="3">
        <v>18.352104560168598</v>
      </c>
      <c r="H74" s="3">
        <v>14.8043284079766</v>
      </c>
      <c r="I74" s="3">
        <v>26.2007836900898</v>
      </c>
      <c r="J74" s="3">
        <v>20.426785338100899</v>
      </c>
      <c r="K74" s="3">
        <v>15.963272351746401</v>
      </c>
      <c r="L74" s="3">
        <v>17.022661611654701</v>
      </c>
      <c r="M74" s="3">
        <v>16.9778015302842</v>
      </c>
      <c r="N74" s="3">
        <v>14.359446378954001</v>
      </c>
    </row>
    <row r="75" spans="1:14" x14ac:dyDescent="0.35">
      <c r="A75" s="2">
        <v>43999</v>
      </c>
      <c r="B75" s="3">
        <v>31.009222111019699</v>
      </c>
      <c r="C75" s="3">
        <v>19.280340771548001</v>
      </c>
      <c r="D75" s="3">
        <v>17.850496940325598</v>
      </c>
      <c r="E75" s="3">
        <v>17.959086344589199</v>
      </c>
      <c r="F75" s="3">
        <v>17.8771349145334</v>
      </c>
      <c r="G75" s="3">
        <v>19.475263651421301</v>
      </c>
      <c r="H75" s="3">
        <v>16.222273543166398</v>
      </c>
      <c r="I75" s="3">
        <v>28.254366834343202</v>
      </c>
      <c r="J75" s="3">
        <v>21.878005131375598</v>
      </c>
      <c r="K75" s="3">
        <v>18.965560453086599</v>
      </c>
      <c r="L75" s="3">
        <v>19.686367424303501</v>
      </c>
      <c r="M75" s="3">
        <v>19.132959912105999</v>
      </c>
      <c r="N75" s="3">
        <v>17.499712835262599</v>
      </c>
    </row>
    <row r="76" spans="1:14" x14ac:dyDescent="0.35">
      <c r="A76" s="2">
        <v>44029</v>
      </c>
      <c r="B76" s="3">
        <v>31.874926277259799</v>
      </c>
      <c r="C76" s="3">
        <v>19.1954402161942</v>
      </c>
      <c r="D76" s="3">
        <v>17.761878467539201</v>
      </c>
      <c r="E76" s="3">
        <v>18.5494296933798</v>
      </c>
      <c r="F76" s="3">
        <v>17.912425209619499</v>
      </c>
      <c r="G76" s="3">
        <v>19.963550025436401</v>
      </c>
      <c r="H76" s="3">
        <v>16.012668469245799</v>
      </c>
      <c r="I76" s="3">
        <v>29.321178724607801</v>
      </c>
      <c r="J76" s="3">
        <v>22.280147896539901</v>
      </c>
      <c r="K76" s="3">
        <v>19.796716700895299</v>
      </c>
      <c r="L76" s="3">
        <v>20.191288614387702</v>
      </c>
      <c r="M76" s="3">
        <v>19.921803546940499</v>
      </c>
      <c r="N76" s="3">
        <v>17.8707721558781</v>
      </c>
    </row>
    <row r="77" spans="1:14" x14ac:dyDescent="0.35">
      <c r="A77" s="2">
        <v>44060</v>
      </c>
      <c r="B77" s="3">
        <v>32.1220151227866</v>
      </c>
      <c r="C77" s="3">
        <v>19.505196591646001</v>
      </c>
      <c r="D77" s="3">
        <v>17.580262737588299</v>
      </c>
      <c r="E77" s="3">
        <v>17.965716934658602</v>
      </c>
      <c r="F77" s="3">
        <v>17.8850836780042</v>
      </c>
      <c r="G77" s="3">
        <v>19.597791252709499</v>
      </c>
      <c r="H77" s="3">
        <v>15.6642719144303</v>
      </c>
      <c r="I77" s="3">
        <v>29.551116505431601</v>
      </c>
      <c r="J77" s="3">
        <v>22.367993064294001</v>
      </c>
      <c r="K77" s="3">
        <v>19.7337985186373</v>
      </c>
      <c r="L77" s="3">
        <v>20.023656607527499</v>
      </c>
      <c r="M77" s="3">
        <v>18.240279712198301</v>
      </c>
      <c r="N77" s="3">
        <v>16.339431764815501</v>
      </c>
    </row>
    <row r="78" spans="1:14" x14ac:dyDescent="0.35">
      <c r="A78" s="2">
        <v>44091</v>
      </c>
      <c r="B78" s="3">
        <v>31.925102160058501</v>
      </c>
      <c r="C78" s="3">
        <v>18.509331067710999</v>
      </c>
      <c r="D78" s="3">
        <v>16.563269487336601</v>
      </c>
      <c r="E78" s="3">
        <v>17.6568788259458</v>
      </c>
      <c r="F78" s="3">
        <v>18.378826554515701</v>
      </c>
      <c r="G78" s="3">
        <v>19.625659531703501</v>
      </c>
      <c r="H78" s="3">
        <v>15.030517051692501</v>
      </c>
      <c r="I78" s="3">
        <v>28.508482013971399</v>
      </c>
      <c r="J78" s="3">
        <v>21.639899909154298</v>
      </c>
      <c r="K78" s="3">
        <v>19.1320354740098</v>
      </c>
      <c r="L78" s="3">
        <v>19.471358042613101</v>
      </c>
      <c r="M78" s="3">
        <v>18.476709613469101</v>
      </c>
      <c r="N78" s="3">
        <v>15.4907437946668</v>
      </c>
    </row>
    <row r="79" spans="1:14" x14ac:dyDescent="0.35">
      <c r="A79" s="2">
        <v>44120</v>
      </c>
      <c r="B79" s="3">
        <v>33.070645416792203</v>
      </c>
      <c r="C79" s="3">
        <v>18.584150881639399</v>
      </c>
      <c r="D79" s="3">
        <v>16.238927932402301</v>
      </c>
      <c r="E79" s="3">
        <v>16.682355070409201</v>
      </c>
      <c r="F79" s="3">
        <v>17.7788737375101</v>
      </c>
      <c r="G79" s="3">
        <v>18.883554976819799</v>
      </c>
      <c r="H79" s="3">
        <v>14.162600131418101</v>
      </c>
      <c r="I79" s="3">
        <v>30.015374388316001</v>
      </c>
      <c r="J79" s="3">
        <v>21.971240159606101</v>
      </c>
      <c r="K79" s="3">
        <v>18.230452993579501</v>
      </c>
      <c r="L79" s="3">
        <v>19.924063126124299</v>
      </c>
      <c r="M79" s="3">
        <v>17.376139648446198</v>
      </c>
      <c r="N79" s="3">
        <v>14.617566650201701</v>
      </c>
    </row>
    <row r="80" spans="1:14" x14ac:dyDescent="0.35">
      <c r="A80" s="2">
        <v>44152</v>
      </c>
      <c r="B80" s="3">
        <v>33.364916500884803</v>
      </c>
      <c r="C80" s="3">
        <v>19.359643221392801</v>
      </c>
      <c r="D80" s="3">
        <v>16.141616112355202</v>
      </c>
      <c r="E80" s="3">
        <v>16.073408509954799</v>
      </c>
      <c r="F80" s="3">
        <v>18.554554377007602</v>
      </c>
      <c r="G80" s="3">
        <v>19.0876637834366</v>
      </c>
      <c r="H80" s="3">
        <v>14.8023430379068</v>
      </c>
      <c r="I80" s="3">
        <v>29.192119867788101</v>
      </c>
      <c r="J80" s="3">
        <v>21.9178904528058</v>
      </c>
      <c r="K80" s="3">
        <v>19.1538406264761</v>
      </c>
      <c r="L80" s="3">
        <v>20.644503396961799</v>
      </c>
      <c r="M80" s="3">
        <v>17.300075323626501</v>
      </c>
      <c r="N80" s="3">
        <v>15.083690145974399</v>
      </c>
    </row>
    <row r="81" spans="1:14" x14ac:dyDescent="0.35">
      <c r="A81" s="2">
        <v>44182</v>
      </c>
      <c r="B81" s="3">
        <v>32.905702507101999</v>
      </c>
      <c r="C81" s="3">
        <v>19.588014851141299</v>
      </c>
      <c r="D81" s="3">
        <v>16.157698769321598</v>
      </c>
      <c r="E81" s="3">
        <v>16.209643553260101</v>
      </c>
      <c r="F81" s="3">
        <v>18.4653136454242</v>
      </c>
      <c r="G81" s="3">
        <v>18.6718861474905</v>
      </c>
      <c r="H81" s="3">
        <v>14.7804056711709</v>
      </c>
      <c r="I81" s="3">
        <v>30.335969595511699</v>
      </c>
      <c r="J81" s="3">
        <v>22.065578002289001</v>
      </c>
      <c r="K81" s="3">
        <v>18.364774419705299</v>
      </c>
      <c r="L81" s="3">
        <v>20.6616662254063</v>
      </c>
      <c r="M81" s="3">
        <v>17.183305698441</v>
      </c>
      <c r="N81" s="3">
        <v>14.9105730140231</v>
      </c>
    </row>
    <row r="82" spans="1:14" x14ac:dyDescent="0.35">
      <c r="A82" s="2">
        <v>44211</v>
      </c>
      <c r="B82" s="3">
        <v>33.6408252776016</v>
      </c>
      <c r="C82" s="3">
        <v>19.178730788715502</v>
      </c>
      <c r="D82" s="3">
        <v>16.047430819803299</v>
      </c>
      <c r="E82" s="3">
        <v>15.9906949715668</v>
      </c>
      <c r="F82" s="3">
        <v>18.726932610388801</v>
      </c>
      <c r="G82" s="3">
        <v>18.9722161656113</v>
      </c>
      <c r="H82" s="3">
        <v>14.4658409862861</v>
      </c>
      <c r="I82" s="3">
        <v>29.606210810794401</v>
      </c>
      <c r="J82" s="3">
        <v>22.171631474645</v>
      </c>
      <c r="K82" s="3">
        <v>17.858457434748001</v>
      </c>
      <c r="L82" s="3">
        <v>21.262050401223899</v>
      </c>
      <c r="M82" s="3">
        <v>18.7174238345529</v>
      </c>
      <c r="N82" s="3">
        <v>14.548348032411599</v>
      </c>
    </row>
    <row r="83" spans="1:14" x14ac:dyDescent="0.35">
      <c r="A83" s="2">
        <v>44244</v>
      </c>
      <c r="B83" s="3">
        <v>31.889159319866</v>
      </c>
      <c r="C83" s="3">
        <v>18.850797446088698</v>
      </c>
      <c r="D83" s="3">
        <v>16.109656512360502</v>
      </c>
      <c r="E83" s="3">
        <v>15.725420263782199</v>
      </c>
      <c r="F83" s="3">
        <v>19.018904040977102</v>
      </c>
      <c r="G83" s="3">
        <v>18.832465047580101</v>
      </c>
      <c r="H83" s="3">
        <v>14.371247639989599</v>
      </c>
      <c r="I83" s="3">
        <v>30.0148183787989</v>
      </c>
      <c r="J83" s="3">
        <v>22.201572319716099</v>
      </c>
      <c r="K83" s="3">
        <v>17.9628459322794</v>
      </c>
      <c r="L83" s="3">
        <v>22.569006649617801</v>
      </c>
      <c r="M83" s="3">
        <v>18.732291848837701</v>
      </c>
      <c r="N83" s="3">
        <v>14.1339837890919</v>
      </c>
    </row>
    <row r="84" spans="1:14" x14ac:dyDescent="0.35">
      <c r="A84" s="2">
        <v>44272</v>
      </c>
      <c r="B84" s="3">
        <v>32.814542175034397</v>
      </c>
      <c r="C84" s="3">
        <v>18.099385260536</v>
      </c>
      <c r="D84" s="3">
        <v>15.6210676359996</v>
      </c>
      <c r="E84" s="3">
        <v>15.9727352929189</v>
      </c>
      <c r="F84" s="3">
        <v>17.960545222022301</v>
      </c>
      <c r="G84" s="3">
        <v>18.626889829649599</v>
      </c>
      <c r="H84" s="3">
        <v>13.97408310931</v>
      </c>
      <c r="I84" s="3">
        <v>28.275194140177199</v>
      </c>
      <c r="J84" s="3">
        <v>22.011675417415599</v>
      </c>
      <c r="K84" s="3">
        <v>18.459753451581001</v>
      </c>
      <c r="L84" s="3">
        <v>21.794310681457102</v>
      </c>
      <c r="M84" s="3">
        <v>20.090673233405901</v>
      </c>
      <c r="N84" s="3">
        <v>14.0702401622382</v>
      </c>
    </row>
    <row r="85" spans="1:14" x14ac:dyDescent="0.35">
      <c r="A85" s="2">
        <v>44302</v>
      </c>
      <c r="B85" s="3">
        <v>32.380806143181097</v>
      </c>
      <c r="C85" s="3">
        <v>18.2188081801904</v>
      </c>
      <c r="D85" s="3">
        <v>15.6863838917343</v>
      </c>
      <c r="E85" s="3">
        <v>16.194648506095401</v>
      </c>
      <c r="F85" s="3">
        <v>17.394512166673699</v>
      </c>
      <c r="G85" s="3">
        <v>19.503202465277301</v>
      </c>
      <c r="H85" s="3">
        <v>13.623990812398</v>
      </c>
      <c r="I85" s="3">
        <v>29.751079521262099</v>
      </c>
      <c r="J85" s="3">
        <v>22.4559947785418</v>
      </c>
      <c r="K85" s="3">
        <v>18.347433220029799</v>
      </c>
      <c r="L85" s="3">
        <v>22.8318428446414</v>
      </c>
      <c r="M85" s="3">
        <v>20.7635329700299</v>
      </c>
      <c r="N85" s="3">
        <v>13.9800235170131</v>
      </c>
    </row>
    <row r="86" spans="1:14" x14ac:dyDescent="0.35">
      <c r="A86" s="2">
        <v>44333</v>
      </c>
      <c r="B86" s="3">
        <v>32.338105452348003</v>
      </c>
      <c r="C86" s="3">
        <v>17.716145970190802</v>
      </c>
      <c r="D86" s="3">
        <v>15.4082884228313</v>
      </c>
      <c r="E86" s="3">
        <v>14.8230567942447</v>
      </c>
      <c r="F86" s="3">
        <v>16.118693489227901</v>
      </c>
      <c r="G86" s="3">
        <v>18.959942508574802</v>
      </c>
      <c r="H86" s="3">
        <v>13.2746026568133</v>
      </c>
      <c r="I86" s="3">
        <v>26.4399462268855</v>
      </c>
      <c r="J86" s="3">
        <v>21.253402853855601</v>
      </c>
      <c r="K86" s="3">
        <v>17.717922140869302</v>
      </c>
      <c r="L86" s="3">
        <v>21.075963396903099</v>
      </c>
      <c r="M86" s="3">
        <v>17.851910604273101</v>
      </c>
      <c r="N86" s="3">
        <v>13.3583104835587</v>
      </c>
    </row>
    <row r="87" spans="1:14" x14ac:dyDescent="0.35">
      <c r="A87" s="2">
        <v>44364</v>
      </c>
      <c r="B87" s="3">
        <v>33.549476571668897</v>
      </c>
      <c r="C87" s="3">
        <v>18.224981347689098</v>
      </c>
      <c r="D87" s="3">
        <v>15.6711922773382</v>
      </c>
      <c r="E87" s="3">
        <v>15.008081501747601</v>
      </c>
      <c r="F87" s="3">
        <v>16.522925426595499</v>
      </c>
      <c r="G87" s="3">
        <v>19.9688885510351</v>
      </c>
      <c r="H87" s="3">
        <v>13.219605772247901</v>
      </c>
      <c r="I87" s="3">
        <v>27.673763979781299</v>
      </c>
      <c r="J87" s="3">
        <v>21.1360347013742</v>
      </c>
      <c r="K87" s="3">
        <v>18.0796614700864</v>
      </c>
      <c r="L87" s="3">
        <v>21.644453769332799</v>
      </c>
      <c r="M87" s="3">
        <v>18.720501386430598</v>
      </c>
      <c r="N87" s="3">
        <v>13.775965446697599</v>
      </c>
    </row>
    <row r="88" spans="1:14" x14ac:dyDescent="0.35">
      <c r="A88" s="2">
        <v>44393</v>
      </c>
      <c r="B88" s="3">
        <v>34.207805498996102</v>
      </c>
      <c r="C88" s="3">
        <v>16.7966839522648</v>
      </c>
      <c r="D88" s="3">
        <v>15.070513582963899</v>
      </c>
      <c r="E88" s="3">
        <v>14.473476739682599</v>
      </c>
      <c r="F88" s="3">
        <v>15.9731755396833</v>
      </c>
      <c r="G88" s="3">
        <v>19.785202147757101</v>
      </c>
      <c r="H88" s="3">
        <v>12.371723627698399</v>
      </c>
      <c r="I88" s="3">
        <v>28.357474226427399</v>
      </c>
      <c r="J88" s="3">
        <v>21.2107754183493</v>
      </c>
      <c r="K88" s="3">
        <v>16.8652475247079</v>
      </c>
      <c r="L88" s="3">
        <v>21.080128604627301</v>
      </c>
      <c r="M88" s="3">
        <v>18.5991830699659</v>
      </c>
      <c r="N88" s="3">
        <v>12.968662598616</v>
      </c>
    </row>
    <row r="89" spans="1:14" x14ac:dyDescent="0.35">
      <c r="A89" s="2">
        <v>44425</v>
      </c>
      <c r="B89" s="3">
        <v>33.622092600580103</v>
      </c>
      <c r="C89" s="3">
        <v>17.136483639822998</v>
      </c>
      <c r="D89" s="3">
        <v>14.9275012795497</v>
      </c>
      <c r="E89" s="3">
        <v>14.319095833216799</v>
      </c>
      <c r="F89" s="3">
        <v>15.290564093094201</v>
      </c>
      <c r="G89" s="3">
        <v>20.065834331076299</v>
      </c>
      <c r="H89" s="3">
        <v>12.328248238800599</v>
      </c>
      <c r="I89" s="3">
        <v>27.711285524364001</v>
      </c>
      <c r="J89" s="3">
        <v>20.99712834688</v>
      </c>
      <c r="K89" s="3">
        <v>16.651056863889998</v>
      </c>
      <c r="L89" s="3">
        <v>21.544440371209301</v>
      </c>
      <c r="M89" s="3">
        <v>18.521978882713501</v>
      </c>
      <c r="N89" s="3">
        <v>12.2429377468842</v>
      </c>
    </row>
    <row r="90" spans="1:14" x14ac:dyDescent="0.35">
      <c r="A90" s="2">
        <v>44456</v>
      </c>
      <c r="B90" s="3">
        <v>34.963842718276602</v>
      </c>
      <c r="C90" s="3">
        <v>16.987747232723599</v>
      </c>
      <c r="D90" s="3">
        <v>14.7014822850612</v>
      </c>
      <c r="E90" s="3">
        <v>13.857473215634</v>
      </c>
      <c r="F90" s="3">
        <v>16.115115989939898</v>
      </c>
      <c r="G90" s="3">
        <v>18.932152524949899</v>
      </c>
      <c r="H90" s="3">
        <v>11.787829375080801</v>
      </c>
      <c r="I90" s="3">
        <v>27.987632415504098</v>
      </c>
      <c r="J90" s="3">
        <v>20.699539483824299</v>
      </c>
      <c r="K90" s="3">
        <v>15.8902517947267</v>
      </c>
      <c r="L90" s="3">
        <v>21.5889952107946</v>
      </c>
      <c r="M90" s="3">
        <v>18.378166924335702</v>
      </c>
      <c r="N90" s="3">
        <v>11.6240744240396</v>
      </c>
    </row>
    <row r="91" spans="1:14" x14ac:dyDescent="0.35">
      <c r="A91" s="2">
        <v>44484</v>
      </c>
      <c r="B91" s="3">
        <v>33.6539615726834</v>
      </c>
      <c r="C91" s="3">
        <v>17.394405734990599</v>
      </c>
      <c r="D91" s="3">
        <v>14.914078164583101</v>
      </c>
      <c r="E91" s="3">
        <v>13.807796804239899</v>
      </c>
      <c r="F91" s="3">
        <v>15.387429266157101</v>
      </c>
      <c r="G91" s="3">
        <v>18.754091518905099</v>
      </c>
      <c r="H91" s="3">
        <v>12.3312080155742</v>
      </c>
      <c r="I91" s="3">
        <v>27.5836091152118</v>
      </c>
      <c r="J91" s="3">
        <v>20.691111641175102</v>
      </c>
      <c r="K91" s="3">
        <v>15.6765103622935</v>
      </c>
      <c r="L91" s="3">
        <v>20.86090939743</v>
      </c>
      <c r="M91" s="3">
        <v>18.424749703925102</v>
      </c>
      <c r="N91" s="3">
        <v>11.749846283551699</v>
      </c>
    </row>
    <row r="92" spans="1:14" x14ac:dyDescent="0.35">
      <c r="A92" s="2">
        <v>44517</v>
      </c>
      <c r="B92" s="3">
        <v>32.7651838249352</v>
      </c>
      <c r="C92" s="3">
        <v>17.198241813604302</v>
      </c>
      <c r="D92" s="3">
        <v>14.969436055126501</v>
      </c>
      <c r="E92" s="3">
        <v>13.889598590509401</v>
      </c>
      <c r="F92" s="3">
        <v>15.318915312364901</v>
      </c>
      <c r="G92" s="3">
        <v>19.43120715845</v>
      </c>
      <c r="H92" s="3">
        <v>12.0921118030735</v>
      </c>
      <c r="I92" s="3">
        <v>29.543739173305099</v>
      </c>
      <c r="J92" s="3">
        <v>21.340765664943302</v>
      </c>
      <c r="K92" s="3">
        <v>16.055571716986901</v>
      </c>
      <c r="L92" s="3">
        <v>21.664858327312199</v>
      </c>
      <c r="M92" s="3">
        <v>18.971565703988599</v>
      </c>
      <c r="N92" s="3">
        <v>11.821325895333599</v>
      </c>
    </row>
    <row r="93" spans="1:14" x14ac:dyDescent="0.35">
      <c r="A93" s="2">
        <v>44547</v>
      </c>
      <c r="B93" s="3">
        <v>31.910548623456599</v>
      </c>
      <c r="C93" s="3">
        <v>17.1221553450961</v>
      </c>
      <c r="D93" s="3">
        <v>14.149471642573999</v>
      </c>
      <c r="E93" s="3">
        <v>13.167491864220599</v>
      </c>
      <c r="F93" s="3">
        <v>14.5190076238777</v>
      </c>
      <c r="G93" s="3">
        <v>19.486551703661899</v>
      </c>
      <c r="H93" s="3">
        <v>11.927028143704</v>
      </c>
      <c r="I93" s="3">
        <v>28.210686684932899</v>
      </c>
      <c r="J93" s="3">
        <v>20.746331528686</v>
      </c>
      <c r="K93" s="3">
        <v>15.3728899821495</v>
      </c>
      <c r="L93" s="3">
        <v>19.759420309432802</v>
      </c>
      <c r="M93" s="3">
        <v>17.726244849040999</v>
      </c>
      <c r="N93" s="3">
        <v>10.826669817685101</v>
      </c>
    </row>
    <row r="94" spans="1:14" x14ac:dyDescent="0.35">
      <c r="A94" s="2">
        <v>44575</v>
      </c>
      <c r="B94" s="3">
        <v>31.155760820540699</v>
      </c>
      <c r="C94" s="3">
        <v>17.456264536873501</v>
      </c>
      <c r="D94" s="3">
        <v>14.3824611150688</v>
      </c>
      <c r="E94" s="3">
        <v>13.345287722235</v>
      </c>
      <c r="F94" s="3">
        <v>14.3255590089781</v>
      </c>
      <c r="G94" s="3">
        <v>18.9367884259307</v>
      </c>
      <c r="H94" s="3">
        <v>12.417689762986599</v>
      </c>
      <c r="I94" s="3">
        <v>27.7465202880656</v>
      </c>
      <c r="J94" s="3">
        <v>20.751825400861101</v>
      </c>
      <c r="K94" s="3">
        <v>15.534458134633001</v>
      </c>
      <c r="L94" s="3">
        <v>19.789749512552699</v>
      </c>
      <c r="M94" s="3">
        <v>17.508578081126</v>
      </c>
      <c r="N94" s="3">
        <v>11.077434246241999</v>
      </c>
    </row>
    <row r="95" spans="1:14" x14ac:dyDescent="0.35">
      <c r="A95" s="2">
        <v>44609</v>
      </c>
      <c r="B95" s="3">
        <v>29.799432883456799</v>
      </c>
      <c r="C95" s="3">
        <v>16.134605420149999</v>
      </c>
      <c r="D95" s="3">
        <v>13.985074638189699</v>
      </c>
      <c r="E95" s="3">
        <v>12.570013943315301</v>
      </c>
      <c r="F95" s="3">
        <v>13.606026322272101</v>
      </c>
      <c r="G95" s="3">
        <v>18.172910785595999</v>
      </c>
      <c r="H95" s="3">
        <v>12.2077855057099</v>
      </c>
      <c r="I95" s="3">
        <v>24.7553238054522</v>
      </c>
      <c r="J95" s="3">
        <v>19.192880922110898</v>
      </c>
      <c r="K95" s="3">
        <v>14.484831209909901</v>
      </c>
      <c r="L95" s="3">
        <v>18.287328900366301</v>
      </c>
      <c r="M95" s="3">
        <v>15.8480586284327</v>
      </c>
      <c r="N95" s="3">
        <v>10.530511456946</v>
      </c>
    </row>
    <row r="96" spans="1:14" x14ac:dyDescent="0.35">
      <c r="A96" s="2">
        <v>44637</v>
      </c>
      <c r="B96" s="3">
        <v>28.9151016686445</v>
      </c>
      <c r="C96" s="3">
        <v>15.8936736769059</v>
      </c>
      <c r="D96" s="3">
        <v>13.7249461885527</v>
      </c>
      <c r="E96" s="3">
        <v>11.715339516436901</v>
      </c>
      <c r="F96" s="3">
        <v>12.9556672082995</v>
      </c>
      <c r="G96" s="3">
        <v>18.088553206278899</v>
      </c>
      <c r="H96" s="3">
        <v>11.5804105770163</v>
      </c>
      <c r="I96" s="3">
        <v>24.4176476948054</v>
      </c>
      <c r="J96" s="3">
        <v>19.0407340931399</v>
      </c>
      <c r="K96" s="3">
        <v>13.735944942743499</v>
      </c>
      <c r="L96" s="3">
        <v>17.763892337277301</v>
      </c>
      <c r="M96" s="3">
        <v>15.4927662298018</v>
      </c>
      <c r="N96" s="3">
        <v>9.5636129815351794</v>
      </c>
    </row>
    <row r="97" spans="1:14" x14ac:dyDescent="0.35">
      <c r="A97" s="2">
        <v>44665</v>
      </c>
      <c r="B97" s="3">
        <v>28.210262612245099</v>
      </c>
      <c r="C97" s="3">
        <v>15.6660050718392</v>
      </c>
      <c r="D97" s="3">
        <v>13.3947497629698</v>
      </c>
      <c r="E97" s="3">
        <v>11.3205300335341</v>
      </c>
      <c r="F97" s="3">
        <v>12.983270280925799</v>
      </c>
      <c r="G97" s="3">
        <v>18.552737470355201</v>
      </c>
      <c r="H97" s="3">
        <v>11.2003150824142</v>
      </c>
      <c r="I97" s="3">
        <v>23.892941188342402</v>
      </c>
      <c r="J97" s="3">
        <v>18.674614711528299</v>
      </c>
      <c r="K97" s="3">
        <v>13.1567937060156</v>
      </c>
      <c r="L97" s="3">
        <v>17.662155151590699</v>
      </c>
      <c r="M97" s="3">
        <v>15.0156689571829</v>
      </c>
      <c r="N97" s="3">
        <v>9.7331044742382105</v>
      </c>
    </row>
    <row r="98" spans="1:14" x14ac:dyDescent="0.35">
      <c r="A98" s="2">
        <v>44698</v>
      </c>
      <c r="B98" s="3">
        <v>27.145803988607899</v>
      </c>
      <c r="C98" s="3">
        <v>14.2205523891285</v>
      </c>
      <c r="D98" s="3">
        <v>12.3447142634407</v>
      </c>
      <c r="E98" s="3">
        <v>10.8732902867424</v>
      </c>
      <c r="F98" s="3">
        <v>12.605908948585499</v>
      </c>
      <c r="G98" s="3">
        <v>17.010955020907399</v>
      </c>
      <c r="H98" s="3">
        <v>10.444259414829199</v>
      </c>
      <c r="I98" s="3">
        <v>21.767054188251201</v>
      </c>
      <c r="J98" s="3">
        <v>17.232199966483599</v>
      </c>
      <c r="K98" s="3">
        <v>12.377024508390599</v>
      </c>
      <c r="L98" s="3">
        <v>17.0694446239157</v>
      </c>
      <c r="M98" s="3">
        <v>16.003244836499899</v>
      </c>
      <c r="N98" s="3">
        <v>9.0368907455900302</v>
      </c>
    </row>
    <row r="99" spans="1:14" x14ac:dyDescent="0.35">
      <c r="A99" s="2">
        <v>44729</v>
      </c>
      <c r="B99" s="3">
        <v>25.0638707867245</v>
      </c>
      <c r="C99" s="3">
        <v>12.449674540391699</v>
      </c>
      <c r="D99" s="3">
        <v>11.2377397201909</v>
      </c>
      <c r="E99" s="3">
        <v>10.0151253326242</v>
      </c>
      <c r="F99" s="3">
        <v>12.152899310273799</v>
      </c>
      <c r="G99" s="3">
        <v>15.1852769528944</v>
      </c>
      <c r="H99" s="3">
        <v>9.5137318220546891</v>
      </c>
      <c r="I99" s="3">
        <v>19.362728258357699</v>
      </c>
      <c r="J99" s="3">
        <v>15.3323964938762</v>
      </c>
      <c r="K99" s="3">
        <v>11.1532990588757</v>
      </c>
      <c r="L99" s="3">
        <v>15.426705855765301</v>
      </c>
      <c r="M99" s="3">
        <v>14.216141155139599</v>
      </c>
      <c r="N99" s="3">
        <v>7.8747926557335299</v>
      </c>
    </row>
    <row r="100" spans="1:14" x14ac:dyDescent="0.35">
      <c r="A100" s="2">
        <v>44757</v>
      </c>
      <c r="B100" s="3">
        <v>25.9082971592332</v>
      </c>
      <c r="C100" s="3">
        <v>12.800851213279101</v>
      </c>
      <c r="D100" s="3">
        <v>10.7848991882848</v>
      </c>
      <c r="E100" s="3">
        <v>9.7979976983503896</v>
      </c>
      <c r="F100" s="3">
        <v>12.4608834132985</v>
      </c>
      <c r="G100" s="3">
        <v>16.077543019842</v>
      </c>
      <c r="H100" s="3">
        <v>9.4601195594409404</v>
      </c>
      <c r="I100" s="3">
        <v>20.805062581809999</v>
      </c>
      <c r="J100" s="3">
        <v>16.146543851355698</v>
      </c>
      <c r="K100" s="3">
        <v>11.1572017278018</v>
      </c>
      <c r="L100" s="3">
        <v>16.1955689888153</v>
      </c>
      <c r="M100" s="3">
        <v>14.397450445347401</v>
      </c>
      <c r="N100" s="3">
        <v>7.4768840805503203</v>
      </c>
    </row>
    <row r="101" spans="1:14" x14ac:dyDescent="0.35">
      <c r="A101" s="2">
        <v>44790</v>
      </c>
      <c r="B101" s="3">
        <v>27.0271851962796</v>
      </c>
      <c r="C101" s="3">
        <v>14.142003842427901</v>
      </c>
      <c r="D101" s="3">
        <v>11.890585618633599</v>
      </c>
      <c r="E101" s="3">
        <v>10.1690596700317</v>
      </c>
      <c r="F101" s="3">
        <v>13.1528875450682</v>
      </c>
      <c r="G101" s="3">
        <v>16.720604461523699</v>
      </c>
      <c r="H101" s="3">
        <v>9.7991855415208295</v>
      </c>
      <c r="I101" s="3">
        <v>23.988831249119801</v>
      </c>
      <c r="J101" s="3">
        <v>18.021604186354999</v>
      </c>
      <c r="K101" s="3">
        <v>11.774853127621499</v>
      </c>
      <c r="L101" s="3">
        <v>17.6764195262705</v>
      </c>
      <c r="M101" s="3">
        <v>14.9753142940966</v>
      </c>
      <c r="N101" s="3">
        <v>7.6907641180702297</v>
      </c>
    </row>
    <row r="102" spans="1:14" x14ac:dyDescent="0.35">
      <c r="A102" s="2">
        <v>44820</v>
      </c>
      <c r="B102" s="3">
        <v>26.243327448438599</v>
      </c>
      <c r="C102" s="3">
        <v>13.179504096022301</v>
      </c>
      <c r="D102" s="3">
        <v>11.3291722882641</v>
      </c>
      <c r="E102" s="3">
        <v>9.5114534161512303</v>
      </c>
      <c r="F102" s="3">
        <v>12.6306770692781</v>
      </c>
      <c r="G102" s="3">
        <v>15.6646012653244</v>
      </c>
      <c r="H102" s="3">
        <v>9.0916498729571007</v>
      </c>
      <c r="I102" s="3">
        <v>20.987637405746501</v>
      </c>
      <c r="J102" s="3">
        <v>16.271586292054899</v>
      </c>
      <c r="K102" s="3">
        <v>10.969105226998099</v>
      </c>
      <c r="L102" s="3">
        <v>15.4635639706857</v>
      </c>
      <c r="M102" s="3">
        <v>13.612112795220099</v>
      </c>
      <c r="N102" s="3">
        <v>7.6802228879005199</v>
      </c>
    </row>
    <row r="103" spans="1:14" x14ac:dyDescent="0.35">
      <c r="A103" s="2">
        <v>44851</v>
      </c>
      <c r="B103" s="3">
        <v>23.263266955029</v>
      </c>
      <c r="C103" s="3">
        <v>12.839784876860399</v>
      </c>
      <c r="D103" s="3">
        <v>10.924796076211001</v>
      </c>
      <c r="E103" s="3">
        <v>9.4027987604020407</v>
      </c>
      <c r="F103" s="3">
        <v>12.1870555717055</v>
      </c>
      <c r="G103" s="3">
        <v>15.3036265691343</v>
      </c>
      <c r="H103" s="3">
        <v>8.7444115419688604</v>
      </c>
      <c r="I103" s="3">
        <v>19.795751405388199</v>
      </c>
      <c r="J103" s="3">
        <v>15.6100609198191</v>
      </c>
      <c r="K103" s="3">
        <v>10.76183835907</v>
      </c>
      <c r="L103" s="3">
        <v>14.3353611986602</v>
      </c>
      <c r="M103" s="3">
        <v>13.4204153051181</v>
      </c>
      <c r="N103" s="3">
        <v>7.4314526969830199</v>
      </c>
    </row>
    <row r="104" spans="1:14" x14ac:dyDescent="0.35">
      <c r="A104" s="2">
        <v>44882</v>
      </c>
      <c r="B104" s="3">
        <v>23.4635517603236</v>
      </c>
      <c r="C104" s="3">
        <v>14.189978917079999</v>
      </c>
      <c r="D104" s="3">
        <v>11.857932597484499</v>
      </c>
      <c r="E104" s="3">
        <v>10.6554026222638</v>
      </c>
      <c r="F104" s="3">
        <v>12.806345039616099</v>
      </c>
      <c r="G104" s="3">
        <v>16.581891610725599</v>
      </c>
      <c r="H104" s="3">
        <v>9.4319816693335596</v>
      </c>
      <c r="I104" s="3">
        <v>21.7381710402042</v>
      </c>
      <c r="J104" s="3">
        <v>17.099988335014899</v>
      </c>
      <c r="K104" s="3">
        <v>11.817906714531301</v>
      </c>
      <c r="L104" s="3">
        <v>16.3397031800225</v>
      </c>
      <c r="M104" s="3">
        <v>12.809741630227499</v>
      </c>
      <c r="N104" s="3">
        <v>8.1406151907996804</v>
      </c>
    </row>
    <row r="105" spans="1:14" x14ac:dyDescent="0.35">
      <c r="A105" s="2">
        <v>44911</v>
      </c>
      <c r="B105" s="3">
        <v>23.446420303450601</v>
      </c>
      <c r="C105" s="3">
        <v>14.058936771690799</v>
      </c>
      <c r="D105" s="3">
        <v>11.854512317126</v>
      </c>
      <c r="E105" s="3">
        <v>10.364960541788699</v>
      </c>
      <c r="F105" s="3">
        <v>12.637008589274499</v>
      </c>
      <c r="G105" s="3">
        <v>16.316383658825799</v>
      </c>
      <c r="H105" s="3">
        <v>9.6553558865237399</v>
      </c>
      <c r="I105" s="3">
        <v>20.880156857686099</v>
      </c>
      <c r="J105" s="3">
        <v>16.677937236877899</v>
      </c>
      <c r="K105" s="3">
        <v>11.752919171786999</v>
      </c>
      <c r="L105" s="3">
        <v>15.7371948245057</v>
      </c>
      <c r="M105" s="3">
        <v>12.742621749480399</v>
      </c>
      <c r="N105" s="3">
        <v>7.5960515960609198</v>
      </c>
    </row>
    <row r="106" spans="1:14" x14ac:dyDescent="0.35">
      <c r="A106" s="2">
        <v>44943</v>
      </c>
      <c r="B106" s="3">
        <v>23.8814587706329</v>
      </c>
      <c r="C106" s="3">
        <v>14.794204937503901</v>
      </c>
      <c r="D106" s="3">
        <v>12.800322334647699</v>
      </c>
      <c r="E106" s="3">
        <v>11.5011162652354</v>
      </c>
      <c r="F106" s="3">
        <v>12.3945838385493</v>
      </c>
      <c r="G106" s="3">
        <v>17.416898102414201</v>
      </c>
      <c r="H106" s="3">
        <v>10.4834911373868</v>
      </c>
      <c r="I106" s="3">
        <v>22.065914824707001</v>
      </c>
      <c r="J106" s="3">
        <v>17.421593933002601</v>
      </c>
      <c r="K106" s="3">
        <v>13.0256099064124</v>
      </c>
      <c r="L106" s="3">
        <v>17.022360074407899</v>
      </c>
      <c r="M106" s="3">
        <v>13.6735403078766</v>
      </c>
      <c r="N106" s="3">
        <v>8.2340101249582105</v>
      </c>
    </row>
    <row r="107" spans="1:14" x14ac:dyDescent="0.35">
      <c r="A107" s="2">
        <v>44974</v>
      </c>
      <c r="B107" s="3">
        <v>24.843766188912902</v>
      </c>
      <c r="C107" s="3">
        <v>14.6878779855471</v>
      </c>
      <c r="D107" s="3">
        <v>12.888014581734</v>
      </c>
      <c r="E107" s="3">
        <v>11.678549034511301</v>
      </c>
      <c r="F107" s="3">
        <v>13.0598879411477</v>
      </c>
      <c r="G107" s="3">
        <v>17.320523661099699</v>
      </c>
      <c r="H107" s="3">
        <v>10.6982000658722</v>
      </c>
      <c r="I107" s="3">
        <v>23.7858269611691</v>
      </c>
      <c r="J107" s="3">
        <v>17.9816536701573</v>
      </c>
      <c r="K107" s="3">
        <v>13.442753664665601</v>
      </c>
      <c r="L107" s="3">
        <v>17.039091797021701</v>
      </c>
      <c r="M107" s="3">
        <v>14.1822357395213</v>
      </c>
      <c r="N107" s="3">
        <v>8.4859409152170997</v>
      </c>
    </row>
    <row r="108" spans="1:14" x14ac:dyDescent="0.35">
      <c r="A108" s="2">
        <v>45002</v>
      </c>
      <c r="B108" s="3">
        <v>22.762178317453099</v>
      </c>
      <c r="C108" s="3">
        <v>13.9201466758633</v>
      </c>
      <c r="D108" s="3">
        <v>12.1917695931824</v>
      </c>
      <c r="E108" s="3">
        <v>10.897371236682901</v>
      </c>
      <c r="F108" s="3">
        <v>12.8373398660768</v>
      </c>
      <c r="G108" s="3">
        <v>16.3645322185771</v>
      </c>
      <c r="H108" s="3">
        <v>9.7830173400822602</v>
      </c>
      <c r="I108" s="3">
        <v>23.838246710848701</v>
      </c>
      <c r="J108" s="3">
        <v>17.1797285289996</v>
      </c>
      <c r="K108" s="3">
        <v>12.5904090797829</v>
      </c>
      <c r="L108" s="3">
        <v>15.745841032102501</v>
      </c>
      <c r="M108" s="3">
        <v>13.093661597727699</v>
      </c>
      <c r="N108" s="3">
        <v>7.9871599128336603</v>
      </c>
    </row>
    <row r="109" spans="1:14" x14ac:dyDescent="0.35">
      <c r="A109" s="2">
        <v>45033</v>
      </c>
      <c r="B109" s="3">
        <v>23.3751321938364</v>
      </c>
      <c r="C109" s="3">
        <v>14.721560967486599</v>
      </c>
      <c r="D109" s="3">
        <v>13.0994521242537</v>
      </c>
      <c r="E109" s="3">
        <v>11.417347556384099</v>
      </c>
      <c r="F109" s="3">
        <v>13.3400662255307</v>
      </c>
      <c r="G109" s="3">
        <v>17.409084097089</v>
      </c>
      <c r="H109" s="3">
        <v>10.764494459397</v>
      </c>
      <c r="I109" s="3">
        <v>24.755104699938801</v>
      </c>
      <c r="J109" s="3">
        <v>18.236442810342801</v>
      </c>
      <c r="K109" s="3">
        <v>13.5856084754798</v>
      </c>
      <c r="L109" s="3">
        <v>16.218852517141599</v>
      </c>
      <c r="M109" s="3">
        <v>13.914540588854299</v>
      </c>
      <c r="N109" s="3">
        <v>8.7104481463309806</v>
      </c>
    </row>
    <row r="110" spans="1:14" x14ac:dyDescent="0.35">
      <c r="A110" s="2">
        <v>45063</v>
      </c>
      <c r="B110" s="3">
        <v>23.5133110585707</v>
      </c>
      <c r="C110" s="3">
        <v>14.452441653951</v>
      </c>
      <c r="D110" s="3">
        <v>12.9998661907791</v>
      </c>
      <c r="E110" s="3">
        <v>10.9811986530312</v>
      </c>
      <c r="F110" s="3">
        <v>14.0308229835716</v>
      </c>
      <c r="G110" s="3">
        <v>17.280980210162099</v>
      </c>
      <c r="H110" s="3">
        <v>10.4467429453344</v>
      </c>
      <c r="I110" s="3">
        <v>25.014721394246699</v>
      </c>
      <c r="J110" s="3">
        <v>18.0679239977745</v>
      </c>
      <c r="K110" s="3">
        <v>13.302676606862001</v>
      </c>
      <c r="L110" s="3">
        <v>15.6758435744553</v>
      </c>
      <c r="M110" s="3">
        <v>13.493566958891</v>
      </c>
      <c r="N110" s="3">
        <v>8.2804031427095808</v>
      </c>
    </row>
    <row r="111" spans="1:14" x14ac:dyDescent="0.35">
      <c r="A111" s="2">
        <v>45093</v>
      </c>
      <c r="B111" s="3">
        <v>20.817202729168802</v>
      </c>
      <c r="C111" s="3">
        <v>15.051679781637899</v>
      </c>
      <c r="D111" s="3">
        <v>12.915971112549601</v>
      </c>
      <c r="E111" s="3">
        <v>11.0080179765166</v>
      </c>
      <c r="F111" s="3">
        <v>15.026235964539501</v>
      </c>
      <c r="G111" s="3">
        <v>16.668232110123601</v>
      </c>
      <c r="H111" s="3">
        <v>10.501131744380301</v>
      </c>
      <c r="I111" s="3">
        <v>26.990138578640501</v>
      </c>
      <c r="J111" s="3">
        <v>18.944008036617902</v>
      </c>
      <c r="K111" s="3">
        <v>13.346783728543601</v>
      </c>
      <c r="L111" s="3">
        <v>15.8433562183007</v>
      </c>
      <c r="M111" s="3">
        <v>13.8305195227812</v>
      </c>
      <c r="N111" s="3">
        <v>8.7982824764171692</v>
      </c>
    </row>
    <row r="112" spans="1:14" x14ac:dyDescent="0.35">
      <c r="A112" s="2">
        <v>45124</v>
      </c>
      <c r="B112" s="3">
        <v>20.9889504112708</v>
      </c>
      <c r="C112" s="3">
        <v>15.3492475897202</v>
      </c>
      <c r="D112" s="3">
        <v>13.243006333026299</v>
      </c>
      <c r="E112" s="3">
        <v>10.738851372698299</v>
      </c>
      <c r="F112" s="3">
        <v>14.4617916718312</v>
      </c>
      <c r="G112" s="3">
        <v>16.477246079856201</v>
      </c>
      <c r="H112" s="3">
        <v>10.394104025033601</v>
      </c>
      <c r="I112" s="3">
        <v>27.508249136206501</v>
      </c>
      <c r="J112" s="3">
        <v>19.4557037004279</v>
      </c>
      <c r="K112" s="3">
        <v>13.115650941968701</v>
      </c>
      <c r="L112" s="3">
        <v>16.079021069469501</v>
      </c>
      <c r="M112" s="3">
        <v>13.354772010699399</v>
      </c>
      <c r="N112" s="3">
        <v>8.79996684206845</v>
      </c>
    </row>
    <row r="113" spans="1:25" x14ac:dyDescent="0.35">
      <c r="A113" s="2">
        <v>45155</v>
      </c>
      <c r="B113" s="3">
        <v>20.119980595776401</v>
      </c>
      <c r="C113" s="3">
        <v>14.9244119267352</v>
      </c>
      <c r="D113" s="3">
        <v>12.8841948497864</v>
      </c>
      <c r="E113" s="3">
        <v>10.5295795972085</v>
      </c>
      <c r="F113" s="3">
        <v>14.1398299918152</v>
      </c>
      <c r="G113" s="3">
        <v>16.274839881586399</v>
      </c>
      <c r="H113" s="3">
        <v>10.2268471520588</v>
      </c>
      <c r="I113" s="3">
        <v>23.8621194097962</v>
      </c>
      <c r="J113" s="3">
        <v>18.460671762228301</v>
      </c>
      <c r="K113" s="3">
        <v>12.7698039389592</v>
      </c>
      <c r="L113" s="3">
        <v>14.716748643136899</v>
      </c>
      <c r="M113" s="3">
        <v>12.705095279979201</v>
      </c>
      <c r="N113" s="3">
        <v>8.1328678572667599</v>
      </c>
    </row>
    <row r="114" spans="1:25" x14ac:dyDescent="0.35">
      <c r="A114" s="2">
        <v>45184</v>
      </c>
      <c r="B114" s="3">
        <v>20.2764060189715</v>
      </c>
      <c r="C114" s="3">
        <v>15.482717288360799</v>
      </c>
      <c r="D114" s="3">
        <v>13.319986192635501</v>
      </c>
      <c r="E114" s="3">
        <v>10.672716369525199</v>
      </c>
      <c r="F114" s="3">
        <v>15.106179108181999</v>
      </c>
      <c r="G114" s="3">
        <v>16.6919037520898</v>
      </c>
      <c r="H114" s="3">
        <v>10.6309659310761</v>
      </c>
      <c r="I114" s="3">
        <v>24.027152679608399</v>
      </c>
      <c r="J114" s="3">
        <v>18.524514773752099</v>
      </c>
      <c r="K114" s="3">
        <v>13.001535096672299</v>
      </c>
      <c r="L114" s="3">
        <v>14.0528618100331</v>
      </c>
      <c r="M114" s="3">
        <v>13.0759801560556</v>
      </c>
      <c r="N114" s="3">
        <v>8.4989566490610606</v>
      </c>
    </row>
    <row r="115" spans="1:25" x14ac:dyDescent="0.35">
      <c r="A115" s="2">
        <v>45216</v>
      </c>
      <c r="B115" s="3">
        <v>19.700631840792699</v>
      </c>
      <c r="C115" s="3">
        <v>14.7931838058152</v>
      </c>
      <c r="D115" s="3">
        <v>12.6302159219067</v>
      </c>
      <c r="E115" s="3">
        <v>10.1595903441114</v>
      </c>
      <c r="F115" s="3">
        <v>14.159272291787399</v>
      </c>
      <c r="G115" s="3">
        <v>16.031183143635499</v>
      </c>
      <c r="H115" s="3">
        <v>10.4668639045652</v>
      </c>
      <c r="I115" s="3">
        <v>23.6507966682939</v>
      </c>
      <c r="J115" s="3">
        <v>18.127787525452302</v>
      </c>
      <c r="K115" s="3">
        <v>12.293587642169401</v>
      </c>
      <c r="L115" s="3">
        <v>13.502397385035801</v>
      </c>
      <c r="M115" s="3">
        <v>13.215514322773799</v>
      </c>
      <c r="N115" s="3">
        <v>8.1763550141018797</v>
      </c>
    </row>
    <row r="116" spans="1:25" x14ac:dyDescent="0.35">
      <c r="A116" s="2">
        <v>45247</v>
      </c>
      <c r="B116" s="3">
        <v>20.127002704203299</v>
      </c>
      <c r="C116" s="3">
        <v>15.0583792148475</v>
      </c>
      <c r="D116" s="3">
        <v>12.8197702660282</v>
      </c>
      <c r="E116" s="3">
        <v>10.777313118492501</v>
      </c>
      <c r="F116" s="3">
        <v>14.5351435402726</v>
      </c>
      <c r="G116" s="3">
        <v>16.102043613952599</v>
      </c>
      <c r="H116" s="3">
        <v>10.373838574306699</v>
      </c>
      <c r="I116" s="3">
        <v>24.401495859851</v>
      </c>
      <c r="J116" s="3">
        <v>18.631968592067</v>
      </c>
      <c r="K116" s="3">
        <v>12.8234677599813</v>
      </c>
      <c r="L116" s="3">
        <v>14.6755630986315</v>
      </c>
      <c r="M116" s="3">
        <v>13.3425651866105</v>
      </c>
      <c r="N116" s="3">
        <v>8.3244444999797196</v>
      </c>
    </row>
    <row r="117" spans="1:25" x14ac:dyDescent="0.35">
      <c r="A117" s="2">
        <v>45275</v>
      </c>
      <c r="B117" s="3">
        <v>22.558146253496801</v>
      </c>
      <c r="C117" s="3">
        <v>16.043554559376499</v>
      </c>
      <c r="D117" s="3">
        <v>13.3426259945547</v>
      </c>
      <c r="E117" s="3">
        <v>11.227870662617599</v>
      </c>
      <c r="F117" s="3">
        <v>13.947301142373499</v>
      </c>
      <c r="G117" s="3">
        <v>16.821764159775601</v>
      </c>
      <c r="H117" s="3">
        <v>10.7223268743993</v>
      </c>
      <c r="I117" s="3">
        <v>24.9407298621541</v>
      </c>
      <c r="J117" s="3">
        <v>19.325780202647</v>
      </c>
      <c r="K117" s="3">
        <v>13.468726968487299</v>
      </c>
      <c r="L117" s="3">
        <v>15.3102962951797</v>
      </c>
      <c r="M117" s="3">
        <v>15.654122104538301</v>
      </c>
      <c r="N117" s="3">
        <v>8.8535870516536992</v>
      </c>
    </row>
    <row r="118" spans="1:25" x14ac:dyDescent="0.35">
      <c r="A118" s="2">
        <v>45308</v>
      </c>
      <c r="B118" s="3">
        <v>22.345625316210398</v>
      </c>
      <c r="C118" s="3">
        <v>15.793685119542801</v>
      </c>
      <c r="D118" s="3">
        <v>13.4861949396361</v>
      </c>
      <c r="E118" s="3">
        <v>10.914721393744401</v>
      </c>
      <c r="F118" s="3">
        <v>14.803584499309601</v>
      </c>
      <c r="G118" s="3">
        <v>16.8284144313578</v>
      </c>
      <c r="H118" s="3">
        <v>10.6926816595321</v>
      </c>
      <c r="I118" s="3">
        <v>24.788751150337301</v>
      </c>
      <c r="J118" s="3">
        <v>19.3633802090731</v>
      </c>
      <c r="K118" s="3">
        <v>13.0818435775628</v>
      </c>
      <c r="L118" s="3">
        <v>14.6111769451801</v>
      </c>
      <c r="M118" s="3">
        <v>15.085427601791199</v>
      </c>
      <c r="N118" s="3">
        <v>8.9325222576115806</v>
      </c>
    </row>
    <row r="119" spans="1:25" x14ac:dyDescent="0.35">
      <c r="A119" s="2">
        <v>45338</v>
      </c>
      <c r="B119" s="3">
        <v>22.2964802939291</v>
      </c>
      <c r="C119" s="3">
        <v>16.450605958573099</v>
      </c>
      <c r="D119" s="3">
        <v>14.069979064733401</v>
      </c>
      <c r="E119" s="3">
        <v>11.6613299894699</v>
      </c>
      <c r="F119" s="3">
        <v>15.364487032129601</v>
      </c>
      <c r="G119" s="3">
        <v>17.3858455769257</v>
      </c>
      <c r="H119" s="3">
        <v>11.2006800328731</v>
      </c>
      <c r="I119" s="3">
        <v>25.913077960271</v>
      </c>
      <c r="J119" s="3">
        <v>20.251033366852699</v>
      </c>
      <c r="K119" s="3">
        <v>13.996996236550199</v>
      </c>
      <c r="L119" s="3">
        <v>16.367914574127401</v>
      </c>
      <c r="M119" s="3">
        <v>16.042892695051702</v>
      </c>
      <c r="N119" s="3">
        <v>9.0021219405869708</v>
      </c>
    </row>
    <row r="120" spans="1:25" x14ac:dyDescent="0.35">
      <c r="A120" s="2">
        <v>45366</v>
      </c>
      <c r="B120" s="3">
        <v>24.875728409640601</v>
      </c>
      <c r="C120" s="3">
        <v>16.417542126020098</v>
      </c>
      <c r="D120" s="3">
        <v>14.497479730534099</v>
      </c>
      <c r="E120" s="3">
        <v>12.090572754737501</v>
      </c>
      <c r="F120" s="3">
        <v>15.3313235213407</v>
      </c>
      <c r="G120" s="3">
        <v>17.724420993273402</v>
      </c>
      <c r="H120" s="3">
        <v>11.297814891112001</v>
      </c>
      <c r="I120" s="3">
        <v>25.680541550429901</v>
      </c>
      <c r="J120" s="3">
        <v>20.452095719421902</v>
      </c>
      <c r="K120" s="3">
        <v>14.661948606640699</v>
      </c>
      <c r="L120" s="3">
        <v>15.9000570265375</v>
      </c>
      <c r="M120" s="3">
        <v>16.7422910308327</v>
      </c>
      <c r="N120" s="3">
        <v>9.6236171497769707</v>
      </c>
    </row>
    <row r="121" spans="1:25" x14ac:dyDescent="0.35">
      <c r="A121" s="2">
        <v>45399</v>
      </c>
      <c r="B121" s="3">
        <v>24.865305641712201</v>
      </c>
      <c r="C121" s="3">
        <v>16.070923246327901</v>
      </c>
      <c r="D121" s="3">
        <v>14.1704913186806</v>
      </c>
      <c r="E121" s="3">
        <v>11.8432905204315</v>
      </c>
      <c r="F121" s="3">
        <v>15.1360378367182</v>
      </c>
      <c r="G121" s="3">
        <v>16.773200977689001</v>
      </c>
      <c r="H121" s="3">
        <v>11.2519691100486</v>
      </c>
      <c r="I121" s="3">
        <v>24.9001944360535</v>
      </c>
      <c r="J121" s="3">
        <v>19.928798827432701</v>
      </c>
      <c r="K121" s="3">
        <v>14.2656052834497</v>
      </c>
      <c r="L121" s="3">
        <v>15.6218023009577</v>
      </c>
      <c r="M121" s="3">
        <v>16.0790013341507</v>
      </c>
      <c r="N121" s="3">
        <v>9.4914068947035002</v>
      </c>
    </row>
    <row r="122" spans="1:25" x14ac:dyDescent="0.35">
      <c r="A122" s="2">
        <v>45427</v>
      </c>
      <c r="B122" s="3">
        <v>25.041369182060201</v>
      </c>
      <c r="C122" s="3">
        <v>16.988358198330399</v>
      </c>
      <c r="D122" s="3">
        <v>14.430342637326699</v>
      </c>
      <c r="E122" s="3">
        <v>12.2653757637992</v>
      </c>
      <c r="F122" s="3">
        <v>15.4437641829219</v>
      </c>
      <c r="G122" s="3">
        <v>17.350635671276599</v>
      </c>
      <c r="H122" s="3">
        <v>11.9687261103167</v>
      </c>
      <c r="I122" s="3">
        <v>26.138219672161899</v>
      </c>
      <c r="J122" s="3">
        <v>20.711115573764399</v>
      </c>
      <c r="K122" s="3">
        <v>14.7828634444309</v>
      </c>
      <c r="L122" s="3">
        <v>16.347313976320699</v>
      </c>
      <c r="M122" s="3">
        <v>16.516069196066699</v>
      </c>
      <c r="N122" s="3">
        <v>9.9642477319536695</v>
      </c>
    </row>
    <row r="124" spans="1:25" x14ac:dyDescent="0.35">
      <c r="A124" s="2" t="s">
        <v>91</v>
      </c>
      <c r="B124" s="3" cm="1">
        <f t="array" ref="B124">MIN(_xlfn._xlws.FILTER(B1:B122, ISNUMBER(B1:B122)))</f>
        <v>16.7401097983836</v>
      </c>
      <c r="C124" s="3" cm="1">
        <f t="array" ref="C124">MIN(_xlfn._xlws.FILTER(C1:C122, ISNUMBER(C1:C122)))</f>
        <v>12.449674540391699</v>
      </c>
      <c r="D124" s="3" cm="1">
        <f t="array" ref="D124">MIN(_xlfn._xlws.FILTER(D1:D122, ISNUMBER(D1:D122)))</f>
        <v>10.7848991882848</v>
      </c>
      <c r="E124" s="3" cm="1">
        <f t="array" ref="E124">MIN(_xlfn._xlws.FILTER(E1:E122, ISNUMBER(E1:E122)))</f>
        <v>9.4027987604020407</v>
      </c>
      <c r="F124" s="3" cm="1">
        <f t="array" ref="F124">MIN(_xlfn._xlws.FILTER(F1:F122, ISNUMBER(F1:F122)))</f>
        <v>10.960561616884201</v>
      </c>
      <c r="G124" s="3" cm="1">
        <f t="array" ref="G124">MIN(_xlfn._xlws.FILTER(G1:G122, ISNUMBER(G1:G122)))</f>
        <v>14.197363245498501</v>
      </c>
      <c r="H124" s="3" cm="1">
        <f t="array" ref="H124">MIN(_xlfn._xlws.FILTER(H1:H122, ISNUMBER(H1:H122)))</f>
        <v>8.7444115419688604</v>
      </c>
      <c r="I124" s="3" cm="1">
        <f t="array" ref="I124">MIN(_xlfn._xlws.FILTER(I1:I122, ISNUMBER(I1:I122)))</f>
        <v>16.357041465684201</v>
      </c>
      <c r="J124" s="3" cm="1">
        <f t="array" ref="J124">MIN(_xlfn._xlws.FILTER(J1:J122, ISNUMBER(J1:J122)))</f>
        <v>14.4216673069704</v>
      </c>
      <c r="K124" s="3" cm="1">
        <f t="array" ref="K124">MIN(_xlfn._xlws.FILTER(K1:K122, ISNUMBER(K1:K122)))</f>
        <v>10.6290619514632</v>
      </c>
      <c r="L124" s="3" cm="1">
        <f t="array" ref="L124">MIN(_xlfn._xlws.FILTER(L1:L122, ISNUMBER(L1:L122)))</f>
        <v>12.436267355271401</v>
      </c>
      <c r="M124" s="3" cm="1">
        <f t="array" ref="M124">MIN(_xlfn._xlws.FILTER(M1:M122, ISNUMBER(M1:M122)))</f>
        <v>12.3317579025851</v>
      </c>
      <c r="N124" s="3" cm="1">
        <f t="array" ref="N124">MIN(_xlfn._xlws.FILTER(N1:N122, ISNUMBER(N1:N122)))</f>
        <v>7.4314526969830199</v>
      </c>
    </row>
    <row r="125" spans="1:25" x14ac:dyDescent="0.35">
      <c r="A125" s="2" t="s">
        <v>92</v>
      </c>
      <c r="B125" s="3" cm="1">
        <f t="array" ref="B125">MAX(_xlfn._xlws.FILTER(B1:B122, ISNUMBER(B1:B122)))</f>
        <v>34.963842718276602</v>
      </c>
      <c r="C125" s="3" cm="1">
        <f t="array" ref="C125">MAX(_xlfn._xlws.FILTER(C1:C122, ISNUMBER(C1:C122)))</f>
        <v>19.588014851141299</v>
      </c>
      <c r="D125" s="3" cm="1">
        <f t="array" ref="D125">MAX(_xlfn._xlws.FILTER(D1:D122, ISNUMBER(D1:D122)))</f>
        <v>17.850496940325598</v>
      </c>
      <c r="E125" s="3" cm="1">
        <f t="array" ref="E125">MAX(_xlfn._xlws.FILTER(E1:E122, ISNUMBER(E1:E122)))</f>
        <v>18.5494296933798</v>
      </c>
      <c r="F125" s="3" cm="1">
        <f t="array" ref="F125">MAX(_xlfn._xlws.FILTER(F1:F122, ISNUMBER(F1:F122)))</f>
        <v>19.018904040977102</v>
      </c>
      <c r="G125" s="3" cm="1">
        <f t="array" ref="G125">MAX(_xlfn._xlws.FILTER(G1:G122, ISNUMBER(G1:G122)))</f>
        <v>20.065834331076299</v>
      </c>
      <c r="H125" s="3" cm="1">
        <f t="array" ref="H125">MAX(_xlfn._xlws.FILTER(H1:H122, ISNUMBER(H1:H122)))</f>
        <v>16.465016384060199</v>
      </c>
      <c r="I125" s="3" cm="1">
        <f t="array" ref="I125">MAX(_xlfn._xlws.FILTER(I1:I122, ISNUMBER(I1:I122)))</f>
        <v>30.335969595511699</v>
      </c>
      <c r="J125" s="3" cm="1">
        <f t="array" ref="J125">MAX(_xlfn._xlws.FILTER(J1:J122, ISNUMBER(J1:J122)))</f>
        <v>22.4559947785418</v>
      </c>
      <c r="K125" s="3" cm="1">
        <f t="array" ref="K125">MAX(_xlfn._xlws.FILTER(K1:K122, ISNUMBER(K1:K122)))</f>
        <v>19.796716700895299</v>
      </c>
      <c r="L125" s="3" cm="1">
        <f t="array" ref="L125">MAX(_xlfn._xlws.FILTER(L1:L122, ISNUMBER(L1:L122)))</f>
        <v>22.8318428446414</v>
      </c>
      <c r="M125" s="3" cm="1">
        <f t="array" ref="M125">MAX(_xlfn._xlws.FILTER(M1:M122, ISNUMBER(M1:M122)))</f>
        <v>20.7635329700299</v>
      </c>
      <c r="N125" s="3" cm="1">
        <f t="array" ref="N125">MAX(_xlfn._xlws.FILTER(N1:N122, ISNUMBER(N1:N122)))</f>
        <v>17.8707721558781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0.70399999999999996</v>
      </c>
      <c r="C127" s="9" cm="1">
        <f t="array" ref="C127">_xlfn.PERCENTRANK.EXC(_xlfn._xlws.FILTER(C1:C122, ISNUMBER(C1:C122)),C122)</f>
        <v>0.80300000000000005</v>
      </c>
      <c r="D127" s="9" cm="1">
        <f t="array" ref="D127">_xlfn.PERCENTRANK.EXC(_xlfn._xlws.FILTER(D1:D122, ISNUMBER(D1:D122)),D122)</f>
        <v>0.42599999999999999</v>
      </c>
      <c r="E127" s="9" cm="1">
        <f t="array" ref="E127">_xlfn.PERCENTRANK.EXC(_xlfn._xlws.FILTER(E1:E122, ISNUMBER(E1:E122)),E122)</f>
        <v>0.31900000000000001</v>
      </c>
      <c r="F127" s="9" cm="1">
        <f t="array" ref="F127">_xlfn.PERCENTRANK.EXC(_xlfn._xlws.FILTER(F1:F122, ISNUMBER(F1:F122)),F122)</f>
        <v>0.81899999999999995</v>
      </c>
      <c r="G127" s="9" cm="1">
        <f t="array" ref="G127">_xlfn.PERCENTRANK.EXC(_xlfn._xlws.FILTER(G1:G122, ISNUMBER(G1:G122)),G122)</f>
        <v>0.58099999999999996</v>
      </c>
      <c r="H127" s="9" cm="1">
        <f t="array" ref="H127">_xlfn.PERCENTRANK.EXC(_xlfn._xlws.FILTER(H1:H122, ISNUMBER(H1:H122)),H122)</f>
        <v>0.28599999999999998</v>
      </c>
      <c r="I127" s="9" cm="1">
        <f t="array" ref="I127">_xlfn.PERCENTRANK.EXC(_xlfn._xlws.FILTER(I1:I122, ISNUMBER(I1:I122)),I122)</f>
        <v>0.80300000000000005</v>
      </c>
      <c r="J127" s="9" cm="1">
        <f t="array" ref="J127">_xlfn.PERCENTRANK.EXC(_xlfn._xlws.FILTER(J1:J122, ISNUMBER(J1:J122)),J122)</f>
        <v>0.84399999999999997</v>
      </c>
      <c r="K127" s="9" cm="1">
        <f t="array" ref="K127">_xlfn.PERCENTRANK.EXC(_xlfn._xlws.FILTER(K1:K122, ISNUMBER(K1:K122)),K122)</f>
        <v>0.63900000000000001</v>
      </c>
      <c r="L127" s="9" cm="1">
        <f t="array" ref="L127">_xlfn.PERCENTRANK.EXC(_xlfn._xlws.FILTER(L1:L122, ISNUMBER(L1:L122)),L122)</f>
        <v>0.68</v>
      </c>
      <c r="M127" s="9" cm="1">
        <f t="array" ref="M127">_xlfn.PERCENTRANK.EXC(_xlfn._xlws.FILTER(M1:M122, ISNUMBER(M1:M122)),M122)</f>
        <v>0.70399999999999996</v>
      </c>
      <c r="N127" s="9" cm="1">
        <f t="array" ref="N127">_xlfn.PERCENTRANK.EXC(_xlfn._xlws.FILTER(N1:N122, ISNUMBER(N1:N122)),N122)</f>
        <v>0.254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41775</v>
      </c>
      <c r="B2" s="3" cm="1">
        <f t="array" ref="B2:B122">_xll.FDS(B1,"FMA_DIV_YLD(NTMA,-10AY,0,AM,""PORTAGG"",""MEANR"")")</f>
        <v>4.0991171766373702</v>
      </c>
      <c r="C2" s="3" cm="1">
        <f t="array" ref="C2:C122">_xll.FDS(C1,"FMA_DIV_YLD(NTMA,-10AY,0,AM,""PORTAGG"",""MEANR"")")</f>
        <v>4.7630739684545098</v>
      </c>
      <c r="D2" s="3" cm="1">
        <f t="array" ref="D2:D122">_xll.FDS(D1,"FMA_DIV_YLD(NTMA,-10AY,0,AM,""PORTAGG"",""MEANR"")")</f>
        <v>2.904279209262</v>
      </c>
      <c r="E2" s="3" cm="1">
        <f t="array" ref="E2:E122">_xll.FDS(E1,"FMA_DIV_YLD(NTMA,-10AY,0,AM,""PORTAGG"",""MEANR"")")</f>
        <v>3.0333414789886901</v>
      </c>
      <c r="F2" s="3" cm="1">
        <f t="array" ref="F2:F122">_xll.FDS(F1,"FMA_DIV_YLD(NTMA,-10AY,0,AM,""PORTAGG"",""MEANR"")")</f>
        <v>2.2299672182645001</v>
      </c>
      <c r="G2" s="3" cm="1">
        <f t="array" ref="G2:G122">_xll.FDS(G1,"FMA_DIV_YLD(NTMA,-10AY,0,AM,""PORTAGG"",""MEANR"")")</f>
        <v>3.1911466666582098</v>
      </c>
      <c r="H2" s="3" cm="1">
        <f t="array" ref="H2:H122">_xll.FDS(H1,"FMA_DIV_YLD(NTMA,-10AY,0,AM,""PORTAGG"",""MEANR"")")</f>
        <v>3.8146263331355601</v>
      </c>
      <c r="I2" s="3" cm="1">
        <f t="array" ref="I2:I122">_xll.FDS(I1,"FMA_DIV_YLD(NTMA,-10AY,0,AM,""PORTAGG"",""MEANR"")")</f>
        <v>1.3610841111847101</v>
      </c>
      <c r="J2" s="3" cm="1">
        <f t="array" ref="J2:J122">_xll.FDS(J1,"FMA_DIV_YLD(NTMA,-10AY,0,AM,""PORTAGG"",""MEANR"")")</f>
        <v>2.1687679128631401</v>
      </c>
      <c r="K2" s="3" cm="1">
        <f t="array" ref="K2:K122">_xll.FDS(K1,"FMA_DIV_YLD(NTMA,-10AY,0,AM,""PORTAGG"",""MEANR"")")</f>
        <v>3.43694173022317</v>
      </c>
      <c r="L2" s="3" cm="1">
        <f t="array" ref="L2:L122">_xll.FDS(L1,"FMA_DIV_YLD(NTMA,-10AY,0,AM,""PORTAGG"",""MEANR"")")</f>
        <v>2.8392747704218699</v>
      </c>
      <c r="M2" s="3" cm="1">
        <f t="array" ref="M2:M122">_xll.FDS(M1,"FMA_DIV_YLD(NTMA,-10AY,0,AM,""PORTAGG"",""MEANR"")")</f>
        <v>4.0569970670433397</v>
      </c>
      <c r="N2" s="3" cm="1">
        <f t="array" ref="N2:N122">_xll.FDS(N1,"FMA_DIV_YLD(NTMA,-10AY,0,AM,""PORTAGG"",""MEANR"")")</f>
        <v>3.5804874817272698</v>
      </c>
    </row>
    <row r="3" spans="1:14" x14ac:dyDescent="0.35">
      <c r="A3" s="2">
        <v>41807</v>
      </c>
      <c r="B3" s="3">
        <v>4.20743246278969</v>
      </c>
      <c r="C3" s="3">
        <v>4.8569956169899102</v>
      </c>
      <c r="D3" s="3">
        <v>2.8201638204147401</v>
      </c>
      <c r="E3" s="3">
        <v>2.9822504090362001</v>
      </c>
      <c r="F3" s="3">
        <v>2.1081957137915701</v>
      </c>
      <c r="G3" s="3">
        <v>3.22789098411425</v>
      </c>
      <c r="H3" s="3">
        <v>3.8693611188160499</v>
      </c>
      <c r="I3" s="3">
        <v>1.3005886414761101</v>
      </c>
      <c r="J3" s="3">
        <v>2.1121172324381101</v>
      </c>
      <c r="K3" s="3">
        <v>3.3873220302435101</v>
      </c>
      <c r="L3" s="3">
        <v>2.7984492375680001</v>
      </c>
      <c r="M3" s="3">
        <v>4.1264594724439698</v>
      </c>
      <c r="N3" s="3">
        <v>3.3989482277166401</v>
      </c>
    </row>
    <row r="4" spans="1:14" x14ac:dyDescent="0.35">
      <c r="A4" s="2">
        <v>41837</v>
      </c>
      <c r="B4" s="3">
        <v>4.4645881055923899</v>
      </c>
      <c r="C4" s="3">
        <v>4.7260561049190697</v>
      </c>
      <c r="D4" s="3">
        <v>2.7870072977371101</v>
      </c>
      <c r="E4" s="3">
        <v>3.0783942777847102</v>
      </c>
      <c r="F4" s="3">
        <v>2.0625741508567899</v>
      </c>
      <c r="G4" s="3">
        <v>3.3214990134278701</v>
      </c>
      <c r="H4" s="3">
        <v>3.8854888979217201</v>
      </c>
      <c r="I4" s="3">
        <v>1.26340762844274</v>
      </c>
      <c r="J4" s="3">
        <v>2.1121408687399601</v>
      </c>
      <c r="K4" s="3">
        <v>3.5359195930019398</v>
      </c>
      <c r="L4" s="3">
        <v>2.9151590708395001</v>
      </c>
      <c r="M4" s="3">
        <v>4.1873374382915598</v>
      </c>
      <c r="N4" s="3">
        <v>3.51230669406337</v>
      </c>
    </row>
    <row r="5" spans="1:14" x14ac:dyDescent="0.35">
      <c r="A5" s="2">
        <v>41866</v>
      </c>
      <c r="B5" s="3">
        <v>4.5258245803847599</v>
      </c>
      <c r="C5" s="3">
        <v>4.7247268760756196</v>
      </c>
      <c r="D5" s="3">
        <v>2.7960992179911099</v>
      </c>
      <c r="E5" s="3">
        <v>3.2902970178688302</v>
      </c>
      <c r="F5" s="3">
        <v>2.0847205024587199</v>
      </c>
      <c r="G5" s="3">
        <v>3.4079046097010699</v>
      </c>
      <c r="H5" s="3">
        <v>3.96993651600935</v>
      </c>
      <c r="I5" s="3">
        <v>1.2373641532459501</v>
      </c>
      <c r="J5" s="3">
        <v>2.1313645946360298</v>
      </c>
      <c r="K5" s="3">
        <v>3.67671950788908</v>
      </c>
      <c r="L5" s="3">
        <v>3.0879929162033601</v>
      </c>
      <c r="M5" s="3">
        <v>4.3104920347103199</v>
      </c>
      <c r="N5" s="3">
        <v>3.7447788690452501</v>
      </c>
    </row>
    <row r="6" spans="1:14" x14ac:dyDescent="0.35">
      <c r="A6" s="2">
        <v>41899</v>
      </c>
      <c r="B6" s="3">
        <v>4.6633797694901897</v>
      </c>
      <c r="C6" s="3">
        <v>4.9186065939784598</v>
      </c>
      <c r="D6" s="3">
        <v>2.7709945239276501</v>
      </c>
      <c r="E6" s="3">
        <v>3.12315280875699</v>
      </c>
      <c r="F6" s="3">
        <v>2.04806776707064</v>
      </c>
      <c r="G6" s="3">
        <v>3.2899434607678102</v>
      </c>
      <c r="H6" s="3">
        <v>3.9346018883057101</v>
      </c>
      <c r="I6" s="3">
        <v>1.2319358590276399</v>
      </c>
      <c r="J6" s="3">
        <v>2.0983858760800902</v>
      </c>
      <c r="K6" s="3">
        <v>3.5229784578445802</v>
      </c>
      <c r="L6" s="3">
        <v>3.0251664243282401</v>
      </c>
      <c r="M6" s="3">
        <v>4.1704228808169699</v>
      </c>
      <c r="N6" s="3">
        <v>3.5213217705805202</v>
      </c>
    </row>
    <row r="7" spans="1:14" x14ac:dyDescent="0.35">
      <c r="A7" s="2">
        <v>41929</v>
      </c>
      <c r="B7" s="3">
        <v>4.69560903056722</v>
      </c>
      <c r="C7" s="3">
        <v>5.0655415651363001</v>
      </c>
      <c r="D7" s="3">
        <v>3.0457948089814701</v>
      </c>
      <c r="E7" s="3">
        <v>3.4220880623055998</v>
      </c>
      <c r="F7" s="3">
        <v>2.29140445203823</v>
      </c>
      <c r="G7" s="3">
        <v>3.54645452129457</v>
      </c>
      <c r="H7" s="3">
        <v>4.2619356724209698</v>
      </c>
      <c r="I7" s="3">
        <v>1.3227353949337499</v>
      </c>
      <c r="J7" s="3">
        <v>2.23666301759582</v>
      </c>
      <c r="K7" s="3">
        <v>3.87472559405058</v>
      </c>
      <c r="L7" s="3">
        <v>3.2845385973182899</v>
      </c>
      <c r="M7" s="3">
        <v>4.5027189134297503</v>
      </c>
      <c r="N7" s="3">
        <v>4.0885771342913602</v>
      </c>
    </row>
    <row r="8" spans="1:14" x14ac:dyDescent="0.35">
      <c r="A8" s="2">
        <v>41960</v>
      </c>
      <c r="B8" s="3">
        <v>4.4267612421389497</v>
      </c>
      <c r="C8" s="3">
        <v>4.9575820607661001</v>
      </c>
      <c r="D8" s="3">
        <v>2.92311921876323</v>
      </c>
      <c r="E8" s="3">
        <v>3.33766434572747</v>
      </c>
      <c r="F8" s="3">
        <v>1.9853976158856399</v>
      </c>
      <c r="G8" s="3">
        <v>3.2766804407414298</v>
      </c>
      <c r="H8" s="3">
        <v>4.0560713474446599</v>
      </c>
      <c r="I8" s="3">
        <v>1.21553660498314</v>
      </c>
      <c r="J8" s="3">
        <v>2.08961862768217</v>
      </c>
      <c r="K8" s="3">
        <v>3.70379446359558</v>
      </c>
      <c r="L8" s="3">
        <v>3.1029990997393102</v>
      </c>
      <c r="M8" s="3">
        <v>4.1747542654910301</v>
      </c>
      <c r="N8" s="3">
        <v>3.98224444175814</v>
      </c>
    </row>
    <row r="9" spans="1:14" x14ac:dyDescent="0.35">
      <c r="A9" s="2">
        <v>41990</v>
      </c>
      <c r="B9" s="3">
        <v>4.4885045840112801</v>
      </c>
      <c r="C9" s="3">
        <v>5.2150448118562904</v>
      </c>
      <c r="D9" s="3">
        <v>3.0289136661346299</v>
      </c>
      <c r="E9" s="3">
        <v>3.27415461496892</v>
      </c>
      <c r="F9" s="3">
        <v>2.0577811378653599</v>
      </c>
      <c r="G9" s="3">
        <v>3.3587771794451702</v>
      </c>
      <c r="H9" s="3">
        <v>4.2757403275306398</v>
      </c>
      <c r="I9" s="3">
        <v>1.2459256606937601</v>
      </c>
      <c r="J9" s="3">
        <v>2.1426018794239998</v>
      </c>
      <c r="K9" s="3">
        <v>3.7771597780203199</v>
      </c>
      <c r="L9" s="3">
        <v>3.2043853313841302</v>
      </c>
      <c r="M9" s="3">
        <v>4.2658573032135196</v>
      </c>
      <c r="N9" s="3">
        <v>4.1442395233107403</v>
      </c>
    </row>
    <row r="10" spans="1:14" x14ac:dyDescent="0.35">
      <c r="A10" s="2">
        <v>42020</v>
      </c>
      <c r="B10" s="3">
        <v>4.3756312525740597</v>
      </c>
      <c r="C10" s="3">
        <v>5.0782640421049701</v>
      </c>
      <c r="D10" s="3">
        <v>3.0249021577465101</v>
      </c>
      <c r="E10" s="3">
        <v>3.0859012896154199</v>
      </c>
      <c r="F10" s="3">
        <v>2.0637344099051802</v>
      </c>
      <c r="G10" s="3">
        <v>3.5452035248247</v>
      </c>
      <c r="H10" s="3">
        <v>4.1815640027383596</v>
      </c>
      <c r="I10" s="3">
        <v>1.2356419380417001</v>
      </c>
      <c r="J10" s="3">
        <v>2.15191508541109</v>
      </c>
      <c r="K10" s="3">
        <v>3.5576478375525999</v>
      </c>
      <c r="L10" s="3">
        <v>3.0338750475643499</v>
      </c>
      <c r="M10" s="3">
        <v>4.1085346438435897</v>
      </c>
      <c r="N10" s="3">
        <v>4.04382352170221</v>
      </c>
    </row>
    <row r="11" spans="1:14" x14ac:dyDescent="0.35">
      <c r="A11" s="2">
        <v>42052</v>
      </c>
      <c r="B11" s="3">
        <v>4.2495461341087797</v>
      </c>
      <c r="C11" s="3">
        <v>4.6332696616573896</v>
      </c>
      <c r="D11" s="3">
        <v>2.8377046749281298</v>
      </c>
      <c r="E11" s="3">
        <v>2.8939103072549499</v>
      </c>
      <c r="F11" s="3">
        <v>1.95462023917372</v>
      </c>
      <c r="G11" s="3">
        <v>3.2443683596909101</v>
      </c>
      <c r="H11" s="3">
        <v>3.9652359197843499</v>
      </c>
      <c r="I11" s="3">
        <v>1.2267532821120499</v>
      </c>
      <c r="J11" s="3">
        <v>2.1045360828350002</v>
      </c>
      <c r="K11" s="3">
        <v>3.2381456592406299</v>
      </c>
      <c r="L11" s="3">
        <v>2.83636987053135</v>
      </c>
      <c r="M11" s="3">
        <v>3.7190099886987098</v>
      </c>
      <c r="N11" s="3">
        <v>3.5886668046077301</v>
      </c>
    </row>
    <row r="12" spans="1:14" x14ac:dyDescent="0.35">
      <c r="A12" s="2">
        <v>42080</v>
      </c>
      <c r="B12" s="3">
        <v>4.3165292485640396</v>
      </c>
      <c r="C12" s="3">
        <v>4.6508270983114297</v>
      </c>
      <c r="D12" s="3">
        <v>2.9137144533575299</v>
      </c>
      <c r="E12" s="3">
        <v>2.6593763893659101</v>
      </c>
      <c r="F12" s="3">
        <v>1.8368416738670501</v>
      </c>
      <c r="G12" s="3">
        <v>3.1501835256694699</v>
      </c>
      <c r="H12" s="3">
        <v>4.0144714510010298</v>
      </c>
      <c r="I12" s="3">
        <v>1.26052075234662</v>
      </c>
      <c r="J12" s="3">
        <v>2.1820910388830401</v>
      </c>
      <c r="K12" s="3">
        <v>3.1969709684051999</v>
      </c>
      <c r="L12" s="3">
        <v>2.6233742616954498</v>
      </c>
      <c r="M12" s="3">
        <v>3.6512840654863199</v>
      </c>
      <c r="N12" s="3">
        <v>3.18440561186745</v>
      </c>
    </row>
    <row r="13" spans="1:14" x14ac:dyDescent="0.35">
      <c r="A13" s="2">
        <v>42111</v>
      </c>
      <c r="B13" s="3">
        <v>4.4222828019013898</v>
      </c>
      <c r="C13" s="3">
        <v>4.6012899565879701</v>
      </c>
      <c r="D13" s="3">
        <v>2.8305374130283298</v>
      </c>
      <c r="E13" s="3">
        <v>2.7642407410067902</v>
      </c>
      <c r="F13" s="3">
        <v>1.8476845247831499</v>
      </c>
      <c r="G13" s="3">
        <v>3.0714786018148801</v>
      </c>
      <c r="H13" s="3">
        <v>3.9116101551318101</v>
      </c>
      <c r="I13" s="3">
        <v>1.27587998522588</v>
      </c>
      <c r="J13" s="3">
        <v>2.1714633195704298</v>
      </c>
      <c r="K13" s="3">
        <v>3.1403116872166299</v>
      </c>
      <c r="L13" s="3">
        <v>2.6814342588545199</v>
      </c>
      <c r="M13" s="3">
        <v>3.7147761123012599</v>
      </c>
      <c r="N13" s="3">
        <v>3.1645834053086799</v>
      </c>
    </row>
    <row r="14" spans="1:14" x14ac:dyDescent="0.35">
      <c r="A14" s="2">
        <v>42139</v>
      </c>
      <c r="B14" s="3">
        <v>4.4750988286633699</v>
      </c>
      <c r="C14" s="3">
        <v>4.6819965088112196</v>
      </c>
      <c r="D14" s="3">
        <v>2.8772823237190801</v>
      </c>
      <c r="E14" s="3">
        <v>2.9018167197174698</v>
      </c>
      <c r="F14" s="3">
        <v>1.8793590628202199</v>
      </c>
      <c r="G14" s="3">
        <v>3.10954547489031</v>
      </c>
      <c r="H14" s="3">
        <v>3.8730913082709102</v>
      </c>
      <c r="I14" s="3">
        <v>1.23822664266552</v>
      </c>
      <c r="J14" s="3">
        <v>2.14130476720364</v>
      </c>
      <c r="K14" s="3">
        <v>3.2765326005090598</v>
      </c>
      <c r="L14" s="3">
        <v>2.73384191644202</v>
      </c>
      <c r="M14" s="3">
        <v>3.8533733523193199</v>
      </c>
      <c r="N14" s="3">
        <v>3.1567344940956401</v>
      </c>
    </row>
    <row r="15" spans="1:14" x14ac:dyDescent="0.35">
      <c r="A15" s="2">
        <v>42172</v>
      </c>
      <c r="B15" s="3">
        <v>4.5033803916920103</v>
      </c>
      <c r="C15" s="3">
        <v>4.8620795801954699</v>
      </c>
      <c r="D15" s="3">
        <v>2.9586547893327899</v>
      </c>
      <c r="E15" s="3">
        <v>3.0741482938946798</v>
      </c>
      <c r="F15" s="3">
        <v>1.9079833513044899</v>
      </c>
      <c r="G15" s="3">
        <v>3.2310870215830501</v>
      </c>
      <c r="H15" s="3">
        <v>4.0704116363862797</v>
      </c>
      <c r="I15" s="3">
        <v>1.25338859037879</v>
      </c>
      <c r="J15" s="3">
        <v>2.1709467983133099</v>
      </c>
      <c r="K15" s="3">
        <v>3.44166033924561</v>
      </c>
      <c r="L15" s="3">
        <v>2.96876178799626</v>
      </c>
      <c r="M15" s="3">
        <v>4.0061788199877304</v>
      </c>
      <c r="N15" s="3">
        <v>3.41287592030011</v>
      </c>
    </row>
    <row r="16" spans="1:14" x14ac:dyDescent="0.35">
      <c r="A16" s="2">
        <v>42202</v>
      </c>
      <c r="B16" s="3">
        <v>4.6065262367507103</v>
      </c>
      <c r="C16" s="3">
        <v>4.8176592052246097</v>
      </c>
      <c r="D16" s="3">
        <v>3.0053928156556702</v>
      </c>
      <c r="E16" s="3">
        <v>2.9104922810393901</v>
      </c>
      <c r="F16" s="3">
        <v>1.8925005214513899</v>
      </c>
      <c r="G16" s="3">
        <v>3.1078588723756999</v>
      </c>
      <c r="H16" s="3">
        <v>4.0630025934881999</v>
      </c>
      <c r="I16" s="3">
        <v>1.2049462773283499</v>
      </c>
      <c r="J16" s="3">
        <v>2.1474293646387399</v>
      </c>
      <c r="K16" s="3">
        <v>3.2509637437728101</v>
      </c>
      <c r="L16" s="3">
        <v>2.8166705338715698</v>
      </c>
      <c r="M16" s="3">
        <v>3.88469336882092</v>
      </c>
      <c r="N16" s="3">
        <v>3.1554905469398</v>
      </c>
    </row>
    <row r="17" spans="1:14" x14ac:dyDescent="0.35">
      <c r="A17" s="2">
        <v>42233</v>
      </c>
      <c r="B17" s="3">
        <v>4.7161602438135599</v>
      </c>
      <c r="C17" s="3">
        <v>5.1076071594125301</v>
      </c>
      <c r="D17" s="3">
        <v>3.0768785729221202</v>
      </c>
      <c r="E17" s="3">
        <v>3.1189953051872998</v>
      </c>
      <c r="F17" s="3">
        <v>1.9009003447091799</v>
      </c>
      <c r="G17" s="3">
        <v>3.1397427745292599</v>
      </c>
      <c r="H17" s="3">
        <v>4.1607830030499704</v>
      </c>
      <c r="I17" s="3">
        <v>1.27196601846154</v>
      </c>
      <c r="J17" s="3">
        <v>2.2002414222417399</v>
      </c>
      <c r="K17" s="3">
        <v>3.3699040999948502</v>
      </c>
      <c r="L17" s="3">
        <v>3.20835120838571</v>
      </c>
      <c r="M17" s="3">
        <v>4.0338224869338797</v>
      </c>
      <c r="N17" s="3">
        <v>3.1428754106056398</v>
      </c>
    </row>
    <row r="18" spans="1:14" x14ac:dyDescent="0.35">
      <c r="A18" s="2">
        <v>42264</v>
      </c>
      <c r="B18" s="3">
        <v>5.1097979254755401</v>
      </c>
      <c r="C18" s="3">
        <v>5.3539269469562401</v>
      </c>
      <c r="D18" s="3">
        <v>3.18165330634181</v>
      </c>
      <c r="E18" s="3">
        <v>3.3433160849549601</v>
      </c>
      <c r="F18" s="3">
        <v>2.13898180947968</v>
      </c>
      <c r="G18" s="3">
        <v>3.31161453580409</v>
      </c>
      <c r="H18" s="3">
        <v>4.4227452630741304</v>
      </c>
      <c r="I18" s="3">
        <v>1.33181430521605</v>
      </c>
      <c r="J18" s="3">
        <v>2.3362427574956501</v>
      </c>
      <c r="K18" s="3">
        <v>3.6195819991173299</v>
      </c>
      <c r="L18" s="3">
        <v>3.44217023151361</v>
      </c>
      <c r="M18" s="3">
        <v>4.3463870773720998</v>
      </c>
      <c r="N18" s="3">
        <v>3.3747031638837401</v>
      </c>
    </row>
    <row r="19" spans="1:14" x14ac:dyDescent="0.35">
      <c r="A19" s="2">
        <v>42293</v>
      </c>
      <c r="B19" s="3">
        <v>5.0685488039503497</v>
      </c>
      <c r="C19" s="3">
        <v>5.1778192920332202</v>
      </c>
      <c r="D19" s="3">
        <v>3.1786732062189702</v>
      </c>
      <c r="E19" s="3">
        <v>3.3165236299719099</v>
      </c>
      <c r="F19" s="3">
        <v>2.1166005519027</v>
      </c>
      <c r="G19" s="3">
        <v>3.33290528003426</v>
      </c>
      <c r="H19" s="3">
        <v>4.2359408377922296</v>
      </c>
      <c r="I19" s="3">
        <v>1.3189035111695799</v>
      </c>
      <c r="J19" s="3">
        <v>2.2914358358195899</v>
      </c>
      <c r="K19" s="3">
        <v>3.5532851388434601</v>
      </c>
      <c r="L19" s="3">
        <v>3.40588988344419</v>
      </c>
      <c r="M19" s="3">
        <v>4.3969491942472896</v>
      </c>
      <c r="N19" s="3">
        <v>3.55207073737418</v>
      </c>
    </row>
    <row r="20" spans="1:14" x14ac:dyDescent="0.35">
      <c r="A20" s="2">
        <v>42325</v>
      </c>
      <c r="B20" s="3">
        <v>4.93060858096558</v>
      </c>
      <c r="C20" s="3">
        <v>5.3534461343566804</v>
      </c>
      <c r="D20" s="3">
        <v>3.32836478049613</v>
      </c>
      <c r="E20" s="3">
        <v>2.9523135207176598</v>
      </c>
      <c r="F20" s="3">
        <v>2.0240430655139598</v>
      </c>
      <c r="G20" s="3">
        <v>3.2505866776682799</v>
      </c>
      <c r="H20" s="3">
        <v>4.2728566935119598</v>
      </c>
      <c r="I20" s="3">
        <v>1.3000941802908299</v>
      </c>
      <c r="J20" s="3">
        <v>2.3058381099722101</v>
      </c>
      <c r="K20" s="3">
        <v>3.4188329809454601</v>
      </c>
      <c r="L20" s="3">
        <v>3.1423855140974299</v>
      </c>
      <c r="M20" s="3">
        <v>4.1684754891074904</v>
      </c>
      <c r="N20" s="3">
        <v>3.6104871968993</v>
      </c>
    </row>
    <row r="21" spans="1:14" x14ac:dyDescent="0.35">
      <c r="A21" s="2">
        <v>42355</v>
      </c>
      <c r="B21" s="3">
        <v>4.8451760300631097</v>
      </c>
      <c r="C21" s="3">
        <v>5.3401492214791597</v>
      </c>
      <c r="D21" s="3">
        <v>3.3844592224845398</v>
      </c>
      <c r="E21" s="3">
        <v>3.0360153992677099</v>
      </c>
      <c r="F21" s="3">
        <v>2.0617837474120302</v>
      </c>
      <c r="G21" s="3">
        <v>3.3217868505307302</v>
      </c>
      <c r="H21" s="3">
        <v>4.3930015640528799</v>
      </c>
      <c r="I21" s="3">
        <v>1.2933585665193099</v>
      </c>
      <c r="J21" s="3">
        <v>2.3126640158786298</v>
      </c>
      <c r="K21" s="3">
        <v>3.5729664001924899</v>
      </c>
      <c r="L21" s="3">
        <v>3.2839860013752902</v>
      </c>
      <c r="M21" s="3">
        <v>4.3531753807189801</v>
      </c>
      <c r="N21" s="3">
        <v>3.79756886943564</v>
      </c>
    </row>
    <row r="22" spans="1:14" x14ac:dyDescent="0.35">
      <c r="A22" s="2">
        <v>42384</v>
      </c>
      <c r="B22" s="3">
        <v>4.8511473043034901</v>
      </c>
      <c r="C22" s="3">
        <v>5.5744427831521399</v>
      </c>
      <c r="D22" s="3">
        <v>3.6441240487109501</v>
      </c>
      <c r="E22" s="3">
        <v>3.4250055800479702</v>
      </c>
      <c r="F22" s="3">
        <v>2.3224706219909801</v>
      </c>
      <c r="G22" s="3">
        <v>3.5595216982005802</v>
      </c>
      <c r="H22" s="3">
        <v>4.6428090972616198</v>
      </c>
      <c r="I22" s="3">
        <v>1.3990240856816201</v>
      </c>
      <c r="J22" s="3">
        <v>2.5257732265288801</v>
      </c>
      <c r="K22" s="3">
        <v>3.9706067891239401</v>
      </c>
      <c r="L22" s="3">
        <v>3.3918077322730702</v>
      </c>
      <c r="M22" s="3">
        <v>4.7561241283537603</v>
      </c>
      <c r="N22" s="3">
        <v>4.3098521474506502</v>
      </c>
    </row>
    <row r="23" spans="1:14" x14ac:dyDescent="0.35">
      <c r="A23" s="2">
        <v>42417</v>
      </c>
      <c r="B23" s="3">
        <v>4.9179745541164097</v>
      </c>
      <c r="C23" s="3">
        <v>5.1816642628686802</v>
      </c>
      <c r="D23" s="3">
        <v>3.3210628361422101</v>
      </c>
      <c r="E23" s="3">
        <v>3.5037886615153102</v>
      </c>
      <c r="F23" s="3">
        <v>2.5348021930470601</v>
      </c>
      <c r="G23" s="3">
        <v>3.5243781658306101</v>
      </c>
      <c r="H23" s="3">
        <v>4.5432545500073402</v>
      </c>
      <c r="I23" s="3">
        <v>1.4077125324988899</v>
      </c>
      <c r="J23" s="3">
        <v>2.4518202590146898</v>
      </c>
      <c r="K23" s="3">
        <v>3.9133724866863502</v>
      </c>
      <c r="L23" s="3">
        <v>3.4739274567528402</v>
      </c>
      <c r="M23" s="3">
        <v>4.3700306654442302</v>
      </c>
      <c r="N23" s="3">
        <v>4.5778698833518696</v>
      </c>
    </row>
    <row r="24" spans="1:14" x14ac:dyDescent="0.35">
      <c r="A24" s="2">
        <v>42446</v>
      </c>
      <c r="B24" s="3">
        <v>4.6685359570559202</v>
      </c>
      <c r="C24" s="3">
        <v>4.7236465607046698</v>
      </c>
      <c r="D24" s="3">
        <v>3.1111477603952302</v>
      </c>
      <c r="E24" s="3">
        <v>3.3249538763450799</v>
      </c>
      <c r="F24" s="3">
        <v>2.37623418888204</v>
      </c>
      <c r="G24" s="3">
        <v>3.4988227589288101</v>
      </c>
      <c r="H24" s="3">
        <v>4.3231821528073304</v>
      </c>
      <c r="I24" s="3">
        <v>1.35961274725023</v>
      </c>
      <c r="J24" s="3">
        <v>2.4751977345461702</v>
      </c>
      <c r="K24" s="3">
        <v>3.7247326711745501</v>
      </c>
      <c r="L24" s="3">
        <v>3.3112880954368098</v>
      </c>
      <c r="M24" s="3">
        <v>4.3257424407508598</v>
      </c>
      <c r="N24" s="3">
        <v>4.2624550515777697</v>
      </c>
    </row>
    <row r="25" spans="1:14" x14ac:dyDescent="0.35">
      <c r="A25" s="2">
        <v>42475</v>
      </c>
      <c r="B25" s="3">
        <v>4.5354943034939899</v>
      </c>
      <c r="C25" s="3">
        <v>4.7461960382255404</v>
      </c>
      <c r="D25" s="3">
        <v>3.1184486988028901</v>
      </c>
      <c r="E25" s="3">
        <v>3.2714717683821699</v>
      </c>
      <c r="F25" s="3">
        <v>2.36099736972325</v>
      </c>
      <c r="G25" s="3">
        <v>3.4805418606707001</v>
      </c>
      <c r="H25" s="3">
        <v>4.2514620782308503</v>
      </c>
      <c r="I25" s="3">
        <v>1.31990488823408</v>
      </c>
      <c r="J25" s="3">
        <v>2.2917987413403398</v>
      </c>
      <c r="K25" s="3">
        <v>3.6902858702376</v>
      </c>
      <c r="L25" s="3">
        <v>3.2497826233555598</v>
      </c>
      <c r="M25" s="3">
        <v>4.3306227410637899</v>
      </c>
      <c r="N25" s="3">
        <v>4.4003085524920804</v>
      </c>
    </row>
    <row r="26" spans="1:14" x14ac:dyDescent="0.35">
      <c r="A26" s="2">
        <v>42507</v>
      </c>
      <c r="B26" s="3">
        <v>4.43418744981419</v>
      </c>
      <c r="C26" s="3">
        <v>4.5378980124695101</v>
      </c>
      <c r="D26" s="3">
        <v>3.0579209250562398</v>
      </c>
      <c r="E26" s="3">
        <v>3.377263844866</v>
      </c>
      <c r="F26" s="3">
        <v>2.39878974778303</v>
      </c>
      <c r="G26" s="3">
        <v>3.5624805808227902</v>
      </c>
      <c r="H26" s="3">
        <v>4.35008815062913</v>
      </c>
      <c r="I26" s="3">
        <v>1.4010590253489701</v>
      </c>
      <c r="J26" s="3">
        <v>2.2927014117324598</v>
      </c>
      <c r="K26" s="3">
        <v>3.8299355905108601</v>
      </c>
      <c r="L26" s="3">
        <v>3.4280715602398102</v>
      </c>
      <c r="M26" s="3">
        <v>4.4767501478446396</v>
      </c>
      <c r="N26" s="3">
        <v>4.5975482028558599</v>
      </c>
    </row>
    <row r="27" spans="1:14" x14ac:dyDescent="0.35">
      <c r="A27" s="2">
        <v>42538</v>
      </c>
      <c r="B27" s="3">
        <v>4.4497488045998796</v>
      </c>
      <c r="C27" s="3">
        <v>4.7553197926033004</v>
      </c>
      <c r="D27" s="3">
        <v>3.0980306284357999</v>
      </c>
      <c r="E27" s="3">
        <v>3.50515725063525</v>
      </c>
      <c r="F27" s="3">
        <v>2.5203569002255302</v>
      </c>
      <c r="G27" s="3">
        <v>3.6457634453746</v>
      </c>
      <c r="H27" s="3">
        <v>4.4590307063252297</v>
      </c>
      <c r="I27" s="3">
        <v>1.3908508814267699</v>
      </c>
      <c r="J27" s="3">
        <v>2.3065160911528801</v>
      </c>
      <c r="K27" s="3">
        <v>3.9560201232904899</v>
      </c>
      <c r="L27" s="3">
        <v>3.3930899600251201</v>
      </c>
      <c r="M27" s="3">
        <v>4.6139499504247103</v>
      </c>
      <c r="N27" s="3">
        <v>4.8366151161657003</v>
      </c>
    </row>
    <row r="28" spans="1:14" x14ac:dyDescent="0.35">
      <c r="A28" s="2">
        <v>42566</v>
      </c>
      <c r="B28" s="3">
        <v>4.2821970773692204</v>
      </c>
      <c r="C28" s="3">
        <v>4.5270374493949701</v>
      </c>
      <c r="D28" s="3">
        <v>2.99632552911268</v>
      </c>
      <c r="E28" s="3">
        <v>3.3494396745024799</v>
      </c>
      <c r="F28" s="3">
        <v>2.38563066876829</v>
      </c>
      <c r="G28" s="3">
        <v>3.50468088196443</v>
      </c>
      <c r="H28" s="3">
        <v>4.15498306968487</v>
      </c>
      <c r="I28" s="3">
        <v>1.3183906793303</v>
      </c>
      <c r="J28" s="3">
        <v>2.21862376707666</v>
      </c>
      <c r="K28" s="3">
        <v>3.7939005796656202</v>
      </c>
      <c r="L28" s="3">
        <v>3.2513485747616899</v>
      </c>
      <c r="M28" s="3">
        <v>4.3441545277477704</v>
      </c>
      <c r="N28" s="3">
        <v>4.7637373659651798</v>
      </c>
    </row>
    <row r="29" spans="1:14" x14ac:dyDescent="0.35">
      <c r="A29" s="2">
        <v>42599</v>
      </c>
      <c r="B29" s="3">
        <v>4.14996651491533</v>
      </c>
      <c r="C29" s="3">
        <v>4.4558244208882396</v>
      </c>
      <c r="D29" s="3">
        <v>2.9541084183181199</v>
      </c>
      <c r="E29" s="3">
        <v>3.1958717172537598</v>
      </c>
      <c r="F29" s="3">
        <v>2.3985310455084501</v>
      </c>
      <c r="G29" s="3">
        <v>3.46400507079459</v>
      </c>
      <c r="H29" s="3">
        <v>4.0899873779574101</v>
      </c>
      <c r="I29" s="3">
        <v>1.2756381694688399</v>
      </c>
      <c r="J29" s="3">
        <v>2.20572176652498</v>
      </c>
      <c r="K29" s="3">
        <v>3.74840117926778</v>
      </c>
      <c r="L29" s="3">
        <v>3.1821274233171399</v>
      </c>
      <c r="M29" s="3">
        <v>4.2890372118274502</v>
      </c>
      <c r="N29" s="3">
        <v>4.8141624762338902</v>
      </c>
    </row>
    <row r="30" spans="1:14" x14ac:dyDescent="0.35">
      <c r="A30" s="2">
        <v>42629</v>
      </c>
      <c r="B30" s="3">
        <v>4.3240413098721602</v>
      </c>
      <c r="C30" s="3">
        <v>4.6656017471717597</v>
      </c>
      <c r="D30" s="3">
        <v>3.0005249791321398</v>
      </c>
      <c r="E30" s="3">
        <v>3.2653186169392701</v>
      </c>
      <c r="F30" s="3">
        <v>2.4169492770179901</v>
      </c>
      <c r="G30" s="3">
        <v>3.5114593426159102</v>
      </c>
      <c r="H30" s="3">
        <v>4.2303691389317803</v>
      </c>
      <c r="I30" s="3">
        <v>1.2805825751655</v>
      </c>
      <c r="J30" s="3">
        <v>2.25397209924511</v>
      </c>
      <c r="K30" s="3">
        <v>3.8135661315122</v>
      </c>
      <c r="L30" s="3">
        <v>3.23886909330247</v>
      </c>
      <c r="M30" s="3">
        <v>4.2813052189787504</v>
      </c>
      <c r="N30" s="3">
        <v>5.0148205504686096</v>
      </c>
    </row>
    <row r="31" spans="1:14" x14ac:dyDescent="0.35">
      <c r="A31" s="2">
        <v>42660</v>
      </c>
      <c r="B31" s="3">
        <v>4.5097790926687997</v>
      </c>
      <c r="C31" s="3">
        <v>4.5866758651641897</v>
      </c>
      <c r="D31" s="3">
        <v>2.9656573276335099</v>
      </c>
      <c r="E31" s="3">
        <v>3.1666243967848899</v>
      </c>
      <c r="F31" s="3">
        <v>2.3616681232016501</v>
      </c>
      <c r="G31" s="3">
        <v>3.5798841515139301</v>
      </c>
      <c r="H31" s="3">
        <v>4.3195862753060696</v>
      </c>
      <c r="I31" s="3">
        <v>1.2840251001201699</v>
      </c>
      <c r="J31" s="3">
        <v>2.2679841687847402</v>
      </c>
      <c r="K31" s="3">
        <v>3.7551134450296799</v>
      </c>
      <c r="L31" s="3">
        <v>3.1408086097422498</v>
      </c>
      <c r="M31" s="3">
        <v>4.1360162366592403</v>
      </c>
      <c r="N31" s="3">
        <v>4.9447587467535401</v>
      </c>
    </row>
    <row r="32" spans="1:14" x14ac:dyDescent="0.35">
      <c r="A32" s="2">
        <v>42691</v>
      </c>
      <c r="B32" s="3">
        <v>4.6636692032890004</v>
      </c>
      <c r="C32" s="3">
        <v>4.6345999458425702</v>
      </c>
      <c r="D32" s="3">
        <v>2.9158304077268902</v>
      </c>
      <c r="E32" s="3">
        <v>3.1733212965014301</v>
      </c>
      <c r="F32" s="3">
        <v>2.25294312789954</v>
      </c>
      <c r="G32" s="3">
        <v>3.60856358099675</v>
      </c>
      <c r="H32" s="3">
        <v>4.4160943306574998</v>
      </c>
      <c r="I32" s="3">
        <v>1.2890125805678101</v>
      </c>
      <c r="J32" s="3">
        <v>2.2227435846917101</v>
      </c>
      <c r="K32" s="3">
        <v>3.70914165486667</v>
      </c>
      <c r="L32" s="3">
        <v>3.1380671214901001</v>
      </c>
      <c r="M32" s="3">
        <v>4.0558468844825502</v>
      </c>
      <c r="N32" s="3">
        <v>4.8057671712756402</v>
      </c>
    </row>
    <row r="33" spans="1:14" x14ac:dyDescent="0.35">
      <c r="A33" s="2">
        <v>42720</v>
      </c>
      <c r="B33" s="3">
        <v>4.7126412528621202</v>
      </c>
      <c r="C33" s="3">
        <v>4.6088293285485102</v>
      </c>
      <c r="D33" s="3">
        <v>2.8392288205718001</v>
      </c>
      <c r="E33" s="3">
        <v>2.9886997332384699</v>
      </c>
      <c r="F33" s="3">
        <v>2.0748656114284598</v>
      </c>
      <c r="G33" s="3">
        <v>3.5724479746801299</v>
      </c>
      <c r="H33" s="3">
        <v>4.33122110045207</v>
      </c>
      <c r="I33" s="3">
        <v>1.2833098366340201</v>
      </c>
      <c r="J33" s="3">
        <v>2.1662274050803201</v>
      </c>
      <c r="K33" s="3">
        <v>3.5008556419686299</v>
      </c>
      <c r="L33" s="3">
        <v>3.0037962282239898</v>
      </c>
      <c r="M33" s="3">
        <v>3.8318206558959802</v>
      </c>
      <c r="N33" s="3">
        <v>4.3350002750323497</v>
      </c>
    </row>
    <row r="34" spans="1:14" x14ac:dyDescent="0.35">
      <c r="A34" s="2">
        <v>42752</v>
      </c>
      <c r="B34" s="3">
        <v>4.5235163945968102</v>
      </c>
      <c r="C34" s="3">
        <v>4.4924761123669601</v>
      </c>
      <c r="D34" s="3">
        <v>2.8255018448212499</v>
      </c>
      <c r="E34" s="3">
        <v>2.9681322373005701</v>
      </c>
      <c r="F34" s="3">
        <v>2.1527335287306402</v>
      </c>
      <c r="G34" s="3">
        <v>3.5044918125658699</v>
      </c>
      <c r="H34" s="3">
        <v>4.2746317186143203</v>
      </c>
      <c r="I34" s="3">
        <v>1.2584765475827799</v>
      </c>
      <c r="J34" s="3">
        <v>2.1709533884588899</v>
      </c>
      <c r="K34" s="3">
        <v>3.4641569567960699</v>
      </c>
      <c r="L34" s="3">
        <v>2.9841838797366602</v>
      </c>
      <c r="M34" s="3">
        <v>3.9257277334653402</v>
      </c>
      <c r="N34" s="3">
        <v>4.3436576579789898</v>
      </c>
    </row>
    <row r="35" spans="1:14" x14ac:dyDescent="0.35">
      <c r="A35" s="2">
        <v>42783</v>
      </c>
      <c r="B35" s="3">
        <v>4.5504052889121702</v>
      </c>
      <c r="C35" s="3">
        <v>4.4597647114230297</v>
      </c>
      <c r="D35" s="3">
        <v>2.7799235385460999</v>
      </c>
      <c r="E35" s="3">
        <v>2.9369768530488298</v>
      </c>
      <c r="F35" s="3">
        <v>2.14000132546178</v>
      </c>
      <c r="G35" s="3">
        <v>3.3788704363158701</v>
      </c>
      <c r="H35" s="3">
        <v>4.2566232951870502</v>
      </c>
      <c r="I35" s="3">
        <v>1.22228062311592</v>
      </c>
      <c r="J35" s="3">
        <v>2.1133184846347599</v>
      </c>
      <c r="K35" s="3">
        <v>3.49149768559694</v>
      </c>
      <c r="L35" s="3">
        <v>2.8388598865328798</v>
      </c>
      <c r="M35" s="3">
        <v>3.6441262141201398</v>
      </c>
      <c r="N35" s="3">
        <v>4.4389166641506899</v>
      </c>
    </row>
    <row r="36" spans="1:14" x14ac:dyDescent="0.35">
      <c r="A36" s="2">
        <v>42811</v>
      </c>
      <c r="B36" s="3">
        <v>4.5963088148128701</v>
      </c>
      <c r="C36" s="3">
        <v>4.5523279458675798</v>
      </c>
      <c r="D36" s="3">
        <v>2.9168189117046901</v>
      </c>
      <c r="E36" s="3">
        <v>2.9358251026174398</v>
      </c>
      <c r="F36" s="3">
        <v>2.1346583131967898</v>
      </c>
      <c r="G36" s="3">
        <v>3.3236699324429999</v>
      </c>
      <c r="H36" s="3">
        <v>4.2851686566291303</v>
      </c>
      <c r="I36" s="3">
        <v>1.2115395831872899</v>
      </c>
      <c r="J36" s="3">
        <v>2.0988752808481701</v>
      </c>
      <c r="K36" s="3">
        <v>3.4038990585678901</v>
      </c>
      <c r="L36" s="3">
        <v>2.7613475358337598</v>
      </c>
      <c r="M36" s="3">
        <v>3.63830171573328</v>
      </c>
      <c r="N36" s="3">
        <v>3.9863165802137002</v>
      </c>
    </row>
    <row r="37" spans="1:14" x14ac:dyDescent="0.35">
      <c r="A37" s="2">
        <v>42842</v>
      </c>
      <c r="B37" s="3">
        <v>4.5681365743807802</v>
      </c>
      <c r="C37" s="3">
        <v>4.4913208161711804</v>
      </c>
      <c r="D37" s="3">
        <v>2.90618928111236</v>
      </c>
      <c r="E37" s="3">
        <v>2.9452275126634002</v>
      </c>
      <c r="F37" s="3">
        <v>2.2997987522832899</v>
      </c>
      <c r="G37" s="3">
        <v>3.4275707809889799</v>
      </c>
      <c r="H37" s="3">
        <v>4.3347520783278704</v>
      </c>
      <c r="I37" s="3">
        <v>1.2223267435356899</v>
      </c>
      <c r="J37" s="3">
        <v>2.1345531533061801</v>
      </c>
      <c r="K37" s="3">
        <v>3.39019196361274</v>
      </c>
      <c r="L37" s="3">
        <v>2.7743507161542902</v>
      </c>
      <c r="M37" s="3">
        <v>3.6722372479094001</v>
      </c>
      <c r="N37" s="3">
        <v>4.0557292010488801</v>
      </c>
    </row>
    <row r="38" spans="1:14" x14ac:dyDescent="0.35">
      <c r="A38" s="2">
        <v>42872</v>
      </c>
      <c r="B38" s="3">
        <v>4.4760230651209696</v>
      </c>
      <c r="C38" s="3">
        <v>4.6006703326157803</v>
      </c>
      <c r="D38" s="3">
        <v>3.0154046619700798</v>
      </c>
      <c r="E38" s="3">
        <v>2.9157260644307401</v>
      </c>
      <c r="F38" s="3">
        <v>2.1716349499842602</v>
      </c>
      <c r="G38" s="3">
        <v>3.3117152765506201</v>
      </c>
      <c r="H38" s="3">
        <v>4.2146945988066298</v>
      </c>
      <c r="I38" s="3">
        <v>1.19750476967866</v>
      </c>
      <c r="J38" s="3">
        <v>2.1424446207614398</v>
      </c>
      <c r="K38" s="3">
        <v>3.2387815767585399</v>
      </c>
      <c r="L38" s="3">
        <v>2.7424519153276301</v>
      </c>
      <c r="M38" s="3">
        <v>3.3974175251870902</v>
      </c>
      <c r="N38" s="3">
        <v>3.80750691799234</v>
      </c>
    </row>
    <row r="39" spans="1:14" x14ac:dyDescent="0.35">
      <c r="A39" s="2">
        <v>42902</v>
      </c>
      <c r="B39" s="3">
        <v>4.3972567422723996</v>
      </c>
      <c r="C39" s="3">
        <v>4.6055726321059796</v>
      </c>
      <c r="D39" s="3">
        <v>3.03561012837462</v>
      </c>
      <c r="E39" s="3">
        <v>2.9239219170810502</v>
      </c>
      <c r="F39" s="3">
        <v>2.1818093094039299</v>
      </c>
      <c r="G39" s="3">
        <v>3.27060393818847</v>
      </c>
      <c r="H39" s="3">
        <v>4.2805682780138703</v>
      </c>
      <c r="I39" s="3">
        <v>1.1841711194523901</v>
      </c>
      <c r="J39" s="3">
        <v>2.0865770458337698</v>
      </c>
      <c r="K39" s="3">
        <v>3.2865296113915199</v>
      </c>
      <c r="L39" s="3">
        <v>2.74498051575446</v>
      </c>
      <c r="M39" s="3">
        <v>3.5232241665946402</v>
      </c>
      <c r="N39" s="3">
        <v>3.7853080044945</v>
      </c>
    </row>
    <row r="40" spans="1:14" x14ac:dyDescent="0.35">
      <c r="A40" s="2">
        <v>42933</v>
      </c>
      <c r="B40" s="3">
        <v>4.3965207752102202</v>
      </c>
      <c r="C40" s="3">
        <v>4.5697696071563003</v>
      </c>
      <c r="D40" s="3">
        <v>3.0437596788002601</v>
      </c>
      <c r="E40" s="3">
        <v>2.9774334813620298</v>
      </c>
      <c r="F40" s="3">
        <v>2.1584153259792198</v>
      </c>
      <c r="G40" s="3">
        <v>3.2549793948634602</v>
      </c>
      <c r="H40" s="3">
        <v>4.2792742320710202</v>
      </c>
      <c r="I40" s="3">
        <v>1.17848227177847</v>
      </c>
      <c r="J40" s="3">
        <v>2.08936558450349</v>
      </c>
      <c r="K40" s="3">
        <v>3.3265072958877102</v>
      </c>
      <c r="L40" s="3">
        <v>2.7698450703568498</v>
      </c>
      <c r="M40" s="3">
        <v>3.5440686234165701</v>
      </c>
      <c r="N40" s="3">
        <v>3.7459327789608099</v>
      </c>
    </row>
    <row r="41" spans="1:14" x14ac:dyDescent="0.35">
      <c r="A41" s="2">
        <v>42964</v>
      </c>
      <c r="B41" s="3">
        <v>4.3218322115146801</v>
      </c>
      <c r="C41" s="3">
        <v>4.5180381122155797</v>
      </c>
      <c r="D41" s="3">
        <v>3.07525171495922</v>
      </c>
      <c r="E41" s="3">
        <v>3.10646670478287</v>
      </c>
      <c r="F41" s="3">
        <v>2.1934273461208602</v>
      </c>
      <c r="G41" s="3">
        <v>3.3151411745948698</v>
      </c>
      <c r="H41" s="3">
        <v>4.3464368688582002</v>
      </c>
      <c r="I41" s="3">
        <v>1.1966962480174399</v>
      </c>
      <c r="J41" s="3">
        <v>2.1273888437520201</v>
      </c>
      <c r="K41" s="3">
        <v>3.3879510739510601</v>
      </c>
      <c r="L41" s="3">
        <v>2.7869192770994302</v>
      </c>
      <c r="M41" s="3">
        <v>3.7731153210452701</v>
      </c>
      <c r="N41" s="3">
        <v>3.7652071377954401</v>
      </c>
    </row>
    <row r="42" spans="1:14" x14ac:dyDescent="0.35">
      <c r="A42" s="2">
        <v>42993</v>
      </c>
      <c r="B42" s="3">
        <v>4.4462342227407197</v>
      </c>
      <c r="C42" s="3">
        <v>4.6004739394809198</v>
      </c>
      <c r="D42" s="3">
        <v>3.07622990165703</v>
      </c>
      <c r="E42" s="3">
        <v>3.0511124876878601</v>
      </c>
      <c r="F42" s="3">
        <v>2.1961575440066499</v>
      </c>
      <c r="G42" s="3">
        <v>3.2885797156068501</v>
      </c>
      <c r="H42" s="3">
        <v>4.37096960893152</v>
      </c>
      <c r="I42" s="3">
        <v>1.16213959833341</v>
      </c>
      <c r="J42" s="3">
        <v>2.07624463005682</v>
      </c>
      <c r="K42" s="3">
        <v>3.3516008650102198</v>
      </c>
      <c r="L42" s="3">
        <v>2.8228297757359999</v>
      </c>
      <c r="M42" s="3">
        <v>3.70742694961337</v>
      </c>
      <c r="N42" s="3">
        <v>3.7286494614682999</v>
      </c>
    </row>
    <row r="43" spans="1:14" x14ac:dyDescent="0.35">
      <c r="A43" s="2">
        <v>43025</v>
      </c>
      <c r="B43" s="3">
        <v>4.3491662903508903</v>
      </c>
      <c r="C43" s="3">
        <v>4.4861475923960503</v>
      </c>
      <c r="D43" s="3">
        <v>2.94883672327038</v>
      </c>
      <c r="E43" s="3">
        <v>2.9556022104400799</v>
      </c>
      <c r="F43" s="3">
        <v>2.1054017610990101</v>
      </c>
      <c r="G43" s="3">
        <v>3.2483097279928099</v>
      </c>
      <c r="H43" s="3">
        <v>4.2836142307232103</v>
      </c>
      <c r="I43" s="3">
        <v>1.1389670266178</v>
      </c>
      <c r="J43" s="3">
        <v>2.0360531092177401</v>
      </c>
      <c r="K43" s="3">
        <v>3.28847464800167</v>
      </c>
      <c r="L43" s="3">
        <v>2.7505896644104699</v>
      </c>
      <c r="M43" s="3">
        <v>3.57822910936751</v>
      </c>
      <c r="N43" s="3">
        <v>3.8418296832338901</v>
      </c>
    </row>
    <row r="44" spans="1:14" x14ac:dyDescent="0.35">
      <c r="A44" s="2">
        <v>43056</v>
      </c>
      <c r="B44" s="3">
        <v>4.4109494783467298</v>
      </c>
      <c r="C44" s="3">
        <v>4.4920154688001599</v>
      </c>
      <c r="D44" s="3">
        <v>2.9274110237563602</v>
      </c>
      <c r="E44" s="3">
        <v>2.9571967747432901</v>
      </c>
      <c r="F44" s="3">
        <v>2.0895612701289901</v>
      </c>
      <c r="G44" s="3">
        <v>3.2745856005257599</v>
      </c>
      <c r="H44" s="3">
        <v>4.3905943990352103</v>
      </c>
      <c r="I44" s="3">
        <v>1.1103940742871801</v>
      </c>
      <c r="J44" s="3">
        <v>2.0195176532151899</v>
      </c>
      <c r="K44" s="3">
        <v>3.3416682622057898</v>
      </c>
      <c r="L44" s="3">
        <v>2.8439330676821699</v>
      </c>
      <c r="M44" s="3">
        <v>3.6414021338989602</v>
      </c>
      <c r="N44" s="3">
        <v>3.9226686147602301</v>
      </c>
    </row>
    <row r="45" spans="1:14" x14ac:dyDescent="0.35">
      <c r="A45" s="2">
        <v>43084</v>
      </c>
      <c r="B45" s="3">
        <v>4.2252473414550096</v>
      </c>
      <c r="C45" s="3">
        <v>4.5042128641019596</v>
      </c>
      <c r="D45" s="3">
        <v>2.9259944358910301</v>
      </c>
      <c r="E45" s="3">
        <v>2.9062099813289399</v>
      </c>
      <c r="F45" s="3">
        <v>2.0815375110060601</v>
      </c>
      <c r="G45" s="3">
        <v>3.2203093485002499</v>
      </c>
      <c r="H45" s="3">
        <v>4.3239919906757303</v>
      </c>
      <c r="I45" s="3">
        <v>1.0956721423671101</v>
      </c>
      <c r="J45" s="3">
        <v>1.95603580738629</v>
      </c>
      <c r="K45" s="3">
        <v>3.2986022002478399</v>
      </c>
      <c r="L45" s="3">
        <v>2.8239314006398302</v>
      </c>
      <c r="M45" s="3">
        <v>3.7282647045810302</v>
      </c>
      <c r="N45" s="3">
        <v>3.9282334158791099</v>
      </c>
    </row>
    <row r="46" spans="1:14" x14ac:dyDescent="0.35">
      <c r="A46" s="2">
        <v>43117</v>
      </c>
      <c r="B46" s="3">
        <v>4.2630815111323201</v>
      </c>
      <c r="C46" s="3">
        <v>4.5078663295373298</v>
      </c>
      <c r="D46" s="3">
        <v>2.8965630062312302</v>
      </c>
      <c r="E46" s="3">
        <v>2.89932449269679</v>
      </c>
      <c r="F46" s="3">
        <v>1.98099871668057</v>
      </c>
      <c r="G46" s="3">
        <v>3.1883692039090299</v>
      </c>
      <c r="H46" s="3">
        <v>4.1748777941500599</v>
      </c>
      <c r="I46" s="3">
        <v>1.0394808896207299</v>
      </c>
      <c r="J46" s="3">
        <v>1.8827832558344699</v>
      </c>
      <c r="K46" s="3">
        <v>3.2181167126090702</v>
      </c>
      <c r="L46" s="3">
        <v>2.7880733190506901</v>
      </c>
      <c r="M46" s="3">
        <v>3.6612123281169699</v>
      </c>
      <c r="N46" s="3">
        <v>3.7483458271148802</v>
      </c>
    </row>
    <row r="47" spans="1:14" x14ac:dyDescent="0.35">
      <c r="A47" s="2">
        <v>43147</v>
      </c>
      <c r="B47" s="3">
        <v>4.3958586661376096</v>
      </c>
      <c r="C47" s="3">
        <v>4.6455670556995701</v>
      </c>
      <c r="D47" s="3">
        <v>3.1120355843575802</v>
      </c>
      <c r="E47" s="3">
        <v>3.1143043065409799</v>
      </c>
      <c r="F47" s="3">
        <v>2.1987146831294302</v>
      </c>
      <c r="G47" s="3">
        <v>3.3272749018032202</v>
      </c>
      <c r="H47" s="3">
        <v>4.38697091576425</v>
      </c>
      <c r="I47" s="3">
        <v>1.07551022921951</v>
      </c>
      <c r="J47" s="3">
        <v>1.9639033488611199</v>
      </c>
      <c r="K47" s="3">
        <v>3.3762409839032599</v>
      </c>
      <c r="L47" s="3">
        <v>2.9422214687307302</v>
      </c>
      <c r="M47" s="3">
        <v>3.8880906545787801</v>
      </c>
      <c r="N47" s="3">
        <v>3.9250307391829802</v>
      </c>
    </row>
    <row r="48" spans="1:14" x14ac:dyDescent="0.35">
      <c r="A48" s="2">
        <v>43175</v>
      </c>
      <c r="B48" s="3">
        <v>4.2236547874025101</v>
      </c>
      <c r="C48" s="3">
        <v>4.6797804831310801</v>
      </c>
      <c r="D48" s="3">
        <v>3.1056301166168598</v>
      </c>
      <c r="E48" s="3">
        <v>3.1606718054261198</v>
      </c>
      <c r="F48" s="3">
        <v>2.23127629619239</v>
      </c>
      <c r="G48" s="3">
        <v>3.4427233308913099</v>
      </c>
      <c r="H48" s="3">
        <v>4.5079576677181503</v>
      </c>
      <c r="I48" s="3">
        <v>1.04764985965845</v>
      </c>
      <c r="J48" s="3">
        <v>1.9697714850046899</v>
      </c>
      <c r="K48" s="3">
        <v>3.3845888950857601</v>
      </c>
      <c r="L48" s="3">
        <v>2.9177647552149502</v>
      </c>
      <c r="M48" s="3">
        <v>3.88744848062447</v>
      </c>
      <c r="N48" s="3">
        <v>4.0138424460728803</v>
      </c>
    </row>
    <row r="49" spans="1:14" x14ac:dyDescent="0.35">
      <c r="A49" s="2">
        <v>43207</v>
      </c>
      <c r="B49" s="3">
        <v>4.3050241107142</v>
      </c>
      <c r="C49" s="3">
        <v>4.7781576826663397</v>
      </c>
      <c r="D49" s="3">
        <v>3.2040776894049299</v>
      </c>
      <c r="E49" s="3">
        <v>3.1512989904362501</v>
      </c>
      <c r="F49" s="3">
        <v>2.2573806697288301</v>
      </c>
      <c r="G49" s="3">
        <v>3.4304140419651299</v>
      </c>
      <c r="H49" s="3">
        <v>4.4392374248308899</v>
      </c>
      <c r="I49" s="3">
        <v>1.08866871735558</v>
      </c>
      <c r="J49" s="3">
        <v>2.0191336343391999</v>
      </c>
      <c r="K49" s="3">
        <v>3.36411605531507</v>
      </c>
      <c r="L49" s="3">
        <v>2.9128102744437001</v>
      </c>
      <c r="M49" s="3">
        <v>4.07097734626731</v>
      </c>
      <c r="N49" s="3">
        <v>3.9313228655539501</v>
      </c>
    </row>
    <row r="50" spans="1:14" x14ac:dyDescent="0.35">
      <c r="A50" s="2">
        <v>43237</v>
      </c>
      <c r="B50" s="3">
        <v>4.2308391973598196</v>
      </c>
      <c r="C50" s="3">
        <v>4.6279981950487601</v>
      </c>
      <c r="D50" s="3">
        <v>3.05037705380593</v>
      </c>
      <c r="E50" s="3">
        <v>3.0740020849589902</v>
      </c>
      <c r="F50" s="3">
        <v>2.18261228639577</v>
      </c>
      <c r="G50" s="3">
        <v>3.42810857842752</v>
      </c>
      <c r="H50" s="3">
        <v>4.2358393072313403</v>
      </c>
      <c r="I50" s="3">
        <v>1.0920146072365</v>
      </c>
      <c r="J50" s="3">
        <v>2.0296306307424898</v>
      </c>
      <c r="K50" s="3">
        <v>3.2580544065107002</v>
      </c>
      <c r="L50" s="3">
        <v>2.8775479194826801</v>
      </c>
      <c r="M50" s="3">
        <v>3.9480067097488099</v>
      </c>
      <c r="N50" s="3">
        <v>3.97223805528952</v>
      </c>
    </row>
    <row r="51" spans="1:14" x14ac:dyDescent="0.35">
      <c r="A51" s="2">
        <v>43266</v>
      </c>
      <c r="B51" s="3">
        <v>4.0019506501275002</v>
      </c>
      <c r="C51" s="3">
        <v>4.7290583864009204</v>
      </c>
      <c r="D51" s="3">
        <v>3.0534710964286802</v>
      </c>
      <c r="E51" s="3">
        <v>3.0940423450193801</v>
      </c>
      <c r="F51" s="3">
        <v>2.2263660848950302</v>
      </c>
      <c r="G51" s="3">
        <v>3.5447672856364201</v>
      </c>
      <c r="H51" s="3">
        <v>4.3816636062452803</v>
      </c>
      <c r="I51" s="3">
        <v>1.0450206961729001</v>
      </c>
      <c r="J51" s="3">
        <v>1.99631000648542</v>
      </c>
      <c r="K51" s="3">
        <v>3.3473261666815501</v>
      </c>
      <c r="L51" s="3">
        <v>2.8603791406034502</v>
      </c>
      <c r="M51" s="3">
        <v>4.1359726394186698</v>
      </c>
      <c r="N51" s="3">
        <v>4.3612490413226102</v>
      </c>
    </row>
    <row r="52" spans="1:14" x14ac:dyDescent="0.35">
      <c r="A52" s="2">
        <v>43298</v>
      </c>
      <c r="B52" s="3">
        <v>4.0595479554411504</v>
      </c>
      <c r="C52" s="3">
        <v>4.6141536170115804</v>
      </c>
      <c r="D52" s="3">
        <v>3.0400691922351202</v>
      </c>
      <c r="E52" s="3">
        <v>3.1879151466192002</v>
      </c>
      <c r="F52" s="3">
        <v>2.2817636767017899</v>
      </c>
      <c r="G52" s="3">
        <v>3.4794264497168399</v>
      </c>
      <c r="H52" s="3">
        <v>4.4281170708230402</v>
      </c>
      <c r="I52" s="3">
        <v>1.02913263128134</v>
      </c>
      <c r="J52" s="3">
        <v>2.00100125367302</v>
      </c>
      <c r="K52" s="3">
        <v>3.4003938391339101</v>
      </c>
      <c r="L52" s="3">
        <v>2.9346029614628399</v>
      </c>
      <c r="M52" s="3">
        <v>4.1692323423261604</v>
      </c>
      <c r="N52" s="3">
        <v>4.45725146927946</v>
      </c>
    </row>
    <row r="53" spans="1:14" x14ac:dyDescent="0.35">
      <c r="A53" s="2">
        <v>43329</v>
      </c>
      <c r="B53" s="3">
        <v>4.02999009094997</v>
      </c>
      <c r="C53" s="3">
        <v>4.5546858528368102</v>
      </c>
      <c r="D53" s="3">
        <v>3.0875653910289</v>
      </c>
      <c r="E53" s="3">
        <v>3.30404631047552</v>
      </c>
      <c r="F53" s="3">
        <v>2.3571363167612098</v>
      </c>
      <c r="G53" s="3">
        <v>3.4443624173770702</v>
      </c>
      <c r="H53" s="3">
        <v>4.5274438705012701</v>
      </c>
      <c r="I53" s="3">
        <v>1.08343174443854</v>
      </c>
      <c r="J53" s="3">
        <v>1.98834390657188</v>
      </c>
      <c r="K53" s="3">
        <v>3.4908319109852202</v>
      </c>
      <c r="L53" s="3">
        <v>2.9565734826592598</v>
      </c>
      <c r="M53" s="3">
        <v>4.0951742996453397</v>
      </c>
      <c r="N53" s="3">
        <v>4.7053372359055201</v>
      </c>
    </row>
    <row r="54" spans="1:14" x14ac:dyDescent="0.35">
      <c r="A54" s="2">
        <v>43360</v>
      </c>
      <c r="B54" s="3">
        <v>3.96879385852161</v>
      </c>
      <c r="C54" s="3">
        <v>4.7564475724464099</v>
      </c>
      <c r="D54" s="3">
        <v>3.1706388897152098</v>
      </c>
      <c r="E54" s="3">
        <v>3.3368580545965201</v>
      </c>
      <c r="F54" s="3">
        <v>2.3238431642671999</v>
      </c>
      <c r="G54" s="3">
        <v>3.4242728914060501</v>
      </c>
      <c r="H54" s="3">
        <v>4.62555731340181</v>
      </c>
      <c r="I54" s="3">
        <v>1.0867052798472401</v>
      </c>
      <c r="J54" s="3">
        <v>1.9696603480496</v>
      </c>
      <c r="K54" s="3">
        <v>3.4958355250632902</v>
      </c>
      <c r="L54" s="3">
        <v>3.0384607401108599</v>
      </c>
      <c r="M54" s="3">
        <v>4.0917436061041101</v>
      </c>
      <c r="N54" s="3">
        <v>4.6001815709393599</v>
      </c>
    </row>
    <row r="55" spans="1:14" x14ac:dyDescent="0.35">
      <c r="A55" s="2">
        <v>43390</v>
      </c>
      <c r="B55" s="3">
        <v>4.2009501949184997</v>
      </c>
      <c r="C55" s="3">
        <v>4.9757688131452804</v>
      </c>
      <c r="D55" s="3">
        <v>3.3139410231924802</v>
      </c>
      <c r="E55" s="3">
        <v>3.4827021676114698</v>
      </c>
      <c r="F55" s="3">
        <v>2.3555185362408002</v>
      </c>
      <c r="G55" s="3">
        <v>3.5952781346062399</v>
      </c>
      <c r="H55" s="3">
        <v>4.8173627495307496</v>
      </c>
      <c r="I55" s="3">
        <v>1.11791824942744</v>
      </c>
      <c r="J55" s="3">
        <v>2.0382795538111602</v>
      </c>
      <c r="K55" s="3">
        <v>3.66680581854378</v>
      </c>
      <c r="L55" s="3">
        <v>3.1432528359535699</v>
      </c>
      <c r="M55" s="3">
        <v>4.2898352136468096</v>
      </c>
      <c r="N55" s="3">
        <v>5.0175100579978</v>
      </c>
    </row>
    <row r="56" spans="1:14" x14ac:dyDescent="0.35">
      <c r="A56" s="2">
        <v>43420</v>
      </c>
      <c r="B56" s="3">
        <v>4.2358056780564501</v>
      </c>
      <c r="C56" s="3">
        <v>5.2237283516148896</v>
      </c>
      <c r="D56" s="3">
        <v>3.3939544835930602</v>
      </c>
      <c r="E56" s="3">
        <v>3.6365224523809898</v>
      </c>
      <c r="F56" s="3">
        <v>2.5028888889397298</v>
      </c>
      <c r="G56" s="3">
        <v>3.5657887256342402</v>
      </c>
      <c r="H56" s="3">
        <v>4.9284017371767099</v>
      </c>
      <c r="I56" s="3">
        <v>1.1946007980068301</v>
      </c>
      <c r="J56" s="3">
        <v>2.09826917852094</v>
      </c>
      <c r="K56" s="3">
        <v>3.7664009755233701</v>
      </c>
      <c r="L56" s="3">
        <v>3.2051702115171499</v>
      </c>
      <c r="M56" s="3">
        <v>4.4699384013506496</v>
      </c>
      <c r="N56" s="3">
        <v>5.1721903534940701</v>
      </c>
    </row>
    <row r="57" spans="1:14" x14ac:dyDescent="0.35">
      <c r="A57" s="2">
        <v>43451</v>
      </c>
      <c r="B57" s="3">
        <v>4.2059733544373898</v>
      </c>
      <c r="C57" s="3">
        <v>5.3579584008080303</v>
      </c>
      <c r="D57" s="3">
        <v>3.5830928033635798</v>
      </c>
      <c r="E57" s="3">
        <v>3.8774738419001</v>
      </c>
      <c r="F57" s="3">
        <v>2.55748257136695</v>
      </c>
      <c r="G57" s="3">
        <v>3.6552211417020901</v>
      </c>
      <c r="H57" s="3">
        <v>5.1821063785660897</v>
      </c>
      <c r="I57" s="3">
        <v>1.2987287859767001</v>
      </c>
      <c r="J57" s="3">
        <v>2.2738432908505901</v>
      </c>
      <c r="K57" s="3">
        <v>3.94631034605495</v>
      </c>
      <c r="L57" s="3">
        <v>3.39598605501787</v>
      </c>
      <c r="M57" s="3">
        <v>4.6198294154887201</v>
      </c>
      <c r="N57" s="3">
        <v>5.2985800792951601</v>
      </c>
    </row>
    <row r="58" spans="1:14" x14ac:dyDescent="0.35">
      <c r="A58" s="2">
        <v>43482</v>
      </c>
      <c r="B58" s="3">
        <v>4.0421815035468702</v>
      </c>
      <c r="C58" s="3">
        <v>5.1154501011139004</v>
      </c>
      <c r="D58" s="3">
        <v>3.3881856188406099</v>
      </c>
      <c r="E58" s="3">
        <v>3.8078894224418001</v>
      </c>
      <c r="F58" s="3">
        <v>2.6717224285985601</v>
      </c>
      <c r="G58" s="3">
        <v>3.5052489305739001</v>
      </c>
      <c r="H58" s="3">
        <v>5.2177632172322097</v>
      </c>
      <c r="I58" s="3">
        <v>1.2483256322659999</v>
      </c>
      <c r="J58" s="3">
        <v>2.2095519758880799</v>
      </c>
      <c r="K58" s="3">
        <v>3.9433904803236102</v>
      </c>
      <c r="L58" s="3">
        <v>3.38395026826803</v>
      </c>
      <c r="M58" s="3">
        <v>4.4651628199393301</v>
      </c>
      <c r="N58" s="3">
        <v>5.1200233947318203</v>
      </c>
    </row>
    <row r="59" spans="1:14" x14ac:dyDescent="0.35">
      <c r="A59" s="2">
        <v>43511</v>
      </c>
      <c r="B59" s="3">
        <v>4.0285821611894903</v>
      </c>
      <c r="C59" s="3">
        <v>4.9593625054295796</v>
      </c>
      <c r="D59" s="3">
        <v>3.30233583513369</v>
      </c>
      <c r="E59" s="3">
        <v>3.6714910407130499</v>
      </c>
      <c r="F59" s="3">
        <v>2.61644662750196</v>
      </c>
      <c r="G59" s="3">
        <v>3.3766955986703699</v>
      </c>
      <c r="H59" s="3">
        <v>4.9429895069669296</v>
      </c>
      <c r="I59" s="3">
        <v>1.1959758197735499</v>
      </c>
      <c r="J59" s="3">
        <v>2.1081699541846199</v>
      </c>
      <c r="K59" s="3">
        <v>3.7069251535267398</v>
      </c>
      <c r="L59" s="3">
        <v>3.1191075135589199</v>
      </c>
      <c r="M59" s="3">
        <v>4.1224156400405603</v>
      </c>
      <c r="N59" s="3">
        <v>4.9193612340890001</v>
      </c>
    </row>
    <row r="60" spans="1:14" x14ac:dyDescent="0.35">
      <c r="A60" s="2">
        <v>43539</v>
      </c>
      <c r="B60" s="3">
        <v>3.8884385040698102</v>
      </c>
      <c r="C60" s="3">
        <v>4.9617894119778896</v>
      </c>
      <c r="D60" s="3">
        <v>3.2621944306028001</v>
      </c>
      <c r="E60" s="3">
        <v>3.56416045099729</v>
      </c>
      <c r="F60" s="3">
        <v>2.5726023503474198</v>
      </c>
      <c r="G60" s="3">
        <v>3.3162982596645199</v>
      </c>
      <c r="H60" s="3">
        <v>4.8977451611838303</v>
      </c>
      <c r="I60" s="3">
        <v>1.1486267073690299</v>
      </c>
      <c r="J60" s="3">
        <v>2.08796241289004</v>
      </c>
      <c r="K60" s="3">
        <v>3.5489026963722199</v>
      </c>
      <c r="L60" s="3">
        <v>3.0336387253877799</v>
      </c>
      <c r="M60" s="3">
        <v>4.0998754700442204</v>
      </c>
      <c r="N60" s="3">
        <v>4.7364193435028898</v>
      </c>
    </row>
    <row r="61" spans="1:14" x14ac:dyDescent="0.35">
      <c r="A61" s="2">
        <v>43572</v>
      </c>
      <c r="B61" s="3">
        <v>3.6937082296188501</v>
      </c>
      <c r="C61" s="3">
        <v>4.9087036742446299</v>
      </c>
      <c r="D61" s="3">
        <v>3.1769293046836302</v>
      </c>
      <c r="E61" s="3">
        <v>3.4319184988232099</v>
      </c>
      <c r="F61" s="3">
        <v>2.5459444975099501</v>
      </c>
      <c r="G61" s="3">
        <v>3.2787939610536001</v>
      </c>
      <c r="H61" s="3">
        <v>4.8061631972173497</v>
      </c>
      <c r="I61" s="3">
        <v>1.09828644618101</v>
      </c>
      <c r="J61" s="3">
        <v>2.0508836463092801</v>
      </c>
      <c r="K61" s="3">
        <v>3.47846080309745</v>
      </c>
      <c r="L61" s="3">
        <v>2.9788859205360598</v>
      </c>
      <c r="M61" s="3">
        <v>3.98359942561753</v>
      </c>
      <c r="N61" s="3">
        <v>4.60630466281944</v>
      </c>
    </row>
    <row r="62" spans="1:14" x14ac:dyDescent="0.35">
      <c r="A62" s="2">
        <v>43602</v>
      </c>
      <c r="B62" s="3">
        <v>3.66575340239948</v>
      </c>
      <c r="C62" s="3">
        <v>4.8554133020960402</v>
      </c>
      <c r="D62" s="3">
        <v>3.2969120635823099</v>
      </c>
      <c r="E62" s="3">
        <v>3.5050223889262502</v>
      </c>
      <c r="F62" s="3">
        <v>2.66662261397865</v>
      </c>
      <c r="G62" s="3">
        <v>3.2914434844968001</v>
      </c>
      <c r="H62" s="3">
        <v>4.93330965937235</v>
      </c>
      <c r="I62" s="3">
        <v>1.13461876556907</v>
      </c>
      <c r="J62" s="3">
        <v>2.0908482574389899</v>
      </c>
      <c r="K62" s="3">
        <v>3.5673970690891901</v>
      </c>
      <c r="L62" s="3">
        <v>3.0295237356265901</v>
      </c>
      <c r="M62" s="3">
        <v>4.19112178304092</v>
      </c>
      <c r="N62" s="3">
        <v>4.8213518921036798</v>
      </c>
    </row>
    <row r="63" spans="1:14" x14ac:dyDescent="0.35">
      <c r="A63" s="2">
        <v>43633</v>
      </c>
      <c r="B63" s="3">
        <v>3.6677123292479101</v>
      </c>
      <c r="C63" s="3">
        <v>4.6978804337926698</v>
      </c>
      <c r="D63" s="3">
        <v>3.32410948875359</v>
      </c>
      <c r="E63" s="3">
        <v>3.5827785675456401</v>
      </c>
      <c r="F63" s="3">
        <v>2.70877031246855</v>
      </c>
      <c r="G63" s="3">
        <v>3.2515671688791499</v>
      </c>
      <c r="H63" s="3">
        <v>4.8457769944970597</v>
      </c>
      <c r="I63" s="3">
        <v>1.1386062837211901</v>
      </c>
      <c r="J63" s="3">
        <v>2.0823917066129001</v>
      </c>
      <c r="K63" s="3">
        <v>3.6132431775184202</v>
      </c>
      <c r="L63" s="3">
        <v>3.0807244494482</v>
      </c>
      <c r="M63" s="3">
        <v>4.2461162427816301</v>
      </c>
      <c r="N63" s="3">
        <v>4.9640451866070601</v>
      </c>
    </row>
    <row r="64" spans="1:14" x14ac:dyDescent="0.35">
      <c r="A64" s="2">
        <v>43663</v>
      </c>
      <c r="B64" s="3">
        <v>3.4622827263778699</v>
      </c>
      <c r="C64" s="3">
        <v>4.61643224835393</v>
      </c>
      <c r="D64" s="3">
        <v>3.3167191509676401</v>
      </c>
      <c r="E64" s="3">
        <v>3.4530164844834301</v>
      </c>
      <c r="F64" s="3">
        <v>2.6618425505782399</v>
      </c>
      <c r="G64" s="3">
        <v>3.2141194190826701</v>
      </c>
      <c r="H64" s="3">
        <v>4.7918516598015604</v>
      </c>
      <c r="I64" s="3">
        <v>1.0873847535441501</v>
      </c>
      <c r="J64" s="3">
        <v>2.02603877120736</v>
      </c>
      <c r="K64" s="3">
        <v>3.5202493865673099</v>
      </c>
      <c r="L64" s="3">
        <v>2.94632117412218</v>
      </c>
      <c r="M64" s="3">
        <v>4.1213293460603104</v>
      </c>
      <c r="N64" s="3">
        <v>4.6676823189685104</v>
      </c>
    </row>
    <row r="65" spans="1:14" x14ac:dyDescent="0.35">
      <c r="A65" s="2">
        <v>43693</v>
      </c>
      <c r="B65" s="3">
        <v>3.4806186740490301</v>
      </c>
      <c r="C65" s="3">
        <v>4.7719494142005097</v>
      </c>
      <c r="D65" s="3">
        <v>3.4360843370924101</v>
      </c>
      <c r="E65" s="3">
        <v>3.6392544086428802</v>
      </c>
      <c r="F65" s="3">
        <v>2.8038415341546301</v>
      </c>
      <c r="G65" s="3">
        <v>3.29323438479681</v>
      </c>
      <c r="H65" s="3">
        <v>5.1542738645309996</v>
      </c>
      <c r="I65" s="3">
        <v>1.1285316484043699</v>
      </c>
      <c r="J65" s="3">
        <v>2.10223589074752</v>
      </c>
      <c r="K65" s="3">
        <v>3.7148551393360298</v>
      </c>
      <c r="L65" s="3">
        <v>3.0256457133094501</v>
      </c>
      <c r="M65" s="3">
        <v>4.3252603492905202</v>
      </c>
      <c r="N65" s="3">
        <v>5.1023895557268002</v>
      </c>
    </row>
    <row r="66" spans="1:14" x14ac:dyDescent="0.35">
      <c r="A66" s="2">
        <v>43725</v>
      </c>
      <c r="B66" s="3">
        <v>3.3494674746941802</v>
      </c>
      <c r="C66" s="3">
        <v>4.4408441693240501</v>
      </c>
      <c r="D66" s="3">
        <v>3.2929357231840202</v>
      </c>
      <c r="E66" s="3">
        <v>3.4046508450413699</v>
      </c>
      <c r="F66" s="3">
        <v>2.5737823725474902</v>
      </c>
      <c r="G66" s="3">
        <v>3.2141855109553301</v>
      </c>
      <c r="H66" s="3">
        <v>4.9290796210780901</v>
      </c>
      <c r="I66" s="3">
        <v>1.09359738945132</v>
      </c>
      <c r="J66" s="3">
        <v>2.0320614763534501</v>
      </c>
      <c r="K66" s="3">
        <v>3.5180750627619002</v>
      </c>
      <c r="L66" s="3">
        <v>2.7515608259795701</v>
      </c>
      <c r="M66" s="3">
        <v>3.90870610665102</v>
      </c>
      <c r="N66" s="3">
        <v>4.7893306136091098</v>
      </c>
    </row>
    <row r="67" spans="1:14" x14ac:dyDescent="0.35">
      <c r="A67" s="2">
        <v>43755</v>
      </c>
      <c r="B67" s="3">
        <v>3.2730356182702098</v>
      </c>
      <c r="C67" s="3">
        <v>4.4204596889983598</v>
      </c>
      <c r="D67" s="3">
        <v>3.3699418381498201</v>
      </c>
      <c r="E67" s="3">
        <v>3.33132374218044</v>
      </c>
      <c r="F67" s="3">
        <v>2.5683932860532899</v>
      </c>
      <c r="G67" s="3">
        <v>3.2107006750868399</v>
      </c>
      <c r="H67" s="3">
        <v>4.9187227776059803</v>
      </c>
      <c r="I67" s="3">
        <v>1.0932510692403099</v>
      </c>
      <c r="J67" s="3">
        <v>2.0461263784163899</v>
      </c>
      <c r="K67" s="3">
        <v>3.4955878008455299</v>
      </c>
      <c r="L67" s="3">
        <v>2.7382881756692998</v>
      </c>
      <c r="M67" s="3">
        <v>3.8284657732538299</v>
      </c>
      <c r="N67" s="3">
        <v>4.6918697394711604</v>
      </c>
    </row>
    <row r="68" spans="1:14" x14ac:dyDescent="0.35">
      <c r="A68" s="2">
        <v>43784</v>
      </c>
      <c r="B68" s="3">
        <v>3.3529102884806599</v>
      </c>
      <c r="C68" s="3">
        <v>4.3104354010202197</v>
      </c>
      <c r="D68" s="3">
        <v>3.2412171729969201</v>
      </c>
      <c r="E68" s="3">
        <v>3.1118416522822701</v>
      </c>
      <c r="F68" s="3">
        <v>2.4743940237684598</v>
      </c>
      <c r="G68" s="3">
        <v>3.1300147701254102</v>
      </c>
      <c r="H68" s="3">
        <v>4.8177414485914802</v>
      </c>
      <c r="I68" s="3">
        <v>1.05782630453369</v>
      </c>
      <c r="J68" s="3">
        <v>1.98048412643462</v>
      </c>
      <c r="K68" s="3">
        <v>3.3555780195744598</v>
      </c>
      <c r="L68" s="3">
        <v>2.6443914064466698</v>
      </c>
      <c r="M68" s="3">
        <v>3.6518656136356</v>
      </c>
      <c r="N68" s="3">
        <v>4.5059604130283502</v>
      </c>
    </row>
    <row r="69" spans="1:14" x14ac:dyDescent="0.35">
      <c r="A69" s="2">
        <v>43816</v>
      </c>
      <c r="B69" s="3">
        <v>3.2332562129971998</v>
      </c>
      <c r="C69" s="3">
        <v>4.2302570150774104</v>
      </c>
      <c r="D69" s="3">
        <v>3.2481479394798001</v>
      </c>
      <c r="E69" s="3">
        <v>3.0812462163553498</v>
      </c>
      <c r="F69" s="3">
        <v>2.4049563702353698</v>
      </c>
      <c r="G69" s="3">
        <v>3.07084855465322</v>
      </c>
      <c r="H69" s="3">
        <v>4.5981852407851296</v>
      </c>
      <c r="I69" s="3">
        <v>1.05982937870548</v>
      </c>
      <c r="J69" s="3">
        <v>1.95421722669715</v>
      </c>
      <c r="K69" s="3">
        <v>3.3536901945801598</v>
      </c>
      <c r="L69" s="3">
        <v>2.59906008356241</v>
      </c>
      <c r="M69" s="3">
        <v>3.5622731257161102</v>
      </c>
      <c r="N69" s="3">
        <v>4.4694610763558602</v>
      </c>
    </row>
    <row r="70" spans="1:14" x14ac:dyDescent="0.35">
      <c r="A70" s="2">
        <v>43847</v>
      </c>
      <c r="B70" s="3">
        <v>3.0882819784322302</v>
      </c>
      <c r="C70" s="3">
        <v>4.1227299844786502</v>
      </c>
      <c r="D70" s="3">
        <v>3.2113730137079899</v>
      </c>
      <c r="E70" s="3">
        <v>3.0382588387476002</v>
      </c>
      <c r="F70" s="3">
        <v>2.4229258757841499</v>
      </c>
      <c r="G70" s="3">
        <v>2.9842273900563998</v>
      </c>
      <c r="H70" s="3">
        <v>4.5267949364873701</v>
      </c>
      <c r="I70" s="3">
        <v>1.0011926549438099</v>
      </c>
      <c r="J70" s="3">
        <v>1.8847425225352501</v>
      </c>
      <c r="K70" s="3">
        <v>3.2871063743425601</v>
      </c>
      <c r="L70" s="3">
        <v>2.5745146130840499</v>
      </c>
      <c r="M70" s="3">
        <v>3.4965738086417399</v>
      </c>
      <c r="N70" s="3">
        <v>4.4043477400786797</v>
      </c>
    </row>
    <row r="71" spans="1:14" x14ac:dyDescent="0.35">
      <c r="A71" s="2">
        <v>43875</v>
      </c>
      <c r="B71" s="3">
        <v>3.0651841095033898</v>
      </c>
      <c r="C71" s="3">
        <v>4.0732789552817303</v>
      </c>
      <c r="D71" s="3">
        <v>3.2083159761728002</v>
      </c>
      <c r="E71" s="3">
        <v>2.9990887449068602</v>
      </c>
      <c r="F71" s="3">
        <v>2.4680310092642199</v>
      </c>
      <c r="G71" s="3">
        <v>2.9321208963880201</v>
      </c>
      <c r="H71" s="3">
        <v>4.7010923698914304</v>
      </c>
      <c r="I71" s="3">
        <v>0.95846533560810498</v>
      </c>
      <c r="J71" s="3">
        <v>1.8688088037589199</v>
      </c>
      <c r="K71" s="3">
        <v>3.2817316501903502</v>
      </c>
      <c r="L71" s="3">
        <v>2.4613390062610598</v>
      </c>
      <c r="M71" s="3">
        <v>3.4074436581432099</v>
      </c>
      <c r="N71" s="3">
        <v>4.44293913230754</v>
      </c>
    </row>
    <row r="72" spans="1:14" x14ac:dyDescent="0.35">
      <c r="A72" s="2">
        <v>43907</v>
      </c>
      <c r="B72" s="3">
        <v>3.7971054422917301</v>
      </c>
      <c r="C72" s="3">
        <v>5.4365701826310602</v>
      </c>
      <c r="D72" s="3">
        <v>4.5805559292554197</v>
      </c>
      <c r="E72" s="3">
        <v>4.5897556992069601</v>
      </c>
      <c r="F72" s="3">
        <v>3.2970041890916502</v>
      </c>
      <c r="G72" s="3">
        <v>3.8610795022025699</v>
      </c>
      <c r="H72" s="3">
        <v>6.8094419185591502</v>
      </c>
      <c r="I72" s="3">
        <v>1.2423912485631801</v>
      </c>
      <c r="J72" s="3">
        <v>2.5027399565474502</v>
      </c>
      <c r="K72" s="3">
        <v>4.9441153875112098</v>
      </c>
      <c r="L72" s="3">
        <v>3.6579854720354201</v>
      </c>
      <c r="M72" s="3">
        <v>4.6484758914233701</v>
      </c>
      <c r="N72" s="3">
        <v>7.0330276810867796</v>
      </c>
    </row>
    <row r="73" spans="1:14" x14ac:dyDescent="0.35">
      <c r="A73" s="2">
        <v>43938</v>
      </c>
      <c r="B73" s="3">
        <v>2.6967849350156601</v>
      </c>
      <c r="C73" s="3">
        <v>4.2906887378623999</v>
      </c>
      <c r="D73" s="3">
        <v>4.0173274114853301</v>
      </c>
      <c r="E73" s="3">
        <v>3.49349703415107</v>
      </c>
      <c r="F73" s="3">
        <v>2.84660463131857</v>
      </c>
      <c r="G73" s="3">
        <v>3.33388939220045</v>
      </c>
      <c r="H73" s="3">
        <v>5.6901027777493303</v>
      </c>
      <c r="I73" s="3">
        <v>1.04959925817893</v>
      </c>
      <c r="J73" s="3">
        <v>2.14012061352184</v>
      </c>
      <c r="K73" s="3">
        <v>3.7878367330729099</v>
      </c>
      <c r="L73" s="3">
        <v>2.8504699437598302</v>
      </c>
      <c r="M73" s="3">
        <v>3.4471789549535301</v>
      </c>
      <c r="N73" s="3">
        <v>5.8304666356581603</v>
      </c>
    </row>
    <row r="74" spans="1:14" x14ac:dyDescent="0.35">
      <c r="A74" s="2">
        <v>43966</v>
      </c>
      <c r="B74" s="3">
        <v>2.60958308729702</v>
      </c>
      <c r="C74" s="3">
        <v>3.8323318074517201</v>
      </c>
      <c r="D74" s="3">
        <v>3.80079386087974</v>
      </c>
      <c r="E74" s="3">
        <v>3.4467916841550599</v>
      </c>
      <c r="F74" s="3">
        <v>2.8117220227234201</v>
      </c>
      <c r="G74" s="3">
        <v>3.30471914341874</v>
      </c>
      <c r="H74" s="3">
        <v>4.5922763015038104</v>
      </c>
      <c r="I74" s="3">
        <v>0.99800243782467302</v>
      </c>
      <c r="J74" s="3">
        <v>2.1169403139264702</v>
      </c>
      <c r="K74" s="3">
        <v>3.6876761294101499</v>
      </c>
      <c r="L74" s="3">
        <v>2.6912307185603699</v>
      </c>
      <c r="M74" s="3">
        <v>3.4418118200651402</v>
      </c>
      <c r="N74" s="3">
        <v>5.1704618955795896</v>
      </c>
    </row>
    <row r="75" spans="1:14" x14ac:dyDescent="0.35">
      <c r="A75" s="2">
        <v>43999</v>
      </c>
      <c r="B75" s="3">
        <v>2.4725764184477201</v>
      </c>
      <c r="C75" s="3">
        <v>3.38976402509957</v>
      </c>
      <c r="D75" s="3">
        <v>3.5624395471793999</v>
      </c>
      <c r="E75" s="3">
        <v>2.8832980771235399</v>
      </c>
      <c r="F75" s="3">
        <v>2.4719895779304899</v>
      </c>
      <c r="G75" s="3">
        <v>3.05605819740504</v>
      </c>
      <c r="H75" s="3">
        <v>4.0578321363146701</v>
      </c>
      <c r="I75" s="3">
        <v>0.91058689723055197</v>
      </c>
      <c r="J75" s="3">
        <v>1.93495124874811</v>
      </c>
      <c r="K75" s="3">
        <v>3.12322187351436</v>
      </c>
      <c r="L75" s="3">
        <v>2.3718085124394799</v>
      </c>
      <c r="M75" s="3">
        <v>3.0097796936751799</v>
      </c>
      <c r="N75" s="3">
        <v>4.2663589152868902</v>
      </c>
    </row>
    <row r="76" spans="1:14" x14ac:dyDescent="0.35">
      <c r="A76" s="2">
        <v>44029</v>
      </c>
      <c r="B76" s="3">
        <v>2.4430174207278101</v>
      </c>
      <c r="C76" s="3">
        <v>3.4183708125836798</v>
      </c>
      <c r="D76" s="3">
        <v>3.4239207833980498</v>
      </c>
      <c r="E76" s="3">
        <v>2.8068175589381399</v>
      </c>
      <c r="F76" s="3">
        <v>2.4830021268421101</v>
      </c>
      <c r="G76" s="3">
        <v>2.9938220006510998</v>
      </c>
      <c r="H76" s="3">
        <v>3.97825903614762</v>
      </c>
      <c r="I76" s="3">
        <v>0.85778804957864796</v>
      </c>
      <c r="J76" s="3">
        <v>1.84429243146746</v>
      </c>
      <c r="K76" s="3">
        <v>3.0574539295630401</v>
      </c>
      <c r="L76" s="3">
        <v>2.324077545118</v>
      </c>
      <c r="M76" s="3">
        <v>2.9282905079915502</v>
      </c>
      <c r="N76" s="3">
        <v>4.1957287080757704</v>
      </c>
    </row>
    <row r="77" spans="1:14" x14ac:dyDescent="0.35">
      <c r="A77" s="2">
        <v>44060</v>
      </c>
      <c r="B77" s="3">
        <v>2.4041529095477099</v>
      </c>
      <c r="C77" s="3">
        <v>3.3713919415859399</v>
      </c>
      <c r="D77" s="3">
        <v>3.3261778624774898</v>
      </c>
      <c r="E77" s="3">
        <v>2.8207694234002498</v>
      </c>
      <c r="F77" s="3">
        <v>2.40626219468307</v>
      </c>
      <c r="G77" s="3">
        <v>2.9334220771403698</v>
      </c>
      <c r="H77" s="3">
        <v>3.9515113007142202</v>
      </c>
      <c r="I77" s="3">
        <v>0.80974863061630398</v>
      </c>
      <c r="J77" s="3">
        <v>1.7616499207001599</v>
      </c>
      <c r="K77" s="3">
        <v>3.1227570748748201</v>
      </c>
      <c r="L77" s="3">
        <v>2.3291678401131199</v>
      </c>
      <c r="M77" s="3">
        <v>2.99735520882831</v>
      </c>
      <c r="N77" s="3">
        <v>3.9553963917946802</v>
      </c>
    </row>
    <row r="78" spans="1:14" x14ac:dyDescent="0.35">
      <c r="A78" s="2">
        <v>44091</v>
      </c>
      <c r="B78" s="3">
        <v>2.43331267714166</v>
      </c>
      <c r="C78" s="3">
        <v>3.6061241712162699</v>
      </c>
      <c r="D78" s="3">
        <v>3.4284242790364901</v>
      </c>
      <c r="E78" s="3">
        <v>2.79523245804597</v>
      </c>
      <c r="F78" s="3">
        <v>2.3589315521354299</v>
      </c>
      <c r="G78" s="3">
        <v>2.8820282882356301</v>
      </c>
      <c r="H78" s="3">
        <v>4.0774960299729504</v>
      </c>
      <c r="I78" s="3">
        <v>0.82586660846445203</v>
      </c>
      <c r="J78" s="3">
        <v>1.77900571093823</v>
      </c>
      <c r="K78" s="3">
        <v>3.12076093017797</v>
      </c>
      <c r="L78" s="3">
        <v>2.3264896803192201</v>
      </c>
      <c r="M78" s="3">
        <v>2.9715620964078902</v>
      </c>
      <c r="N78" s="3">
        <v>4.0551364113635202</v>
      </c>
    </row>
    <row r="79" spans="1:14" x14ac:dyDescent="0.35">
      <c r="A79" s="2">
        <v>44120</v>
      </c>
      <c r="B79" s="3">
        <v>2.3508735801479301</v>
      </c>
      <c r="C79" s="3">
        <v>3.5636325381602298</v>
      </c>
      <c r="D79" s="3">
        <v>3.39720943577472</v>
      </c>
      <c r="E79" s="3">
        <v>2.8130516736303401</v>
      </c>
      <c r="F79" s="3">
        <v>2.39945095146996</v>
      </c>
      <c r="G79" s="3">
        <v>2.9640610033211998</v>
      </c>
      <c r="H79" s="3">
        <v>4.2950204318512997</v>
      </c>
      <c r="I79" s="3">
        <v>0.77661825004438201</v>
      </c>
      <c r="J79" s="3">
        <v>1.71781403298747</v>
      </c>
      <c r="K79" s="3">
        <v>3.2063653001461399</v>
      </c>
      <c r="L79" s="3">
        <v>2.2722668351137201</v>
      </c>
      <c r="M79" s="3">
        <v>3.0211529251415401</v>
      </c>
      <c r="N79" s="3">
        <v>4.1389315143047503</v>
      </c>
    </row>
    <row r="80" spans="1:14" x14ac:dyDescent="0.35">
      <c r="A80" s="2">
        <v>44152</v>
      </c>
      <c r="B80" s="3">
        <v>2.3429363301601298</v>
      </c>
      <c r="C80" s="3">
        <v>3.4645714158099299</v>
      </c>
      <c r="D80" s="3">
        <v>3.2742676485369802</v>
      </c>
      <c r="E80" s="3">
        <v>2.8428229929559801</v>
      </c>
      <c r="F80" s="3">
        <v>2.23512310250671</v>
      </c>
      <c r="G80" s="3">
        <v>2.8692410197098299</v>
      </c>
      <c r="H80" s="3">
        <v>4.0042815535860701</v>
      </c>
      <c r="I80" s="3">
        <v>0.77341413706228501</v>
      </c>
      <c r="J80" s="3">
        <v>1.65775307076658</v>
      </c>
      <c r="K80" s="3">
        <v>2.9146956179898398</v>
      </c>
      <c r="L80" s="3">
        <v>2.17563817407152</v>
      </c>
      <c r="M80" s="3">
        <v>3.0136486172274899</v>
      </c>
      <c r="N80" s="3">
        <v>3.96132141000973</v>
      </c>
    </row>
    <row r="81" spans="1:14" x14ac:dyDescent="0.35">
      <c r="A81" s="2">
        <v>44182</v>
      </c>
      <c r="B81" s="3">
        <v>2.39249161618253</v>
      </c>
      <c r="C81" s="3">
        <v>3.4808467409355002</v>
      </c>
      <c r="D81" s="3">
        <v>3.0954448226123801</v>
      </c>
      <c r="E81" s="3">
        <v>2.7250253733756198</v>
      </c>
      <c r="F81" s="3">
        <v>2.1533073438873802</v>
      </c>
      <c r="G81" s="3">
        <v>2.8639453853678298</v>
      </c>
      <c r="H81" s="3">
        <v>3.8753670167145202</v>
      </c>
      <c r="I81" s="3">
        <v>0.73166059555514396</v>
      </c>
      <c r="J81" s="3">
        <v>1.6159092355476099</v>
      </c>
      <c r="K81" s="3">
        <v>2.9199882681345599</v>
      </c>
      <c r="L81" s="3">
        <v>2.0306285090521898</v>
      </c>
      <c r="M81" s="3">
        <v>3.07865607778368</v>
      </c>
      <c r="N81" s="3">
        <v>3.9502278304798599</v>
      </c>
    </row>
    <row r="82" spans="1:14" x14ac:dyDescent="0.35">
      <c r="A82" s="2">
        <v>44211</v>
      </c>
      <c r="B82" s="3">
        <v>2.4548774803997899</v>
      </c>
      <c r="C82" s="3">
        <v>3.5583476738329498</v>
      </c>
      <c r="D82" s="3">
        <v>3.0347145820632702</v>
      </c>
      <c r="E82" s="3">
        <v>2.7331999532903701</v>
      </c>
      <c r="F82" s="3">
        <v>2.0855241961127899</v>
      </c>
      <c r="G82" s="3">
        <v>2.8036622943743001</v>
      </c>
      <c r="H82" s="3">
        <v>3.8919815715581301</v>
      </c>
      <c r="I82" s="3">
        <v>0.77115176150699305</v>
      </c>
      <c r="J82" s="3">
        <v>1.57750184465775</v>
      </c>
      <c r="K82" s="3">
        <v>2.9280442874546102</v>
      </c>
      <c r="L82" s="3">
        <v>1.96606909281491</v>
      </c>
      <c r="M82" s="3">
        <v>3.0127729206982998</v>
      </c>
      <c r="N82" s="3">
        <v>3.9855176020304999</v>
      </c>
    </row>
    <row r="83" spans="1:14" x14ac:dyDescent="0.35">
      <c r="A83" s="2">
        <v>44244</v>
      </c>
      <c r="B83" s="3">
        <v>2.5589039874722599</v>
      </c>
      <c r="C83" s="3">
        <v>3.7357950684647401</v>
      </c>
      <c r="D83" s="3">
        <v>2.9383621830537701</v>
      </c>
      <c r="E83" s="3">
        <v>2.7570741899336402</v>
      </c>
      <c r="F83" s="3">
        <v>2.00486632932475</v>
      </c>
      <c r="G83" s="3">
        <v>2.8286002268060502</v>
      </c>
      <c r="H83" s="3">
        <v>3.9623309055693801</v>
      </c>
      <c r="I83" s="3">
        <v>0.72798576204754994</v>
      </c>
      <c r="J83" s="3">
        <v>1.52711000125142</v>
      </c>
      <c r="K83" s="3">
        <v>2.8473162624383899</v>
      </c>
      <c r="L83" s="3">
        <v>1.89662891885233</v>
      </c>
      <c r="M83" s="3">
        <v>2.9959175762484298</v>
      </c>
      <c r="N83" s="3">
        <v>3.9675510919436698</v>
      </c>
    </row>
    <row r="84" spans="1:14" x14ac:dyDescent="0.35">
      <c r="A84" s="2">
        <v>44272</v>
      </c>
      <c r="B84" s="3">
        <v>2.5346371873919802</v>
      </c>
      <c r="C84" s="3">
        <v>3.8825195591121</v>
      </c>
      <c r="D84" s="3">
        <v>2.8156494844675199</v>
      </c>
      <c r="E84" s="3">
        <v>2.7472052868503098</v>
      </c>
      <c r="F84" s="3">
        <v>2.0330528246304098</v>
      </c>
      <c r="G84" s="3">
        <v>2.83334509241406</v>
      </c>
      <c r="H84" s="3">
        <v>3.96840575555433</v>
      </c>
      <c r="I84" s="3">
        <v>0.76006194838461205</v>
      </c>
      <c r="J84" s="3">
        <v>1.5211414943117201</v>
      </c>
      <c r="K84" s="3">
        <v>2.7376775318614599</v>
      </c>
      <c r="L84" s="3">
        <v>2.0173413041644301</v>
      </c>
      <c r="M84" s="3">
        <v>2.7792533807078601</v>
      </c>
      <c r="N84" s="3">
        <v>4.0238775570726801</v>
      </c>
    </row>
    <row r="85" spans="1:14" x14ac:dyDescent="0.35">
      <c r="A85" s="2">
        <v>44302</v>
      </c>
      <c r="B85" s="3">
        <v>2.56196760003025</v>
      </c>
      <c r="C85" s="3">
        <v>3.85939079817717</v>
      </c>
      <c r="D85" s="3">
        <v>2.7377678768976001</v>
      </c>
      <c r="E85" s="3">
        <v>2.6676954452608199</v>
      </c>
      <c r="F85" s="3">
        <v>2.0749364925130198</v>
      </c>
      <c r="G85" s="3">
        <v>2.71758254894283</v>
      </c>
      <c r="H85" s="3">
        <v>3.9279916375724899</v>
      </c>
      <c r="I85" s="3">
        <v>0.71754794976963399</v>
      </c>
      <c r="J85" s="3">
        <v>1.4540453797793</v>
      </c>
      <c r="K85" s="3">
        <v>2.67928131434227</v>
      </c>
      <c r="L85" s="3">
        <v>1.90607266614583</v>
      </c>
      <c r="M85" s="3">
        <v>2.6773996709321199</v>
      </c>
      <c r="N85" s="3">
        <v>4.0613448081006602</v>
      </c>
    </row>
    <row r="86" spans="1:14" x14ac:dyDescent="0.35">
      <c r="A86" s="2">
        <v>44333</v>
      </c>
      <c r="B86" s="3">
        <v>2.6750742690589902</v>
      </c>
      <c r="C86" s="3">
        <v>3.9468826009001101</v>
      </c>
      <c r="D86" s="3">
        <v>2.7146726589006001</v>
      </c>
      <c r="E86" s="3">
        <v>2.81983611581787</v>
      </c>
      <c r="F86" s="3">
        <v>2.2157940094436399</v>
      </c>
      <c r="G86" s="3">
        <v>2.7654329659527002</v>
      </c>
      <c r="H86" s="3">
        <v>3.9003321598802199</v>
      </c>
      <c r="I86" s="3">
        <v>0.75969435196529</v>
      </c>
      <c r="J86" s="3">
        <v>1.4687604492978401</v>
      </c>
      <c r="K86" s="3">
        <v>2.71453688002538</v>
      </c>
      <c r="L86" s="3">
        <v>2.0089924043660501</v>
      </c>
      <c r="M86" s="3">
        <v>2.8603775036464101</v>
      </c>
      <c r="N86" s="3">
        <v>4.1592984425584003</v>
      </c>
    </row>
    <row r="87" spans="1:14" x14ac:dyDescent="0.35">
      <c r="A87" s="2">
        <v>44364</v>
      </c>
      <c r="B87" s="3">
        <v>2.6873227177713401</v>
      </c>
      <c r="C87" s="3">
        <v>3.8472784803607301</v>
      </c>
      <c r="D87" s="3">
        <v>2.5644404068317899</v>
      </c>
      <c r="E87" s="3">
        <v>2.77455915835165</v>
      </c>
      <c r="F87" s="3">
        <v>2.1551415486729599</v>
      </c>
      <c r="G87" s="3">
        <v>2.61072866797242</v>
      </c>
      <c r="H87" s="3">
        <v>3.8836054025262201</v>
      </c>
      <c r="I87" s="3">
        <v>0.72146508827892897</v>
      </c>
      <c r="J87" s="3">
        <v>1.46203026564466</v>
      </c>
      <c r="K87" s="3">
        <v>2.6293152313603598</v>
      </c>
      <c r="L87" s="3">
        <v>1.9758487918232699</v>
      </c>
      <c r="M87" s="3">
        <v>2.67506906047169</v>
      </c>
      <c r="N87" s="3">
        <v>4.0422913169443504</v>
      </c>
    </row>
    <row r="88" spans="1:14" x14ac:dyDescent="0.35">
      <c r="A88" s="2">
        <v>44393</v>
      </c>
      <c r="B88" s="3">
        <v>2.6168884274558599</v>
      </c>
      <c r="C88" s="3">
        <v>4.1867600027396499</v>
      </c>
      <c r="D88" s="3">
        <v>2.7423913748421</v>
      </c>
      <c r="E88" s="3">
        <v>2.8344763369145101</v>
      </c>
      <c r="F88" s="3">
        <v>2.2254557234654699</v>
      </c>
      <c r="G88" s="3">
        <v>2.6219549008539298</v>
      </c>
      <c r="H88" s="3">
        <v>4.0829688308351804</v>
      </c>
      <c r="I88" s="3">
        <v>0.69988428412920201</v>
      </c>
      <c r="J88" s="3">
        <v>1.4472007978314601</v>
      </c>
      <c r="K88" s="3">
        <v>2.7357914703189801</v>
      </c>
      <c r="L88" s="3">
        <v>2.0199678575506601</v>
      </c>
      <c r="M88" s="3">
        <v>2.68426057221577</v>
      </c>
      <c r="N88" s="3">
        <v>4.2401707888096603</v>
      </c>
    </row>
    <row r="89" spans="1:14" x14ac:dyDescent="0.35">
      <c r="A89" s="2">
        <v>44425</v>
      </c>
      <c r="B89" s="3">
        <v>2.6877914368166</v>
      </c>
      <c r="C89" s="3">
        <v>4.07100132076169</v>
      </c>
      <c r="D89" s="3">
        <v>2.70907250132508</v>
      </c>
      <c r="E89" s="3">
        <v>2.8326380491893599</v>
      </c>
      <c r="F89" s="3">
        <v>2.27472032582877</v>
      </c>
      <c r="G89" s="3">
        <v>2.5452800304157899</v>
      </c>
      <c r="H89" s="3">
        <v>4.1574254519511298</v>
      </c>
      <c r="I89" s="3">
        <v>0.70513520971125099</v>
      </c>
      <c r="J89" s="3">
        <v>1.4180391454433501</v>
      </c>
      <c r="K89" s="3">
        <v>2.7003136623772601</v>
      </c>
      <c r="L89" s="3">
        <v>1.95402744720651</v>
      </c>
      <c r="M89" s="3">
        <v>2.7268166343581202</v>
      </c>
      <c r="N89" s="3">
        <v>4.2944856446022701</v>
      </c>
    </row>
    <row r="90" spans="1:14" x14ac:dyDescent="0.35">
      <c r="A90" s="2">
        <v>44456</v>
      </c>
      <c r="B90" s="3">
        <v>2.5871272407791102</v>
      </c>
      <c r="C90" s="3">
        <v>4.0988890255172699</v>
      </c>
      <c r="D90" s="3">
        <v>2.7706155274688702</v>
      </c>
      <c r="E90" s="3">
        <v>2.9137904762881002</v>
      </c>
      <c r="F90" s="3">
        <v>2.126903605541</v>
      </c>
      <c r="G90" s="3">
        <v>2.6748487709520798</v>
      </c>
      <c r="H90" s="3">
        <v>4.2853318548677501</v>
      </c>
      <c r="I90" s="3">
        <v>0.69341769401620701</v>
      </c>
      <c r="J90" s="3">
        <v>1.43173901762723</v>
      </c>
      <c r="K90" s="3">
        <v>2.8223291621862199</v>
      </c>
      <c r="L90" s="3">
        <v>1.85337318279996</v>
      </c>
      <c r="M90" s="3">
        <v>2.78291656286128</v>
      </c>
      <c r="N90" s="3">
        <v>4.5441278435050299</v>
      </c>
    </row>
    <row r="91" spans="1:14" x14ac:dyDescent="0.35">
      <c r="A91" s="2">
        <v>44484</v>
      </c>
      <c r="B91" s="3">
        <v>2.6695527994624202</v>
      </c>
      <c r="C91" s="3">
        <v>3.9845523992919398</v>
      </c>
      <c r="D91" s="3">
        <v>2.7141441644417199</v>
      </c>
      <c r="E91" s="3">
        <v>2.9221652460056098</v>
      </c>
      <c r="F91" s="3">
        <v>2.2119364246774298</v>
      </c>
      <c r="G91" s="3">
        <v>2.6927849676968001</v>
      </c>
      <c r="H91" s="3">
        <v>4.0393323436061399</v>
      </c>
      <c r="I91" s="3">
        <v>0.70786810582409199</v>
      </c>
      <c r="J91" s="3">
        <v>1.4280881931614899</v>
      </c>
      <c r="K91" s="3">
        <v>2.8179099002041799</v>
      </c>
      <c r="L91" s="3">
        <v>1.92602842615391</v>
      </c>
      <c r="M91" s="3">
        <v>2.8216945440346</v>
      </c>
      <c r="N91" s="3">
        <v>4.3949927992870297</v>
      </c>
    </row>
    <row r="92" spans="1:14" x14ac:dyDescent="0.35">
      <c r="A92" s="2">
        <v>44517</v>
      </c>
      <c r="B92" s="3">
        <v>2.7291232875287799</v>
      </c>
      <c r="C92" s="3">
        <v>4.0269886152636198</v>
      </c>
      <c r="D92" s="3">
        <v>2.6922205681127598</v>
      </c>
      <c r="E92" s="3">
        <v>2.9230576124951</v>
      </c>
      <c r="F92" s="3">
        <v>2.2177045581248098</v>
      </c>
      <c r="G92" s="3">
        <v>2.57295119839908</v>
      </c>
      <c r="H92" s="3">
        <v>4.0309254934331804</v>
      </c>
      <c r="I92" s="3">
        <v>0.66183497309209505</v>
      </c>
      <c r="J92" s="3">
        <v>1.3694206234355799</v>
      </c>
      <c r="K92" s="3">
        <v>2.7135997582968301</v>
      </c>
      <c r="L92" s="3">
        <v>1.83581310670681</v>
      </c>
      <c r="M92" s="3">
        <v>2.91762807855156</v>
      </c>
      <c r="N92" s="3">
        <v>4.2994142035398601</v>
      </c>
    </row>
    <row r="93" spans="1:14" x14ac:dyDescent="0.35">
      <c r="A93" s="2">
        <v>44547</v>
      </c>
      <c r="B93" s="3">
        <v>2.8054971195546101</v>
      </c>
      <c r="C93" s="3">
        <v>3.9639030979513099</v>
      </c>
      <c r="D93" s="3">
        <v>2.8431435482919398</v>
      </c>
      <c r="E93" s="3">
        <v>3.0832612230940799</v>
      </c>
      <c r="F93" s="3">
        <v>2.31808799382376</v>
      </c>
      <c r="G93" s="3">
        <v>2.5667918363654101</v>
      </c>
      <c r="H93" s="3">
        <v>4.0174725068855599</v>
      </c>
      <c r="I93" s="3">
        <v>0.68901613800858197</v>
      </c>
      <c r="J93" s="3">
        <v>1.3973226631159801</v>
      </c>
      <c r="K93" s="3">
        <v>2.8235404338142298</v>
      </c>
      <c r="L93" s="3">
        <v>2.0080865542202</v>
      </c>
      <c r="M93" s="3">
        <v>2.97097185833616</v>
      </c>
      <c r="N93" s="3">
        <v>4.6980861489123402</v>
      </c>
    </row>
    <row r="94" spans="1:14" x14ac:dyDescent="0.35">
      <c r="A94" s="2">
        <v>44575</v>
      </c>
      <c r="B94" s="3">
        <v>2.84161436516067</v>
      </c>
      <c r="C94" s="3">
        <v>3.87700807266835</v>
      </c>
      <c r="D94" s="3">
        <v>2.7647255060042299</v>
      </c>
      <c r="E94" s="3">
        <v>3.0580651722575598</v>
      </c>
      <c r="F94" s="3">
        <v>2.34939976924856</v>
      </c>
      <c r="G94" s="3">
        <v>2.6309461054614101</v>
      </c>
      <c r="H94" s="3">
        <v>3.8205845661709201</v>
      </c>
      <c r="I94" s="3">
        <v>0.70040698395006096</v>
      </c>
      <c r="J94" s="3">
        <v>1.38895755050417</v>
      </c>
      <c r="K94" s="3">
        <v>2.7680597851353901</v>
      </c>
      <c r="L94" s="3">
        <v>2.00582946910454</v>
      </c>
      <c r="M94" s="3">
        <v>2.9667858060424801</v>
      </c>
      <c r="N94" s="3">
        <v>4.59371642495364</v>
      </c>
    </row>
    <row r="95" spans="1:14" x14ac:dyDescent="0.35">
      <c r="A95" s="2">
        <v>44609</v>
      </c>
      <c r="B95" s="3">
        <v>2.9660012291922002</v>
      </c>
      <c r="C95" s="3">
        <v>4.2443889242905097</v>
      </c>
      <c r="D95" s="3">
        <v>2.8469297929229298</v>
      </c>
      <c r="E95" s="3">
        <v>3.2483343396686299</v>
      </c>
      <c r="F95" s="3">
        <v>2.46416899152198</v>
      </c>
      <c r="G95" s="3">
        <v>2.7817693425621699</v>
      </c>
      <c r="H95" s="3">
        <v>3.8328182544752201</v>
      </c>
      <c r="I95" s="3">
        <v>0.78401516937196403</v>
      </c>
      <c r="J95" s="3">
        <v>1.50164440848221</v>
      </c>
      <c r="K95" s="3">
        <v>2.9368678297660198</v>
      </c>
      <c r="L95" s="3">
        <v>2.2343332977980301</v>
      </c>
      <c r="M95" s="3">
        <v>3.0200949926584499</v>
      </c>
      <c r="N95" s="3">
        <v>4.8570105505936203</v>
      </c>
    </row>
    <row r="96" spans="1:14" x14ac:dyDescent="0.35">
      <c r="A96" s="2">
        <v>44637</v>
      </c>
      <c r="B96" s="3">
        <v>3.05470502441581</v>
      </c>
      <c r="C96" s="3">
        <v>4.2645119488169199</v>
      </c>
      <c r="D96" s="3">
        <v>2.8053412305799101</v>
      </c>
      <c r="E96" s="3">
        <v>3.4916109373558801</v>
      </c>
      <c r="F96" s="3">
        <v>2.5742626257526</v>
      </c>
      <c r="G96" s="3">
        <v>2.8063763043357102</v>
      </c>
      <c r="H96" s="3">
        <v>4.0037314762375402</v>
      </c>
      <c r="I96" s="3">
        <v>0.79732214577190996</v>
      </c>
      <c r="J96" s="3">
        <v>1.49479590774159</v>
      </c>
      <c r="K96" s="3">
        <v>3.1128035354998298</v>
      </c>
      <c r="L96" s="3">
        <v>2.2954785130342499</v>
      </c>
      <c r="M96" s="3">
        <v>3.05614122944325</v>
      </c>
      <c r="N96" s="3">
        <v>5.2320636268571796</v>
      </c>
    </row>
    <row r="97" spans="1:14" x14ac:dyDescent="0.35">
      <c r="A97" s="2">
        <v>44665</v>
      </c>
      <c r="B97" s="3">
        <v>3.14102107944302</v>
      </c>
      <c r="C97" s="3">
        <v>4.3338887630298597</v>
      </c>
      <c r="D97" s="3">
        <v>2.8443819524663398</v>
      </c>
      <c r="E97" s="3">
        <v>3.6262638263569902</v>
      </c>
      <c r="F97" s="3">
        <v>2.5738579416217</v>
      </c>
      <c r="G97" s="3">
        <v>2.7502221235861199</v>
      </c>
      <c r="H97" s="3">
        <v>3.9312068493163799</v>
      </c>
      <c r="I97" s="3">
        <v>0.81242898081197701</v>
      </c>
      <c r="J97" s="3">
        <v>1.5008506802326</v>
      </c>
      <c r="K97" s="3">
        <v>3.12954773260007</v>
      </c>
      <c r="L97" s="3">
        <v>2.31574787712823</v>
      </c>
      <c r="M97" s="3">
        <v>3.1610377512186298</v>
      </c>
      <c r="N97" s="3">
        <v>5.0355833830153802</v>
      </c>
    </row>
    <row r="98" spans="1:14" x14ac:dyDescent="0.35">
      <c r="A98" s="2">
        <v>44698</v>
      </c>
      <c r="B98" s="3">
        <v>3.2475423118445499</v>
      </c>
      <c r="C98" s="3">
        <v>4.7194066923786302</v>
      </c>
      <c r="D98" s="3">
        <v>3.1343625111615498</v>
      </c>
      <c r="E98" s="3">
        <v>3.7962842684680398</v>
      </c>
      <c r="F98" s="3">
        <v>2.6475282968090998</v>
      </c>
      <c r="G98" s="3">
        <v>2.9490174626938299</v>
      </c>
      <c r="H98" s="3">
        <v>4.0776759669671199</v>
      </c>
      <c r="I98" s="3">
        <v>0.90367294723695801</v>
      </c>
      <c r="J98" s="3">
        <v>1.6232519373139001</v>
      </c>
      <c r="K98" s="3">
        <v>3.2272259704215198</v>
      </c>
      <c r="L98" s="3">
        <v>2.5122278973321999</v>
      </c>
      <c r="M98" s="3">
        <v>3.3847024921187199</v>
      </c>
      <c r="N98" s="3">
        <v>5.13609150164943</v>
      </c>
    </row>
    <row r="99" spans="1:14" x14ac:dyDescent="0.35">
      <c r="A99" s="2">
        <v>44729</v>
      </c>
      <c r="B99" s="3">
        <v>3.46124124041875</v>
      </c>
      <c r="C99" s="3">
        <v>5.33004498627038</v>
      </c>
      <c r="D99" s="3">
        <v>3.4160420672326901</v>
      </c>
      <c r="E99" s="3">
        <v>4.09883634768671</v>
      </c>
      <c r="F99" s="3">
        <v>2.7456988663403998</v>
      </c>
      <c r="G99" s="3">
        <v>3.3002602220363699</v>
      </c>
      <c r="H99" s="3">
        <v>4.4296262309178704</v>
      </c>
      <c r="I99" s="3">
        <v>1.0153826597762701</v>
      </c>
      <c r="J99" s="3">
        <v>1.81982012931444</v>
      </c>
      <c r="K99" s="3">
        <v>3.5555196459551701</v>
      </c>
      <c r="L99" s="3">
        <v>3.5686272539998001</v>
      </c>
      <c r="M99" s="3">
        <v>3.6213600173434299</v>
      </c>
      <c r="N99" s="3">
        <v>5.8274422682442699</v>
      </c>
    </row>
    <row r="100" spans="1:14" x14ac:dyDescent="0.35">
      <c r="A100" s="2">
        <v>44757</v>
      </c>
      <c r="B100" s="3">
        <v>3.32796341763629</v>
      </c>
      <c r="C100" s="3">
        <v>5.2168583403187903</v>
      </c>
      <c r="D100" s="3">
        <v>3.5269357059601099</v>
      </c>
      <c r="E100" s="3">
        <v>4.20054900548066</v>
      </c>
      <c r="F100" s="3">
        <v>2.6729873505384498</v>
      </c>
      <c r="G100" s="3">
        <v>3.1501765264063999</v>
      </c>
      <c r="H100" s="3">
        <v>4.3853339047360897</v>
      </c>
      <c r="I100" s="3">
        <v>0.96204518947491402</v>
      </c>
      <c r="J100" s="3">
        <v>1.7423665477550601</v>
      </c>
      <c r="K100" s="3">
        <v>3.48319634641771</v>
      </c>
      <c r="L100" s="3">
        <v>3.3701998160577902</v>
      </c>
      <c r="M100" s="3">
        <v>3.7410094966990899</v>
      </c>
      <c r="N100" s="3">
        <v>6.0779345786544203</v>
      </c>
    </row>
    <row r="101" spans="1:14" x14ac:dyDescent="0.35">
      <c r="A101" s="2">
        <v>44790</v>
      </c>
      <c r="B101" s="3">
        <v>3.15700013278853</v>
      </c>
      <c r="C101" s="3">
        <v>4.6978292599607103</v>
      </c>
      <c r="D101" s="3">
        <v>3.3011083017987799</v>
      </c>
      <c r="E101" s="3">
        <v>3.9691788756687698</v>
      </c>
      <c r="F101" s="3">
        <v>2.5320991723367698</v>
      </c>
      <c r="G101" s="3">
        <v>3.0982952824924901</v>
      </c>
      <c r="H101" s="3">
        <v>4.1880089889916601</v>
      </c>
      <c r="I101" s="3">
        <v>0.85996415096250001</v>
      </c>
      <c r="J101" s="3">
        <v>1.59098927790707</v>
      </c>
      <c r="K101" s="3">
        <v>3.2731620004726998</v>
      </c>
      <c r="L101" s="3">
        <v>3.0569503667912099</v>
      </c>
      <c r="M101" s="3">
        <v>3.49280137083616</v>
      </c>
      <c r="N101" s="3">
        <v>5.6077203024034397</v>
      </c>
    </row>
    <row r="102" spans="1:14" x14ac:dyDescent="0.35">
      <c r="A102" s="2">
        <v>44820</v>
      </c>
      <c r="B102" s="3">
        <v>3.2615933149511198</v>
      </c>
      <c r="C102" s="3">
        <v>5.0021664852770602</v>
      </c>
      <c r="D102" s="3">
        <v>3.4532239669468798</v>
      </c>
      <c r="E102" s="3">
        <v>4.2412582501728302</v>
      </c>
      <c r="F102" s="3">
        <v>2.6438689368174999</v>
      </c>
      <c r="G102" s="3">
        <v>3.2865422619023001</v>
      </c>
      <c r="H102" s="3">
        <v>4.4965746045660397</v>
      </c>
      <c r="I102" s="3">
        <v>0.98394543073971397</v>
      </c>
      <c r="J102" s="3">
        <v>1.76800327044546</v>
      </c>
      <c r="K102" s="3">
        <v>3.5527184883436602</v>
      </c>
      <c r="L102" s="3">
        <v>3.7610381831481101</v>
      </c>
      <c r="M102" s="3">
        <v>3.77923447684383</v>
      </c>
      <c r="N102" s="3">
        <v>5.6420821421266698</v>
      </c>
    </row>
    <row r="103" spans="1:14" x14ac:dyDescent="0.35">
      <c r="A103" s="2">
        <v>44851</v>
      </c>
      <c r="B103" s="3">
        <v>3.5037875710644899</v>
      </c>
      <c r="C103" s="3">
        <v>5.16575235883393</v>
      </c>
      <c r="D103" s="3">
        <v>3.6014054588474802</v>
      </c>
      <c r="E103" s="3">
        <v>4.2782200644789903</v>
      </c>
      <c r="F103" s="3">
        <v>2.7430945742789201</v>
      </c>
      <c r="G103" s="3">
        <v>3.3609241040037499</v>
      </c>
      <c r="H103" s="3">
        <v>4.61316594516338</v>
      </c>
      <c r="I103" s="3">
        <v>1.0650639632881</v>
      </c>
      <c r="J103" s="3">
        <v>1.86880117593391</v>
      </c>
      <c r="K103" s="3">
        <v>3.6122389717602101</v>
      </c>
      <c r="L103" s="3">
        <v>3.0936726575906102</v>
      </c>
      <c r="M103" s="3">
        <v>3.6916722050376101</v>
      </c>
      <c r="N103" s="3">
        <v>6.0411817360754299</v>
      </c>
    </row>
    <row r="104" spans="1:14" x14ac:dyDescent="0.35">
      <c r="A104" s="2">
        <v>44882</v>
      </c>
      <c r="B104" s="3">
        <v>3.3811448549870802</v>
      </c>
      <c r="C104" s="3">
        <v>4.6489725100951897</v>
      </c>
      <c r="D104" s="3">
        <v>3.3508449319249101</v>
      </c>
      <c r="E104" s="3">
        <v>3.7929719860634101</v>
      </c>
      <c r="F104" s="3">
        <v>2.6186241086048199</v>
      </c>
      <c r="G104" s="3">
        <v>3.1695335519558498</v>
      </c>
      <c r="H104" s="3">
        <v>4.3573568364158799</v>
      </c>
      <c r="I104" s="3">
        <v>1.01774917319744</v>
      </c>
      <c r="J104" s="3">
        <v>1.7556716672735799</v>
      </c>
      <c r="K104" s="3">
        <v>3.3274967931600901</v>
      </c>
      <c r="L104" s="3">
        <v>2.6967515816296999</v>
      </c>
      <c r="M104" s="3">
        <v>3.6568565158526498</v>
      </c>
      <c r="N104" s="3">
        <v>5.4944352096384899</v>
      </c>
    </row>
    <row r="105" spans="1:14" x14ac:dyDescent="0.35">
      <c r="A105" s="2">
        <v>44911</v>
      </c>
      <c r="B105" s="3">
        <v>3.4301381323171198</v>
      </c>
      <c r="C105" s="3">
        <v>4.5937799453083201</v>
      </c>
      <c r="D105" s="3">
        <v>3.46249639725673</v>
      </c>
      <c r="E105" s="3">
        <v>3.8711052914781501</v>
      </c>
      <c r="F105" s="3">
        <v>2.6661279513514802</v>
      </c>
      <c r="G105" s="3">
        <v>3.2259846077048699</v>
      </c>
      <c r="H105" s="3">
        <v>4.3425952979614699</v>
      </c>
      <c r="I105" s="3">
        <v>1.0521387759936001</v>
      </c>
      <c r="J105" s="3">
        <v>1.80075888719772</v>
      </c>
      <c r="K105" s="3">
        <v>3.3919290319186302</v>
      </c>
      <c r="L105" s="3">
        <v>2.7408345668572398</v>
      </c>
      <c r="M105" s="3">
        <v>3.7302699648947502</v>
      </c>
      <c r="N105" s="3">
        <v>5.9359655397273903</v>
      </c>
    </row>
    <row r="106" spans="1:14" x14ac:dyDescent="0.35">
      <c r="A106" s="2">
        <v>44943</v>
      </c>
      <c r="B106" s="3">
        <v>3.3550233761128401</v>
      </c>
      <c r="C106" s="3">
        <v>4.3428967265300003</v>
      </c>
      <c r="D106" s="3">
        <v>3.3336033376245</v>
      </c>
      <c r="E106" s="3">
        <v>3.5069472033243398</v>
      </c>
      <c r="F106" s="3">
        <v>2.7228775955109401</v>
      </c>
      <c r="G106" s="3">
        <v>3.0314415126052001</v>
      </c>
      <c r="H106" s="3">
        <v>4.0383891735613</v>
      </c>
      <c r="I106" s="3">
        <v>0.98691002720223098</v>
      </c>
      <c r="J106" s="3">
        <v>1.74462376518179</v>
      </c>
      <c r="K106" s="3">
        <v>3.10448210664513</v>
      </c>
      <c r="L106" s="3">
        <v>2.5569811433780298</v>
      </c>
      <c r="M106" s="3">
        <v>3.4982592655739499</v>
      </c>
      <c r="N106" s="3">
        <v>5.4279156690698898</v>
      </c>
    </row>
    <row r="107" spans="1:14" x14ac:dyDescent="0.35">
      <c r="A107" s="2">
        <v>44974</v>
      </c>
      <c r="B107" s="3">
        <v>3.2363946454474299</v>
      </c>
      <c r="C107" s="3">
        <v>4.3951920127213997</v>
      </c>
      <c r="D107" s="3">
        <v>3.2975136109051402</v>
      </c>
      <c r="E107" s="3">
        <v>3.45665631255926</v>
      </c>
      <c r="F107" s="3">
        <v>2.60860207529793</v>
      </c>
      <c r="G107" s="3">
        <v>3.0775083937952501</v>
      </c>
      <c r="H107" s="3">
        <v>4.0575064568477703</v>
      </c>
      <c r="I107" s="3">
        <v>0.93529105315613903</v>
      </c>
      <c r="J107" s="3">
        <v>1.71910330452271</v>
      </c>
      <c r="K107" s="3">
        <v>3.1012990967373701</v>
      </c>
      <c r="L107" s="3">
        <v>2.5548196442823601</v>
      </c>
      <c r="M107" s="3">
        <v>3.5215994192006899</v>
      </c>
      <c r="N107" s="3">
        <v>5.3971464736011896</v>
      </c>
    </row>
    <row r="108" spans="1:14" x14ac:dyDescent="0.35">
      <c r="A108" s="2">
        <v>45002</v>
      </c>
      <c r="B108" s="3">
        <v>3.5005369776181201</v>
      </c>
      <c r="C108" s="3">
        <v>4.6624189659986701</v>
      </c>
      <c r="D108" s="3">
        <v>3.4915003066351402</v>
      </c>
      <c r="E108" s="3">
        <v>3.72225811670849</v>
      </c>
      <c r="F108" s="3">
        <v>2.6644317199512102</v>
      </c>
      <c r="G108" s="3">
        <v>3.2986505609042598</v>
      </c>
      <c r="H108" s="3">
        <v>4.4402437809633604</v>
      </c>
      <c r="I108" s="3">
        <v>0.92752329480749196</v>
      </c>
      <c r="J108" s="3">
        <v>1.7941711546361501</v>
      </c>
      <c r="K108" s="3">
        <v>3.3345507973861901</v>
      </c>
      <c r="L108" s="3">
        <v>2.7623079752579498</v>
      </c>
      <c r="M108" s="3">
        <v>3.8349946717837602</v>
      </c>
      <c r="N108" s="3">
        <v>5.7603362415911601</v>
      </c>
    </row>
    <row r="109" spans="1:14" x14ac:dyDescent="0.35">
      <c r="A109" s="2">
        <v>45033</v>
      </c>
      <c r="B109" s="3">
        <v>3.4021196058449998</v>
      </c>
      <c r="C109" s="3">
        <v>4.3602198304634401</v>
      </c>
      <c r="D109" s="3">
        <v>3.2404764772077499</v>
      </c>
      <c r="E109" s="3">
        <v>3.51593903844668</v>
      </c>
      <c r="F109" s="3">
        <v>2.5888965404120801</v>
      </c>
      <c r="G109" s="3">
        <v>3.1059349574465802</v>
      </c>
      <c r="H109" s="3">
        <v>4.1588590307270596</v>
      </c>
      <c r="I109" s="3">
        <v>0.89006549561861703</v>
      </c>
      <c r="J109" s="3">
        <v>1.7023460380069899</v>
      </c>
      <c r="K109" s="3">
        <v>3.1111679773719199</v>
      </c>
      <c r="L109" s="3">
        <v>2.6839651371172399</v>
      </c>
      <c r="M109" s="3">
        <v>3.6132017029241998</v>
      </c>
      <c r="N109" s="3">
        <v>5.3300883672159101</v>
      </c>
    </row>
    <row r="110" spans="1:14" x14ac:dyDescent="0.35">
      <c r="A110" s="2">
        <v>45063</v>
      </c>
      <c r="B110" s="3">
        <v>3.4832837936379102</v>
      </c>
      <c r="C110" s="3">
        <v>4.4733514895864701</v>
      </c>
      <c r="D110" s="3">
        <v>3.2820191376447601</v>
      </c>
      <c r="E110" s="3">
        <v>3.5973963425561499</v>
      </c>
      <c r="F110" s="3">
        <v>2.4849329933517299</v>
      </c>
      <c r="G110" s="3">
        <v>3.1116832225042299</v>
      </c>
      <c r="H110" s="3">
        <v>4.2989484747575597</v>
      </c>
      <c r="I110" s="3">
        <v>0.84303069748383097</v>
      </c>
      <c r="J110" s="3">
        <v>1.6967743058585201</v>
      </c>
      <c r="K110" s="3">
        <v>3.2026197188201699</v>
      </c>
      <c r="L110" s="3">
        <v>2.6968656699690898</v>
      </c>
      <c r="M110" s="3">
        <v>3.7516575351913102</v>
      </c>
      <c r="N110" s="3">
        <v>5.5757254199913504</v>
      </c>
    </row>
    <row r="111" spans="1:14" x14ac:dyDescent="0.35">
      <c r="A111" s="2">
        <v>45093</v>
      </c>
      <c r="B111" s="3">
        <v>3.4676137174194599</v>
      </c>
      <c r="C111" s="3">
        <v>4.2999305771371397</v>
      </c>
      <c r="D111" s="3">
        <v>3.2994423575329499</v>
      </c>
      <c r="E111" s="3">
        <v>3.5640267212909702</v>
      </c>
      <c r="F111" s="3">
        <v>2.3080248808519599</v>
      </c>
      <c r="G111" s="3">
        <v>3.13594939452627</v>
      </c>
      <c r="H111" s="3">
        <v>4.3085062961961302</v>
      </c>
      <c r="I111" s="3">
        <v>0.76737257667883896</v>
      </c>
      <c r="J111" s="3">
        <v>1.6115774763234001</v>
      </c>
      <c r="K111" s="3">
        <v>3.2133085174840899</v>
      </c>
      <c r="L111" s="3">
        <v>2.6517914821457</v>
      </c>
      <c r="M111" s="3">
        <v>3.6722052582850702</v>
      </c>
      <c r="N111" s="3">
        <v>5.3185836217429596</v>
      </c>
    </row>
    <row r="112" spans="1:14" x14ac:dyDescent="0.35">
      <c r="A112" s="2">
        <v>45124</v>
      </c>
      <c r="B112" s="3">
        <v>3.42667588192894</v>
      </c>
      <c r="C112" s="3">
        <v>4.1892342916683196</v>
      </c>
      <c r="D112" s="3">
        <v>3.2228871511369501</v>
      </c>
      <c r="E112" s="3">
        <v>3.66485256778483</v>
      </c>
      <c r="F112" s="3">
        <v>2.3972072667091702</v>
      </c>
      <c r="G112" s="3">
        <v>3.2006935031697599</v>
      </c>
      <c r="H112" s="3">
        <v>4.3983234399065596</v>
      </c>
      <c r="I112" s="3">
        <v>0.739808025147487</v>
      </c>
      <c r="J112" s="3">
        <v>1.5747098422574199</v>
      </c>
      <c r="K112" s="3">
        <v>3.2840018919527498</v>
      </c>
      <c r="L112" s="3">
        <v>2.66610249849791</v>
      </c>
      <c r="M112" s="3">
        <v>3.7996544488169999</v>
      </c>
      <c r="N112" s="3">
        <v>5.2629113557004397</v>
      </c>
    </row>
    <row r="113" spans="1:25" x14ac:dyDescent="0.35">
      <c r="A113" s="2">
        <v>45155</v>
      </c>
      <c r="B113" s="3">
        <v>3.47783770620924</v>
      </c>
      <c r="C113" s="3">
        <v>4.3182718182646997</v>
      </c>
      <c r="D113" s="3">
        <v>3.5768075142630802</v>
      </c>
      <c r="E113" s="3">
        <v>3.7573254560143501</v>
      </c>
      <c r="F113" s="3">
        <v>2.4269482872179902</v>
      </c>
      <c r="G113" s="3">
        <v>3.284480955227</v>
      </c>
      <c r="H113" s="3">
        <v>4.5486125120757199</v>
      </c>
      <c r="I113" s="3">
        <v>0.91800836986571099</v>
      </c>
      <c r="J113" s="3">
        <v>1.6421379188715</v>
      </c>
      <c r="K113" s="3">
        <v>3.3787357274050001</v>
      </c>
      <c r="L113" s="3">
        <v>2.8856379300763799</v>
      </c>
      <c r="M113" s="3">
        <v>3.9908157592601499</v>
      </c>
      <c r="N113" s="3">
        <v>5.6433797326773396</v>
      </c>
    </row>
    <row r="114" spans="1:25" x14ac:dyDescent="0.35">
      <c r="A114" s="2">
        <v>45184</v>
      </c>
      <c r="B114" s="3">
        <v>3.4245851574524</v>
      </c>
      <c r="C114" s="3">
        <v>4.1459812374404201</v>
      </c>
      <c r="D114" s="3">
        <v>3.4382831006710202</v>
      </c>
      <c r="E114" s="3">
        <v>3.7179943543946599</v>
      </c>
      <c r="F114" s="3">
        <v>2.2690052127996201</v>
      </c>
      <c r="G114" s="3">
        <v>3.2539243623738598</v>
      </c>
      <c r="H114" s="3">
        <v>4.3815988668375798</v>
      </c>
      <c r="I114" s="3">
        <v>0.89303771314159597</v>
      </c>
      <c r="J114" s="3">
        <v>1.6191735487945</v>
      </c>
      <c r="K114" s="3">
        <v>3.3089349710040601</v>
      </c>
      <c r="L114" s="3">
        <v>2.9864479162527902</v>
      </c>
      <c r="M114" s="3">
        <v>3.9460716743759598</v>
      </c>
      <c r="N114" s="3">
        <v>5.3681429240501801</v>
      </c>
    </row>
    <row r="115" spans="1:25" x14ac:dyDescent="0.35">
      <c r="A115" s="2">
        <v>45216</v>
      </c>
      <c r="B115" s="3">
        <v>3.4655554518615102</v>
      </c>
      <c r="C115" s="3">
        <v>4.3413004356013403</v>
      </c>
      <c r="D115" s="3">
        <v>3.6148783779755398</v>
      </c>
      <c r="E115" s="3">
        <v>3.9143868425138302</v>
      </c>
      <c r="F115" s="3">
        <v>2.4131977966063101</v>
      </c>
      <c r="G115" s="3">
        <v>3.3909909028918501</v>
      </c>
      <c r="H115" s="3">
        <v>4.42607379433875</v>
      </c>
      <c r="I115" s="3">
        <v>0.924831701675909</v>
      </c>
      <c r="J115" s="3">
        <v>1.66199359484277</v>
      </c>
      <c r="K115" s="3">
        <v>3.4801025195059698</v>
      </c>
      <c r="L115" s="3">
        <v>3.0391408021514401</v>
      </c>
      <c r="M115" s="3">
        <v>3.7965127996650199</v>
      </c>
      <c r="N115" s="3">
        <v>5.5624688204633301</v>
      </c>
    </row>
    <row r="116" spans="1:25" x14ac:dyDescent="0.35">
      <c r="A116" s="2">
        <v>45247</v>
      </c>
      <c r="B116" s="3">
        <v>3.4648363430823998</v>
      </c>
      <c r="C116" s="3">
        <v>4.3308144095817802</v>
      </c>
      <c r="D116" s="3">
        <v>3.5036229185541199</v>
      </c>
      <c r="E116" s="3">
        <v>3.7074493826110499</v>
      </c>
      <c r="F116" s="3">
        <v>2.3474132068526901</v>
      </c>
      <c r="G116" s="3">
        <v>3.4102648121655998</v>
      </c>
      <c r="H116" s="3">
        <v>4.4923152984090402</v>
      </c>
      <c r="I116" s="3">
        <v>0.89347477298038402</v>
      </c>
      <c r="J116" s="3">
        <v>1.6143684019380899</v>
      </c>
      <c r="K116" s="3">
        <v>3.36463808304834</v>
      </c>
      <c r="L116" s="3">
        <v>2.8226430327047001</v>
      </c>
      <c r="M116" s="3">
        <v>3.7011214646836001</v>
      </c>
      <c r="N116" s="3">
        <v>5.4869531158973199</v>
      </c>
    </row>
    <row r="117" spans="1:25" x14ac:dyDescent="0.35">
      <c r="A117" s="2">
        <v>45275</v>
      </c>
      <c r="B117" s="3">
        <v>3.0244113747513501</v>
      </c>
      <c r="C117" s="3">
        <v>4.0764602162569599</v>
      </c>
      <c r="D117" s="3">
        <v>3.4343813409461799</v>
      </c>
      <c r="E117" s="3">
        <v>3.5407992624329401</v>
      </c>
      <c r="F117" s="3">
        <v>2.4537871089438701</v>
      </c>
      <c r="G117" s="3">
        <v>3.28299646752708</v>
      </c>
      <c r="H117" s="3">
        <v>4.3568834156889302</v>
      </c>
      <c r="I117" s="3">
        <v>0.89588403971860697</v>
      </c>
      <c r="J117" s="3">
        <v>1.5616962829330301</v>
      </c>
      <c r="K117" s="3">
        <v>3.2158526889440502</v>
      </c>
      <c r="L117" s="3">
        <v>2.64805222396655</v>
      </c>
      <c r="M117" s="3">
        <v>2.93634280019177</v>
      </c>
      <c r="N117" s="3">
        <v>5.46603007772352</v>
      </c>
    </row>
    <row r="118" spans="1:25" x14ac:dyDescent="0.35">
      <c r="A118" s="2">
        <v>45308</v>
      </c>
      <c r="B118" s="3">
        <v>3.0139240158550602</v>
      </c>
      <c r="C118" s="3">
        <v>4.1443594515886701</v>
      </c>
      <c r="D118" s="3">
        <v>3.3966716009036699</v>
      </c>
      <c r="E118" s="3">
        <v>3.6560530210427502</v>
      </c>
      <c r="F118" s="3">
        <v>2.29847000400982</v>
      </c>
      <c r="G118" s="3">
        <v>3.3321554347330902</v>
      </c>
      <c r="H118" s="3">
        <v>4.4526481182173798</v>
      </c>
      <c r="I118" s="3">
        <v>0.92092827322424997</v>
      </c>
      <c r="J118" s="3">
        <v>1.5572819681963299</v>
      </c>
      <c r="K118" s="3">
        <v>3.3235697697739099</v>
      </c>
      <c r="L118" s="3">
        <v>2.7535883487161801</v>
      </c>
      <c r="M118" s="3">
        <v>3.07315509592837</v>
      </c>
      <c r="N118" s="3">
        <v>5.4426502864547004</v>
      </c>
    </row>
    <row r="119" spans="1:25" x14ac:dyDescent="0.35">
      <c r="A119" s="2">
        <v>45338</v>
      </c>
      <c r="B119" s="3">
        <v>2.9089946386691699</v>
      </c>
      <c r="C119" s="3">
        <v>3.9852637984766202</v>
      </c>
      <c r="D119" s="3">
        <v>3.2841420541345698</v>
      </c>
      <c r="E119" s="3">
        <v>3.4869275268411499</v>
      </c>
      <c r="F119" s="3">
        <v>2.2234577277875598</v>
      </c>
      <c r="G119" s="3">
        <v>3.32765437048938</v>
      </c>
      <c r="H119" s="3">
        <v>4.2261218750812999</v>
      </c>
      <c r="I119" s="3">
        <v>0.89427526947298297</v>
      </c>
      <c r="J119" s="3">
        <v>1.4961554412976701</v>
      </c>
      <c r="K119" s="3">
        <v>3.1676279608840501</v>
      </c>
      <c r="L119" s="3">
        <v>2.46904987056798</v>
      </c>
      <c r="M119" s="3">
        <v>3.3419916309489399</v>
      </c>
      <c r="N119" s="3">
        <v>5.4413182294671403</v>
      </c>
    </row>
    <row r="120" spans="1:25" x14ac:dyDescent="0.35">
      <c r="A120" s="2">
        <v>45366</v>
      </c>
      <c r="B120" s="3">
        <v>2.7905414739582999</v>
      </c>
      <c r="C120" s="3">
        <v>4.0043652992924903</v>
      </c>
      <c r="D120" s="3">
        <v>3.1526340202902001</v>
      </c>
      <c r="E120" s="3">
        <v>3.31417317965386</v>
      </c>
      <c r="F120" s="3">
        <v>2.2209508243473599</v>
      </c>
      <c r="G120" s="3">
        <v>3.2487722738054301</v>
      </c>
      <c r="H120" s="3">
        <v>4.1298638705979496</v>
      </c>
      <c r="I120" s="3">
        <v>0.89827155642324996</v>
      </c>
      <c r="J120" s="3">
        <v>1.4701947322890401</v>
      </c>
      <c r="K120" s="3">
        <v>3.0567663189896899</v>
      </c>
      <c r="L120" s="3">
        <v>2.6167529259555198</v>
      </c>
      <c r="M120" s="3">
        <v>3.1845647296832098</v>
      </c>
      <c r="N120" s="3">
        <v>5.1628200366262398</v>
      </c>
    </row>
    <row r="121" spans="1:25" x14ac:dyDescent="0.35">
      <c r="A121" s="2">
        <v>45399</v>
      </c>
      <c r="B121" s="3">
        <v>2.7879650493950399</v>
      </c>
      <c r="C121" s="3">
        <v>4.0767327582536304</v>
      </c>
      <c r="D121" s="3">
        <v>3.16460931496625</v>
      </c>
      <c r="E121" s="3">
        <v>3.40490087240007</v>
      </c>
      <c r="F121" s="3">
        <v>2.2601293236835298</v>
      </c>
      <c r="G121" s="3">
        <v>3.4080640182349899</v>
      </c>
      <c r="H121" s="3">
        <v>4.0974481917830996</v>
      </c>
      <c r="I121" s="3">
        <v>0.92573510879770404</v>
      </c>
      <c r="J121" s="3">
        <v>1.5025511137040599</v>
      </c>
      <c r="K121" s="3">
        <v>3.1526736636204298</v>
      </c>
      <c r="L121" s="3">
        <v>2.6299642769023399</v>
      </c>
      <c r="M121" s="3">
        <v>3.3240059033851699</v>
      </c>
      <c r="N121" s="3">
        <v>5.2952871588627897</v>
      </c>
    </row>
    <row r="122" spans="1:25" x14ac:dyDescent="0.35">
      <c r="A122" s="2">
        <v>45427</v>
      </c>
      <c r="B122" s="3">
        <v>2.7589704980945702</v>
      </c>
      <c r="C122" s="3">
        <v>3.8952822235381599</v>
      </c>
      <c r="D122" s="3">
        <v>3.0462964994689798</v>
      </c>
      <c r="E122" s="3">
        <v>3.2702510073463702</v>
      </c>
      <c r="F122" s="3">
        <v>2.2300205740150498</v>
      </c>
      <c r="G122" s="3">
        <v>3.2319662981536599</v>
      </c>
      <c r="H122" s="3">
        <v>3.8020671504152701</v>
      </c>
      <c r="I122" s="3">
        <v>0.89410110570077705</v>
      </c>
      <c r="J122" s="3">
        <v>1.4426935914105099</v>
      </c>
      <c r="K122" s="3">
        <v>3.04977022766669</v>
      </c>
      <c r="L122" s="3">
        <v>2.45767758165251</v>
      </c>
      <c r="M122" s="3">
        <v>3.1538639863719999</v>
      </c>
      <c r="N122" s="3">
        <v>5.0918577681041199</v>
      </c>
    </row>
    <row r="125" spans="1:25" x14ac:dyDescent="0.35">
      <c r="A125" s="2" t="s">
        <v>91</v>
      </c>
      <c r="B125" s="3" cm="1">
        <f t="array" ref="B125">MIN(_xlfn._xlws.FILTER(B1:B122, ISNUMBER(B1:B122)))</f>
        <v>2.3429363301601298</v>
      </c>
      <c r="C125" s="3" cm="1">
        <f t="array" ref="C125">MIN(_xlfn._xlws.FILTER(C1:C122, ISNUMBER(C1:C122)))</f>
        <v>3.3713919415859399</v>
      </c>
      <c r="D125" s="3" cm="1">
        <f t="array" ref="D125">MIN(_xlfn._xlws.FILTER(D1:D122, ISNUMBER(D1:D122)))</f>
        <v>2.5644404068317899</v>
      </c>
      <c r="E125" s="3" cm="1">
        <f t="array" ref="E125">MIN(_xlfn._xlws.FILTER(E1:E122, ISNUMBER(E1:E122)))</f>
        <v>2.6593763893659101</v>
      </c>
      <c r="F125" s="3" cm="1">
        <f t="array" ref="F125">MIN(_xlfn._xlws.FILTER(F1:F122, ISNUMBER(F1:F122)))</f>
        <v>1.8368416738670501</v>
      </c>
      <c r="G125" s="3" cm="1">
        <f t="array" ref="G125">MIN(_xlfn._xlws.FILTER(G1:G122, ISNUMBER(G1:G122)))</f>
        <v>2.5452800304157899</v>
      </c>
      <c r="H125" s="3" cm="1">
        <f t="array" ref="H125">MIN(_xlfn._xlws.FILTER(H1:H122, ISNUMBER(H1:H122)))</f>
        <v>3.8020671504152701</v>
      </c>
      <c r="I125" s="3" cm="1">
        <f t="array" ref="I125">MIN(_xlfn._xlws.FILTER(I1:I122, ISNUMBER(I1:I122)))</f>
        <v>0.66183497309209505</v>
      </c>
      <c r="J125" s="3" cm="1">
        <f t="array" ref="J125">MIN(_xlfn._xlws.FILTER(J1:J122, ISNUMBER(J1:J122)))</f>
        <v>1.3694206234355799</v>
      </c>
      <c r="K125" s="3" cm="1">
        <f t="array" ref="K125">MIN(_xlfn._xlws.FILTER(K1:K122, ISNUMBER(K1:K122)))</f>
        <v>2.6293152313603598</v>
      </c>
      <c r="L125" s="3" cm="1">
        <f t="array" ref="L125">MIN(_xlfn._xlws.FILTER(L1:L122, ISNUMBER(L1:L122)))</f>
        <v>1.83581310670681</v>
      </c>
      <c r="M125" s="3" cm="1">
        <f t="array" ref="M125">MIN(_xlfn._xlws.FILTER(M1:M122, ISNUMBER(M1:M122)))</f>
        <v>2.67506906047169</v>
      </c>
      <c r="N125" s="3" cm="1">
        <f t="array" ref="N125">MIN(_xlfn._xlws.FILTER(N1:N122, ISNUMBER(N1:N122)))</f>
        <v>3.1428754106056398</v>
      </c>
    </row>
    <row r="126" spans="1:25" x14ac:dyDescent="0.35">
      <c r="A126" s="2" t="s">
        <v>92</v>
      </c>
      <c r="B126" s="3" cm="1">
        <f t="array" ref="B126">MAX(_xlfn._xlws.FILTER(B1:B122, ISNUMBER(B1:B122)))</f>
        <v>5.1097979254755401</v>
      </c>
      <c r="C126" s="3" cm="1">
        <f t="array" ref="C126">MAX(_xlfn._xlws.FILTER(C1:C122, ISNUMBER(C1:C122)))</f>
        <v>5.5744427831521399</v>
      </c>
      <c r="D126" s="3" cm="1">
        <f t="array" ref="D126">MAX(_xlfn._xlws.FILTER(D1:D122, ISNUMBER(D1:D122)))</f>
        <v>4.5805559292554197</v>
      </c>
      <c r="E126" s="3" cm="1">
        <f t="array" ref="E126">MAX(_xlfn._xlws.FILTER(E1:E122, ISNUMBER(E1:E122)))</f>
        <v>4.5897556992069601</v>
      </c>
      <c r="F126" s="3" cm="1">
        <f t="array" ref="F126">MAX(_xlfn._xlws.FILTER(F1:F122, ISNUMBER(F1:F122)))</f>
        <v>3.2970041890916502</v>
      </c>
      <c r="G126" s="3" cm="1">
        <f t="array" ref="G126">MAX(_xlfn._xlws.FILTER(G1:G122, ISNUMBER(G1:G122)))</f>
        <v>3.8610795022025699</v>
      </c>
      <c r="H126" s="3" cm="1">
        <f t="array" ref="H126">MAX(_xlfn._xlws.FILTER(H1:H122, ISNUMBER(H1:H122)))</f>
        <v>6.8094419185591502</v>
      </c>
      <c r="I126" s="3" cm="1">
        <f t="array" ref="I126">MAX(_xlfn._xlws.FILTER(I1:I122, ISNUMBER(I1:I122)))</f>
        <v>1.4077125324988899</v>
      </c>
      <c r="J126" s="3" cm="1">
        <f t="array" ref="J126">MAX(_xlfn._xlws.FILTER(J1:J122, ISNUMBER(J1:J122)))</f>
        <v>2.5257732265288801</v>
      </c>
      <c r="K126" s="3" cm="1">
        <f t="array" ref="K126">MAX(_xlfn._xlws.FILTER(K1:K122, ISNUMBER(K1:K122)))</f>
        <v>4.9441153875112098</v>
      </c>
      <c r="L126" s="3" cm="1">
        <f t="array" ref="L126">MAX(_xlfn._xlws.FILTER(L1:L122, ISNUMBER(L1:L122)))</f>
        <v>3.7610381831481101</v>
      </c>
      <c r="M126" s="3" cm="1">
        <f t="array" ref="M126">MAX(_xlfn._xlws.FILTER(M1:M122, ISNUMBER(M1:M122)))</f>
        <v>4.7561241283537603</v>
      </c>
      <c r="N126" s="3" cm="1">
        <f t="array" ref="N126">MAX(_xlfn._xlws.FILTER(N1:N122, ISNUMBER(N1:N122)))</f>
        <v>7.0330276810867796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0.17199999999999999</v>
      </c>
      <c r="C128" s="9" cm="1">
        <f t="array" ref="C128">_xlfn.PERCENTRANK.EXC(_xlfn._xlws.FILTER(C1:C122, ISNUMBER(C1:C122)),C122)</f>
        <v>0.122</v>
      </c>
      <c r="D128" s="9" cm="1">
        <f t="array" ref="D128">_xlfn.PERCENTRANK.EXC(_xlfn._xlws.FILTER(D1:D122, ISNUMBER(D1:D122)),D122)</f>
        <v>0.40899999999999997</v>
      </c>
      <c r="E128" s="9" cm="1">
        <f t="array" ref="E128">_xlfn.PERCENTRANK.EXC(_xlfn._xlws.FILTER(E1:E122, ISNUMBER(E1:E122)),E122)</f>
        <v>0.52400000000000002</v>
      </c>
      <c r="F128" s="9" cm="1">
        <f t="array" ref="F128">_xlfn.PERCENTRANK.EXC(_xlfn._xlws.FILTER(F1:F122, ISNUMBER(F1:F122)),F122)</f>
        <v>0.40100000000000002</v>
      </c>
      <c r="G128" s="9" cm="1">
        <f t="array" ref="G128">_xlfn.PERCENTRANK.EXC(_xlfn._xlws.FILTER(G1:G122, ISNUMBER(G1:G122)),G122)</f>
        <v>0.42599999999999999</v>
      </c>
      <c r="H128" s="9" cm="1">
        <f t="array" ref="H128">_xlfn.PERCENTRANK.EXC(_xlfn._xlws.FILTER(H1:H122, ISNUMBER(H1:H122)),H122)</f>
        <v>8.0000000000000002E-3</v>
      </c>
      <c r="I128" s="9" cm="1">
        <f t="array" ref="I128">_xlfn.PERCENTRANK.EXC(_xlfn._xlws.FILTER(I1:I122, ISNUMBER(I1:I122)),I122)</f>
        <v>0.245</v>
      </c>
      <c r="J128" s="9" cm="1">
        <f t="array" ref="J128">_xlfn.PERCENTRANK.EXC(_xlfn._xlws.FILTER(J1:J122, ISNUMBER(J1:J122)),J122)</f>
        <v>5.7000000000000002E-2</v>
      </c>
      <c r="K128" s="9" cm="1">
        <f t="array" ref="K128">_xlfn.PERCENTRANK.EXC(_xlfn._xlws.FILTER(K1:K122, ISNUMBER(K1:K122)),K122)</f>
        <v>0.13900000000000001</v>
      </c>
      <c r="L128" s="9" cm="1">
        <f t="array" ref="L128">_xlfn.PERCENTRANK.EXC(_xlfn._xlws.FILTER(L1:L122, ISNUMBER(L1:L122)),L122)</f>
        <v>0.19600000000000001</v>
      </c>
      <c r="M128" s="9" cm="1">
        <f t="array" ref="M128">_xlfn.PERCENTRANK.EXC(_xlfn._xlws.FILTER(M1:M122, ISNUMBER(M1:M122)),M122)</f>
        <v>0.20399999999999999</v>
      </c>
      <c r="N128" s="9" cm="1">
        <f t="array" ref="N128">_xlfn.PERCENTRANK.EXC(_xlfn._xlws.FILTER(N1:N122, ISNUMBER(N1:N122)),N122)</f>
        <v>0.72899999999999998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41775</v>
      </c>
      <c r="B2" s="24" cm="1">
        <f t="array" ref="B2:B122">_xll.FDS(B1,"FG_TOTAL_RETURNC(-10AY,0,AM)")/100</f>
        <v>2.3922324000000002E-2</v>
      </c>
      <c r="C2" s="24" cm="1">
        <f t="array" ref="C2:C122">_xll.FDS(C1,"FG_TOTAL_RETURNC(-10AY,0,AM)")/100</f>
        <v>1.0586023E-2</v>
      </c>
      <c r="D2" s="24" cm="1">
        <f t="array" ref="D2:D122">_xll.FDS(D1,"FG_TOTAL_RETURNC(-10AY,0,AM)")/100</f>
        <v>1.7368077999999999E-2</v>
      </c>
      <c r="E2" s="24" cm="1">
        <f t="array" ref="E2:E122">_xll.FDS(E1,"FG_TOTAL_RETURNC(-10AY,0,AM)")/100</f>
        <v>9.671210999999999E-3</v>
      </c>
      <c r="F2" s="24" cm="1">
        <f t="array" ref="F2:F122">_xll.FDS(F1,"FG_TOTAL_RETURNC(-10AY,0,AM)")/100</f>
        <v>-2.6834010000000002E-3</v>
      </c>
      <c r="G2" s="24" cm="1">
        <f t="array" ref="G2:G122">_xll.FDS(G1,"FG_TOTAL_RETURNC(-10AY,0,AM)")/100</f>
        <v>2.3060203000000001E-2</v>
      </c>
      <c r="H2" s="24" cm="1">
        <f t="array" ref="H2:H122">_xll.FDS(H1,"FG_TOTAL_RETURNC(-10AY,0,AM)")/100</f>
        <v>4.5933010000000003E-2</v>
      </c>
      <c r="I2" s="24" cm="1">
        <f t="array" ref="I2:I122">_xll.FDS(I1,"FG_TOTAL_RETURNC(-10AY,0,AM)")/100</f>
        <v>1.7517446999999998E-2</v>
      </c>
      <c r="J2" s="24" cm="1">
        <f t="array" ref="J2:J122">_xll.FDS(J1,"FG_TOTAL_RETURNC(-10AY,0,AM)")/100</f>
        <v>8.9061260000000003E-3</v>
      </c>
      <c r="K2" s="24" cm="1">
        <f t="array" ref="K2:K122">_xll.FDS(K1,"FG_TOTAL_RETURNC(-10AY,0,AM)")/100</f>
        <v>6.2615869999999999E-3</v>
      </c>
      <c r="L2" s="24" cm="1">
        <f t="array" ref="L2:L122">_xll.FDS(L1,"FG_TOTAL_RETURNC(-10AY,0,AM)")/100</f>
        <v>-4.3047667000000005E-3</v>
      </c>
      <c r="M2" s="24" cm="1">
        <f t="array" ref="M2:M122">_xll.FDS(M1,"FG_TOTAL_RETURNC(-10AY,0,AM)")/100</f>
        <v>3.6748409999999995E-2</v>
      </c>
      <c r="N2" s="24" cm="1">
        <f t="array" ref="N2:N122">_xll.FDS(N1,"FG_TOTAL_RETURNC(-10AY,0,AM)")/100</f>
        <v>-5.5617989999999999E-2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41807</v>
      </c>
      <c r="B3" s="24">
        <v>-7.4022410000000004E-3</v>
      </c>
      <c r="C3" s="24">
        <v>-2.0201980000000001E-2</v>
      </c>
      <c r="D3" s="24">
        <v>3.6441207000000003E-2</v>
      </c>
      <c r="E3" s="24">
        <v>1.8199205E-2</v>
      </c>
      <c r="F3" s="24">
        <v>5.9192896000000002E-2</v>
      </c>
      <c r="G3" s="24">
        <v>-4.53645E-3</v>
      </c>
      <c r="H3" s="24">
        <v>-2.7447940000000001E-3</v>
      </c>
      <c r="I3" s="24">
        <v>5.4041743000000003E-2</v>
      </c>
      <c r="J3" s="24">
        <v>3.6054254000000001E-2</v>
      </c>
      <c r="K3" s="24">
        <v>1.2445330999999999E-2</v>
      </c>
      <c r="L3" s="24">
        <v>2.7533412E-2</v>
      </c>
      <c r="M3" s="24">
        <v>-1.2352407000000001E-2</v>
      </c>
      <c r="N3" s="24">
        <v>6.9601416999999999E-2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41837</v>
      </c>
      <c r="B4" s="24">
        <v>-1.6122340999999998E-2</v>
      </c>
      <c r="C4" s="24">
        <v>2.4360417999999998E-2</v>
      </c>
      <c r="D4" s="24">
        <v>2.7840853000000002E-2</v>
      </c>
      <c r="E4" s="24">
        <v>-2.5253356000000001E-2</v>
      </c>
      <c r="F4" s="24">
        <v>2.8157591999999999E-2</v>
      </c>
      <c r="G4" s="24">
        <v>-1.4895856000000001E-2</v>
      </c>
      <c r="H4" s="24">
        <v>-2.3127197999999998E-3</v>
      </c>
      <c r="I4" s="24">
        <v>2.6209593E-2</v>
      </c>
      <c r="J4" s="24">
        <v>9.3188286000000006E-3</v>
      </c>
      <c r="K4" s="24">
        <v>-5.3346156999999998E-2</v>
      </c>
      <c r="L4" s="24">
        <v>-4.6732306000000001E-2</v>
      </c>
      <c r="M4" s="24">
        <v>-4.044652E-2</v>
      </c>
      <c r="N4" s="24">
        <v>-7.1151199999999998E-2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41866</v>
      </c>
      <c r="B5" s="24">
        <v>-2.2049903999999999E-2</v>
      </c>
      <c r="C5" s="24">
        <v>9.0805290000000004E-3</v>
      </c>
      <c r="D5" s="24">
        <v>-2.7941464999999997E-3</v>
      </c>
      <c r="E5" s="24">
        <v>-6.3997326000000007E-2</v>
      </c>
      <c r="F5" s="24">
        <v>-7.4626802999999999E-3</v>
      </c>
      <c r="G5" s="24">
        <v>-1.9668757999999998E-2</v>
      </c>
      <c r="H5" s="24">
        <v>-2.1707594E-2</v>
      </c>
      <c r="I5" s="24">
        <v>2.9391527000000001E-2</v>
      </c>
      <c r="J5" s="24">
        <v>5.1021576000000001E-5</v>
      </c>
      <c r="K5" s="24">
        <v>-3.3679724000000001E-2</v>
      </c>
      <c r="L5" s="24">
        <v>-1.6359985E-2</v>
      </c>
      <c r="M5" s="24">
        <v>-6.9950820000000006E-3</v>
      </c>
      <c r="N5" s="24">
        <v>-6.3752230000000007E-2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41899</v>
      </c>
      <c r="B6" s="24">
        <v>-3.4687876999999999E-2</v>
      </c>
      <c r="C6" s="24">
        <v>-5.6242942999999997E-2</v>
      </c>
      <c r="D6" s="24">
        <v>6.2266589999999998E-3</v>
      </c>
      <c r="E6" s="24">
        <v>1.4025210999999999E-2</v>
      </c>
      <c r="F6" s="24">
        <v>-2.0885527000000001E-2</v>
      </c>
      <c r="G6" s="24">
        <v>1.0559559E-3</v>
      </c>
      <c r="H6" s="24">
        <v>-1.1341273999999998E-2</v>
      </c>
      <c r="I6" s="24">
        <v>2.1868587000000002E-2</v>
      </c>
      <c r="J6" s="24">
        <v>2.5699972999999997E-2</v>
      </c>
      <c r="K6" s="24">
        <v>1.4460564E-2</v>
      </c>
      <c r="L6" s="24">
        <v>1.7879486E-2</v>
      </c>
      <c r="M6" s="24">
        <v>-1.2621104999999999E-2</v>
      </c>
      <c r="N6" s="24">
        <v>5.0583720000000006E-2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41929</v>
      </c>
      <c r="B7" s="24">
        <v>-1.2320340000000001E-2</v>
      </c>
      <c r="C7" s="24">
        <v>-3.4564971999999999E-2</v>
      </c>
      <c r="D7" s="24">
        <v>-0.10179454</v>
      </c>
      <c r="E7" s="24">
        <v>-9.5435680000000009E-2</v>
      </c>
      <c r="F7" s="24">
        <v>-6.6552934999999994E-2</v>
      </c>
      <c r="G7" s="24">
        <v>-7.5949373000000001E-2</v>
      </c>
      <c r="H7" s="24">
        <v>-8.3291770000000001E-2</v>
      </c>
      <c r="I7" s="24">
        <v>-6.3385963000000003E-2</v>
      </c>
      <c r="J7" s="24">
        <v>-5.6777296000000005E-2</v>
      </c>
      <c r="K7" s="24">
        <v>-0.10087723</v>
      </c>
      <c r="L7" s="24">
        <v>-7.7205839999999998E-2</v>
      </c>
      <c r="M7" s="24">
        <v>-7.6991677000000008E-2</v>
      </c>
      <c r="N7" s="24">
        <v>-0.12407415999999999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41960</v>
      </c>
      <c r="B8" s="24">
        <v>7.1465730000000005E-2</v>
      </c>
      <c r="C8" s="24">
        <v>1.6461015000000002E-2</v>
      </c>
      <c r="D8" s="24">
        <v>4.4781209999999995E-2</v>
      </c>
      <c r="E8" s="24">
        <v>3.1727789999999999E-2</v>
      </c>
      <c r="F8" s="24">
        <v>5.8501005000000002E-2</v>
      </c>
      <c r="G8" s="24">
        <v>6.0013056000000002E-2</v>
      </c>
      <c r="H8" s="24">
        <v>3.3188224000000002E-2</v>
      </c>
      <c r="I8" s="24">
        <v>0.10655916</v>
      </c>
      <c r="J8" s="24">
        <v>8.4363574999999996E-2</v>
      </c>
      <c r="K8" s="24">
        <v>3.1300782999999999E-2</v>
      </c>
      <c r="L8" s="24">
        <v>6.3302399999999995E-2</v>
      </c>
      <c r="M8" s="24">
        <v>5.346215E-2</v>
      </c>
      <c r="N8" s="24">
        <v>1.5503883000000001E-2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41990</v>
      </c>
      <c r="B9" s="24">
        <v>-2.2564589999999999E-2</v>
      </c>
      <c r="C9" s="24">
        <v>-0.10294209999999999</v>
      </c>
      <c r="D9" s="24">
        <v>-6.8752885E-2</v>
      </c>
      <c r="E9" s="24">
        <v>2.6306033000000003E-2</v>
      </c>
      <c r="F9" s="24">
        <v>-2.1043002999999998E-2</v>
      </c>
      <c r="G9" s="24">
        <v>-1.8153846000000001E-2</v>
      </c>
      <c r="H9" s="24">
        <v>-4.7385693E-2</v>
      </c>
      <c r="I9" s="24">
        <v>-1.0786115999999998E-2</v>
      </c>
      <c r="J9" s="24">
        <v>-1.2624145E-2</v>
      </c>
      <c r="K9" s="24">
        <v>-2.0942031999999999E-2</v>
      </c>
      <c r="L9" s="24">
        <v>-1.5377700000000001E-2</v>
      </c>
      <c r="M9" s="24">
        <v>-3.0844092E-2</v>
      </c>
      <c r="N9" s="24">
        <v>-3.7772356999999999E-2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42020</v>
      </c>
      <c r="B10" s="24">
        <v>3.8775562999999999E-2</v>
      </c>
      <c r="C10" s="24">
        <v>4.0074587000000002E-2</v>
      </c>
      <c r="D10" s="24">
        <v>-2.153629E-2</v>
      </c>
      <c r="E10" s="24">
        <v>-3.6102532999999999E-4</v>
      </c>
      <c r="F10" s="24">
        <v>6.2111616E-3</v>
      </c>
      <c r="G10" s="24">
        <v>2.1936773999999999E-2</v>
      </c>
      <c r="H10" s="24">
        <v>2.8185844E-3</v>
      </c>
      <c r="I10" s="24">
        <v>-5.9545040000000002E-3</v>
      </c>
      <c r="J10" s="24">
        <v>4.6982765000000001E-3</v>
      </c>
      <c r="K10" s="24">
        <v>-4.0617585000000001E-3</v>
      </c>
      <c r="L10" s="24">
        <v>0</v>
      </c>
      <c r="M10" s="24">
        <v>-1.5888155000000001E-2</v>
      </c>
      <c r="N10" s="24">
        <v>-3.3405959999999998E-2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42052</v>
      </c>
      <c r="B11" s="24">
        <v>-1.4980376E-2</v>
      </c>
      <c r="C11" s="24">
        <v>4.7491073999999994E-2</v>
      </c>
      <c r="D11" s="24">
        <v>4.0719029999999996E-2</v>
      </c>
      <c r="E11" s="24">
        <v>4.9115180000000001E-2</v>
      </c>
      <c r="F11" s="24">
        <v>5.1146390000000007E-2</v>
      </c>
      <c r="G11" s="24">
        <v>1.2572885000000001E-2</v>
      </c>
      <c r="H11" s="24">
        <v>6.2394499999999999E-2</v>
      </c>
      <c r="I11" s="24">
        <v>6.1396600000000003E-2</v>
      </c>
      <c r="J11" s="24">
        <v>4.2057156999999998E-2</v>
      </c>
      <c r="K11" s="24">
        <v>7.0146800000000009E-2</v>
      </c>
      <c r="L11" s="24">
        <v>5.7700515000000001E-2</v>
      </c>
      <c r="M11" s="24">
        <v>8.9441409999999999E-2</v>
      </c>
      <c r="N11" s="24">
        <v>9.5416910000000008E-2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42080</v>
      </c>
      <c r="B12" s="24">
        <v>-7.9780819999999992E-3</v>
      </c>
      <c r="C12" s="24">
        <v>-2.5235175999999998E-2</v>
      </c>
      <c r="D12" s="24">
        <v>-5.0757884999999996E-2</v>
      </c>
      <c r="E12" s="24">
        <v>1.8932938999999999E-2</v>
      </c>
      <c r="F12" s="24">
        <v>5.3691269999999999E-2</v>
      </c>
      <c r="G12" s="24">
        <v>-1.483953E-2</v>
      </c>
      <c r="H12" s="24">
        <v>-4.1798887E-2</v>
      </c>
      <c r="I12" s="24">
        <v>-1.3082622999999998E-3</v>
      </c>
      <c r="J12" s="24">
        <v>-1.0232687000000001E-2</v>
      </c>
      <c r="K12" s="24">
        <v>-2.2484779999999999E-2</v>
      </c>
      <c r="L12" s="24">
        <v>1.5643834999999998E-2</v>
      </c>
      <c r="M12" s="24">
        <v>-1.8375874E-2</v>
      </c>
      <c r="N12" s="24">
        <v>-1.4403284000000001E-2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42111</v>
      </c>
      <c r="B13" s="24">
        <v>3.7949204E-2</v>
      </c>
      <c r="C13" s="24">
        <v>2.1500707000000001E-2</v>
      </c>
      <c r="D13" s="24">
        <v>7.7237249999999993E-2</v>
      </c>
      <c r="E13" s="24">
        <v>-7.0946217000000004E-3</v>
      </c>
      <c r="F13" s="24">
        <v>2.9060483000000002E-2</v>
      </c>
      <c r="G13" s="24">
        <v>6.3940999999999998E-2</v>
      </c>
      <c r="H13" s="24">
        <v>4.0309190000000002E-2</v>
      </c>
      <c r="I13" s="24">
        <v>-5.7799219999999998E-3</v>
      </c>
      <c r="J13" s="24">
        <v>4.3754577999999995E-3</v>
      </c>
      <c r="K13" s="24">
        <v>3.9766072999999999E-2</v>
      </c>
      <c r="L13" s="24">
        <v>1.3428092000000001E-2</v>
      </c>
      <c r="M13" s="24">
        <v>1.2681246E-2</v>
      </c>
      <c r="N13" s="24">
        <v>3.3402919999999996E-2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42139</v>
      </c>
      <c r="B14" s="24">
        <v>-3.7288130000000003E-2</v>
      </c>
      <c r="C14" s="24">
        <v>1.8041253E-2</v>
      </c>
      <c r="D14" s="24">
        <v>-2.7576685000000002E-3</v>
      </c>
      <c r="E14" s="24">
        <v>3.6406874999999998E-2</v>
      </c>
      <c r="F14" s="24">
        <v>1.6634464000000002E-2</v>
      </c>
      <c r="G14" s="24">
        <v>3.7850259999999997E-2</v>
      </c>
      <c r="H14" s="24">
        <v>5.3078529999999999E-2</v>
      </c>
      <c r="I14" s="24">
        <v>3.3676027999999997E-2</v>
      </c>
      <c r="J14" s="24">
        <v>2.1591783000000003E-2</v>
      </c>
      <c r="K14" s="24">
        <v>4.4994354E-2</v>
      </c>
      <c r="L14" s="24">
        <v>6.3717839999999998E-2</v>
      </c>
      <c r="M14" s="24">
        <v>3.5181879999999999E-2</v>
      </c>
      <c r="N14" s="24">
        <v>8.0808049999999992E-2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42172</v>
      </c>
      <c r="B15" s="24">
        <v>-6.5643786999999995E-2</v>
      </c>
      <c r="C15" s="24">
        <v>-6.2025365999999998E-2</v>
      </c>
      <c r="D15" s="24">
        <v>-4.1479470000000004E-2</v>
      </c>
      <c r="E15" s="24">
        <v>-5.8108925999999998E-2</v>
      </c>
      <c r="F15" s="24">
        <v>-2.3592114000000001E-2</v>
      </c>
      <c r="G15" s="24">
        <v>-4.1202664E-2</v>
      </c>
      <c r="H15" s="24">
        <v>-3.4778237000000004E-2</v>
      </c>
      <c r="I15" s="24">
        <v>-4.3804050000000004E-3</v>
      </c>
      <c r="J15" s="24">
        <v>-8.7083580000000011E-3</v>
      </c>
      <c r="K15" s="24">
        <v>-5.0592127000000001E-2</v>
      </c>
      <c r="L15" s="24">
        <v>-4.3780922999999999E-2</v>
      </c>
      <c r="M15" s="24">
        <v>-1.9009233E-2</v>
      </c>
      <c r="N15" s="24">
        <v>-5.6074739999999998E-2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42202</v>
      </c>
      <c r="B16" s="24">
        <v>-5.9178350000000005E-2</v>
      </c>
      <c r="C16" s="24">
        <v>-3.0594527999999999E-2</v>
      </c>
      <c r="D16" s="24">
        <v>-5.8803319999999999E-2</v>
      </c>
      <c r="E16" s="24">
        <v>2.3382782999999997E-2</v>
      </c>
      <c r="F16" s="24">
        <v>1.6795635E-2</v>
      </c>
      <c r="G16" s="24">
        <v>1.9127249999999998E-2</v>
      </c>
      <c r="H16" s="24">
        <v>-1.4480947999999999E-3</v>
      </c>
      <c r="I16" s="24">
        <v>4.356289E-2</v>
      </c>
      <c r="J16" s="24">
        <v>1.390481E-2</v>
      </c>
      <c r="K16" s="24">
        <v>2.4604797000000001E-2</v>
      </c>
      <c r="L16" s="24">
        <v>2.7285575999999999E-2</v>
      </c>
      <c r="M16" s="24">
        <v>-1.6179860000000001E-2</v>
      </c>
      <c r="N16" s="24">
        <v>3.5753488999999999E-2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42233</v>
      </c>
      <c r="B17" s="24">
        <v>-9.3953012999999988E-3</v>
      </c>
      <c r="C17" s="24">
        <v>-5.2756667000000007E-2</v>
      </c>
      <c r="D17" s="24">
        <v>-3.0115783E-2</v>
      </c>
      <c r="E17" s="24">
        <v>-3.6382555999999996E-2</v>
      </c>
      <c r="F17" s="24">
        <v>-2.3112297E-3</v>
      </c>
      <c r="G17" s="24">
        <v>-2.0128309999999996E-2</v>
      </c>
      <c r="H17" s="24">
        <v>-2.7156532000000001E-2</v>
      </c>
      <c r="I17" s="24">
        <v>-1.9015729999999998E-2</v>
      </c>
      <c r="J17" s="24">
        <v>-8.8949800000000002E-3</v>
      </c>
      <c r="K17" s="24">
        <v>-1.5003084999999998E-3</v>
      </c>
      <c r="L17" s="24">
        <v>-3.2830237999999998E-2</v>
      </c>
      <c r="M17" s="24">
        <v>-1.2974918E-2</v>
      </c>
      <c r="N17" s="24">
        <v>1.2321591E-2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42264</v>
      </c>
      <c r="B18" s="24">
        <v>-4.1478689999999999E-2</v>
      </c>
      <c r="C18" s="24">
        <v>-6.1214329999999997E-2</v>
      </c>
      <c r="D18" s="24">
        <v>-3.861469E-2</v>
      </c>
      <c r="E18" s="24">
        <v>-3.8475334999999999E-2</v>
      </c>
      <c r="F18" s="24">
        <v>-8.185328E-2</v>
      </c>
      <c r="G18" s="24">
        <v>-4.3167650000000002E-2</v>
      </c>
      <c r="H18" s="24">
        <v>-5.9660672999999997E-2</v>
      </c>
      <c r="I18" s="24">
        <v>-3.8589299000000001E-2</v>
      </c>
      <c r="J18" s="24">
        <v>-5.1569404999999999E-2</v>
      </c>
      <c r="K18" s="24">
        <v>-4.3200674000000001E-2</v>
      </c>
      <c r="L18" s="24">
        <v>-4.0577410000000001E-2</v>
      </c>
      <c r="M18" s="24">
        <v>-2.6291071999999999E-2</v>
      </c>
      <c r="N18" s="24">
        <v>-3.0749499999999999E-2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42293</v>
      </c>
      <c r="B19" s="24">
        <v>9.6939799999999993E-2</v>
      </c>
      <c r="C19" s="24">
        <v>4.5964720000000001E-2</v>
      </c>
      <c r="D19" s="24">
        <v>2.4844765999999997E-2</v>
      </c>
      <c r="E19" s="24">
        <v>-1.8698573E-2</v>
      </c>
      <c r="F19" s="24">
        <v>2.6913404000000002E-2</v>
      </c>
      <c r="G19" s="24">
        <v>0</v>
      </c>
      <c r="H19" s="24">
        <v>2.6775239999999999E-2</v>
      </c>
      <c r="I19" s="24">
        <v>1.1732101E-2</v>
      </c>
      <c r="J19" s="24">
        <v>2.3105025000000001E-2</v>
      </c>
      <c r="K19" s="24">
        <v>1.2563824999999999E-2</v>
      </c>
      <c r="L19" s="24">
        <v>1.1793375E-2</v>
      </c>
      <c r="M19" s="24">
        <v>-2.5072336000000001E-2</v>
      </c>
      <c r="N19" s="24">
        <v>9.2531439999999996E-3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42325</v>
      </c>
      <c r="B20" s="24">
        <v>-2.440405E-2</v>
      </c>
      <c r="C20" s="24">
        <v>-5.6719484000000001E-2</v>
      </c>
      <c r="D20" s="24">
        <v>-7.0303019999999994E-2</v>
      </c>
      <c r="E20" s="24">
        <v>5.3353309999999996E-3</v>
      </c>
      <c r="F20" s="24">
        <v>2.3751020000000001E-2</v>
      </c>
      <c r="G20" s="24">
        <v>-3.5780965999999997E-2</v>
      </c>
      <c r="H20" s="24">
        <v>-3.5147310000000001E-2</v>
      </c>
      <c r="I20" s="24">
        <v>3.1169056999999997E-2</v>
      </c>
      <c r="J20" s="24">
        <v>1.0823011E-2</v>
      </c>
      <c r="K20" s="24">
        <v>-2.7142346000000001E-2</v>
      </c>
      <c r="L20" s="24">
        <v>-1.3263643E-2</v>
      </c>
      <c r="M20" s="24">
        <v>-2.5057732999999999E-2</v>
      </c>
      <c r="N20" s="24">
        <v>-7.5311127000000005E-2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42355</v>
      </c>
      <c r="B21" s="24">
        <v>5.2859664000000001E-2</v>
      </c>
      <c r="C21" s="24">
        <v>-8.125663E-3</v>
      </c>
      <c r="D21" s="24">
        <v>-5.9973954999999995E-2</v>
      </c>
      <c r="E21" s="24">
        <v>7.581710999999999E-4</v>
      </c>
      <c r="F21" s="24">
        <v>-1.9999981E-2</v>
      </c>
      <c r="G21" s="24">
        <v>-7.0990324E-3</v>
      </c>
      <c r="H21" s="24">
        <v>-4.4653359999999996E-2</v>
      </c>
      <c r="I21" s="24">
        <v>7.4446199999999999E-3</v>
      </c>
      <c r="J21" s="24">
        <v>-2.968788E-3</v>
      </c>
      <c r="K21" s="24">
        <v>-2.6703893999999999E-2</v>
      </c>
      <c r="L21" s="24">
        <v>-2.7698516999999999E-2</v>
      </c>
      <c r="M21" s="24">
        <v>-2.4687169999999998E-2</v>
      </c>
      <c r="N21" s="24">
        <v>-1.7705380999999999E-2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42384</v>
      </c>
      <c r="B22" s="24">
        <v>-3.6630630000000004E-2</v>
      </c>
      <c r="C22" s="24">
        <v>-8.7722540000000002E-2</v>
      </c>
      <c r="D22" s="24">
        <v>-0.11106605</v>
      </c>
      <c r="E22" s="24">
        <v>-0.10492426000000001</v>
      </c>
      <c r="F22" s="24">
        <v>-8.1113930000000001E-2</v>
      </c>
      <c r="G22" s="24">
        <v>-7.0523260000000004E-2</v>
      </c>
      <c r="H22" s="24">
        <v>-9.0434550000000002E-2</v>
      </c>
      <c r="I22" s="24">
        <v>-9.9409639999999994E-2</v>
      </c>
      <c r="J22" s="24">
        <v>-7.7674569999999998E-2</v>
      </c>
      <c r="K22" s="24">
        <v>-9.1305790000000012E-2</v>
      </c>
      <c r="L22" s="24">
        <v>-7.2672899999999999E-2</v>
      </c>
      <c r="M22" s="24">
        <v>-9.2468559999999991E-2</v>
      </c>
      <c r="N22" s="24">
        <v>-0.10039007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42417</v>
      </c>
      <c r="B23" s="24">
        <v>3.2330990000000004E-2</v>
      </c>
      <c r="C23" s="24">
        <v>8.3076950000000011E-2</v>
      </c>
      <c r="D23" s="24">
        <v>0.13600421000000001</v>
      </c>
      <c r="E23" s="24">
        <v>1.3118982E-2</v>
      </c>
      <c r="F23" s="24">
        <v>-2.6398242000000002E-2</v>
      </c>
      <c r="G23" s="24">
        <v>3.8460492999999999E-3</v>
      </c>
      <c r="H23" s="24">
        <v>4.7586202999999994E-2</v>
      </c>
      <c r="I23" s="24">
        <v>1.6461730000000001E-2</v>
      </c>
      <c r="J23" s="24">
        <v>2.6995420000000003E-2</v>
      </c>
      <c r="K23" s="24">
        <v>3.6634922E-2</v>
      </c>
      <c r="L23" s="24">
        <v>3.0909061000000002E-2</v>
      </c>
      <c r="M23" s="24">
        <v>6.3479900000000006E-2</v>
      </c>
      <c r="N23" s="24">
        <v>-7.3151110000000005E-2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42446</v>
      </c>
      <c r="B24" s="24">
        <v>0.10767507999999999</v>
      </c>
      <c r="C24" s="24">
        <v>0.13295460000000001</v>
      </c>
      <c r="D24" s="24">
        <v>0.11136901999999999</v>
      </c>
      <c r="E24" s="24">
        <v>6.5580606E-2</v>
      </c>
      <c r="F24" s="24">
        <v>5.6066154999999999E-2</v>
      </c>
      <c r="G24" s="24">
        <v>3.7617563999999999E-2</v>
      </c>
      <c r="H24" s="24">
        <v>5.0032973000000001E-2</v>
      </c>
      <c r="I24" s="24">
        <v>4.8975587000000001E-2</v>
      </c>
      <c r="J24" s="24">
        <v>6.0918689999999998E-2</v>
      </c>
      <c r="K24" s="24">
        <v>6.2827229999999998E-2</v>
      </c>
      <c r="L24" s="24">
        <v>8.4215160000000011E-2</v>
      </c>
      <c r="M24" s="24">
        <v>5.7892919999999994E-2</v>
      </c>
      <c r="N24" s="24">
        <v>8.673024E-2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42475</v>
      </c>
      <c r="B25" s="24">
        <v>5.7868004000000001E-2</v>
      </c>
      <c r="C25" s="24">
        <v>-3.0090810000000003E-3</v>
      </c>
      <c r="D25" s="24">
        <v>1.2108563999999999E-2</v>
      </c>
      <c r="E25" s="24">
        <v>1.1368036E-2</v>
      </c>
      <c r="F25" s="24">
        <v>2.5239348000000002E-2</v>
      </c>
      <c r="G25" s="24">
        <v>2.3162126999999998E-2</v>
      </c>
      <c r="H25" s="24">
        <v>2.5078057999999999E-3</v>
      </c>
      <c r="I25" s="24">
        <v>3.2063603000000003E-2</v>
      </c>
      <c r="J25" s="24">
        <v>2.0608187E-2</v>
      </c>
      <c r="K25" s="24">
        <v>4.9260854999999999E-3</v>
      </c>
      <c r="L25" s="24">
        <v>8.1334114000000002E-3</v>
      </c>
      <c r="M25" s="24">
        <v>2.6852489E-2</v>
      </c>
      <c r="N25" s="24">
        <v>-2.8731048000000002E-2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42507</v>
      </c>
      <c r="B26" s="24">
        <v>1.9193888E-3</v>
      </c>
      <c r="C26" s="24">
        <v>-1.0060309999999999E-2</v>
      </c>
      <c r="D26" s="24">
        <v>1.2788773E-2</v>
      </c>
      <c r="E26" s="24">
        <v>-1.7441808999999999E-2</v>
      </c>
      <c r="F26" s="24">
        <v>-1.4431237999999999E-2</v>
      </c>
      <c r="G26" s="24">
        <v>-1.8044591000000002E-2</v>
      </c>
      <c r="H26" s="24">
        <v>-1.0006249E-2</v>
      </c>
      <c r="I26" s="24">
        <v>-4.6637715999999996E-2</v>
      </c>
      <c r="J26" s="24">
        <v>-1.4097571E-2</v>
      </c>
      <c r="K26" s="24">
        <v>-2.3284315999999999E-2</v>
      </c>
      <c r="L26" s="24">
        <v>-3.2674491E-2</v>
      </c>
      <c r="M26" s="24">
        <v>-4.5680227000000004E-2</v>
      </c>
      <c r="N26" s="24">
        <v>-3.4511090000000001E-2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42538</v>
      </c>
      <c r="B27" s="24">
        <v>2.7538299999999998E-2</v>
      </c>
      <c r="C27" s="24">
        <v>-2.8963386999999997E-2</v>
      </c>
      <c r="D27" s="24">
        <v>1.2220143999999999E-3</v>
      </c>
      <c r="E27" s="24">
        <v>-1.6568065E-2</v>
      </c>
      <c r="F27" s="24">
        <v>-1.5503823999999999E-2</v>
      </c>
      <c r="G27" s="24">
        <v>2.0046233999999998E-3</v>
      </c>
      <c r="H27" s="24">
        <v>-1.4529347E-2</v>
      </c>
      <c r="I27" s="24">
        <v>1.2292862E-2</v>
      </c>
      <c r="J27" s="24">
        <v>1.3412952000000001E-2</v>
      </c>
      <c r="K27" s="24">
        <v>-1.1292337999999999E-2</v>
      </c>
      <c r="L27" s="24">
        <v>-2.2101700000000002E-2</v>
      </c>
      <c r="M27" s="24">
        <v>-1.9077301000000001E-2</v>
      </c>
      <c r="N27" s="24">
        <v>-7.6596140000000004E-3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42566</v>
      </c>
      <c r="B28" s="24">
        <v>4.4378757000000005E-2</v>
      </c>
      <c r="C28" s="24">
        <v>8.1578020000000001E-2</v>
      </c>
      <c r="D28" s="24">
        <v>3.6645650000000002E-2</v>
      </c>
      <c r="E28" s="24">
        <v>1.6082287000000001E-2</v>
      </c>
      <c r="F28" s="24">
        <v>4.7617554999999999E-2</v>
      </c>
      <c r="G28" s="24">
        <v>2.0117164E-2</v>
      </c>
      <c r="H28" s="24">
        <v>1.6137123E-2</v>
      </c>
      <c r="I28" s="24">
        <v>4.9863934999999998E-2</v>
      </c>
      <c r="J28" s="24">
        <v>4.5080422999999994E-2</v>
      </c>
      <c r="K28" s="24">
        <v>1.0162115000000001E-2</v>
      </c>
      <c r="L28" s="24">
        <v>1.4891386E-2</v>
      </c>
      <c r="M28" s="24">
        <v>2.1210431999999998E-2</v>
      </c>
      <c r="N28" s="24">
        <v>-2.4432301999999999E-2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42599</v>
      </c>
      <c r="B29" s="24">
        <v>5.6494950000000002E-2</v>
      </c>
      <c r="C29" s="24">
        <v>2.9931307000000001E-2</v>
      </c>
      <c r="D29" s="24">
        <v>2.2943020000000001E-2</v>
      </c>
      <c r="E29" s="24">
        <v>7.3190569999999996E-2</v>
      </c>
      <c r="F29" s="24">
        <v>4.2929290000000002E-2</v>
      </c>
      <c r="G29" s="24">
        <v>3.1208038E-2</v>
      </c>
      <c r="H29" s="24">
        <v>2.4563670000000003E-2</v>
      </c>
      <c r="I29" s="24">
        <v>4.8837184999999998E-2</v>
      </c>
      <c r="J29" s="24">
        <v>1.1768460000000001E-2</v>
      </c>
      <c r="K29" s="24">
        <v>3.8230179999999996E-2</v>
      </c>
      <c r="L29" s="24">
        <v>5.0724625999999995E-2</v>
      </c>
      <c r="M29" s="24">
        <v>3.4557222999999998E-2</v>
      </c>
      <c r="N29" s="24">
        <v>1.2658119000000001E-2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42629</v>
      </c>
      <c r="B30" s="24">
        <v>-1.7538010999999999E-2</v>
      </c>
      <c r="C30" s="24">
        <v>-5.7170033000000002E-2</v>
      </c>
      <c r="D30" s="24">
        <v>-3.6736310000000001E-2</v>
      </c>
      <c r="E30" s="24">
        <v>-3.8432597999999998E-2</v>
      </c>
      <c r="F30" s="24">
        <v>-2.4213076E-2</v>
      </c>
      <c r="G30" s="24">
        <v>-2.1802782999999999E-2</v>
      </c>
      <c r="H30" s="24">
        <v>-2.2082030000000002E-2</v>
      </c>
      <c r="I30" s="24">
        <v>2.7619599999999999E-3</v>
      </c>
      <c r="J30" s="24">
        <v>-1.7941712999999998E-2</v>
      </c>
      <c r="K30" s="24">
        <v>-3.0202686999999999E-2</v>
      </c>
      <c r="L30" s="24">
        <v>-2.0283997000000002E-2</v>
      </c>
      <c r="M30" s="24">
        <v>-1.0438383000000001E-2</v>
      </c>
      <c r="N30" s="24">
        <v>-3.5714269E-2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42660</v>
      </c>
      <c r="B31" s="24">
        <v>-5.2035689999999996E-2</v>
      </c>
      <c r="C31" s="24">
        <v>4.2950869999999995E-2</v>
      </c>
      <c r="D31" s="24">
        <v>2.3283839999999997E-2</v>
      </c>
      <c r="E31" s="24">
        <v>5.8777330000000004E-3</v>
      </c>
      <c r="F31" s="24">
        <v>2.1505356E-2</v>
      </c>
      <c r="G31" s="24">
        <v>-1.7964065000000001E-2</v>
      </c>
      <c r="H31" s="24">
        <v>-3.2903254E-2</v>
      </c>
      <c r="I31" s="24">
        <v>-4.0071606999999999E-3</v>
      </c>
      <c r="J31" s="24">
        <v>-4.6398044000000001E-3</v>
      </c>
      <c r="K31" s="24">
        <v>1.1945367E-2</v>
      </c>
      <c r="L31" s="24">
        <v>4.9690008000000006E-3</v>
      </c>
      <c r="M31" s="24">
        <v>-1.0196924000000001E-2</v>
      </c>
      <c r="N31" s="24">
        <v>1.2962937000000001E-2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42691</v>
      </c>
      <c r="B32" s="24">
        <v>-4.8920573999999994E-2</v>
      </c>
      <c r="C32" s="24">
        <v>-2.1317780000000001E-2</v>
      </c>
      <c r="D32" s="24">
        <v>-2.7461648E-3</v>
      </c>
      <c r="E32" s="24">
        <v>-2.2594452000000001E-2</v>
      </c>
      <c r="F32" s="24">
        <v>1.497972E-2</v>
      </c>
      <c r="G32" s="24">
        <v>-1.9986451000000002E-2</v>
      </c>
      <c r="H32" s="24">
        <v>6.670952E-4</v>
      </c>
      <c r="I32" s="24">
        <v>8.0466269999999989E-3</v>
      </c>
      <c r="J32" s="24">
        <v>3.1123520000000002E-2</v>
      </c>
      <c r="K32" s="24">
        <v>-1.4333904E-2</v>
      </c>
      <c r="L32" s="24">
        <v>-2.7194083000000001E-2</v>
      </c>
      <c r="M32" s="24">
        <v>-2.7353466000000003E-2</v>
      </c>
      <c r="N32" s="24">
        <v>-2.1937847E-2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42720</v>
      </c>
      <c r="B33" s="24">
        <v>-1.9318998E-2</v>
      </c>
      <c r="C33" s="24">
        <v>1.8316745999999998E-2</v>
      </c>
      <c r="D33" s="24">
        <v>4.6026707E-2</v>
      </c>
      <c r="E33" s="24">
        <v>4.145074E-2</v>
      </c>
      <c r="F33" s="24">
        <v>-3.9887430000000001E-4</v>
      </c>
      <c r="G33" s="24">
        <v>6.9131849999999996E-3</v>
      </c>
      <c r="H33" s="24">
        <v>3.4666657000000003E-2</v>
      </c>
      <c r="I33" s="24">
        <v>1.8639087999999998E-2</v>
      </c>
      <c r="J33" s="24">
        <v>3.3695219999999998E-2</v>
      </c>
      <c r="K33" s="24">
        <v>4.1916250000000002E-2</v>
      </c>
      <c r="L33" s="24">
        <v>1.5671253E-2</v>
      </c>
      <c r="M33" s="24">
        <v>3.9079665999999999E-2</v>
      </c>
      <c r="N33" s="24">
        <v>0.11682247999999999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42752</v>
      </c>
      <c r="B34" s="24">
        <v>8.2439899999999997E-2</v>
      </c>
      <c r="C34" s="24">
        <v>6.7169666000000003E-2</v>
      </c>
      <c r="D34" s="24">
        <v>3.1642437000000002E-2</v>
      </c>
      <c r="E34" s="24">
        <v>4.0541169999999994E-2</v>
      </c>
      <c r="F34" s="24">
        <v>1.5765905E-2</v>
      </c>
      <c r="G34" s="24">
        <v>4.2874812999999998E-2</v>
      </c>
      <c r="H34" s="24">
        <v>2.4626255E-2</v>
      </c>
      <c r="I34" s="24">
        <v>2.6672243999999998E-2</v>
      </c>
      <c r="J34" s="24">
        <v>5.3768159999999995E-3</v>
      </c>
      <c r="K34" s="24">
        <v>3.9024709999999997E-2</v>
      </c>
      <c r="L34" s="24">
        <v>3.6539316000000002E-2</v>
      </c>
      <c r="M34" s="24">
        <v>3.1107068000000002E-2</v>
      </c>
      <c r="N34" s="24">
        <v>3.6252618E-2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42783</v>
      </c>
      <c r="B35" s="24">
        <v>2.8241873000000002E-3</v>
      </c>
      <c r="C35" s="24">
        <v>4.0224549999999998E-2</v>
      </c>
      <c r="D35" s="24">
        <v>2.2827744000000001E-2</v>
      </c>
      <c r="E35" s="24">
        <v>1.3245106E-2</v>
      </c>
      <c r="F35" s="24">
        <v>1.7289281E-2</v>
      </c>
      <c r="G35" s="24">
        <v>2.2727249999999997E-2</v>
      </c>
      <c r="H35" s="24">
        <v>1.8489003E-2</v>
      </c>
      <c r="I35" s="24">
        <v>5.7170750000000006E-2</v>
      </c>
      <c r="J35" s="24">
        <v>3.9071798000000005E-2</v>
      </c>
      <c r="K35" s="24">
        <v>-7.9301596000000002E-3</v>
      </c>
      <c r="L35" s="24">
        <v>4.9307226999999995E-2</v>
      </c>
      <c r="M35" s="24">
        <v>5.1824092999999995E-2</v>
      </c>
      <c r="N35" s="24">
        <v>-3.1377374999999999E-2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42811</v>
      </c>
      <c r="B36" s="24">
        <v>-1.7366827000000001E-2</v>
      </c>
      <c r="C36" s="24">
        <v>1.1240959E-2</v>
      </c>
      <c r="D36" s="24">
        <v>-3.8516997999999997E-2</v>
      </c>
      <c r="E36" s="24">
        <v>3.1590343E-2</v>
      </c>
      <c r="F36" s="24">
        <v>1.2502550999999999E-2</v>
      </c>
      <c r="G36" s="24">
        <v>3.4138559999999998E-2</v>
      </c>
      <c r="H36" s="24">
        <v>2.2222160999999997E-2</v>
      </c>
      <c r="I36" s="24">
        <v>1.6594648E-2</v>
      </c>
      <c r="J36" s="24">
        <v>1.2646675000000001E-2</v>
      </c>
      <c r="K36" s="24">
        <v>4.3565154000000002E-2</v>
      </c>
      <c r="L36" s="24">
        <v>4.4271827000000007E-2</v>
      </c>
      <c r="M36" s="24">
        <v>2.3014545000000001E-2</v>
      </c>
      <c r="N36" s="24">
        <v>6.8573833000000001E-2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42842</v>
      </c>
      <c r="B37" s="24">
        <v>1.5285373E-2</v>
      </c>
      <c r="C37" s="24">
        <v>3.1124352999999999E-3</v>
      </c>
      <c r="D37" s="24">
        <v>1.1980534000000001E-2</v>
      </c>
      <c r="E37" s="24">
        <v>-4.5758485999999998E-3</v>
      </c>
      <c r="F37" s="24">
        <v>-1.3119817000000001E-2</v>
      </c>
      <c r="G37" s="24">
        <v>1.2457371000000001E-3</v>
      </c>
      <c r="H37" s="24">
        <v>3.0612945999999999E-4</v>
      </c>
      <c r="I37" s="24">
        <v>-1.5947222999999999E-3</v>
      </c>
      <c r="J37" s="24">
        <v>-1.0378419999999999E-2</v>
      </c>
      <c r="K37" s="24">
        <v>4.5958756999999999E-3</v>
      </c>
      <c r="L37" s="24">
        <v>1.1156797399999999E-3</v>
      </c>
      <c r="M37" s="24">
        <v>-4.1190981999999999E-3</v>
      </c>
      <c r="N37" s="24">
        <v>-1.8897593000000001E-2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42872</v>
      </c>
      <c r="B38" s="24">
        <v>1.1056303999999999E-2</v>
      </c>
      <c r="C38" s="24">
        <v>-4.9202085E-2</v>
      </c>
      <c r="D38" s="24">
        <v>-4.5505047E-2</v>
      </c>
      <c r="E38" s="24">
        <v>8.1329579999999999E-2</v>
      </c>
      <c r="F38" s="24">
        <v>2.6001929999999999E-2</v>
      </c>
      <c r="G38" s="24">
        <v>6.5318822999999998E-2</v>
      </c>
      <c r="H38" s="24">
        <v>5.2035570000000003E-2</v>
      </c>
      <c r="I38" s="24">
        <v>3.4910321000000001E-2</v>
      </c>
      <c r="J38" s="24">
        <v>5.3288937000000001E-3</v>
      </c>
      <c r="K38" s="24">
        <v>0.10446047999999999</v>
      </c>
      <c r="L38" s="24">
        <v>7.5408696999999997E-2</v>
      </c>
      <c r="M38" s="24">
        <v>6.6496970000000002E-2</v>
      </c>
      <c r="N38" s="24">
        <v>0.11918139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42902</v>
      </c>
      <c r="B39" s="24">
        <v>7.8873872999999997E-2</v>
      </c>
      <c r="C39" s="24">
        <v>3.3100246999999999E-2</v>
      </c>
      <c r="D39" s="24">
        <v>2.9069780999999999E-2</v>
      </c>
      <c r="E39" s="24">
        <v>2.1255731999999999E-2</v>
      </c>
      <c r="F39" s="24">
        <v>3.3155560000000001E-2</v>
      </c>
      <c r="G39" s="24">
        <v>1.5766500999999999E-2</v>
      </c>
      <c r="H39" s="24">
        <v>-4.0733217999999998E-3</v>
      </c>
      <c r="I39" s="24">
        <v>1.8067241000000001E-2</v>
      </c>
      <c r="J39" s="24">
        <v>3.3937334999999999E-2</v>
      </c>
      <c r="K39" s="24">
        <v>1.3462305000000001E-2</v>
      </c>
      <c r="L39" s="24">
        <v>1.3471484000000001E-2</v>
      </c>
      <c r="M39" s="24">
        <v>2.0286439999999999E-2</v>
      </c>
      <c r="N39" s="24">
        <v>1.1832237000000001E-2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42933</v>
      </c>
      <c r="B40" s="24">
        <v>2.438748E-2</v>
      </c>
      <c r="C40" s="24">
        <v>2.2909641000000001E-2</v>
      </c>
      <c r="D40" s="24">
        <v>4.1665792E-2</v>
      </c>
      <c r="E40" s="24">
        <v>1.0008216E-2</v>
      </c>
      <c r="F40" s="24">
        <v>-5.8090686999999995E-3</v>
      </c>
      <c r="G40" s="24">
        <v>1.4334797999999999E-2</v>
      </c>
      <c r="H40" s="24">
        <v>9.2877150000000002E-3</v>
      </c>
      <c r="I40" s="24">
        <v>2.9243587999999997E-2</v>
      </c>
      <c r="J40" s="24">
        <v>1.1910677000000001E-2</v>
      </c>
      <c r="K40" s="24">
        <v>1.7635702999999999E-2</v>
      </c>
      <c r="L40" s="24">
        <v>2.7095318E-2</v>
      </c>
      <c r="M40" s="24">
        <v>4.8727989999999999E-2</v>
      </c>
      <c r="N40" s="24">
        <v>4.3457389999999999E-2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42964</v>
      </c>
      <c r="B41" s="24">
        <v>5.5757760000000002E-3</v>
      </c>
      <c r="C41" s="24">
        <v>1.4427423E-2</v>
      </c>
      <c r="D41" s="24">
        <v>-7.6558590000000001E-3</v>
      </c>
      <c r="E41" s="24">
        <v>-1.519072E-2</v>
      </c>
      <c r="F41" s="24">
        <v>1.2135863E-2</v>
      </c>
      <c r="G41" s="24">
        <v>-1.5629529999999999E-2</v>
      </c>
      <c r="H41" s="24">
        <v>-1.5093266999999999E-2</v>
      </c>
      <c r="I41" s="24">
        <v>-6.0482619999999996E-3</v>
      </c>
      <c r="J41" s="24">
        <v>-9.9377036000000002E-3</v>
      </c>
      <c r="K41" s="24">
        <v>-1.3619660999999999E-3</v>
      </c>
      <c r="L41" s="24">
        <v>2.1834015999999998E-2</v>
      </c>
      <c r="M41" s="24">
        <v>-4.3056669999999998E-2</v>
      </c>
      <c r="N41" s="24">
        <v>2.6625155999999997E-2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42993</v>
      </c>
      <c r="B42" s="24">
        <v>-4.0519833999999996E-3</v>
      </c>
      <c r="C42" s="24">
        <v>1.77778E-2</v>
      </c>
      <c r="D42" s="24">
        <v>5.0330640000000003E-2</v>
      </c>
      <c r="E42" s="24">
        <v>5.0869703000000002E-2</v>
      </c>
      <c r="F42" s="24">
        <v>1.9000292000000002E-2</v>
      </c>
      <c r="G42" s="24">
        <v>2.3228525999999999E-2</v>
      </c>
      <c r="H42" s="24">
        <v>3.7560104999999996E-2</v>
      </c>
      <c r="I42" s="24">
        <v>3.3467770000000001E-2</v>
      </c>
      <c r="J42" s="24">
        <v>3.0172230000000001E-2</v>
      </c>
      <c r="K42" s="24">
        <v>4.1254760000000001E-2</v>
      </c>
      <c r="L42" s="24">
        <v>2.7942179999999997E-2</v>
      </c>
      <c r="M42" s="24">
        <v>5.5125117000000001E-2</v>
      </c>
      <c r="N42" s="24">
        <v>4.6480300000000002E-2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43025</v>
      </c>
      <c r="B43" s="24">
        <v>1.9700169999999999E-2</v>
      </c>
      <c r="C43" s="24">
        <v>7.4236389999999992E-3</v>
      </c>
      <c r="D43" s="24">
        <v>1.9937038000000001E-2</v>
      </c>
      <c r="E43" s="24">
        <v>2.1861315000000003E-2</v>
      </c>
      <c r="F43" s="24">
        <v>4.2360663E-2</v>
      </c>
      <c r="G43" s="24">
        <v>8.0460310000000004E-3</v>
      </c>
      <c r="H43" s="24">
        <v>1.534903E-2</v>
      </c>
      <c r="I43" s="24">
        <v>2.2641659000000001E-2</v>
      </c>
      <c r="J43" s="24">
        <v>2.5201677999999998E-2</v>
      </c>
      <c r="K43" s="24">
        <v>1.4734745E-2</v>
      </c>
      <c r="L43" s="24">
        <v>1.5669941999999999E-2</v>
      </c>
      <c r="M43" s="24">
        <v>7.9073906000000013E-3</v>
      </c>
      <c r="N43" s="24">
        <v>-1.1908531E-2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43056</v>
      </c>
      <c r="B44" s="24">
        <v>-5.6938229999999999E-2</v>
      </c>
      <c r="C44" s="24">
        <v>-1.9072413E-2</v>
      </c>
      <c r="D44" s="24">
        <v>-3.7723183999999999E-3</v>
      </c>
      <c r="E44" s="24">
        <v>-3.0571221999999996E-4</v>
      </c>
      <c r="F44" s="24">
        <v>1.9277453E-2</v>
      </c>
      <c r="G44" s="24">
        <v>-1.9669414E-2</v>
      </c>
      <c r="H44" s="24">
        <v>-1.7684042000000001E-2</v>
      </c>
      <c r="I44" s="24">
        <v>3.2944201999999999E-2</v>
      </c>
      <c r="J44" s="24">
        <v>9.3551873999999993E-3</v>
      </c>
      <c r="K44" s="24">
        <v>-8.7125300000000013E-3</v>
      </c>
      <c r="L44" s="24">
        <v>-1.9521415E-2</v>
      </c>
      <c r="M44" s="24">
        <v>-3.8946450000000001E-2</v>
      </c>
      <c r="N44" s="24">
        <v>-1.140064E-2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43084</v>
      </c>
      <c r="B45" s="24">
        <v>6.2602760000000007E-2</v>
      </c>
      <c r="C45" s="24">
        <v>2.2536515999999999E-2</v>
      </c>
      <c r="D45" s="24">
        <v>-1.7211436999999999E-3</v>
      </c>
      <c r="E45" s="24">
        <v>9.7829102999999994E-3</v>
      </c>
      <c r="F45" s="24">
        <v>2.0616889999999999E-2</v>
      </c>
      <c r="G45" s="24">
        <v>2.0354747999999999E-2</v>
      </c>
      <c r="H45" s="24">
        <v>2.5551677000000002E-2</v>
      </c>
      <c r="I45" s="24">
        <v>2.4033785000000002E-2</v>
      </c>
      <c r="J45" s="24">
        <v>3.8785934000000001E-2</v>
      </c>
      <c r="K45" s="24">
        <v>7.1614979999999996E-3</v>
      </c>
      <c r="L45" s="24">
        <v>1.4450908E-2</v>
      </c>
      <c r="M45" s="24">
        <v>-2.2449017000000002E-2</v>
      </c>
      <c r="N45" s="24">
        <v>6.5898895E-4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43117</v>
      </c>
      <c r="B46" s="24">
        <v>3.9712905999999999E-2</v>
      </c>
      <c r="C46" s="24">
        <v>4.4548509999999999E-2</v>
      </c>
      <c r="D46" s="24">
        <v>5.820906E-2</v>
      </c>
      <c r="E46" s="24">
        <v>5.1694273999999998E-2</v>
      </c>
      <c r="F46" s="24">
        <v>7.5102210000000003E-2</v>
      </c>
      <c r="G46" s="24">
        <v>4.2177199999999998E-2</v>
      </c>
      <c r="H46" s="24">
        <v>7.4282646000000008E-2</v>
      </c>
      <c r="I46" s="24">
        <v>5.3817034E-2</v>
      </c>
      <c r="J46" s="24">
        <v>4.9153805000000002E-2</v>
      </c>
      <c r="K46" s="24">
        <v>6.9498420000000005E-2</v>
      </c>
      <c r="L46" s="24">
        <v>5.9141754999999997E-2</v>
      </c>
      <c r="M46" s="24">
        <v>8.3509079999999999E-2</v>
      </c>
      <c r="N46" s="24">
        <v>0.10616803000000001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43147</v>
      </c>
      <c r="B47" s="24">
        <v>-1.3763368E-2</v>
      </c>
      <c r="C47" s="24">
        <v>-2.5858462000000002E-2</v>
      </c>
      <c r="D47" s="24">
        <v>-6.6996630000000001E-2</v>
      </c>
      <c r="E47" s="24">
        <v>-3.9538324E-2</v>
      </c>
      <c r="F47" s="24">
        <v>-3.7048638000000002E-2</v>
      </c>
      <c r="G47" s="24">
        <v>-1.6953765999999999E-2</v>
      </c>
      <c r="H47" s="24">
        <v>-4.3501672999999998E-2</v>
      </c>
      <c r="I47" s="24">
        <v>-5.0062539999999999E-3</v>
      </c>
      <c r="J47" s="24">
        <v>-2.3246646000000003E-2</v>
      </c>
      <c r="K47" s="24">
        <v>-2.5462269999999999E-2</v>
      </c>
      <c r="L47" s="24">
        <v>-2.945596E-2</v>
      </c>
      <c r="M47" s="24">
        <v>-2.9747010000000001E-2</v>
      </c>
      <c r="N47" s="24">
        <v>-1.7659365999999999E-2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43175</v>
      </c>
      <c r="B48" s="24">
        <v>2.7286052999999998E-2</v>
      </c>
      <c r="C48" s="24">
        <v>-9.1383460000000003E-3</v>
      </c>
      <c r="D48" s="24">
        <v>-2.1223903000000002E-2</v>
      </c>
      <c r="E48" s="24">
        <v>-1.953119E-2</v>
      </c>
      <c r="F48" s="24">
        <v>-1.4772713E-2</v>
      </c>
      <c r="G48" s="24">
        <v>-3.0041753999999997E-2</v>
      </c>
      <c r="H48" s="24">
        <v>-2.1336257000000001E-2</v>
      </c>
      <c r="I48" s="24">
        <v>3.6736129999999999E-2</v>
      </c>
      <c r="J48" s="24">
        <v>8.0070495999999998E-3</v>
      </c>
      <c r="K48" s="24">
        <v>-8.3982349999999987E-3</v>
      </c>
      <c r="L48" s="24">
        <v>3.4066439999999999E-3</v>
      </c>
      <c r="M48" s="24">
        <v>-1.2320935999999999E-2</v>
      </c>
      <c r="N48" s="24">
        <v>-7.9219340000000003E-3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43207</v>
      </c>
      <c r="B49" s="24">
        <v>4.0555000000000002E-4</v>
      </c>
      <c r="C49" s="24">
        <v>-1.1418520999999999E-2</v>
      </c>
      <c r="D49" s="24">
        <v>2.0599961000000003E-2</v>
      </c>
      <c r="E49" s="24">
        <v>2.0533203999999999E-2</v>
      </c>
      <c r="F49" s="24">
        <v>-9.8860263999999993E-4</v>
      </c>
      <c r="G49" s="24">
        <v>-5.7356359999999997E-3</v>
      </c>
      <c r="H49" s="24">
        <v>4.0160536999999996E-2</v>
      </c>
      <c r="I49" s="24">
        <v>-2.7161121E-2</v>
      </c>
      <c r="J49" s="24">
        <v>-1.4624417000000001E-2</v>
      </c>
      <c r="K49" s="24">
        <v>2.634883E-2</v>
      </c>
      <c r="L49" s="24">
        <v>1.9135713999999998E-2</v>
      </c>
      <c r="M49" s="24">
        <v>-2.6109694999999999E-2</v>
      </c>
      <c r="N49" s="24">
        <v>4.2997480000000005E-2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43237</v>
      </c>
      <c r="B50" s="24">
        <v>-3.7292242000000003E-2</v>
      </c>
      <c r="C50" s="24">
        <v>1.5548706000000001E-2</v>
      </c>
      <c r="D50" s="24">
        <v>3.8243651000000004E-2</v>
      </c>
      <c r="E50" s="24">
        <v>-8.7087154000000007E-3</v>
      </c>
      <c r="F50" s="24">
        <v>8.7414980000000003E-3</v>
      </c>
      <c r="G50" s="24">
        <v>-6.6339373999999996E-3</v>
      </c>
      <c r="H50" s="24">
        <v>2.2614598E-2</v>
      </c>
      <c r="I50" s="24">
        <v>1.3425589E-2</v>
      </c>
      <c r="J50" s="24">
        <v>6.7360399999999996E-3</v>
      </c>
      <c r="K50" s="24">
        <v>1.22237206E-3</v>
      </c>
      <c r="L50" s="24">
        <v>-3.0890404999999999E-2</v>
      </c>
      <c r="M50" s="24">
        <v>1.2213229999999999E-2</v>
      </c>
      <c r="N50" s="24">
        <v>-4.5936345999999996E-2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43266</v>
      </c>
      <c r="B51" s="24">
        <v>6.3368439999999998E-2</v>
      </c>
      <c r="C51" s="24">
        <v>-1.6185522000000001E-2</v>
      </c>
      <c r="D51" s="24">
        <v>-2.1145939999999998E-2</v>
      </c>
      <c r="E51" s="24">
        <v>-1.7570376000000002E-2</v>
      </c>
      <c r="F51" s="24">
        <v>-1.3734459999999999E-2</v>
      </c>
      <c r="G51" s="24">
        <v>-2.3519098999999998E-2</v>
      </c>
      <c r="H51" s="24">
        <v>-3.0205011E-2</v>
      </c>
      <c r="I51" s="24">
        <v>5.138707E-2</v>
      </c>
      <c r="J51" s="24">
        <v>2.3401855999999999E-2</v>
      </c>
      <c r="K51" s="24">
        <v>-1.495719E-2</v>
      </c>
      <c r="L51" s="24">
        <v>-3.7500262000000001E-3</v>
      </c>
      <c r="M51" s="24">
        <v>-2.8840482000000001E-2</v>
      </c>
      <c r="N51" s="24">
        <v>-6.3271640000000004E-2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43298</v>
      </c>
      <c r="B52" s="24">
        <v>-2.9670238000000002E-2</v>
      </c>
      <c r="C52" s="24">
        <v>2.4092674000000001E-2</v>
      </c>
      <c r="D52" s="24">
        <v>1.6017198999999999E-2</v>
      </c>
      <c r="E52" s="24">
        <v>-2.1330953E-2</v>
      </c>
      <c r="F52" s="24">
        <v>-2.9427409999999998E-2</v>
      </c>
      <c r="G52" s="24">
        <v>1.7456054999999998E-2</v>
      </c>
      <c r="H52" s="24">
        <v>-1.3225317E-2</v>
      </c>
      <c r="I52" s="24">
        <v>2.0773291999999999E-2</v>
      </c>
      <c r="J52" s="24">
        <v>1.2052058999999999E-2</v>
      </c>
      <c r="K52" s="24">
        <v>-6.6331030000000004E-3</v>
      </c>
      <c r="L52" s="24">
        <v>-7.0075390000000001E-3</v>
      </c>
      <c r="M52" s="24">
        <v>-1.4929950000000001E-2</v>
      </c>
      <c r="N52" s="24">
        <v>-3.8181542999999999E-3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43329</v>
      </c>
      <c r="B53" s="24">
        <v>-1.0788381E-2</v>
      </c>
      <c r="C53" s="24">
        <v>1.8149614000000001E-2</v>
      </c>
      <c r="D53" s="24">
        <v>6.9129469999999998E-4</v>
      </c>
      <c r="E53" s="24">
        <v>-5.0661506999999995E-2</v>
      </c>
      <c r="F53" s="24">
        <v>-1.5493214E-2</v>
      </c>
      <c r="G53" s="24">
        <v>1.8574E-2</v>
      </c>
      <c r="H53" s="24">
        <v>-3.3179522000000003E-2</v>
      </c>
      <c r="I53" s="24">
        <v>-2.2743940000000003E-3</v>
      </c>
      <c r="J53" s="24">
        <v>1.6365409000000001E-2</v>
      </c>
      <c r="K53" s="24">
        <v>-3.5987258000000001E-2</v>
      </c>
      <c r="L53" s="24">
        <v>-2.7287303999999998E-2</v>
      </c>
      <c r="M53" s="24">
        <v>1.9317865000000002E-3</v>
      </c>
      <c r="N53" s="24">
        <v>-8.6025179999999993E-2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43360</v>
      </c>
      <c r="B54" s="24">
        <v>1.0591507E-2</v>
      </c>
      <c r="C54" s="24">
        <v>-4.8260870000000004E-2</v>
      </c>
      <c r="D54" s="24">
        <v>-1.7616570000000002E-2</v>
      </c>
      <c r="E54" s="24">
        <v>8.4975959999999996E-3</v>
      </c>
      <c r="F54" s="24">
        <v>1.6786217999999999E-2</v>
      </c>
      <c r="G54" s="24">
        <v>2.2941112999999999E-2</v>
      </c>
      <c r="H54" s="24">
        <v>-5.6698919999999993E-3</v>
      </c>
      <c r="I54" s="24">
        <v>8.2285403999999996E-3</v>
      </c>
      <c r="J54" s="24">
        <v>1.5014410000000001E-2</v>
      </c>
      <c r="K54" s="24">
        <v>1.8830538000000001E-2</v>
      </c>
      <c r="L54" s="24">
        <v>-2.6402472999999997E-3</v>
      </c>
      <c r="M54" s="24">
        <v>3.2133580000000002E-2</v>
      </c>
      <c r="N54" s="24">
        <v>5.2083373000000002E-2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43390</v>
      </c>
      <c r="B55" s="24">
        <v>-4.4308424000000006E-2</v>
      </c>
      <c r="C55" s="24">
        <v>-4.5226097E-2</v>
      </c>
      <c r="D55" s="24">
        <v>-3.2700420000000001E-2</v>
      </c>
      <c r="E55" s="24">
        <v>-4.6511592999999997E-2</v>
      </c>
      <c r="F55" s="24">
        <v>-9.974241E-3</v>
      </c>
      <c r="G55" s="24">
        <v>-5.7504296000000003E-2</v>
      </c>
      <c r="H55" s="24">
        <v>-2.6410580000000003E-2</v>
      </c>
      <c r="I55" s="24">
        <v>-2.0580589999999999E-2</v>
      </c>
      <c r="J55" s="24">
        <v>-2.6334583999999998E-2</v>
      </c>
      <c r="K55" s="24">
        <v>-4.8313856000000002E-2</v>
      </c>
      <c r="L55" s="24">
        <v>-4.4010580000000001E-2</v>
      </c>
      <c r="M55" s="24">
        <v>-5.1992473999999997E-2</v>
      </c>
      <c r="N55" s="24">
        <v>-8.1329579999999999E-2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43420</v>
      </c>
      <c r="B56" s="24">
        <v>4.3865322999999998E-2</v>
      </c>
      <c r="C56" s="24">
        <v>5.7417154000000007E-3</v>
      </c>
      <c r="D56" s="24">
        <v>-2.7626336000000001E-2</v>
      </c>
      <c r="E56" s="24">
        <v>-3.5701692E-2</v>
      </c>
      <c r="F56" s="24">
        <v>-4.9852314000000002E-2</v>
      </c>
      <c r="G56" s="24">
        <v>3.9658545999999998E-3</v>
      </c>
      <c r="H56" s="24">
        <v>-2.2503077999999999E-2</v>
      </c>
      <c r="I56" s="24">
        <v>-5.5220246000000001E-2</v>
      </c>
      <c r="J56" s="24">
        <v>-2.3961483999999998E-2</v>
      </c>
      <c r="K56" s="24">
        <v>-3.1005085000000002E-2</v>
      </c>
      <c r="L56" s="24">
        <v>-1.0038017999999999E-2</v>
      </c>
      <c r="M56" s="24">
        <v>-3.6781609999999999E-2</v>
      </c>
      <c r="N56" s="24">
        <v>-2.8868377000000001E-2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43451</v>
      </c>
      <c r="B57" s="24">
        <v>-3.2244623E-2</v>
      </c>
      <c r="C57" s="24">
        <v>-4.6622219999999999E-2</v>
      </c>
      <c r="D57" s="24">
        <v>-7.0654153999999997E-2</v>
      </c>
      <c r="E57" s="24">
        <v>-6.9648146999999994E-2</v>
      </c>
      <c r="F57" s="24">
        <v>-3.9488137E-2</v>
      </c>
      <c r="G57" s="24">
        <v>-4.1324854000000001E-2</v>
      </c>
      <c r="H57" s="24">
        <v>-5.8656509999999995E-2</v>
      </c>
      <c r="I57" s="24">
        <v>-6.0119449999999998E-2</v>
      </c>
      <c r="J57" s="24">
        <v>-6.7109942000000006E-2</v>
      </c>
      <c r="K57" s="24">
        <v>-5.8720109999999999E-2</v>
      </c>
      <c r="L57" s="24">
        <v>-6.0839176000000002E-2</v>
      </c>
      <c r="M57" s="24">
        <v>-4.6368894999999993E-2</v>
      </c>
      <c r="N57" s="24">
        <v>-2.0610392000000002E-2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43482</v>
      </c>
      <c r="B58" s="24">
        <v>5.5843353000000005E-2</v>
      </c>
      <c r="C58" s="24">
        <v>6.2433839999999997E-2</v>
      </c>
      <c r="D58" s="24">
        <v>7.3592900000000003E-2</v>
      </c>
      <c r="E58" s="24">
        <v>2.955079E-2</v>
      </c>
      <c r="F58" s="24">
        <v>2.5018334000000003E-2</v>
      </c>
      <c r="G58" s="24">
        <v>4.8177480000000002E-2</v>
      </c>
      <c r="H58" s="24">
        <v>5.0274489999999998E-2</v>
      </c>
      <c r="I58" s="24">
        <v>4.2429210000000002E-2</v>
      </c>
      <c r="J58" s="24">
        <v>3.5902976999999996E-2</v>
      </c>
      <c r="K58" s="24">
        <v>1.3605236999999999E-2</v>
      </c>
      <c r="L58" s="24">
        <v>1.4168142999999999E-2</v>
      </c>
      <c r="M58" s="24">
        <v>4.4957039999999997E-2</v>
      </c>
      <c r="N58" s="24">
        <v>5.6634190000000001E-2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43511</v>
      </c>
      <c r="B59" s="24">
        <v>3.1502604000000003E-2</v>
      </c>
      <c r="C59" s="24">
        <v>2.8292655999999999E-2</v>
      </c>
      <c r="D59" s="24">
        <v>4.4190525999999994E-2</v>
      </c>
      <c r="E59" s="24">
        <v>2.1814108000000002E-2</v>
      </c>
      <c r="F59" s="24">
        <v>1.9648314E-2</v>
      </c>
      <c r="G59" s="24">
        <v>2.7215004000000001E-2</v>
      </c>
      <c r="H59" s="24">
        <v>5.0195575000000006E-2</v>
      </c>
      <c r="I59" s="24">
        <v>5.0785302999999997E-2</v>
      </c>
      <c r="J59" s="24">
        <v>5.4799199999999999E-2</v>
      </c>
      <c r="K59" s="24">
        <v>6.0718180000000004E-2</v>
      </c>
      <c r="L59" s="24">
        <v>8.4101789999999996E-2</v>
      </c>
      <c r="M59" s="24">
        <v>3.8000702999999997E-2</v>
      </c>
      <c r="N59" s="24">
        <v>2.676487E-2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43539</v>
      </c>
      <c r="B60" s="24">
        <v>1.5270232999999999E-2</v>
      </c>
      <c r="C60" s="24">
        <v>1.7552257000000002E-2</v>
      </c>
      <c r="D60" s="24">
        <v>1.2769102999999999E-2</v>
      </c>
      <c r="E60" s="24">
        <v>3.2958745999999997E-2</v>
      </c>
      <c r="F60" s="24">
        <v>-3.3033489999999997E-3</v>
      </c>
      <c r="G60" s="24">
        <v>3.8269042999999996E-2</v>
      </c>
      <c r="H60" s="24">
        <v>3.7243842999999999E-2</v>
      </c>
      <c r="I60" s="24">
        <v>3.7280439999999998E-2</v>
      </c>
      <c r="J60" s="24">
        <v>1.8650651000000001E-2</v>
      </c>
      <c r="K60" s="24">
        <v>4.9912810000000002E-2</v>
      </c>
      <c r="L60" s="24">
        <v>3.1983733E-2</v>
      </c>
      <c r="M60" s="24">
        <v>1.550138E-2</v>
      </c>
      <c r="N60" s="24">
        <v>4.0423155000000002E-2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43572</v>
      </c>
      <c r="B61" s="24">
        <v>3.3841372000000002E-2</v>
      </c>
      <c r="C61" s="24">
        <v>2.0978927999999997E-2</v>
      </c>
      <c r="D61" s="24">
        <v>3.1700252999999998E-2</v>
      </c>
      <c r="E61" s="24">
        <v>3.7708520000000002E-2</v>
      </c>
      <c r="F61" s="24">
        <v>1.7676233999999999E-2</v>
      </c>
      <c r="G61" s="24">
        <v>1.5310526E-2</v>
      </c>
      <c r="H61" s="24">
        <v>1.5260339000000001E-2</v>
      </c>
      <c r="I61" s="24">
        <v>5.1247597000000006E-2</v>
      </c>
      <c r="J61" s="24">
        <v>2.8936147999999998E-2</v>
      </c>
      <c r="K61" s="24">
        <v>2.5930881999999999E-2</v>
      </c>
      <c r="L61" s="24">
        <v>3.0003310000000002E-2</v>
      </c>
      <c r="M61" s="24">
        <v>6.0733914E-2</v>
      </c>
      <c r="N61" s="24">
        <v>3.7763238000000005E-2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43602</v>
      </c>
      <c r="B62" s="24">
        <v>-1.301688E-2</v>
      </c>
      <c r="C62" s="24">
        <v>-2.1917759999999998E-2</v>
      </c>
      <c r="D62" s="24">
        <v>-1.9553065000000001E-2</v>
      </c>
      <c r="E62" s="24">
        <v>-1.9916177E-2</v>
      </c>
      <c r="F62" s="24">
        <v>-2.8586984000000003E-2</v>
      </c>
      <c r="G62" s="24">
        <v>5.8642625999999996E-3</v>
      </c>
      <c r="H62" s="24">
        <v>-3.6840557999999995E-2</v>
      </c>
      <c r="I62" s="24">
        <v>-2.1960974000000001E-2</v>
      </c>
      <c r="J62" s="24">
        <v>-1.2471973999999999E-2</v>
      </c>
      <c r="K62" s="24">
        <v>-3.0784189999999999E-2</v>
      </c>
      <c r="L62" s="24">
        <v>-2.1766960000000002E-2</v>
      </c>
      <c r="M62" s="24">
        <v>-6.9810209999999998E-2</v>
      </c>
      <c r="N62" s="24">
        <v>-5.1784460000000004E-2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43633</v>
      </c>
      <c r="B63" s="24">
        <v>-1.0869682E-2</v>
      </c>
      <c r="C63" s="24">
        <v>3.2814384000000002E-2</v>
      </c>
      <c r="D63" s="24">
        <v>8.2075596000000001E-4</v>
      </c>
      <c r="E63" s="24">
        <v>-1.3615786999999999E-2</v>
      </c>
      <c r="F63" s="24">
        <v>8.7034699999999996E-3</v>
      </c>
      <c r="G63" s="24">
        <v>3.3866166999999996E-2</v>
      </c>
      <c r="H63" s="24">
        <v>-8.860945700000001E-3</v>
      </c>
      <c r="I63" s="24">
        <v>3.8243532E-3</v>
      </c>
      <c r="J63" s="24">
        <v>1.2349605999999999E-2</v>
      </c>
      <c r="K63" s="24">
        <v>9.3774796000000004E-3</v>
      </c>
      <c r="L63" s="24">
        <v>-1.0392070000000001E-3</v>
      </c>
      <c r="M63" s="24">
        <v>6.8775414999999998E-3</v>
      </c>
      <c r="N63" s="24">
        <v>7.3062179999999997E-3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43663</v>
      </c>
      <c r="B64" s="24">
        <v>8.8574769999999997E-2</v>
      </c>
      <c r="C64" s="24">
        <v>4.1974187000000003E-2</v>
      </c>
      <c r="D64" s="24">
        <v>3.6624789999999997E-2</v>
      </c>
      <c r="E64" s="24">
        <v>2.1165967000000001E-2</v>
      </c>
      <c r="F64" s="24">
        <v>1.8632412000000001E-2</v>
      </c>
      <c r="G64" s="24">
        <v>2.4116157999999999E-2</v>
      </c>
      <c r="H64" s="24">
        <v>1.3299584E-2</v>
      </c>
      <c r="I64" s="24">
        <v>4.8353553000000001E-2</v>
      </c>
      <c r="J64" s="24">
        <v>3.3935189999999997E-2</v>
      </c>
      <c r="K64" s="24">
        <v>3.4623265E-2</v>
      </c>
      <c r="L64" s="24">
        <v>4.4470549999999998E-2</v>
      </c>
      <c r="M64" s="24">
        <v>2.3279428000000001E-2</v>
      </c>
      <c r="N64" s="24">
        <v>6.8612695000000001E-2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43693</v>
      </c>
      <c r="B65" s="24">
        <v>-4.6809253999999995E-2</v>
      </c>
      <c r="C65" s="24">
        <v>-6.0203670000000001E-2</v>
      </c>
      <c r="D65" s="24">
        <v>-3.9833783999999997E-2</v>
      </c>
      <c r="E65" s="24">
        <v>-6.9090899999999997E-2</v>
      </c>
      <c r="F65" s="24">
        <v>-2.3047327999999999E-2</v>
      </c>
      <c r="G65" s="24">
        <v>-1.0971367000000001E-2</v>
      </c>
      <c r="H65" s="24">
        <v>-6.8750023999999993E-2</v>
      </c>
      <c r="I65" s="24">
        <v>-3.4963608E-2</v>
      </c>
      <c r="J65" s="24">
        <v>-2.9858231999999998E-2</v>
      </c>
      <c r="K65" s="24">
        <v>-5.7414712999999999E-2</v>
      </c>
      <c r="L65" s="24">
        <v>-3.9203107000000001E-2</v>
      </c>
      <c r="M65" s="24">
        <v>-8.6383160000000001E-2</v>
      </c>
      <c r="N65" s="24">
        <v>-8.9748140000000004E-2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43725</v>
      </c>
      <c r="B66" s="24">
        <v>1.361978E-2</v>
      </c>
      <c r="C66" s="24">
        <v>6.5944432999999997E-2</v>
      </c>
      <c r="D66" s="24">
        <v>5.0865770000000005E-2</v>
      </c>
      <c r="E66" s="24">
        <v>6.7187429999999992E-2</v>
      </c>
      <c r="F66" s="24">
        <v>6.3096760000000002E-2</v>
      </c>
      <c r="G66" s="24">
        <v>1.5963196999999998E-2</v>
      </c>
      <c r="H66" s="24">
        <v>6.0402750000000005E-2</v>
      </c>
      <c r="I66" s="24">
        <v>3.8386940000000001E-2</v>
      </c>
      <c r="J66" s="24">
        <v>4.1786429999999999E-2</v>
      </c>
      <c r="K66" s="24">
        <v>5.5690885000000002E-2</v>
      </c>
      <c r="L66" s="24">
        <v>5.9197306999999998E-2</v>
      </c>
      <c r="M66" s="24">
        <v>8.4806919999999994E-2</v>
      </c>
      <c r="N66" s="24">
        <v>7.3265789999999997E-2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43755</v>
      </c>
      <c r="B67" s="24">
        <v>1.6275524999999999E-2</v>
      </c>
      <c r="C67" s="24">
        <v>-1.2372911E-2</v>
      </c>
      <c r="D67" s="24">
        <v>-1.5104651E-2</v>
      </c>
      <c r="E67" s="24">
        <v>2.4890183999999999E-2</v>
      </c>
      <c r="F67" s="24">
        <v>1.2328266999999999E-2</v>
      </c>
      <c r="G67" s="24">
        <v>3.1957626000000002E-3</v>
      </c>
      <c r="H67" s="24">
        <v>1.2974619999999999E-2</v>
      </c>
      <c r="I67" s="24">
        <v>6.9589615000000002E-3</v>
      </c>
      <c r="J67" s="24">
        <v>-8.366704E-4</v>
      </c>
      <c r="K67" s="24">
        <v>1.4177442E-2</v>
      </c>
      <c r="L67" s="24">
        <v>1.1998653E-2</v>
      </c>
      <c r="M67" s="24">
        <v>1.1310697000000001E-2</v>
      </c>
      <c r="N67" s="24">
        <v>2.6870012000000002E-2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43784</v>
      </c>
      <c r="B68" s="24">
        <v>-6.8901179999999998E-3</v>
      </c>
      <c r="C68" s="24">
        <v>2.0581603E-2</v>
      </c>
      <c r="D68" s="24">
        <v>3.6249518000000001E-2</v>
      </c>
      <c r="E68" s="24">
        <v>3.7142873E-2</v>
      </c>
      <c r="F68" s="24">
        <v>4.0187955000000004E-2</v>
      </c>
      <c r="G68" s="24">
        <v>2.8935552000000003E-2</v>
      </c>
      <c r="H68" s="24">
        <v>1.9681333999999998E-2</v>
      </c>
      <c r="I68" s="24">
        <v>4.8359632E-2</v>
      </c>
      <c r="J68" s="24">
        <v>4.1800379999999998E-2</v>
      </c>
      <c r="K68" s="24">
        <v>3.8036465999999998E-2</v>
      </c>
      <c r="L68" s="24">
        <v>2.5585054999999999E-2</v>
      </c>
      <c r="M68" s="24">
        <v>5.3947450000000001E-2</v>
      </c>
      <c r="N68" s="24">
        <v>4.2432785000000001E-2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43816</v>
      </c>
      <c r="B69" s="24">
        <v>5.6740164999999995E-2</v>
      </c>
      <c r="C69" s="24">
        <v>1.1049032E-2</v>
      </c>
      <c r="D69" s="24">
        <v>7.2131156999999998E-3</v>
      </c>
      <c r="E69" s="24">
        <v>1.446271E-2</v>
      </c>
      <c r="F69" s="24">
        <v>1.8137574E-2</v>
      </c>
      <c r="G69" s="24">
        <v>2.812183E-2</v>
      </c>
      <c r="H69" s="24">
        <v>4.7434570000000002E-2</v>
      </c>
      <c r="I69" s="24">
        <v>3.1935334000000003E-2</v>
      </c>
      <c r="J69" s="24">
        <v>2.495265E-2</v>
      </c>
      <c r="K69" s="24">
        <v>1.5311241E-2</v>
      </c>
      <c r="L69" s="24">
        <v>2.4575472000000001E-2</v>
      </c>
      <c r="M69" s="24">
        <v>5.1405907000000001E-2</v>
      </c>
      <c r="N69" s="24">
        <v>6.9624185999999999E-3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43847</v>
      </c>
      <c r="B70" s="24">
        <v>5.9260607E-2</v>
      </c>
      <c r="C70" s="24">
        <v>4.0247680000000001E-2</v>
      </c>
      <c r="D70" s="24">
        <v>3.4856199999999997E-2</v>
      </c>
      <c r="E70" s="24">
        <v>1.3238311000000001E-2</v>
      </c>
      <c r="F70" s="24">
        <v>-6.9813729999999999E-3</v>
      </c>
      <c r="G70" s="24">
        <v>4.3663740000000006E-2</v>
      </c>
      <c r="H70" s="24">
        <v>1.4583349000000001E-2</v>
      </c>
      <c r="I70" s="24">
        <v>6.9118139999999995E-2</v>
      </c>
      <c r="J70" s="24">
        <v>4.3824315000000003E-2</v>
      </c>
      <c r="K70" s="24">
        <v>1.8856286999999999E-2</v>
      </c>
      <c r="L70" s="24">
        <v>1.7889023E-2</v>
      </c>
      <c r="M70" s="24">
        <v>8.4159374000000002E-3</v>
      </c>
      <c r="N70" s="24">
        <v>1.6960620999999999E-2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43875</v>
      </c>
      <c r="B71" s="24">
        <v>-2.1556913999999996E-2</v>
      </c>
      <c r="C71" s="24">
        <v>-1.9983053000000001E-2</v>
      </c>
      <c r="D71" s="24">
        <v>9.8109244999999997E-4</v>
      </c>
      <c r="E71" s="24">
        <v>-1.2395322E-2</v>
      </c>
      <c r="F71" s="24">
        <v>-2.1593569999999999E-2</v>
      </c>
      <c r="G71" s="24">
        <v>7.4537989999999997E-3</v>
      </c>
      <c r="H71" s="24">
        <v>-3.4320949999999996E-2</v>
      </c>
      <c r="I71" s="24">
        <v>5.040741E-2</v>
      </c>
      <c r="J71" s="24">
        <v>1.7020582999999999E-2</v>
      </c>
      <c r="K71" s="24">
        <v>-2.0327628E-2</v>
      </c>
      <c r="L71" s="24">
        <v>1.2302398999999999E-2</v>
      </c>
      <c r="M71" s="24">
        <v>1.0134101E-2</v>
      </c>
      <c r="N71" s="24">
        <v>-1.3341904E-3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43907</v>
      </c>
      <c r="B72" s="24">
        <v>-0.24095117999999999</v>
      </c>
      <c r="C72" s="24">
        <v>-0.32494576000000003</v>
      </c>
      <c r="D72" s="24">
        <v>-0.36099316000000004</v>
      </c>
      <c r="E72" s="24">
        <v>-0.34158749999999999</v>
      </c>
      <c r="F72" s="24">
        <v>-0.2242943</v>
      </c>
      <c r="G72" s="24">
        <v>-0.22434372</v>
      </c>
      <c r="H72" s="24">
        <v>-0.33019440000000005</v>
      </c>
      <c r="I72" s="24">
        <v>-0.22374701999999999</v>
      </c>
      <c r="J72" s="24">
        <v>-0.25118483000000003</v>
      </c>
      <c r="K72" s="24">
        <v>-0.33415919999999999</v>
      </c>
      <c r="L72" s="24">
        <v>-0.30439817000000002</v>
      </c>
      <c r="M72" s="24">
        <v>-0.29094123999999999</v>
      </c>
      <c r="N72" s="24">
        <v>-0.37174349999999995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43938</v>
      </c>
      <c r="B73" s="24">
        <v>0.13314903</v>
      </c>
      <c r="C73" s="24">
        <v>8.1619499999999998E-2</v>
      </c>
      <c r="D73" s="24">
        <v>0.19529651999999997</v>
      </c>
      <c r="E73" s="24">
        <v>0.18701708</v>
      </c>
      <c r="F73" s="24">
        <v>0.12086451000000001</v>
      </c>
      <c r="G73" s="24">
        <v>0.14061535</v>
      </c>
      <c r="H73" s="24">
        <v>0.12698423</v>
      </c>
      <c r="I73" s="24">
        <v>0.18451785999999998</v>
      </c>
      <c r="J73" s="24">
        <v>0.14082633999999999</v>
      </c>
      <c r="K73" s="24">
        <v>0.1218605</v>
      </c>
      <c r="L73" s="24">
        <v>0.15432608</v>
      </c>
      <c r="M73" s="24">
        <v>0.10819805</v>
      </c>
      <c r="N73" s="24">
        <v>9.1440789999999994E-2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43966</v>
      </c>
      <c r="B74" s="24">
        <v>-2.2361874999999999E-3</v>
      </c>
      <c r="C74" s="24">
        <v>-1.010102E-2</v>
      </c>
      <c r="D74" s="24">
        <v>1.4970064E-2</v>
      </c>
      <c r="E74" s="24">
        <v>-1.4756978E-2</v>
      </c>
      <c r="F74" s="24">
        <v>1.7512798E-2</v>
      </c>
      <c r="G74" s="24">
        <v>-1.5106618E-2</v>
      </c>
      <c r="H74" s="24">
        <v>-2.7364193999999998E-2</v>
      </c>
      <c r="I74" s="24">
        <v>3.7066340000000003E-2</v>
      </c>
      <c r="J74" s="24">
        <v>-1.2559891000000001E-3</v>
      </c>
      <c r="K74" s="24">
        <v>-4.3532370000000001E-2</v>
      </c>
      <c r="L74" s="24">
        <v>3.243208E-3</v>
      </c>
      <c r="M74" s="24">
        <v>-1.0138869E-2</v>
      </c>
      <c r="N74" s="24">
        <v>-2.7764319999999999E-2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43999</v>
      </c>
      <c r="B75" s="24">
        <v>0.13129783</v>
      </c>
      <c r="C75" s="24">
        <v>0.17868304999999998</v>
      </c>
      <c r="D75" s="24">
        <v>9.6898079999999998E-2</v>
      </c>
      <c r="E75" s="24">
        <v>0.20850812999999999</v>
      </c>
      <c r="F75" s="24">
        <v>9.9442599999999992E-2</v>
      </c>
      <c r="G75" s="24">
        <v>9.336375999999999E-2</v>
      </c>
      <c r="H75" s="24">
        <v>0.1033597</v>
      </c>
      <c r="I75" s="24">
        <v>9.1145150000000008E-2</v>
      </c>
      <c r="J75" s="24">
        <v>8.8654520000000001E-2</v>
      </c>
      <c r="K75" s="24">
        <v>0.19675837999999998</v>
      </c>
      <c r="L75" s="24">
        <v>0.17620289</v>
      </c>
      <c r="M75" s="24">
        <v>0.18276619</v>
      </c>
      <c r="N75" s="24">
        <v>0.21954048000000001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44029</v>
      </c>
      <c r="B76" s="24">
        <v>4.8413396000000004E-2</v>
      </c>
      <c r="C76" s="24">
        <v>2.945733E-2</v>
      </c>
      <c r="D76" s="24">
        <v>4.3073297000000003E-2</v>
      </c>
      <c r="E76" s="24">
        <v>6.2246800000000005E-2</v>
      </c>
      <c r="F76" s="24">
        <v>-4.2553543999999995E-3</v>
      </c>
      <c r="G76" s="24">
        <v>4.1751503999999995E-2</v>
      </c>
      <c r="H76" s="24">
        <v>1.2561797999999999E-2</v>
      </c>
      <c r="I76" s="24">
        <v>6.6686152999999998E-2</v>
      </c>
      <c r="J76" s="24">
        <v>3.6848306999999997E-2</v>
      </c>
      <c r="K76" s="24">
        <v>4.9945234999999998E-2</v>
      </c>
      <c r="L76" s="24">
        <v>5.5606840000000005E-2</v>
      </c>
      <c r="M76" s="24">
        <v>0.10006427999999999</v>
      </c>
      <c r="N76" s="24">
        <v>7.2229146999999994E-2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44060</v>
      </c>
      <c r="B77" s="24">
        <v>7.782817E-3</v>
      </c>
      <c r="C77" s="24">
        <v>4.2670726999999999E-2</v>
      </c>
      <c r="D77" s="24">
        <v>6.5104126999999998E-2</v>
      </c>
      <c r="E77" s="24">
        <v>3.7447929999999997E-2</v>
      </c>
      <c r="F77" s="24">
        <v>3.4366130000000002E-2</v>
      </c>
      <c r="G77" s="24">
        <v>2.5171160000000001E-2</v>
      </c>
      <c r="H77" s="24">
        <v>1.5413523E-2</v>
      </c>
      <c r="I77" s="24">
        <v>6.1290503000000003E-2</v>
      </c>
      <c r="J77" s="24">
        <v>5.032325E-2</v>
      </c>
      <c r="K77" s="24">
        <v>1.8055557999999999E-2</v>
      </c>
      <c r="L77" s="24">
        <v>3.4924388000000001E-2</v>
      </c>
      <c r="M77" s="24">
        <v>4.1240095999999997E-2</v>
      </c>
      <c r="N77" s="24">
        <v>7.7430010000000002E-3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44091</v>
      </c>
      <c r="B78" s="24">
        <v>2.3167968000000001E-2</v>
      </c>
      <c r="C78" s="24">
        <v>-1.9258498999999998E-2</v>
      </c>
      <c r="D78" s="24">
        <v>-2.4100541999999999E-2</v>
      </c>
      <c r="E78" s="24">
        <v>1.8048048000000001E-2</v>
      </c>
      <c r="F78" s="24">
        <v>2.4616956999999998E-2</v>
      </c>
      <c r="G78" s="24">
        <v>2.050066E-2</v>
      </c>
      <c r="H78" s="24">
        <v>-2.1473526999999999E-2</v>
      </c>
      <c r="I78" s="24">
        <v>-1.8160700999999998E-2</v>
      </c>
      <c r="J78" s="24">
        <v>-6.1259269999999998E-3</v>
      </c>
      <c r="K78" s="24">
        <v>7.5035095E-3</v>
      </c>
      <c r="L78" s="24">
        <v>-3.6558509999999999E-3</v>
      </c>
      <c r="M78" s="24">
        <v>1.7696619E-2</v>
      </c>
      <c r="N78" s="24">
        <v>-1.8440306E-2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44120</v>
      </c>
      <c r="B79" s="24">
        <v>2.9855847000000001E-2</v>
      </c>
      <c r="C79" s="24">
        <v>1.8654823000000001E-2</v>
      </c>
      <c r="D79" s="24">
        <v>9.3057156000000002E-3</v>
      </c>
      <c r="E79" s="24">
        <v>-2.7905405000000001E-2</v>
      </c>
      <c r="F79" s="24">
        <v>-1.0416627000000001E-2</v>
      </c>
      <c r="G79" s="24">
        <v>-3.2469093999999997E-2</v>
      </c>
      <c r="H79" s="24">
        <v>-2.8755188000000001E-2</v>
      </c>
      <c r="I79" s="24">
        <v>6.8839549999999999E-2</v>
      </c>
      <c r="J79" s="24">
        <v>3.8282036999999998E-2</v>
      </c>
      <c r="K79" s="24">
        <v>-2.6743412000000001E-2</v>
      </c>
      <c r="L79" s="24">
        <v>2.7660130999999998E-2</v>
      </c>
      <c r="M79" s="24">
        <v>-1.6561149999999999E-3</v>
      </c>
      <c r="N79" s="24">
        <v>-3.0919729999999999E-2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44152</v>
      </c>
      <c r="B80" s="24">
        <v>6.8078159999999999E-2</v>
      </c>
      <c r="C80" s="24">
        <v>8.7228890000000003E-2</v>
      </c>
      <c r="D80" s="24">
        <v>4.4326185999999997E-2</v>
      </c>
      <c r="E80" s="24">
        <v>1.5535235000000001E-2</v>
      </c>
      <c r="F80" s="24">
        <v>8.7096690000000004E-2</v>
      </c>
      <c r="G80" s="24">
        <v>4.0318726999999999E-2</v>
      </c>
      <c r="H80" s="24">
        <v>0.11141406999999999</v>
      </c>
      <c r="I80" s="24">
        <v>1.3032436000000001E-2</v>
      </c>
      <c r="J80" s="24">
        <v>3.8382887999999997E-2</v>
      </c>
      <c r="K80" s="24">
        <v>0.12382614</v>
      </c>
      <c r="L80" s="24">
        <v>5.8225749999999993E-2</v>
      </c>
      <c r="M80" s="24">
        <v>7.7965259999999995E-2</v>
      </c>
      <c r="N80" s="24">
        <v>0.1260097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44182</v>
      </c>
      <c r="B81" s="24">
        <v>3.6536336000000003E-2</v>
      </c>
      <c r="C81" s="24">
        <v>8.5821270000000005E-2</v>
      </c>
      <c r="D81" s="24">
        <v>7.715118E-2</v>
      </c>
      <c r="E81" s="24">
        <v>8.1295129999999993E-2</v>
      </c>
      <c r="F81" s="24">
        <v>4.6721934999999999E-2</v>
      </c>
      <c r="G81" s="24">
        <v>2.8385758000000001E-2</v>
      </c>
      <c r="H81" s="24">
        <v>5.3645850000000002E-2</v>
      </c>
      <c r="I81" s="24">
        <v>6.4084649999999993E-2</v>
      </c>
      <c r="J81" s="24">
        <v>3.2222270000000004E-2</v>
      </c>
      <c r="K81" s="24">
        <v>4.1651964E-2</v>
      </c>
      <c r="L81" s="24">
        <v>7.2792529999999994E-2</v>
      </c>
      <c r="M81" s="24">
        <v>3.3323645999999998E-2</v>
      </c>
      <c r="N81" s="24">
        <v>6.5760730000000003E-2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44211</v>
      </c>
      <c r="B82" s="24">
        <v>-1.1160731E-2</v>
      </c>
      <c r="C82" s="24">
        <v>6.5870284999999997E-3</v>
      </c>
      <c r="D82" s="24">
        <v>1.5959144000000001E-2</v>
      </c>
      <c r="E82" s="24">
        <v>-8.408605999999999E-3</v>
      </c>
      <c r="F82" s="24">
        <v>2.9358863999999998E-2</v>
      </c>
      <c r="G82" s="24">
        <v>1.8740058E-2</v>
      </c>
      <c r="H82" s="24">
        <v>2.7927279999999999E-2</v>
      </c>
      <c r="I82" s="24">
        <v>4.5872927000000004E-3</v>
      </c>
      <c r="J82" s="24">
        <v>1.3614774000000001E-2</v>
      </c>
      <c r="K82" s="24">
        <v>-5.9717894000000001E-4</v>
      </c>
      <c r="L82" s="24">
        <v>3.8349510000000003E-2</v>
      </c>
      <c r="M82" s="24">
        <v>2.3255705999999998E-2</v>
      </c>
      <c r="N82" s="24">
        <v>-4.7505498E-3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44244</v>
      </c>
      <c r="B83" s="24">
        <v>-1.8961549000000001E-2</v>
      </c>
      <c r="C83" s="24">
        <v>3.0265808000000002E-2</v>
      </c>
      <c r="D83" s="24">
        <v>3.0160307999999997E-2</v>
      </c>
      <c r="E83" s="24">
        <v>2.0728588000000003E-2</v>
      </c>
      <c r="F83" s="24">
        <v>4.4237494000000002E-2</v>
      </c>
      <c r="G83" s="24">
        <v>-6.2056184000000006E-3</v>
      </c>
      <c r="H83" s="24">
        <v>2.0622015E-2</v>
      </c>
      <c r="I83" s="24">
        <v>7.0768949999999997E-2</v>
      </c>
      <c r="J83" s="24">
        <v>4.4423700000000003E-2</v>
      </c>
      <c r="K83" s="24">
        <v>2.5993347E-2</v>
      </c>
      <c r="L83" s="24">
        <v>7.246387E-2</v>
      </c>
      <c r="M83" s="24">
        <v>4.0811420000000001E-2</v>
      </c>
      <c r="N83" s="24">
        <v>3.5117625999999999E-2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44272</v>
      </c>
      <c r="B84" s="24">
        <v>3.8349628000000002E-3</v>
      </c>
      <c r="C84" s="24">
        <v>1.5878677E-3</v>
      </c>
      <c r="D84" s="24">
        <v>6.5568686000000001E-2</v>
      </c>
      <c r="E84" s="24">
        <v>3.2923102000000003E-2</v>
      </c>
      <c r="F84" s="24">
        <v>-2.4665593999999999E-2</v>
      </c>
      <c r="G84" s="24">
        <v>-7.8055260000000001E-3</v>
      </c>
      <c r="H84" s="24">
        <v>2.1808863000000001E-2</v>
      </c>
      <c r="I84" s="24">
        <v>-3.6025524000000003E-2</v>
      </c>
      <c r="J84" s="24">
        <v>1.2411118E-2</v>
      </c>
      <c r="K84" s="24">
        <v>3.7565590000000003E-2</v>
      </c>
      <c r="L84" s="24">
        <v>-1.2859643E-2</v>
      </c>
      <c r="M84" s="24">
        <v>6.4803959999999994E-2</v>
      </c>
      <c r="N84" s="24">
        <v>4.3478250000000003E-2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44302</v>
      </c>
      <c r="B85" s="24">
        <v>-1.4517188E-2</v>
      </c>
      <c r="C85" s="24">
        <v>4.0824413000000004E-2</v>
      </c>
      <c r="D85" s="24">
        <v>1.2593030999999999E-2</v>
      </c>
      <c r="E85" s="24">
        <v>5.4215074000000002E-2</v>
      </c>
      <c r="F85" s="24">
        <v>-4.2861700000000001E-4</v>
      </c>
      <c r="G85" s="24">
        <v>5.1697015999999998E-2</v>
      </c>
      <c r="H85" s="24">
        <v>2.9817939000000002E-2</v>
      </c>
      <c r="I85" s="24">
        <v>6.3789009999999993E-2</v>
      </c>
      <c r="J85" s="24">
        <v>5.3790810000000001E-2</v>
      </c>
      <c r="K85" s="24">
        <v>4.0134670000000004E-2</v>
      </c>
      <c r="L85" s="24">
        <v>7.1980476000000002E-2</v>
      </c>
      <c r="M85" s="24">
        <v>6.5711259999999994E-2</v>
      </c>
      <c r="N85" s="24">
        <v>2.2727369999999997E-2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44333</v>
      </c>
      <c r="B86" s="24">
        <v>-2.7135909E-2</v>
      </c>
      <c r="C86" s="24">
        <v>7.2354079999999996E-3</v>
      </c>
      <c r="D86" s="24">
        <v>5.1158786000000005E-2</v>
      </c>
      <c r="E86" s="24">
        <v>8.4769726000000006E-4</v>
      </c>
      <c r="F86" s="24">
        <v>-5.0171555999999999E-2</v>
      </c>
      <c r="G86" s="24">
        <v>1.0899782E-2</v>
      </c>
      <c r="H86" s="24">
        <v>3.5355089999999999E-2</v>
      </c>
      <c r="I86" s="24">
        <v>-5.1460505000000004E-2</v>
      </c>
      <c r="J86" s="24">
        <v>-4.1701198000000002E-3</v>
      </c>
      <c r="K86" s="24">
        <v>3.1300544999999999E-2</v>
      </c>
      <c r="L86" s="24">
        <v>-1.0916531E-2</v>
      </c>
      <c r="M86" s="24">
        <v>-8.8971853000000007E-3</v>
      </c>
      <c r="N86" s="24">
        <v>1.8827081000000002E-2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44364</v>
      </c>
      <c r="B87" s="24">
        <v>-1.8934428999999999E-2</v>
      </c>
      <c r="C87" s="24">
        <v>2.2371411000000001E-2</v>
      </c>
      <c r="D87" s="24">
        <v>1.0483979999999999E-2</v>
      </c>
      <c r="E87" s="24">
        <v>6.6547394000000008E-3</v>
      </c>
      <c r="F87" s="24">
        <v>4.3267965000000005E-2</v>
      </c>
      <c r="G87" s="24">
        <v>5.8924200000000003E-2</v>
      </c>
      <c r="H87" s="24">
        <v>-2.5610924000000002E-3</v>
      </c>
      <c r="I87" s="24">
        <v>6.4517140000000001E-2</v>
      </c>
      <c r="J87" s="24">
        <v>1.5522718E-2</v>
      </c>
      <c r="K87" s="24">
        <v>2.4398685000000003E-2</v>
      </c>
      <c r="L87" s="24">
        <v>2.3182870000000001E-2</v>
      </c>
      <c r="M87" s="24">
        <v>-5.1257609999999995E-3</v>
      </c>
      <c r="N87" s="24">
        <v>1.5565634E-2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44393</v>
      </c>
      <c r="B88" s="24">
        <v>7.2131156999999998E-3</v>
      </c>
      <c r="C88" s="24">
        <v>-4.0119943999999998E-2</v>
      </c>
      <c r="D88" s="24">
        <v>-2.7309119999999999E-2</v>
      </c>
      <c r="E88" s="24">
        <v>-2.1391928000000001E-2</v>
      </c>
      <c r="F88" s="24">
        <v>-2.324903E-2</v>
      </c>
      <c r="G88" s="24">
        <v>-1.2200474999999999E-3</v>
      </c>
      <c r="H88" s="24">
        <v>-3.0312060999999998E-2</v>
      </c>
      <c r="I88" s="24">
        <v>3.6694406999999998E-2</v>
      </c>
      <c r="J88" s="24">
        <v>2.5595070000000001E-2</v>
      </c>
      <c r="K88" s="24">
        <v>-3.9256215000000004E-2</v>
      </c>
      <c r="L88" s="24">
        <v>-1.9463240999999999E-2</v>
      </c>
      <c r="M88" s="24">
        <v>6.6566469999999999E-3</v>
      </c>
      <c r="N88" s="24">
        <v>-4.8611044999999999E-2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44425</v>
      </c>
      <c r="B89" s="24">
        <v>-1.8717408000000001E-2</v>
      </c>
      <c r="C89" s="24">
        <v>3.5156011999999998E-3</v>
      </c>
      <c r="D89" s="24">
        <v>2.1194457999999999E-2</v>
      </c>
      <c r="E89" s="24">
        <v>1.5447378000000001E-2</v>
      </c>
      <c r="F89" s="24">
        <v>5.6530239999999995E-3</v>
      </c>
      <c r="G89" s="24">
        <v>4.030943E-2</v>
      </c>
      <c r="H89" s="24">
        <v>2.8783679999999999E-2</v>
      </c>
      <c r="I89" s="24">
        <v>2.2734879999999999E-2</v>
      </c>
      <c r="J89" s="24">
        <v>2.9443145E-2</v>
      </c>
      <c r="K89" s="24">
        <v>4.5161246999999995E-2</v>
      </c>
      <c r="L89" s="24">
        <v>5.3280354000000002E-2</v>
      </c>
      <c r="M89" s="24">
        <v>1.5784978999999998E-2</v>
      </c>
      <c r="N89" s="24">
        <v>5.1412224999999999E-2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44456</v>
      </c>
      <c r="B90" s="24">
        <v>5.0091267000000002E-2</v>
      </c>
      <c r="C90" s="24">
        <v>-9.731412E-3</v>
      </c>
      <c r="D90" s="24">
        <v>-9.1644526000000011E-3</v>
      </c>
      <c r="E90" s="24">
        <v>-2.2962093000000003E-2</v>
      </c>
      <c r="F90" s="24">
        <v>8.6242680000000002E-2</v>
      </c>
      <c r="G90" s="24">
        <v>-5.2837490000000001E-2</v>
      </c>
      <c r="H90" s="24">
        <v>-2.6474178000000001E-2</v>
      </c>
      <c r="I90" s="24">
        <v>2.2147416999999999E-2</v>
      </c>
      <c r="J90" s="24">
        <v>-2.7292369999999998E-3</v>
      </c>
      <c r="K90" s="24">
        <v>-2.2890925000000003E-2</v>
      </c>
      <c r="L90" s="24">
        <v>4.4435620000000002E-2</v>
      </c>
      <c r="M90" s="24">
        <v>-1.2599707E-2</v>
      </c>
      <c r="N90" s="24">
        <v>-2.8373122000000001E-2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44484</v>
      </c>
      <c r="B91" s="24">
        <v>-3.6329030000000003E-3</v>
      </c>
      <c r="C91" s="24">
        <v>2.8301835000000001E-2</v>
      </c>
      <c r="D91" s="24">
        <v>6.066382E-2</v>
      </c>
      <c r="E91" s="24">
        <v>-1.2044668000000001E-2</v>
      </c>
      <c r="F91" s="24">
        <v>-5.9784829999999997E-2</v>
      </c>
      <c r="G91" s="24">
        <v>5.1653385E-3</v>
      </c>
      <c r="H91" s="24">
        <v>4.2954206000000002E-2</v>
      </c>
      <c r="I91" s="24">
        <v>-1.1963665000000002E-2</v>
      </c>
      <c r="J91" s="24">
        <v>1.0126828999999999E-2</v>
      </c>
      <c r="K91" s="24">
        <v>2.0268440000000002E-2</v>
      </c>
      <c r="L91" s="24">
        <v>-2.4311543000000001E-2</v>
      </c>
      <c r="M91" s="24">
        <v>7.2309970000000003E-3</v>
      </c>
      <c r="N91" s="24">
        <v>2.5473713999999998E-2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44517</v>
      </c>
      <c r="B92" s="24">
        <v>-3.6461710000000001E-2</v>
      </c>
      <c r="C92" s="24">
        <v>-2.4464785999999999E-2</v>
      </c>
      <c r="D92" s="24">
        <v>1.3849616E-2</v>
      </c>
      <c r="E92" s="24">
        <v>1.4570236E-2</v>
      </c>
      <c r="F92" s="24">
        <v>7.9662799999999992E-3</v>
      </c>
      <c r="G92" s="24">
        <v>4.7687530000000006E-2</v>
      </c>
      <c r="H92" s="24">
        <v>-9.7778440000000008E-3</v>
      </c>
      <c r="I92" s="24">
        <v>7.7763319999999997E-2</v>
      </c>
      <c r="J92" s="24">
        <v>4.994738E-2</v>
      </c>
      <c r="K92" s="24">
        <v>3.2249690000000004E-2</v>
      </c>
      <c r="L92" s="24">
        <v>2.6085257999999997E-2</v>
      </c>
      <c r="M92" s="24">
        <v>2.5126696E-2</v>
      </c>
      <c r="N92" s="24">
        <v>1.9993901000000001E-2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44547</v>
      </c>
      <c r="B93" s="24">
        <v>-5.3949949999999997E-2</v>
      </c>
      <c r="C93" s="24">
        <v>-3.1752646000000002E-2</v>
      </c>
      <c r="D93" s="24">
        <v>-5.7267547000000002E-2</v>
      </c>
      <c r="E93" s="24">
        <v>-5.8754500000000001E-2</v>
      </c>
      <c r="F93" s="24">
        <v>-2.1376848E-2</v>
      </c>
      <c r="G93" s="24">
        <v>4.9048662E-3</v>
      </c>
      <c r="H93" s="24">
        <v>-2.074194E-2</v>
      </c>
      <c r="I93" s="24">
        <v>-3.1989515000000003E-2</v>
      </c>
      <c r="J93" s="24">
        <v>-1.417011E-2</v>
      </c>
      <c r="K93" s="24">
        <v>-4.6052749999999996E-2</v>
      </c>
      <c r="L93" s="24">
        <v>-9.3583639999999996E-2</v>
      </c>
      <c r="M93" s="24">
        <v>-6.9299700000000006E-2</v>
      </c>
      <c r="N93" s="24">
        <v>-4.7814073999999998E-2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44575</v>
      </c>
      <c r="B94" s="24">
        <v>1.9184828000000001E-2</v>
      </c>
      <c r="C94" s="24">
        <v>3.1844496999999999E-2</v>
      </c>
      <c r="D94" s="24">
        <v>6.3604235999999995E-2</v>
      </c>
      <c r="E94" s="24">
        <v>4.7116280000000003E-2</v>
      </c>
      <c r="F94" s="24">
        <v>2.9766560000000001E-4</v>
      </c>
      <c r="G94" s="24">
        <v>-2.7332901999999998E-3</v>
      </c>
      <c r="H94" s="24">
        <v>8.571434E-2</v>
      </c>
      <c r="I94" s="24">
        <v>-1.1455834E-2</v>
      </c>
      <c r="J94" s="24">
        <v>1.0546446000000001E-2</v>
      </c>
      <c r="K94" s="24">
        <v>5.6542873E-2</v>
      </c>
      <c r="L94" s="24">
        <v>3.6764739999999997E-2</v>
      </c>
      <c r="M94" s="24">
        <v>2.6293874000000002E-2</v>
      </c>
      <c r="N94" s="24">
        <v>5.9791206999999999E-2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44609</v>
      </c>
      <c r="B95" s="24">
        <v>-6.0637530000000002E-2</v>
      </c>
      <c r="C95" s="24">
        <v>-1.7479657999999999E-2</v>
      </c>
      <c r="D95" s="24">
        <v>-2.351141E-2</v>
      </c>
      <c r="E95" s="24">
        <v>-5.1889600000000001E-2</v>
      </c>
      <c r="F95" s="24">
        <v>-5.2060126999999998E-2</v>
      </c>
      <c r="G95" s="24">
        <v>-5.3445634999999998E-2</v>
      </c>
      <c r="H95" s="24">
        <v>-8.0972314E-3</v>
      </c>
      <c r="I95" s="24">
        <v>-9.0944949999999997E-2</v>
      </c>
      <c r="J95" s="24">
        <v>-5.9519710000000003E-2</v>
      </c>
      <c r="K95" s="24">
        <v>-4.255867E-2</v>
      </c>
      <c r="L95" s="24">
        <v>-8.2269430000000004E-2</v>
      </c>
      <c r="M95" s="24">
        <v>-0.10653919000000001</v>
      </c>
      <c r="N95" s="24">
        <v>-4.0000020000000004E-2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44637</v>
      </c>
      <c r="B96" s="24">
        <v>3.0247092000000003E-2</v>
      </c>
      <c r="C96" s="24">
        <v>4.9648404E-2</v>
      </c>
      <c r="D96" s="24">
        <v>3.7163137999999998E-2</v>
      </c>
      <c r="E96" s="24">
        <v>-8.4783319999999995E-2</v>
      </c>
      <c r="F96" s="24">
        <v>-3.5305202000000001E-2</v>
      </c>
      <c r="G96" s="24">
        <v>-3.1023025999999997E-3</v>
      </c>
      <c r="H96" s="24">
        <v>-3.5568415999999999E-2</v>
      </c>
      <c r="I96" s="24">
        <v>-2.9237269999999997E-3</v>
      </c>
      <c r="J96" s="24">
        <v>9.1749429999999996E-3</v>
      </c>
      <c r="K96" s="24">
        <v>-6.2283753999999997E-2</v>
      </c>
      <c r="L96" s="24">
        <v>-6.9772600000000004E-2</v>
      </c>
      <c r="M96" s="24">
        <v>-1.2944876999999999E-2</v>
      </c>
      <c r="N96" s="24">
        <v>-0.10727614000000001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44665</v>
      </c>
      <c r="B97" s="24">
        <v>-4.8693179999999996E-2</v>
      </c>
      <c r="C97" s="24">
        <v>4.0204883000000004E-2</v>
      </c>
      <c r="D97" s="24">
        <v>1.2615919000000001E-3</v>
      </c>
      <c r="E97" s="24">
        <v>-6.0836496000000004E-2</v>
      </c>
      <c r="F97" s="24">
        <v>-5.0097585E-2</v>
      </c>
      <c r="G97" s="24">
        <v>2.1784186000000001E-2</v>
      </c>
      <c r="H97" s="24">
        <v>3.0834198E-2</v>
      </c>
      <c r="I97" s="24">
        <v>-1.6231477000000001E-2</v>
      </c>
      <c r="J97" s="24">
        <v>-4.3863653999999998E-3</v>
      </c>
      <c r="K97" s="24">
        <v>-2.6681780000000002E-2</v>
      </c>
      <c r="L97" s="24">
        <v>-4.4623795000000001E-2</v>
      </c>
      <c r="M97" s="24">
        <v>-3.6317824999999998E-2</v>
      </c>
      <c r="N97" s="24">
        <v>1.2539148E-2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44698</v>
      </c>
      <c r="B98" s="24">
        <v>-0.12006026</v>
      </c>
      <c r="C98" s="24">
        <v>-8.6017369999999996E-2</v>
      </c>
      <c r="D98" s="24">
        <v>-7.15726E-2</v>
      </c>
      <c r="E98" s="24">
        <v>-2.6131809000000002E-2</v>
      </c>
      <c r="F98" s="24">
        <v>-3.3732890000000001E-2</v>
      </c>
      <c r="G98" s="24">
        <v>-9.7461939999999997E-2</v>
      </c>
      <c r="H98" s="24">
        <v>-4.5747757E-2</v>
      </c>
      <c r="I98" s="24">
        <v>-9.532243E-2</v>
      </c>
      <c r="J98" s="24">
        <v>-6.7315396999999999E-2</v>
      </c>
      <c r="K98" s="24">
        <v>-2.5371910000000001E-2</v>
      </c>
      <c r="L98" s="24">
        <v>-4.6708106999999999E-2</v>
      </c>
      <c r="M98" s="24">
        <v>-7.1708920000000009E-2</v>
      </c>
      <c r="N98" s="24">
        <v>-4.4719639999999998E-2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44729</v>
      </c>
      <c r="B99" s="24">
        <v>-6.1831474000000004E-2</v>
      </c>
      <c r="C99" s="24">
        <v>-0.10935712</v>
      </c>
      <c r="D99" s="24">
        <v>-8.9079680000000008E-2</v>
      </c>
      <c r="E99" s="24">
        <v>-7.7782153999999992E-2</v>
      </c>
      <c r="F99" s="24">
        <v>-6.8415523000000006E-2</v>
      </c>
      <c r="G99" s="24">
        <v>-9.3230430000000003E-2</v>
      </c>
      <c r="H99" s="24">
        <v>-8.6793720000000005E-2</v>
      </c>
      <c r="I99" s="24">
        <v>-0.10281873</v>
      </c>
      <c r="J99" s="24">
        <v>-0.10012525999999999</v>
      </c>
      <c r="K99" s="24">
        <v>-8.5097369999999992E-2</v>
      </c>
      <c r="L99" s="24">
        <v>-9.833008E-2</v>
      </c>
      <c r="M99" s="24">
        <v>-0.10043424999999999</v>
      </c>
      <c r="N99" s="24">
        <v>-9.4013269999999996E-2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44757</v>
      </c>
      <c r="B100" s="24">
        <v>4.2896748000000005E-2</v>
      </c>
      <c r="C100" s="24">
        <v>1.2493967999999999E-2</v>
      </c>
      <c r="D100" s="24">
        <v>-2.7619421000000002E-2</v>
      </c>
      <c r="E100" s="24">
        <v>-6.9285990000000006E-2</v>
      </c>
      <c r="F100" s="24">
        <v>1.3445973E-2</v>
      </c>
      <c r="G100" s="24">
        <v>4.4810176000000007E-2</v>
      </c>
      <c r="H100" s="24">
        <v>-4.7977567E-3</v>
      </c>
      <c r="I100" s="24">
        <v>6.453681E-2</v>
      </c>
      <c r="J100" s="24">
        <v>5.2670479999999999E-2</v>
      </c>
      <c r="K100" s="24">
        <v>-9.7643137000000008E-3</v>
      </c>
      <c r="L100" s="24">
        <v>4.3922663000000002E-3</v>
      </c>
      <c r="M100" s="24">
        <v>-2.2250890000000002E-2</v>
      </c>
      <c r="N100" s="24">
        <v>-7.9885299999999992E-2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44790</v>
      </c>
      <c r="B101" s="24">
        <v>9.1552369999999994E-2</v>
      </c>
      <c r="C101" s="24">
        <v>8.258188000000001E-2</v>
      </c>
      <c r="D101" s="24">
        <v>0.10774934999999999</v>
      </c>
      <c r="E101" s="24">
        <v>6.8996787000000004E-2</v>
      </c>
      <c r="F101" s="24">
        <v>7.6762794999999995E-2</v>
      </c>
      <c r="G101" s="24">
        <v>4.4342039999999999E-2</v>
      </c>
      <c r="H101" s="24">
        <v>6.7148685E-2</v>
      </c>
      <c r="I101" s="24">
        <v>0.12546682000000001</v>
      </c>
      <c r="J101" s="24">
        <v>0.10780775000000001</v>
      </c>
      <c r="K101" s="24">
        <v>9.3165639999999994E-2</v>
      </c>
      <c r="L101" s="24">
        <v>0.10058308000000001</v>
      </c>
      <c r="M101" s="24">
        <v>8.6741449999999998E-2</v>
      </c>
      <c r="N101" s="24">
        <v>0.10819233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44820</v>
      </c>
      <c r="B102" s="24">
        <v>-6.8476495999999998E-2</v>
      </c>
      <c r="C102" s="24">
        <v>-6.8829479999999998E-2</v>
      </c>
      <c r="D102" s="24">
        <v>-6.4659953000000006E-2</v>
      </c>
      <c r="E102" s="24">
        <v>-8.2377850000000002E-2</v>
      </c>
      <c r="F102" s="24">
        <v>-9.1181160000000011E-2</v>
      </c>
      <c r="G102" s="24">
        <v>-6.9605589999999995E-2</v>
      </c>
      <c r="H102" s="24">
        <v>-8.4543339999999995E-2</v>
      </c>
      <c r="I102" s="24">
        <v>-0.11924255</v>
      </c>
      <c r="J102" s="24">
        <v>-9.2566789999999996E-2</v>
      </c>
      <c r="K102" s="24">
        <v>-8.6469710000000005E-2</v>
      </c>
      <c r="L102" s="24">
        <v>-0.11284762000000001</v>
      </c>
      <c r="M102" s="24">
        <v>-0.10379362</v>
      </c>
      <c r="N102" s="24">
        <v>-4.5801519999999998E-2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44851</v>
      </c>
      <c r="B103" s="24">
        <v>-0.11613745</v>
      </c>
      <c r="C103" s="24">
        <v>-5.9792876000000002E-2</v>
      </c>
      <c r="D103" s="24">
        <v>-6.7640065999999999E-2</v>
      </c>
      <c r="E103" s="24">
        <v>-3.6094426999999998E-2</v>
      </c>
      <c r="F103" s="24">
        <v>-5.1907834999999999E-2</v>
      </c>
      <c r="G103" s="24">
        <v>-4.91271E-2</v>
      </c>
      <c r="H103" s="24">
        <v>-4.8642992999999995E-2</v>
      </c>
      <c r="I103" s="24">
        <v>-6.7365289999999994E-2</v>
      </c>
      <c r="J103" s="24">
        <v>-4.8604608000000001E-2</v>
      </c>
      <c r="K103" s="24">
        <v>-3.1324506000000002E-2</v>
      </c>
      <c r="L103" s="24">
        <v>-7.8530909999999995E-2</v>
      </c>
      <c r="M103" s="24">
        <v>-3.9959370000000001E-2</v>
      </c>
      <c r="N103" s="24">
        <v>-5.2210510000000002E-2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44882</v>
      </c>
      <c r="B104" s="24">
        <v>0.13115167999999999</v>
      </c>
      <c r="C104" s="24">
        <v>0.13570356</v>
      </c>
      <c r="D104" s="24">
        <v>0.104186535</v>
      </c>
      <c r="E104" s="24">
        <v>0.19299089999999999</v>
      </c>
      <c r="F104" s="24">
        <v>0.108477955</v>
      </c>
      <c r="G104" s="24">
        <v>9.887230000000001E-2</v>
      </c>
      <c r="H104" s="24">
        <v>0.11596894000000001</v>
      </c>
      <c r="I104" s="24">
        <v>5.7397365999999998E-2</v>
      </c>
      <c r="J104" s="24">
        <v>7.4750543000000003E-2</v>
      </c>
      <c r="K104" s="24">
        <v>0.15254830999999999</v>
      </c>
      <c r="L104" s="24">
        <v>0.2258588</v>
      </c>
      <c r="M104" s="24">
        <v>0.14603173999999999</v>
      </c>
      <c r="N104" s="24">
        <v>0.20524204000000001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44911</v>
      </c>
      <c r="B105" s="24">
        <v>6.5616130000000009E-2</v>
      </c>
      <c r="C105" s="24">
        <v>-2.4875402E-3</v>
      </c>
      <c r="D105" s="24">
        <v>-4.7976789999999998E-2</v>
      </c>
      <c r="E105" s="24">
        <v>-9.727716400000001E-3</v>
      </c>
      <c r="F105" s="24">
        <v>7.5789689999999996E-3</v>
      </c>
      <c r="G105" s="24">
        <v>-2.3866892000000001E-3</v>
      </c>
      <c r="H105" s="24">
        <v>2.4734974E-2</v>
      </c>
      <c r="I105" s="24">
        <v>-3.7077367E-2</v>
      </c>
      <c r="J105" s="24">
        <v>-2.3307145000000001E-2</v>
      </c>
      <c r="K105" s="24">
        <v>4.5250654000000001E-3</v>
      </c>
      <c r="L105" s="24">
        <v>3.284216E-3</v>
      </c>
      <c r="M105" s="24">
        <v>7.2647333000000003E-3</v>
      </c>
      <c r="N105" s="24">
        <v>-4.4181943E-3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44943</v>
      </c>
      <c r="B106" s="24">
        <v>5.1897407E-2</v>
      </c>
      <c r="C106" s="24">
        <v>8.6447599999999999E-2</v>
      </c>
      <c r="D106" s="24">
        <v>7.8038335E-2</v>
      </c>
      <c r="E106" s="24">
        <v>0.13048780000000001</v>
      </c>
      <c r="F106" s="24">
        <v>5.0595879999999996E-2</v>
      </c>
      <c r="G106" s="24">
        <v>7.9904320000000001E-2</v>
      </c>
      <c r="H106" s="24">
        <v>7.4646473000000005E-2</v>
      </c>
      <c r="I106" s="24">
        <v>2.9075859999999999E-2</v>
      </c>
      <c r="J106" s="24">
        <v>3.7832379999999999E-2</v>
      </c>
      <c r="K106" s="24">
        <v>0.11212671</v>
      </c>
      <c r="L106" s="24">
        <v>0.11002110999999999</v>
      </c>
      <c r="M106" s="24">
        <v>8.0823539999999999E-2</v>
      </c>
      <c r="N106" s="24">
        <v>0.11236382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44974</v>
      </c>
      <c r="B107" s="24">
        <v>-5.4602026999999997E-3</v>
      </c>
      <c r="C107" s="24">
        <v>-1.8234490999999999E-2</v>
      </c>
      <c r="D107" s="24">
        <v>1.1445284E-3</v>
      </c>
      <c r="E107" s="24">
        <v>1.2225866E-2</v>
      </c>
      <c r="F107" s="24">
        <v>-5.0601960000000003E-3</v>
      </c>
      <c r="G107" s="24">
        <v>-5.0952434999999999E-3</v>
      </c>
      <c r="H107" s="24">
        <v>3.9780140000000002E-3</v>
      </c>
      <c r="I107" s="24">
        <v>6.9688079999999999E-2</v>
      </c>
      <c r="J107" s="24">
        <v>2.3858069999999999E-2</v>
      </c>
      <c r="K107" s="24">
        <v>2.8767109999999999E-2</v>
      </c>
      <c r="L107" s="24">
        <v>8.8369846000000002E-3</v>
      </c>
      <c r="M107" s="24">
        <v>1.7912984E-2</v>
      </c>
      <c r="N107" s="24">
        <v>4.0878296000000001E-2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45002</v>
      </c>
      <c r="B108" s="24">
        <v>-4.2352914999999998E-2</v>
      </c>
      <c r="C108" s="24">
        <v>-7.2604536999999997E-2</v>
      </c>
      <c r="D108" s="24">
        <v>-7.5164375000000005E-2</v>
      </c>
      <c r="E108" s="24">
        <v>-6.0745954999999997E-2</v>
      </c>
      <c r="F108" s="24">
        <v>-2.2974431999999999E-2</v>
      </c>
      <c r="G108" s="24">
        <v>-5.1658869999999996E-2</v>
      </c>
      <c r="H108" s="24">
        <v>-7.2538909999999998E-2</v>
      </c>
      <c r="I108" s="24">
        <v>1.3946056E-2</v>
      </c>
      <c r="J108" s="24">
        <v>-3.8706958E-2</v>
      </c>
      <c r="K108" s="24">
        <v>-6.3914720000000008E-2</v>
      </c>
      <c r="L108" s="24">
        <v>-6.4867439999999998E-2</v>
      </c>
      <c r="M108" s="24">
        <v>-8.6033460000000006E-2</v>
      </c>
      <c r="N108" s="24">
        <v>-8.8283E-2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45033</v>
      </c>
      <c r="B109" s="24">
        <v>1.1261225E-2</v>
      </c>
      <c r="C109" s="24">
        <v>6.7364693000000003E-2</v>
      </c>
      <c r="D109" s="24">
        <v>9.7342379999999992E-2</v>
      </c>
      <c r="E109" s="24">
        <v>9.6066474999999998E-2</v>
      </c>
      <c r="F109" s="24">
        <v>5.2055360000000002E-2</v>
      </c>
      <c r="G109" s="24">
        <v>0.10636293000000001</v>
      </c>
      <c r="H109" s="24">
        <v>0.10121584</v>
      </c>
      <c r="I109" s="24">
        <v>4.5756100000000001E-2</v>
      </c>
      <c r="J109" s="24">
        <v>6.1411858E-2</v>
      </c>
      <c r="K109" s="24">
        <v>0.11152196</v>
      </c>
      <c r="L109" s="24">
        <v>6.4810157000000007E-2</v>
      </c>
      <c r="M109" s="24">
        <v>0.11216378</v>
      </c>
      <c r="N109" s="24">
        <v>0.12068356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45063</v>
      </c>
      <c r="B110" s="24">
        <v>2.6017426999999999E-2</v>
      </c>
      <c r="C110" s="24">
        <v>-2.2601306000000002E-2</v>
      </c>
      <c r="D110" s="24">
        <v>-1.8867849999999999E-2</v>
      </c>
      <c r="E110" s="24">
        <v>-6.9016219999999998E-4</v>
      </c>
      <c r="F110" s="24">
        <v>3.8218736999999996E-2</v>
      </c>
      <c r="G110" s="24">
        <v>1.6977906000000001E-2</v>
      </c>
      <c r="H110" s="24">
        <v>-5.9682727E-3</v>
      </c>
      <c r="I110" s="24">
        <v>3.8514613999999996E-2</v>
      </c>
      <c r="J110" s="24">
        <v>3.1163692E-3</v>
      </c>
      <c r="K110" s="24">
        <v>-5.6309699999999999E-3</v>
      </c>
      <c r="L110" s="24">
        <v>1.0936737E-2</v>
      </c>
      <c r="M110" s="24">
        <v>-9.0683699999999992E-3</v>
      </c>
      <c r="N110" s="24">
        <v>-9.5298290000000001E-3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45093</v>
      </c>
      <c r="B111" s="24">
        <v>-2.616477E-2</v>
      </c>
      <c r="C111" s="24">
        <v>3.7128090000000002E-2</v>
      </c>
      <c r="D111" s="24">
        <v>6.94263E-3</v>
      </c>
      <c r="E111" s="24">
        <v>2.5684953E-2</v>
      </c>
      <c r="F111" s="24">
        <v>4.429698E-2</v>
      </c>
      <c r="G111" s="24">
        <v>-8.4885954999999996E-3</v>
      </c>
      <c r="H111" s="24">
        <v>9.0200899999999997E-3</v>
      </c>
      <c r="I111" s="24">
        <v>0.11116815000000001</v>
      </c>
      <c r="J111" s="24">
        <v>6.2298894E-2</v>
      </c>
      <c r="K111" s="24">
        <v>7.6198580000000002E-3</v>
      </c>
      <c r="L111" s="24">
        <v>2.4283648000000001E-2</v>
      </c>
      <c r="M111" s="24">
        <v>-3.6051273000000002E-3</v>
      </c>
      <c r="N111" s="24">
        <v>3.3080577999999999E-2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45124</v>
      </c>
      <c r="B112" s="24">
        <v>3.1518697999999998E-2</v>
      </c>
      <c r="C112" s="24">
        <v>-5.5722000000000002E-3</v>
      </c>
      <c r="D112" s="24">
        <v>1.6124487E-2</v>
      </c>
      <c r="E112" s="24">
        <v>1.2452483E-2</v>
      </c>
      <c r="F112" s="24">
        <v>-1.0301054E-2</v>
      </c>
      <c r="G112" s="24">
        <v>1.1835575000000001E-2</v>
      </c>
      <c r="H112" s="24">
        <v>-8.7959170000000003E-3</v>
      </c>
      <c r="I112" s="24">
        <v>4.1327239999999994E-2</v>
      </c>
      <c r="J112" s="24">
        <v>2.5895476000000001E-2</v>
      </c>
      <c r="K112" s="24">
        <v>2.3766039999999999E-2</v>
      </c>
      <c r="L112" s="24">
        <v>4.8525689999999996E-2</v>
      </c>
      <c r="M112" s="24">
        <v>1.5585899E-2</v>
      </c>
      <c r="N112" s="24">
        <v>5.1526785000000005E-2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45155</v>
      </c>
      <c r="B113" s="24">
        <v>-9.4642879999999999E-2</v>
      </c>
      <c r="C113" s="24">
        <v>-7.586205E-2</v>
      </c>
      <c r="D113" s="24">
        <v>-4.4205189999999998E-2</v>
      </c>
      <c r="E113" s="24">
        <v>-6.0471478000000002E-2</v>
      </c>
      <c r="F113" s="24">
        <v>-5.2522063000000001E-2</v>
      </c>
      <c r="G113" s="24">
        <v>-3.7218213E-2</v>
      </c>
      <c r="H113" s="24">
        <v>-3.3965766000000001E-2</v>
      </c>
      <c r="I113" s="24">
        <v>-6.2805470000000002E-2</v>
      </c>
      <c r="J113" s="24">
        <v>-3.2273054000000002E-2</v>
      </c>
      <c r="K113" s="24">
        <v>-5.6122484E-2</v>
      </c>
      <c r="L113" s="24">
        <v>-9.3445540000000007E-2</v>
      </c>
      <c r="M113" s="24">
        <v>-9.9479310000000001E-2</v>
      </c>
      <c r="N113" s="24">
        <v>-6.0496149999999999E-2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45184</v>
      </c>
      <c r="B114" s="24">
        <v>-3.3749760000000004E-2</v>
      </c>
      <c r="C114" s="24">
        <v>3.7313341999999999E-2</v>
      </c>
      <c r="D114" s="24">
        <v>4.5656679999999998E-2</v>
      </c>
      <c r="E114" s="24">
        <v>-6.1818360000000004E-3</v>
      </c>
      <c r="F114" s="24">
        <v>6.4559816999999992E-2</v>
      </c>
      <c r="G114" s="24">
        <v>7.0686340000000007E-3</v>
      </c>
      <c r="H114" s="24">
        <v>2.9141664999999997E-2</v>
      </c>
      <c r="I114" s="24">
        <v>3.4106731000000001E-2</v>
      </c>
      <c r="J114" s="24">
        <v>1.9856453E-2</v>
      </c>
      <c r="K114" s="24">
        <v>4.0540695000000002E-3</v>
      </c>
      <c r="L114" s="24">
        <v>-4.1279909999999996E-2</v>
      </c>
      <c r="M114" s="24">
        <v>0</v>
      </c>
      <c r="N114" s="24">
        <v>1.7063737000000002E-2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45216</v>
      </c>
      <c r="B115" s="24">
        <v>-9.9795460000000006E-3</v>
      </c>
      <c r="C115" s="24">
        <v>-2.9676258999999997E-2</v>
      </c>
      <c r="D115" s="24">
        <v>-4.6782016999999995E-2</v>
      </c>
      <c r="E115" s="24">
        <v>-5.1591634999999997E-2</v>
      </c>
      <c r="F115" s="24">
        <v>-4.9214180000000003E-2</v>
      </c>
      <c r="G115" s="24">
        <v>-3.8385630000000004E-2</v>
      </c>
      <c r="H115" s="24">
        <v>-1.2311517999999999E-2</v>
      </c>
      <c r="I115" s="24">
        <v>-5.6039095000000004E-3</v>
      </c>
      <c r="J115" s="24">
        <v>-1.6577601000000001E-2</v>
      </c>
      <c r="K115" s="24">
        <v>-5.5181800000000003E-2</v>
      </c>
      <c r="L115" s="24">
        <v>-3.3120989999999996E-2</v>
      </c>
      <c r="M115" s="24">
        <v>1.3694524999999999E-2</v>
      </c>
      <c r="N115" s="24">
        <v>-3.3554911999999999E-2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45247</v>
      </c>
      <c r="B116" s="24">
        <v>1.5349269E-2</v>
      </c>
      <c r="C116" s="24">
        <v>2.919364E-2</v>
      </c>
      <c r="D116" s="24">
        <v>2.5282621000000002E-2</v>
      </c>
      <c r="E116" s="24">
        <v>7.9861044999999992E-2</v>
      </c>
      <c r="F116" s="24">
        <v>4.1075350000000004E-2</v>
      </c>
      <c r="G116" s="24">
        <v>1.5510916999999999E-2</v>
      </c>
      <c r="H116" s="24">
        <v>3.1161307999999998E-4</v>
      </c>
      <c r="I116" s="24">
        <v>4.8451899999999999E-2</v>
      </c>
      <c r="J116" s="24">
        <v>3.3874629999999996E-2</v>
      </c>
      <c r="K116" s="24">
        <v>6.296301E-2</v>
      </c>
      <c r="L116" s="24">
        <v>0.10724640000000001</v>
      </c>
      <c r="M116" s="24">
        <v>6.3044070000000008E-2</v>
      </c>
      <c r="N116" s="24">
        <v>6.6164373999999998E-2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45275</v>
      </c>
      <c r="B117" s="24">
        <v>6.7915200000000009E-2</v>
      </c>
      <c r="C117" s="24">
        <v>7.2940110000000002E-2</v>
      </c>
      <c r="D117" s="24">
        <v>4.2935850000000005E-2</v>
      </c>
      <c r="E117" s="24">
        <v>4.5730589999999995E-2</v>
      </c>
      <c r="F117" s="24">
        <v>1.3151526E-2</v>
      </c>
      <c r="G117" s="24">
        <v>5.1437616000000005E-2</v>
      </c>
      <c r="H117" s="24">
        <v>2.3987531999999999E-2</v>
      </c>
      <c r="I117" s="24">
        <v>4.9994826000000006E-2</v>
      </c>
      <c r="J117" s="24">
        <v>4.5356154000000003E-2</v>
      </c>
      <c r="K117" s="24">
        <v>4.4224024000000001E-2</v>
      </c>
      <c r="L117" s="24">
        <v>6.2517879999999998E-2</v>
      </c>
      <c r="M117" s="24">
        <v>0.11239767000000001</v>
      </c>
      <c r="N117" s="24">
        <v>3.2565354999999997E-2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45308</v>
      </c>
      <c r="B118" s="24">
        <v>2.693057E-3</v>
      </c>
      <c r="C118" s="24">
        <v>-2.1368562999999997E-2</v>
      </c>
      <c r="D118" s="24">
        <v>9.3722339999999997E-4</v>
      </c>
      <c r="E118" s="24">
        <v>-2.6597559999999999E-2</v>
      </c>
      <c r="F118" s="24">
        <v>4.5399190000000006E-2</v>
      </c>
      <c r="G118" s="24">
        <v>-8.5455180000000011E-4</v>
      </c>
      <c r="H118" s="24">
        <v>-1.1525213999999999E-2</v>
      </c>
      <c r="I118" s="24">
        <v>7.1361065000000003E-3</v>
      </c>
      <c r="J118" s="24">
        <v>6.3068866999999992E-3</v>
      </c>
      <c r="K118" s="24">
        <v>-3.3530473999999998E-2</v>
      </c>
      <c r="L118" s="24">
        <v>-3.4587739999999999E-2</v>
      </c>
      <c r="M118" s="24">
        <v>-5.7249965999999999E-2</v>
      </c>
      <c r="N118" s="24">
        <v>-3.3915042999999999E-4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45338</v>
      </c>
      <c r="B119" s="24">
        <v>-1.84986E-2</v>
      </c>
      <c r="C119" s="24">
        <v>3.8511992000000002E-2</v>
      </c>
      <c r="D119" s="24">
        <v>3.3239484E-2</v>
      </c>
      <c r="E119" s="24">
        <v>3.5802006999999997E-2</v>
      </c>
      <c r="F119" s="24">
        <v>3.8544177999999998E-2</v>
      </c>
      <c r="G119" s="24">
        <v>-2.1381974000000002E-3</v>
      </c>
      <c r="H119" s="24">
        <v>2.8967261000000001E-2</v>
      </c>
      <c r="I119" s="24">
        <v>5.7366013999999993E-2</v>
      </c>
      <c r="J119" s="24">
        <v>5.7634115E-2</v>
      </c>
      <c r="K119" s="24">
        <v>4.4907809999999999E-2</v>
      </c>
      <c r="L119" s="24">
        <v>0.10495567</v>
      </c>
      <c r="M119" s="24">
        <v>5.8222889999999999E-2</v>
      </c>
      <c r="N119" s="24">
        <v>3.6769151999999999E-2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45366</v>
      </c>
      <c r="B120" s="24">
        <v>-1.1615217000000001E-2</v>
      </c>
      <c r="C120" s="24">
        <v>1.2642264E-2</v>
      </c>
      <c r="D120" s="24">
        <v>2.8625965E-2</v>
      </c>
      <c r="E120" s="24">
        <v>5.6252120000000003E-2</v>
      </c>
      <c r="F120" s="24">
        <v>2.8685570000000001E-2</v>
      </c>
      <c r="G120" s="24">
        <v>3.4068941999999998E-2</v>
      </c>
      <c r="H120" s="24">
        <v>2.2643805000000003E-2</v>
      </c>
      <c r="I120" s="24">
        <v>7.7804326999999993E-3</v>
      </c>
      <c r="J120" s="24">
        <v>2.3853182999999997E-2</v>
      </c>
      <c r="K120" s="24">
        <v>6.3443303000000006E-2</v>
      </c>
      <c r="L120" s="24">
        <v>1.8616437999999999E-2</v>
      </c>
      <c r="M120" s="24">
        <v>6.8057420000000007E-2</v>
      </c>
      <c r="N120" s="24">
        <v>8.2267399999999991E-2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45399</v>
      </c>
      <c r="B121" s="24">
        <v>-9.7560880000000013E-3</v>
      </c>
      <c r="C121" s="24">
        <v>-2.2055804999999998E-2</v>
      </c>
      <c r="D121" s="24">
        <v>-2.5443912000000003E-2</v>
      </c>
      <c r="E121" s="24">
        <v>-3.2723783999999999E-2</v>
      </c>
      <c r="F121" s="24">
        <v>-3.5647570000000003E-2</v>
      </c>
      <c r="G121" s="24">
        <v>-6.0091140000000001E-2</v>
      </c>
      <c r="H121" s="24">
        <v>-2.9915570999999999E-4</v>
      </c>
      <c r="I121" s="24">
        <v>-1.7334639999999998E-2</v>
      </c>
      <c r="J121" s="24">
        <v>-1.8202125999999999E-2</v>
      </c>
      <c r="K121" s="24">
        <v>-4.3781575999999996E-2</v>
      </c>
      <c r="L121" s="24">
        <v>-1.3291836E-2</v>
      </c>
      <c r="M121" s="24">
        <v>-6.1035156E-2</v>
      </c>
      <c r="N121" s="24">
        <v>-3.1694890000000003E-2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45429</v>
      </c>
      <c r="B122" s="24">
        <v>2.7541400000000001E-2</v>
      </c>
      <c r="C122" s="24">
        <v>7.4042560000000007E-2</v>
      </c>
      <c r="D122" s="24">
        <v>4.9496890000000002E-2</v>
      </c>
      <c r="E122" s="24">
        <v>7.5290203E-2</v>
      </c>
      <c r="F122" s="24">
        <v>2.4444937999999999E-2</v>
      </c>
      <c r="G122" s="24">
        <v>7.9585549999999991E-2</v>
      </c>
      <c r="H122" s="24">
        <v>9.9670769999999992E-2</v>
      </c>
      <c r="I122" s="24">
        <v>6.0867905999999999E-2</v>
      </c>
      <c r="J122" s="24">
        <v>5.7736516000000002E-2</v>
      </c>
      <c r="K122" s="24">
        <v>6.2893033000000001E-2</v>
      </c>
      <c r="L122" s="24">
        <v>8.8613029999999995E-2</v>
      </c>
      <c r="M122" s="24">
        <v>6.8902850000000002E-2</v>
      </c>
      <c r="N122" s="50">
        <v>9.126223E-2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0.13314903</v>
      </c>
      <c r="C126" s="24" cm="1">
        <f t="array" ref="C126">MAX(_xlfn._xlws.FILTER(C1:C122, ISNUMBER(C1:C122)))</f>
        <v>0.17868304999999998</v>
      </c>
      <c r="D126" s="24" cm="1">
        <f t="array" ref="D126">MAX(_xlfn._xlws.FILTER(D1:D122, ISNUMBER(D1:D122)))</f>
        <v>0.19529651999999997</v>
      </c>
      <c r="E126" s="24" cm="1">
        <f t="array" ref="E126">MAX(_xlfn._xlws.FILTER(E1:E122, ISNUMBER(E1:E122)))</f>
        <v>0.20850812999999999</v>
      </c>
      <c r="F126" s="24" cm="1">
        <f t="array" ref="F126">MAX(_xlfn._xlws.FILTER(F1:F122, ISNUMBER(F1:F122)))</f>
        <v>0.12086451000000001</v>
      </c>
      <c r="G126" s="24" cm="1">
        <f t="array" ref="G126">MAX(_xlfn._xlws.FILTER(G1:G122, ISNUMBER(G1:G122)))</f>
        <v>0.14061535</v>
      </c>
      <c r="H126" s="24" cm="1">
        <f t="array" ref="H126">MAX(_xlfn._xlws.FILTER(H1:H122, ISNUMBER(H1:H122)))</f>
        <v>0.12698423</v>
      </c>
      <c r="I126" s="24" cm="1">
        <f t="array" ref="I126">MAX(_xlfn._xlws.FILTER(I1:I122, ISNUMBER(I1:I122)))</f>
        <v>0.18451785999999998</v>
      </c>
      <c r="J126" s="24" cm="1">
        <f t="array" ref="J126">MAX(_xlfn._xlws.FILTER(J1:J122, ISNUMBER(J1:J122)))</f>
        <v>0.14082633999999999</v>
      </c>
      <c r="K126" s="24" cm="1">
        <f t="array" ref="K126">MAX(_xlfn._xlws.FILTER(K1:K122, ISNUMBER(K1:K122)))</f>
        <v>0.19675837999999998</v>
      </c>
      <c r="L126" s="24" cm="1">
        <f t="array" ref="L126">MAX(_xlfn._xlws.FILTER(L1:L122, ISNUMBER(L1:L122)))</f>
        <v>0.2258588</v>
      </c>
      <c r="M126" s="24" cm="1">
        <f t="array" ref="M126">MAX(_xlfn._xlws.FILTER(M1:M122, ISNUMBER(M1:M122)))</f>
        <v>0.18276619</v>
      </c>
      <c r="N126" s="24" cm="1">
        <f t="array" ref="N126">MAX(_xlfn._xlws.FILTER(N1:N122, ISNUMBER(N1:N122)))</f>
        <v>0.21954048000000001</v>
      </c>
    </row>
    <row r="127" spans="1:26" x14ac:dyDescent="0.35">
      <c r="A127" t="s">
        <v>85</v>
      </c>
      <c r="B127" s="24" cm="1">
        <f t="array" ref="B127">MIN(_xlfn._xlws.FILTER(B2:B122, ISNUMBER(B2:B122)))</f>
        <v>-0.24095117999999999</v>
      </c>
      <c r="C127" s="24" cm="1">
        <f t="array" ref="C127">MIN(_xlfn._xlws.FILTER(C2:C122, ISNUMBER(C2:C122)))</f>
        <v>-0.32494576000000003</v>
      </c>
      <c r="D127" s="24" cm="1">
        <f t="array" ref="D127">MIN(_xlfn._xlws.FILTER(D2:D122, ISNUMBER(D2:D122)))</f>
        <v>-0.36099316000000004</v>
      </c>
      <c r="E127" s="24" cm="1">
        <f t="array" ref="E127">MIN(_xlfn._xlws.FILTER(E2:E122, ISNUMBER(E2:E122)))</f>
        <v>-0.34158749999999999</v>
      </c>
      <c r="F127" s="24" cm="1">
        <f t="array" ref="F127">MIN(_xlfn._xlws.FILTER(F2:F122, ISNUMBER(F2:F122)))</f>
        <v>-0.2242943</v>
      </c>
      <c r="G127" s="24" cm="1">
        <f t="array" ref="G127">MIN(_xlfn._xlws.FILTER(G2:G122, ISNUMBER(G2:G122)))</f>
        <v>-0.22434372</v>
      </c>
      <c r="H127" s="24" cm="1">
        <f t="array" ref="H127">MIN(_xlfn._xlws.FILTER(H2:H122, ISNUMBER(H2:H122)))</f>
        <v>-0.33019440000000005</v>
      </c>
      <c r="I127" s="24" cm="1">
        <f t="array" ref="I127">MIN(_xlfn._xlws.FILTER(I2:I122, ISNUMBER(I2:I122)))</f>
        <v>-0.22374701999999999</v>
      </c>
      <c r="J127" s="24" cm="1">
        <f t="array" ref="J127">MIN(_xlfn._xlws.FILTER(J2:J122, ISNUMBER(J2:J122)))</f>
        <v>-0.25118483000000003</v>
      </c>
      <c r="K127" s="24" cm="1">
        <f t="array" ref="K127">MIN(_xlfn._xlws.FILTER(K2:K122, ISNUMBER(K2:K122)))</f>
        <v>-0.33415919999999999</v>
      </c>
      <c r="L127" s="24" cm="1">
        <f t="array" ref="L127">MIN(_xlfn._xlws.FILTER(L2:L122, ISNUMBER(L2:L122)))</f>
        <v>-0.30439817000000002</v>
      </c>
      <c r="M127" s="24" cm="1">
        <f t="array" ref="M127">MIN(_xlfn._xlws.FILTER(M2:M122, ISNUMBER(M2:M122)))</f>
        <v>-0.29094123999999999</v>
      </c>
      <c r="N127" s="24" cm="1">
        <f t="array" ref="N127">MIN(_xlfn._xlws.FILTER(N2:N122, ISNUMBER(N2:N122)))</f>
        <v>-0.37174349999999995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12</v>
      </c>
      <c r="C129">
        <f>COUNTIF(C2:C122, "&lt;"&amp;Assumption!$E$50)</f>
        <v>16</v>
      </c>
      <c r="D129">
        <f>COUNTIF(D2:D122, "&lt;"&amp;Assumption!$E$50)</f>
        <v>16</v>
      </c>
      <c r="E129">
        <f>COUNTIF(E2:E122, "&lt;"&amp;Assumption!$E$50)</f>
        <v>18</v>
      </c>
      <c r="F129">
        <f>COUNTIF(F2:F122, "&lt;"&amp;Assumption!$E$50)</f>
        <v>12</v>
      </c>
      <c r="G129">
        <f>COUNTIF(G2:G122, "&lt;"&amp;Assumption!$E$50)</f>
        <v>11</v>
      </c>
      <c r="H129">
        <f>COUNTIF(H2:H122, "&lt;"&amp;Assumption!$E$50)</f>
        <v>9</v>
      </c>
      <c r="I129">
        <f>COUNTIF(I2:I122, "&lt;"&amp;Assumption!$E$50)</f>
        <v>12</v>
      </c>
      <c r="J129">
        <f>COUNTIF(J2:J122, "&lt;"&amp;Assumption!$E$50)</f>
        <v>9</v>
      </c>
      <c r="K129">
        <f>COUNTIF(K2:K122, "&lt;"&amp;Assumption!$E$50)</f>
        <v>13</v>
      </c>
      <c r="L129">
        <f>COUNTIF(L2:L122, "&lt;"&amp;Assumption!$E$50)</f>
        <v>12</v>
      </c>
      <c r="M129">
        <f>COUNTIF(M2:M122, "&lt;"&amp;Assumption!$E$50)</f>
        <v>15</v>
      </c>
      <c r="N129">
        <f>COUNTIF(N2:N122, "&lt;"&amp;Assumption!$E$50)</f>
        <v>20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9.9173553719008267E-2</v>
      </c>
      <c r="C132" s="9">
        <f t="shared" si="2"/>
        <v>0.13223140495867769</v>
      </c>
      <c r="D132" s="9">
        <f t="shared" si="2"/>
        <v>0.13223140495867769</v>
      </c>
      <c r="E132" s="9">
        <f t="shared" si="2"/>
        <v>0.1487603305785124</v>
      </c>
      <c r="F132" s="9">
        <f t="shared" si="2"/>
        <v>9.9173553719008267E-2</v>
      </c>
      <c r="G132" s="9">
        <f t="shared" si="2"/>
        <v>9.0909090909090912E-2</v>
      </c>
      <c r="H132" s="9">
        <f t="shared" si="2"/>
        <v>7.43801652892562E-2</v>
      </c>
      <c r="I132" s="9">
        <f t="shared" si="2"/>
        <v>9.9173553719008267E-2</v>
      </c>
      <c r="J132" s="9">
        <f t="shared" si="2"/>
        <v>7.43801652892562E-2</v>
      </c>
      <c r="K132" s="9">
        <f t="shared" ref="K132:N132" si="3">K129/K130</f>
        <v>0.10743801652892562</v>
      </c>
      <c r="L132" s="9">
        <f t="shared" si="3"/>
        <v>9.9173553719008267E-2</v>
      </c>
      <c r="M132" s="9">
        <f t="shared" si="3"/>
        <v>0.12396694214876033</v>
      </c>
      <c r="N132" s="9">
        <f t="shared" si="3"/>
        <v>0.16528925619834711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0.68799999999999994</v>
      </c>
      <c r="C134" s="9" cm="1">
        <f t="array" ref="C134">_xlfn.PERCENTRANK.EXC(_xlfn._xlws.FILTER(C2:C122, ISNUMBER(C2:C122)),C122)</f>
        <v>0.90900000000000003</v>
      </c>
      <c r="D134" s="9" cm="1">
        <f t="array" ref="D134">_xlfn.PERCENTRANK.EXC(_xlfn._xlws.FILTER(D2:D122, ISNUMBER(D2:D122)),D122)</f>
        <v>0.83599999999999997</v>
      </c>
      <c r="E134" s="9" cm="1">
        <f t="array" ref="E134">_xlfn.PERCENTRANK.EXC(_xlfn._xlws.FILTER(E2:E122, ISNUMBER(E2:E122)),E122)</f>
        <v>0.92600000000000005</v>
      </c>
      <c r="F134" s="9" cm="1">
        <f t="array" ref="F134">_xlfn.PERCENTRANK.EXC(_xlfn._xlws.FILTER(F2:F122, ISNUMBER(F2:F122)),F122)</f>
        <v>0.67200000000000004</v>
      </c>
      <c r="G134" s="9" cm="1">
        <f t="array" ref="G134">_xlfn.PERCENTRANK.EXC(_xlfn._xlws.FILTER(G2:G122, ISNUMBER(G2:G122)),G122)</f>
        <v>0.95</v>
      </c>
      <c r="H134" s="9" cm="1">
        <f t="array" ref="H134">_xlfn.PERCENTRANK.EXC(_xlfn._xlws.FILTER(H2:H122, ISNUMBER(H2:H122)),H122)</f>
        <v>0.95</v>
      </c>
      <c r="I134" s="9" cm="1">
        <f t="array" ref="I134">_xlfn.PERCENTRANK.EXC(_xlfn._xlws.FILTER(I2:I122, ISNUMBER(I2:I122)),I122)</f>
        <v>0.85199999999999998</v>
      </c>
      <c r="J134" s="9" cm="1">
        <f t="array" ref="J134">_xlfn.PERCENTRANK.EXC(_xlfn._xlws.FILTER(J2:J122, ISNUMBER(J2:J122)),J122)</f>
        <v>0.92600000000000005</v>
      </c>
      <c r="K134" s="9" cm="1">
        <f t="array" ref="K134">_xlfn.PERCENTRANK.EXC(_xlfn._xlws.FILTER(K2:K122, ISNUMBER(K2:K122)),K122)</f>
        <v>0.89300000000000002</v>
      </c>
      <c r="L134" s="9" cm="1">
        <f t="array" ref="L134">_xlfn.PERCENTRANK.EXC(_xlfn._xlws.FILTER(L2:L122, ISNUMBER(L2:L122)),L122)</f>
        <v>0.93400000000000005</v>
      </c>
      <c r="M134" s="9" cm="1">
        <f t="array" ref="M134">_xlfn.PERCENTRANK.EXC(_xlfn._xlws.FILTER(M2:M122, ISNUMBER(M2:M122)),M122)</f>
        <v>0.89300000000000002</v>
      </c>
      <c r="N134" s="9" cm="1">
        <f t="array" ref="N134">_xlfn.PERCENTRANK.EXC(_xlfn._xlws.FILTER(N2:N122, ISNUMBER(N2:N122)),N122)</f>
        <v>0.90100000000000002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3.3000000000000002E-2</v>
      </c>
      <c r="C136" s="9" cm="1">
        <f t="array" ref="C136">_xlfn.PERCENTRANK.EXC(_xlfn._xlws.FILTER(C4:C125, ISNUMBER(C4:C125)),C113)</f>
        <v>0.05</v>
      </c>
      <c r="D136" s="9" cm="1">
        <f t="array" ref="D136">_xlfn.PERCENTRANK.EXC(_xlfn._xlws.FILTER(D4:D125, ISNUMBER(D4:D125)),D113)</f>
        <v>0.16600000000000001</v>
      </c>
      <c r="E136" s="9" cm="1">
        <f t="array" ref="E136">_xlfn.PERCENTRANK.EXC(_xlfn._xlws.FILTER(E4:E125, ISNUMBER(E4:E125)),E113)</f>
        <v>0.108</v>
      </c>
      <c r="F136" s="9" cm="1">
        <f t="array" ref="F136">_xlfn.PERCENTRANK.EXC(_xlfn._xlws.FILTER(F4:F125, ISNUMBER(F4:F125)),F113)</f>
        <v>6.6000000000000003E-2</v>
      </c>
      <c r="G136" s="9" cm="1">
        <f t="array" ref="G136">_xlfn.PERCENTRANK.EXC(_xlfn._xlws.FILTER(G4:G125, ISNUMBER(G4:G125)),G113)</f>
        <v>0.14099999999999999</v>
      </c>
      <c r="H136" s="9" cm="1">
        <f t="array" ref="H136">_xlfn.PERCENTRANK.EXC(_xlfn._xlws.FILTER(H4:H125, ISNUMBER(H4:H125)),H113)</f>
        <v>0.17499999999999999</v>
      </c>
      <c r="I136" s="9" cm="1">
        <f t="array" ref="I136">_xlfn.PERCENTRANK.EXC(_xlfn._xlws.FILTER(I4:I125, ISNUMBER(I4:I125)),I113)</f>
        <v>7.4999999999999997E-2</v>
      </c>
      <c r="J136" s="9" cm="1">
        <f t="array" ref="J136">_xlfn.PERCENTRANK.EXC(_xlfn._xlws.FILTER(J4:J125, ISNUMBER(J4:J125)),J113)</f>
        <v>0.1</v>
      </c>
      <c r="K136" s="9" cm="1">
        <f t="array" ref="K136">_xlfn.PERCENTRANK.EXC(_xlfn._xlws.FILTER(K4:K125, ISNUMBER(K4:K125)),K113)</f>
        <v>8.3000000000000004E-2</v>
      </c>
      <c r="L136" s="9" cm="1">
        <f t="array" ref="L136">_xlfn.PERCENTRANK.EXC(_xlfn._xlws.FILTER(L4:L125, ISNUMBER(L4:L125)),L113)</f>
        <v>4.1000000000000002E-2</v>
      </c>
      <c r="M136" s="9" cm="1">
        <f t="array" ref="M136">_xlfn.PERCENTRANK.EXC(_xlfn._xlws.FILTER(M4:M125, ISNUMBER(M4:M125)),M113)</f>
        <v>4.1000000000000002E-2</v>
      </c>
      <c r="N136" s="9" cm="1">
        <f t="array" ref="N136">_xlfn.PERCENTRANK.EXC(_xlfn._xlws.FILTER(N4:N125, ISNUMBER(N4:N125)),N113)</f>
        <v>0.13300000000000001</v>
      </c>
    </row>
    <row r="138" spans="1:17" x14ac:dyDescent="0.35">
      <c r="A138" t="s">
        <v>829</v>
      </c>
      <c r="B138">
        <f t="shared" ref="B138:J138" si="4">STDEV(B40:B122)</f>
        <v>5.5773516623922798E-2</v>
      </c>
      <c r="C138">
        <f t="shared" si="4"/>
        <v>6.0304991726696039E-2</v>
      </c>
      <c r="D138">
        <f t="shared" si="4"/>
        <v>6.3661515781562691E-2</v>
      </c>
      <c r="E138">
        <f t="shared" si="4"/>
        <v>6.8805077843794554E-2</v>
      </c>
      <c r="F138">
        <f t="shared" si="4"/>
        <v>4.9147702723880748E-2</v>
      </c>
      <c r="G138">
        <f t="shared" si="4"/>
        <v>4.9029034158223475E-2</v>
      </c>
      <c r="H138">
        <f t="shared" si="4"/>
        <v>5.8706356098176454E-2</v>
      </c>
      <c r="I138">
        <f t="shared" si="4"/>
        <v>5.7589235791805637E-2</v>
      </c>
      <c r="J138">
        <f t="shared" si="4"/>
        <v>4.9164038786089589E-2</v>
      </c>
      <c r="K138">
        <f t="shared" ref="K138:N138" si="5">STDEV(K40:K122)</f>
        <v>6.4730716003222555E-2</v>
      </c>
      <c r="L138">
        <f t="shared" si="5"/>
        <v>6.9076660147154467E-2</v>
      </c>
      <c r="M138">
        <f t="shared" si="5"/>
        <v>6.6736047745893576E-2</v>
      </c>
      <c r="N138">
        <f t="shared" si="5"/>
        <v>7.5079635023238112E-2</v>
      </c>
    </row>
    <row r="139" spans="1:17" x14ac:dyDescent="0.35">
      <c r="A139" t="s">
        <v>830</v>
      </c>
      <c r="B139" s="74">
        <f t="shared" ref="B139:J139" si="6">B138*SQRT(12)</f>
        <v>0.19320512901884335</v>
      </c>
      <c r="C139" s="74">
        <f t="shared" si="6"/>
        <v>0.20890261924131667</v>
      </c>
      <c r="D139" s="74">
        <f t="shared" si="6"/>
        <v>0.22052995964102895</v>
      </c>
      <c r="E139" s="74">
        <f t="shared" si="6"/>
        <v>0.23834778128836764</v>
      </c>
      <c r="F139" s="74">
        <f t="shared" si="6"/>
        <v>0.17025263638610552</v>
      </c>
      <c r="G139" s="74">
        <f t="shared" si="6"/>
        <v>0.16984155641614607</v>
      </c>
      <c r="H139" s="74">
        <f t="shared" si="6"/>
        <v>0.20336478297854521</v>
      </c>
      <c r="I139" s="74">
        <f t="shared" si="6"/>
        <v>0.19949496472094289</v>
      </c>
      <c r="J139" s="74">
        <f t="shared" si="6"/>
        <v>0.17030922616558813</v>
      </c>
      <c r="K139" s="74">
        <f t="shared" ref="K139:N139" si="7">K138*SQRT(12)</f>
        <v>0.22423377785578655</v>
      </c>
      <c r="L139" s="74">
        <f t="shared" si="7"/>
        <v>0.23928856998407955</v>
      </c>
      <c r="M139" s="74">
        <f t="shared" si="7"/>
        <v>0.23118045078446023</v>
      </c>
      <c r="N139" s="74">
        <f t="shared" si="7"/>
        <v>0.26008348494795225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41775</v>
      </c>
      <c r="B2" s="7" cm="1">
        <f t="array" ref="B2:B122">_xll.FDS(B1,"P_PRICE_RETURNS_PR('52W',2,-10AY,0,AM)")</f>
        <v>19.328392000000001</v>
      </c>
      <c r="C2" s="7" cm="1">
        <f t="array" ref="C2:C122">_xll.FDS(C1,"P_PRICE_RETURNS_PR('52W',2,-10AY,0,AM)")</f>
        <v>5.5419326</v>
      </c>
      <c r="D2" s="7" cm="1">
        <f t="array" ref="D2:D122">_xll.FDS(D1,"P_PRICE_RETURNS_PR('52W',2,-10AY,0,AM)")</f>
        <v>11.879158</v>
      </c>
      <c r="E2" s="7" cm="1">
        <f t="array" ref="E2:E122">_xll.FDS(E1,"P_PRICE_RETURNS_PR('52W',2,-10AY,0,AM)")</f>
        <v>22.192907000000002</v>
      </c>
      <c r="F2" s="7" cm="1">
        <f t="array" ref="F2:F122">_xll.FDS(F1,"P_PRICE_RETURNS_PR('52W',2,-10AY,0,AM)")</f>
        <v>-5.3683996</v>
      </c>
      <c r="G2" s="7" cm="1">
        <f t="array" ref="G2:G122">_xll.FDS(G1,"P_PRICE_RETURNS_PR('52W',2,-10AY,0,AM)")</f>
        <v>17.312849</v>
      </c>
      <c r="H2" s="7" cm="1">
        <f t="array" ref="H2:H122">_xll.FDS(H1,"P_PRICE_RETURNS_PR('52W',2,-10AY,0,AM)")</f>
        <v>16.718886999999999</v>
      </c>
      <c r="I2" s="7" cm="1">
        <f t="array" ref="I2:I122">_xll.FDS(I1,"P_PRICE_RETURNS_PR('52W',2,-10AY,0,AM)")</f>
        <v>21.079350000000002</v>
      </c>
      <c r="J2" s="7" cm="1">
        <f t="array" ref="J2:J122">_xll.FDS(J1,"P_PRICE_RETURNS_PR('52W',2,-10AY,0,AM)")</f>
        <v>16.028427000000001</v>
      </c>
      <c r="K2" s="158" cm="1">
        <f t="array" ref="K2:K122">_xll.FDS(K1,"P_PRICE_RETURNS_PR('52W',2,-10AY,0,AM)")</f>
        <v>22.73481</v>
      </c>
      <c r="L2" s="158" cm="1">
        <f t="array" ref="L2:L122">_xll.FDS(L1,"P_PRICE_RETURNS_PR('52W',2,-10AY,0,AM)")</f>
        <v>18.823599999999999</v>
      </c>
      <c r="M2" s="158" cm="1">
        <f t="array" ref="M2:M122">_xll.FDS(M1,"P_PRICE_RETURNS_PR('52W',2,-10AY,0,AM)")</f>
        <v>16.322994000000001</v>
      </c>
      <c r="N2" s="158" cm="1">
        <f t="array" ref="N2:N122">_xll.FDS(N1,"P_PRICE_RETURNS_PR('52W',2,-10AY,0,AM)")</f>
        <v>28.849851999999998</v>
      </c>
    </row>
    <row r="3" spans="1:14" x14ac:dyDescent="0.35">
      <c r="A3" s="2">
        <v>41807</v>
      </c>
      <c r="B3" s="40">
        <v>26.127647</v>
      </c>
      <c r="C3" s="40">
        <v>13.061928999999999</v>
      </c>
      <c r="D3" s="40">
        <v>17.258120000000002</v>
      </c>
      <c r="E3" s="40">
        <v>21.938669999999998</v>
      </c>
      <c r="F3" s="40">
        <v>7.155049</v>
      </c>
      <c r="G3" s="40">
        <v>18.871569999999998</v>
      </c>
      <c r="H3" s="40">
        <v>19.060825000000001</v>
      </c>
      <c r="I3" s="40">
        <v>28.689395999999999</v>
      </c>
      <c r="J3" s="40">
        <v>20.869672999999999</v>
      </c>
      <c r="K3" s="47">
        <v>22.250927000000001</v>
      </c>
      <c r="L3" s="47">
        <v>20.929217999999999</v>
      </c>
      <c r="M3" s="47">
        <v>15.51013</v>
      </c>
      <c r="N3" s="47">
        <v>41.840316999999999</v>
      </c>
    </row>
    <row r="4" spans="1:14" x14ac:dyDescent="0.35">
      <c r="A4" s="2">
        <v>41837</v>
      </c>
      <c r="B4" s="40">
        <v>21.751797</v>
      </c>
      <c r="C4" s="40">
        <v>16.216051</v>
      </c>
      <c r="D4" s="40">
        <v>19.700776999999999</v>
      </c>
      <c r="E4" s="40">
        <v>20.110786000000001</v>
      </c>
      <c r="F4" s="40">
        <v>2.1058797999999999</v>
      </c>
      <c r="G4" s="40">
        <v>16.180741999999999</v>
      </c>
      <c r="H4" s="40">
        <v>17.996490000000001</v>
      </c>
      <c r="I4" s="40">
        <v>27.149318999999998</v>
      </c>
      <c r="J4" s="40">
        <v>18.819569999999999</v>
      </c>
      <c r="K4" s="47">
        <v>17.349232000000001</v>
      </c>
      <c r="L4" s="47">
        <v>11.929976999999999</v>
      </c>
      <c r="M4" s="47">
        <v>10.116804</v>
      </c>
      <c r="N4" s="47">
        <v>37.497019999999999</v>
      </c>
    </row>
    <row r="5" spans="1:14" x14ac:dyDescent="0.35">
      <c r="A5" s="2">
        <v>41866</v>
      </c>
      <c r="B5" s="40">
        <v>19.134509999999999</v>
      </c>
      <c r="C5" s="40">
        <v>15.659559</v>
      </c>
      <c r="D5" s="40">
        <v>17.024124</v>
      </c>
      <c r="E5" s="40">
        <v>8.6051939999999991</v>
      </c>
      <c r="F5" s="40">
        <v>6.9691299999999998</v>
      </c>
      <c r="G5" s="40">
        <v>11.388707</v>
      </c>
      <c r="H5" s="40">
        <v>13.308619999999999</v>
      </c>
      <c r="I5" s="40">
        <v>30.973099999999999</v>
      </c>
      <c r="J5" s="40">
        <v>19.94698</v>
      </c>
      <c r="K5" s="47">
        <v>5.5227636999999996</v>
      </c>
      <c r="L5" s="47">
        <v>3.9951444</v>
      </c>
      <c r="M5" s="47">
        <v>5.2990794000000001</v>
      </c>
      <c r="N5" s="47">
        <v>14.121819</v>
      </c>
    </row>
    <row r="6" spans="1:14" x14ac:dyDescent="0.35">
      <c r="A6" s="2">
        <v>41899</v>
      </c>
      <c r="B6" s="40">
        <v>7.6431870000000002</v>
      </c>
      <c r="C6" s="40">
        <v>2.6154994999999999</v>
      </c>
      <c r="D6" s="40">
        <v>16.014444000000001</v>
      </c>
      <c r="E6" s="40">
        <v>7.1292759999999999</v>
      </c>
      <c r="F6" s="40">
        <v>1.6019344</v>
      </c>
      <c r="G6" s="40">
        <v>10.814643</v>
      </c>
      <c r="H6" s="40">
        <v>7.9334379999999998</v>
      </c>
      <c r="I6" s="40">
        <v>28.953087</v>
      </c>
      <c r="J6" s="40">
        <v>19.656658</v>
      </c>
      <c r="K6" s="47">
        <v>5.5585383999999998</v>
      </c>
      <c r="L6" s="47">
        <v>4.2225957000000003</v>
      </c>
      <c r="M6" s="47">
        <v>0.54843425999999995</v>
      </c>
      <c r="N6" s="47">
        <v>17.927634999999999</v>
      </c>
    </row>
    <row r="7" spans="1:14" x14ac:dyDescent="0.35">
      <c r="A7" s="2">
        <v>41929</v>
      </c>
      <c r="B7" s="40">
        <v>0.83924529999999997</v>
      </c>
      <c r="C7" s="40">
        <v>-4.8434733999999997</v>
      </c>
      <c r="D7" s="40">
        <v>2.4404526</v>
      </c>
      <c r="E7" s="40">
        <v>-7.5269459999999997</v>
      </c>
      <c r="F7" s="40">
        <v>-8.0672560000000004</v>
      </c>
      <c r="G7" s="40">
        <v>-0.80767869999999997</v>
      </c>
      <c r="H7" s="40">
        <v>-2.7335227</v>
      </c>
      <c r="I7" s="40">
        <v>16.737652000000001</v>
      </c>
      <c r="J7" s="40">
        <v>10.917616000000001</v>
      </c>
      <c r="K7" s="47">
        <v>-9.1897070000000003</v>
      </c>
      <c r="L7" s="47">
        <v>-5.97865</v>
      </c>
      <c r="M7" s="47">
        <v>-6.4638970000000002</v>
      </c>
      <c r="N7" s="47">
        <v>-7.6397896000000003</v>
      </c>
    </row>
    <row r="8" spans="1:14" x14ac:dyDescent="0.35">
      <c r="A8" s="2">
        <v>41960</v>
      </c>
      <c r="B8" s="40">
        <v>6.3131449999999996</v>
      </c>
      <c r="C8" s="40">
        <v>-2.8753042</v>
      </c>
      <c r="D8" s="40">
        <v>4.6060920000000003</v>
      </c>
      <c r="E8" s="40">
        <v>-7.1663259999999998</v>
      </c>
      <c r="F8" s="40">
        <v>-3.8048685</v>
      </c>
      <c r="G8" s="40">
        <v>3.0592084000000002</v>
      </c>
      <c r="H8" s="40">
        <v>-0.88883040000000002</v>
      </c>
      <c r="I8" s="40">
        <v>24.376809999999999</v>
      </c>
      <c r="J8" s="40">
        <v>15.712510999999999</v>
      </c>
      <c r="K8" s="47">
        <v>-6.2797966000000001</v>
      </c>
      <c r="L8" s="47">
        <v>-1.9832312999999999</v>
      </c>
      <c r="M8" s="47">
        <v>0.34689903</v>
      </c>
      <c r="N8" s="47">
        <v>-2.6052355999999999</v>
      </c>
    </row>
    <row r="9" spans="1:14" x14ac:dyDescent="0.35">
      <c r="A9" s="2">
        <v>41990</v>
      </c>
      <c r="B9" s="40">
        <v>10.308826</v>
      </c>
      <c r="C9" s="40">
        <v>-2.7766942999999999</v>
      </c>
      <c r="D9" s="40">
        <v>1.1407255999999999</v>
      </c>
      <c r="E9" s="40">
        <v>-5.9294580000000003</v>
      </c>
      <c r="F9" s="40">
        <v>-1.9755720999999999</v>
      </c>
      <c r="G9" s="40">
        <v>3.5310507000000002</v>
      </c>
      <c r="H9" s="40">
        <v>-3.7154555</v>
      </c>
      <c r="I9" s="40">
        <v>21.315812999999999</v>
      </c>
      <c r="J9" s="40">
        <v>15.147078</v>
      </c>
      <c r="K9" s="47">
        <v>-5.7992400000000002</v>
      </c>
      <c r="L9" s="47">
        <v>-0.95909834000000005</v>
      </c>
      <c r="M9" s="47">
        <v>-1.49315</v>
      </c>
      <c r="N9" s="47">
        <v>-3.7339747000000001</v>
      </c>
    </row>
    <row r="10" spans="1:14" x14ac:dyDescent="0.35">
      <c r="A10" s="2">
        <v>42020</v>
      </c>
      <c r="B10" s="40">
        <v>7.8964590000000001</v>
      </c>
      <c r="C10" s="40">
        <v>-1.919049</v>
      </c>
      <c r="D10" s="40">
        <v>-3.1264842000000002</v>
      </c>
      <c r="E10" s="40">
        <v>-10.803318000000001</v>
      </c>
      <c r="F10" s="40">
        <v>-4.4525623000000003</v>
      </c>
      <c r="G10" s="40">
        <v>0.52561760000000002</v>
      </c>
      <c r="H10" s="40">
        <v>-8.8002680000000009</v>
      </c>
      <c r="I10" s="40">
        <v>15.821398</v>
      </c>
      <c r="J10" s="40">
        <v>11.466682</v>
      </c>
      <c r="K10" s="47">
        <v>-10.725754999999999</v>
      </c>
      <c r="L10" s="47">
        <v>-7.3286294999999999</v>
      </c>
      <c r="M10" s="47">
        <v>-10.660702000000001</v>
      </c>
      <c r="N10" s="47">
        <v>-15.640985499999999</v>
      </c>
    </row>
    <row r="11" spans="1:14" x14ac:dyDescent="0.35">
      <c r="A11" s="2">
        <v>42052</v>
      </c>
      <c r="B11" s="40">
        <v>7.0623874999999998</v>
      </c>
      <c r="C11" s="40">
        <v>-1.4747322</v>
      </c>
      <c r="D11" s="40">
        <v>-0.29207467999999998</v>
      </c>
      <c r="E11" s="40">
        <v>-6.1259866000000001</v>
      </c>
      <c r="F11" s="40">
        <v>6.0826779999999996</v>
      </c>
      <c r="G11" s="40">
        <v>0.62212944000000003</v>
      </c>
      <c r="H11" s="40">
        <v>-2.8772234999999999</v>
      </c>
      <c r="I11" s="40">
        <v>20.97504</v>
      </c>
      <c r="J11" s="40">
        <v>16.407145</v>
      </c>
      <c r="K11" s="47">
        <v>-5.2339019999999996</v>
      </c>
      <c r="L11" s="47">
        <v>-0.48819183999999999</v>
      </c>
      <c r="M11" s="47">
        <v>-2.097702</v>
      </c>
      <c r="N11" s="47">
        <v>-10.481196000000001</v>
      </c>
    </row>
    <row r="12" spans="1:14" x14ac:dyDescent="0.35">
      <c r="A12" s="2">
        <v>42080</v>
      </c>
      <c r="B12" s="40">
        <v>-0.72113276000000004</v>
      </c>
      <c r="C12" s="40">
        <v>-4.6891930000000004</v>
      </c>
      <c r="D12" s="40">
        <v>-5.9678373000000002</v>
      </c>
      <c r="E12" s="40">
        <v>-0.92808009999999996</v>
      </c>
      <c r="F12" s="40">
        <v>13.9819145</v>
      </c>
      <c r="G12" s="40">
        <v>-1.0184765</v>
      </c>
      <c r="H12" s="40">
        <v>-4.9742459999999999</v>
      </c>
      <c r="I12" s="40">
        <v>20.804618999999999</v>
      </c>
      <c r="J12" s="40">
        <v>13.787603000000001</v>
      </c>
      <c r="K12" s="47">
        <v>-7.5914979999999996</v>
      </c>
      <c r="L12" s="47">
        <v>2.1458626000000001</v>
      </c>
      <c r="M12" s="47">
        <v>-5.7702540000000004</v>
      </c>
      <c r="N12" s="47">
        <v>-14.595151</v>
      </c>
    </row>
    <row r="13" spans="1:14" x14ac:dyDescent="0.35">
      <c r="A13" s="2">
        <v>42111</v>
      </c>
      <c r="B13" s="40">
        <v>2.8755665000000001</v>
      </c>
      <c r="C13" s="40">
        <v>-7.7564060000000001</v>
      </c>
      <c r="D13" s="40">
        <v>-1.0395049999999999</v>
      </c>
      <c r="E13" s="40">
        <v>-3.3433855000000001</v>
      </c>
      <c r="F13" s="40">
        <v>17.084454999999998</v>
      </c>
      <c r="G13" s="40">
        <v>2.6987432999999998</v>
      </c>
      <c r="H13" s="40">
        <v>-3.5561143999999998</v>
      </c>
      <c r="I13" s="40">
        <v>24.346851000000001</v>
      </c>
      <c r="J13" s="40">
        <v>13.744937999999999</v>
      </c>
      <c r="K13" s="47">
        <v>-7.0225239999999998</v>
      </c>
      <c r="L13" s="47">
        <v>2.7065396000000002</v>
      </c>
      <c r="M13" s="47">
        <v>-3.2470107000000001</v>
      </c>
      <c r="N13" s="47">
        <v>-14.816504500000001</v>
      </c>
    </row>
    <row r="14" spans="1:14" x14ac:dyDescent="0.35">
      <c r="A14" s="2">
        <v>42139</v>
      </c>
      <c r="B14" s="40">
        <v>-3.2295883000000001</v>
      </c>
      <c r="C14" s="40">
        <v>-6.8668604000000002</v>
      </c>
      <c r="D14" s="40">
        <v>-3.2829225000000002</v>
      </c>
      <c r="E14" s="40">
        <v>-1.1940658</v>
      </c>
      <c r="F14" s="40">
        <v>19.566821999999998</v>
      </c>
      <c r="G14" s="40">
        <v>4.1538953999999997</v>
      </c>
      <c r="H14" s="40">
        <v>-2.4061499999999998</v>
      </c>
      <c r="I14" s="40">
        <v>27.155125000000002</v>
      </c>
      <c r="J14" s="40">
        <v>15.574635000000001</v>
      </c>
      <c r="K14" s="47">
        <v>-3.3461332000000001</v>
      </c>
      <c r="L14" s="47">
        <v>9.2935920000000003</v>
      </c>
      <c r="M14" s="47">
        <v>-3.2893180000000002</v>
      </c>
      <c r="N14" s="47">
        <v>-1.4556347999999999</v>
      </c>
    </row>
    <row r="15" spans="1:14" x14ac:dyDescent="0.35">
      <c r="A15" s="2">
        <v>42172</v>
      </c>
      <c r="B15" s="40">
        <v>-8.9498280000000001</v>
      </c>
      <c r="C15" s="40">
        <v>-11.042452000000001</v>
      </c>
      <c r="D15" s="40">
        <v>-10.289918999999999</v>
      </c>
      <c r="E15" s="40">
        <v>-8.2196180000000005</v>
      </c>
      <c r="F15" s="40">
        <v>10.023952</v>
      </c>
      <c r="G15" s="40">
        <v>0.34599303999999997</v>
      </c>
      <c r="H15" s="40">
        <v>-6.0163500000000001</v>
      </c>
      <c r="I15" s="40">
        <v>19.319952000000001</v>
      </c>
      <c r="J15" s="40">
        <v>10.199011</v>
      </c>
      <c r="K15" s="47">
        <v>-9.4555140000000009</v>
      </c>
      <c r="L15" s="47">
        <v>2.1079659999999998</v>
      </c>
      <c r="M15" s="47">
        <v>-4.0443420000000003</v>
      </c>
      <c r="N15" s="47">
        <v>-13.965643</v>
      </c>
    </row>
    <row r="16" spans="1:14" x14ac:dyDescent="0.35">
      <c r="A16" s="2">
        <v>42202</v>
      </c>
      <c r="B16" s="40">
        <v>-12.934321000000001</v>
      </c>
      <c r="C16" s="40">
        <v>-15.814852999999999</v>
      </c>
      <c r="D16" s="40">
        <v>-17.852228</v>
      </c>
      <c r="E16" s="40">
        <v>-3.6401211999999998</v>
      </c>
      <c r="F16" s="40">
        <v>8.8080879999999997</v>
      </c>
      <c r="G16" s="40">
        <v>3.8117049999999999</v>
      </c>
      <c r="H16" s="40">
        <v>-5.9348879999999999</v>
      </c>
      <c r="I16" s="40">
        <v>21.337664</v>
      </c>
      <c r="J16" s="40">
        <v>10.699725000000001</v>
      </c>
      <c r="K16" s="47">
        <v>-1.9997418</v>
      </c>
      <c r="L16" s="47">
        <v>10.036289</v>
      </c>
      <c r="M16" s="47">
        <v>-1.6176641</v>
      </c>
      <c r="N16" s="47">
        <v>-4.063618</v>
      </c>
    </row>
    <row r="17" spans="1:14" x14ac:dyDescent="0.35">
      <c r="A17" s="2">
        <v>42233</v>
      </c>
      <c r="B17" s="40">
        <v>-11.807698</v>
      </c>
      <c r="C17" s="40">
        <v>-20.973783000000001</v>
      </c>
      <c r="D17" s="40">
        <v>-20.102930000000001</v>
      </c>
      <c r="E17" s="40">
        <v>-0.79722999999999999</v>
      </c>
      <c r="F17" s="40">
        <v>9.3728300000000004</v>
      </c>
      <c r="G17" s="40">
        <v>3.7630439</v>
      </c>
      <c r="H17" s="40">
        <v>-6.4588190000000001</v>
      </c>
      <c r="I17" s="40">
        <v>15.63176</v>
      </c>
      <c r="J17" s="40">
        <v>9.7094539999999991</v>
      </c>
      <c r="K17" s="47">
        <v>1.2637495999999999</v>
      </c>
      <c r="L17" s="47">
        <v>8.1938270000000006</v>
      </c>
      <c r="M17" s="47">
        <v>-2.2101164</v>
      </c>
      <c r="N17" s="47">
        <v>3.7315965000000002</v>
      </c>
    </row>
    <row r="18" spans="1:14" x14ac:dyDescent="0.35">
      <c r="A18" s="2">
        <v>42264</v>
      </c>
      <c r="B18" s="40">
        <v>-12.428122500000001</v>
      </c>
      <c r="C18" s="40">
        <v>-21.390062</v>
      </c>
      <c r="D18" s="40">
        <v>-23.663447999999999</v>
      </c>
      <c r="E18" s="40">
        <v>-5.9333920000000004</v>
      </c>
      <c r="F18" s="40">
        <v>2.5623798</v>
      </c>
      <c r="G18" s="40">
        <v>-0.82088709999999998</v>
      </c>
      <c r="H18" s="40">
        <v>-11.030525000000001</v>
      </c>
      <c r="I18" s="40">
        <v>8.7905040000000003</v>
      </c>
      <c r="J18" s="40">
        <v>1.4446734999999999</v>
      </c>
      <c r="K18" s="47">
        <v>-4.4920024999999999</v>
      </c>
      <c r="L18" s="47">
        <v>1.9802451000000001</v>
      </c>
      <c r="M18" s="47">
        <v>-3.5639881999999998</v>
      </c>
      <c r="N18" s="47">
        <v>-4.2990149999999998</v>
      </c>
    </row>
    <row r="19" spans="1:14" x14ac:dyDescent="0.35">
      <c r="A19" s="2">
        <v>42293</v>
      </c>
      <c r="B19" s="40">
        <v>-2.4872540999999999</v>
      </c>
      <c r="C19" s="40">
        <v>-13.66046</v>
      </c>
      <c r="D19" s="40">
        <v>-11.991156</v>
      </c>
      <c r="E19" s="40">
        <v>4.6057342999999999</v>
      </c>
      <c r="F19" s="40">
        <v>13.350034000000001</v>
      </c>
      <c r="G19" s="40">
        <v>9.4003680000000003</v>
      </c>
      <c r="H19" s="40">
        <v>1.6426563000000001</v>
      </c>
      <c r="I19" s="40">
        <v>19.064830000000001</v>
      </c>
      <c r="J19" s="40">
        <v>11.335730999999999</v>
      </c>
      <c r="K19" s="47">
        <v>10.109425</v>
      </c>
      <c r="L19" s="47">
        <v>14.191604</v>
      </c>
      <c r="M19" s="47">
        <v>4.5543670000000001</v>
      </c>
      <c r="N19" s="47">
        <v>13.138235</v>
      </c>
    </row>
    <row r="20" spans="1:14" x14ac:dyDescent="0.35">
      <c r="A20" s="2">
        <v>42325</v>
      </c>
      <c r="B20" s="40">
        <v>-11.442971</v>
      </c>
      <c r="C20" s="40">
        <v>-20.964604999999999</v>
      </c>
      <c r="D20" s="40">
        <v>-22.494776000000002</v>
      </c>
      <c r="E20" s="40">
        <v>-0.56387186</v>
      </c>
      <c r="F20" s="40">
        <v>9.1277709999999992</v>
      </c>
      <c r="G20" s="40">
        <v>-2.3687363000000001</v>
      </c>
      <c r="H20" s="40">
        <v>-6.9391847000000002</v>
      </c>
      <c r="I20" s="40">
        <v>9.5093139999999998</v>
      </c>
      <c r="J20" s="40">
        <v>2.5735855000000001</v>
      </c>
      <c r="K20" s="47">
        <v>1.462853</v>
      </c>
      <c r="L20" s="47">
        <v>3.7641643999999999</v>
      </c>
      <c r="M20" s="47">
        <v>-5.7316421999999996</v>
      </c>
      <c r="N20" s="47">
        <v>0.40682553999999999</v>
      </c>
    </row>
    <row r="21" spans="1:14" x14ac:dyDescent="0.35">
      <c r="A21" s="2">
        <v>42355</v>
      </c>
      <c r="B21" s="40">
        <v>-4.6094236000000004</v>
      </c>
      <c r="C21" s="40">
        <v>-12.610787</v>
      </c>
      <c r="D21" s="40">
        <v>-21.764130000000002</v>
      </c>
      <c r="E21" s="40">
        <v>-3.0391395000000001</v>
      </c>
      <c r="F21" s="40">
        <v>9.2440370000000005</v>
      </c>
      <c r="G21" s="40">
        <v>-1.2694776000000001</v>
      </c>
      <c r="H21" s="40">
        <v>-6.6722574000000003</v>
      </c>
      <c r="I21" s="40">
        <v>11.527538</v>
      </c>
      <c r="J21" s="40">
        <v>3.5766244</v>
      </c>
      <c r="K21" s="47">
        <v>0.86574554000000004</v>
      </c>
      <c r="L21" s="47">
        <v>2.4657369</v>
      </c>
      <c r="M21" s="47">
        <v>-5.1327705000000003</v>
      </c>
      <c r="N21" s="47">
        <v>2.5007844000000001</v>
      </c>
    </row>
    <row r="22" spans="1:14" x14ac:dyDescent="0.35">
      <c r="A22" s="2">
        <v>42384</v>
      </c>
      <c r="B22" s="40">
        <v>-11.685556</v>
      </c>
      <c r="C22" s="40">
        <v>-22.480297</v>
      </c>
      <c r="D22" s="40">
        <v>-27.594691999999998</v>
      </c>
      <c r="E22" s="40">
        <v>-11.127215</v>
      </c>
      <c r="F22" s="40">
        <v>0.65076350000000005</v>
      </c>
      <c r="G22" s="40">
        <v>-11.074763000000001</v>
      </c>
      <c r="H22" s="40">
        <v>-13.99728</v>
      </c>
      <c r="I22" s="40">
        <v>2.2286057000000001</v>
      </c>
      <c r="J22" s="40">
        <v>-3.6683620000000001</v>
      </c>
      <c r="K22" s="47">
        <v>-6.1715783999999996</v>
      </c>
      <c r="L22" s="47">
        <v>-3.3403575000000001</v>
      </c>
      <c r="M22" s="47">
        <v>-11.108625</v>
      </c>
      <c r="N22" s="47">
        <v>-2.0261049999999998</v>
      </c>
    </row>
    <row r="23" spans="1:14" x14ac:dyDescent="0.35">
      <c r="A23" s="2">
        <v>42417</v>
      </c>
      <c r="B23" s="40">
        <v>-7.2848499999999996</v>
      </c>
      <c r="C23" s="40">
        <v>-20.744520000000001</v>
      </c>
      <c r="D23" s="40">
        <v>-22.415113000000002</v>
      </c>
      <c r="E23" s="40">
        <v>-16.160171999999999</v>
      </c>
      <c r="F23" s="40">
        <v>-7.5964929999999997</v>
      </c>
      <c r="G23" s="40">
        <v>-10.976065</v>
      </c>
      <c r="H23" s="40">
        <v>-16.530794</v>
      </c>
      <c r="I23" s="40">
        <v>-3.2354115999999999</v>
      </c>
      <c r="J23" s="40">
        <v>-6.2897150000000002</v>
      </c>
      <c r="K23" s="47">
        <v>-10.852015</v>
      </c>
      <c r="L23" s="47">
        <v>-7.3875723000000004</v>
      </c>
      <c r="M23" s="47">
        <v>-14.599818000000001</v>
      </c>
      <c r="N23" s="47">
        <v>-19.282675000000001</v>
      </c>
    </row>
    <row r="24" spans="1:14" x14ac:dyDescent="0.35">
      <c r="A24" s="2">
        <v>42446</v>
      </c>
      <c r="B24" s="40">
        <v>3.5241842000000001</v>
      </c>
      <c r="C24" s="40">
        <v>-7.8825529999999997</v>
      </c>
      <c r="D24" s="40">
        <v>-9.1639280000000003</v>
      </c>
      <c r="E24" s="40">
        <v>-12.321906999999999</v>
      </c>
      <c r="F24" s="40">
        <v>-7.3882339999999997</v>
      </c>
      <c r="G24" s="40">
        <v>-6.2357664000000002</v>
      </c>
      <c r="H24" s="40">
        <v>-8.5312900000000003</v>
      </c>
      <c r="I24" s="40">
        <v>1.6366601000000001</v>
      </c>
      <c r="J24" s="40">
        <v>0.44683218000000002</v>
      </c>
      <c r="K24" s="47">
        <v>-3.0716896</v>
      </c>
      <c r="L24" s="47">
        <v>-1.1348187999999999</v>
      </c>
      <c r="M24" s="47">
        <v>-7.9645213999999998</v>
      </c>
      <c r="N24" s="47">
        <v>-11.000145</v>
      </c>
    </row>
    <row r="25" spans="1:14" x14ac:dyDescent="0.35">
      <c r="A25" s="2">
        <v>42475</v>
      </c>
      <c r="B25" s="40">
        <v>6.0501100000000001</v>
      </c>
      <c r="C25" s="40">
        <v>-10.362321</v>
      </c>
      <c r="D25" s="40">
        <v>-14.714593000000001</v>
      </c>
      <c r="E25" s="40">
        <v>-13.544964999999999</v>
      </c>
      <c r="F25" s="40">
        <v>-8.2644350000000006</v>
      </c>
      <c r="G25" s="40">
        <v>-10.218698</v>
      </c>
      <c r="H25" s="40">
        <v>-12.320352</v>
      </c>
      <c r="I25" s="40">
        <v>3.714931</v>
      </c>
      <c r="J25" s="40">
        <v>0.86733099999999996</v>
      </c>
      <c r="K25" s="47">
        <v>-7.2928246999999997</v>
      </c>
      <c r="L25" s="47">
        <v>-3.1237482999999999</v>
      </c>
      <c r="M25" s="47">
        <v>-8.2898560000000003</v>
      </c>
      <c r="N25" s="47">
        <v>-18.545372</v>
      </c>
    </row>
    <row r="26" spans="1:14" x14ac:dyDescent="0.35">
      <c r="A26" s="2">
        <v>42507</v>
      </c>
      <c r="B26" s="40">
        <v>9.8079199999999993</v>
      </c>
      <c r="C26" s="40">
        <v>-12.5745535</v>
      </c>
      <c r="D26" s="40">
        <v>-13.325328000000001</v>
      </c>
      <c r="E26" s="40">
        <v>-15.331780999999999</v>
      </c>
      <c r="F26" s="40">
        <v>-10.551584</v>
      </c>
      <c r="G26" s="40">
        <v>-14.685840000000001</v>
      </c>
      <c r="H26" s="40">
        <v>-17.135297999999999</v>
      </c>
      <c r="I26" s="40">
        <v>-2.6921629999999999</v>
      </c>
      <c r="J26" s="40">
        <v>-1.4955759</v>
      </c>
      <c r="K26" s="47">
        <v>-12.440491</v>
      </c>
      <c r="L26" s="47">
        <v>-10.563546000000001</v>
      </c>
      <c r="M26" s="47">
        <v>-13.966454000000001</v>
      </c>
      <c r="N26" s="47">
        <v>-25.276385999999999</v>
      </c>
    </row>
    <row r="27" spans="1:14" x14ac:dyDescent="0.35">
      <c r="A27" s="2">
        <v>42538</v>
      </c>
      <c r="B27" s="40">
        <v>20.758914999999998</v>
      </c>
      <c r="C27" s="40">
        <v>-9.4929640000000006</v>
      </c>
      <c r="D27" s="40">
        <v>-9.4640199999999997</v>
      </c>
      <c r="E27" s="40">
        <v>-11.597597</v>
      </c>
      <c r="F27" s="40">
        <v>-9.8106150000000003</v>
      </c>
      <c r="G27" s="40">
        <v>-10.841232</v>
      </c>
      <c r="H27" s="40">
        <v>-15.396922999999999</v>
      </c>
      <c r="I27" s="40">
        <v>-1.0625899000000001</v>
      </c>
      <c r="J27" s="40">
        <v>0.70261954999999998</v>
      </c>
      <c r="K27" s="47">
        <v>-8.8160570000000007</v>
      </c>
      <c r="L27" s="47">
        <v>-8.5358619999999998</v>
      </c>
      <c r="M27" s="47">
        <v>-13.97242</v>
      </c>
      <c r="N27" s="47">
        <v>-21.443718000000001</v>
      </c>
    </row>
    <row r="28" spans="1:14" x14ac:dyDescent="0.35">
      <c r="A28" s="2">
        <v>42566</v>
      </c>
      <c r="B28" s="40">
        <v>33.502364999999998</v>
      </c>
      <c r="C28" s="40">
        <v>1.6562699999999999</v>
      </c>
      <c r="D28" s="40">
        <v>-0.8186698</v>
      </c>
      <c r="E28" s="40">
        <v>-11.953670000000001</v>
      </c>
      <c r="F28" s="40">
        <v>-6.5004530000000003</v>
      </c>
      <c r="G28" s="40">
        <v>-10.125404</v>
      </c>
      <c r="H28" s="40">
        <v>-13.584882</v>
      </c>
      <c r="I28" s="40">
        <v>2.4293900000000002</v>
      </c>
      <c r="J28" s="40">
        <v>4.7206520000000003</v>
      </c>
      <c r="K28" s="47">
        <v>-9.3876299999999997</v>
      </c>
      <c r="L28" s="47">
        <v>-9.6393769999999996</v>
      </c>
      <c r="M28" s="47">
        <v>-9.9518299999999993</v>
      </c>
      <c r="N28" s="47">
        <v>-25.232690000000002</v>
      </c>
    </row>
    <row r="29" spans="1:14" x14ac:dyDescent="0.35">
      <c r="A29" s="2">
        <v>42599</v>
      </c>
      <c r="B29" s="40">
        <v>42.967379999999999</v>
      </c>
      <c r="C29" s="40">
        <v>9.7947120000000005</v>
      </c>
      <c r="D29" s="40">
        <v>5.1726219999999996</v>
      </c>
      <c r="E29" s="40">
        <v>-2.247703</v>
      </c>
      <c r="F29" s="40">
        <v>-2.8630852999999998</v>
      </c>
      <c r="G29" s="40">
        <v>-6.0789765999999998</v>
      </c>
      <c r="H29" s="40">
        <v>-9.3299450000000004</v>
      </c>
      <c r="I29" s="40">
        <v>6.4194319999999996</v>
      </c>
      <c r="J29" s="40">
        <v>5.9631109999999996</v>
      </c>
      <c r="K29" s="47">
        <v>-6.5242950000000004</v>
      </c>
      <c r="L29" s="47">
        <v>-1.8330215999999999</v>
      </c>
      <c r="M29" s="47">
        <v>-6.4026537000000001</v>
      </c>
      <c r="N29" s="47">
        <v>-25.983889000000001</v>
      </c>
    </row>
    <row r="30" spans="1:14" x14ac:dyDescent="0.35">
      <c r="A30" s="2">
        <v>42629</v>
      </c>
      <c r="B30" s="40">
        <v>46.312080000000002</v>
      </c>
      <c r="C30" s="40">
        <v>9.1591950000000004</v>
      </c>
      <c r="D30" s="40">
        <v>5.3344845999999997</v>
      </c>
      <c r="E30" s="40">
        <v>-1.6178786999999999</v>
      </c>
      <c r="F30" s="40">
        <v>3.1483053999999999</v>
      </c>
      <c r="G30" s="40">
        <v>-3.7422537999999999</v>
      </c>
      <c r="H30" s="40">
        <v>-6.2521990000000001</v>
      </c>
      <c r="I30" s="40">
        <v>11.038100999999999</v>
      </c>
      <c r="J30" s="40">
        <v>9.4735150000000008</v>
      </c>
      <c r="K30" s="47">
        <v>-4.1632594999999997</v>
      </c>
      <c r="L30" s="47">
        <v>0.98258257000000004</v>
      </c>
      <c r="M30" s="47">
        <v>-4.0771540000000002</v>
      </c>
      <c r="N30" s="47">
        <v>-25.625664</v>
      </c>
    </row>
    <row r="31" spans="1:14" x14ac:dyDescent="0.35">
      <c r="A31" s="2">
        <v>42660</v>
      </c>
      <c r="B31" s="40">
        <v>26.636863999999999</v>
      </c>
      <c r="C31" s="40">
        <v>9.9499820000000003</v>
      </c>
      <c r="D31" s="40">
        <v>5.2176119999999999</v>
      </c>
      <c r="E31" s="40">
        <v>0.20493269</v>
      </c>
      <c r="F31" s="40">
        <v>2.6913999999999998</v>
      </c>
      <c r="G31" s="40">
        <v>-5.7067100000000002</v>
      </c>
      <c r="H31" s="40">
        <v>-11.187065</v>
      </c>
      <c r="I31" s="40">
        <v>9.2698809999999998</v>
      </c>
      <c r="J31" s="40">
        <v>6.7447423999999998</v>
      </c>
      <c r="K31" s="47">
        <v>-5.3123180000000003</v>
      </c>
      <c r="L31" s="47">
        <v>-0.43274163999999998</v>
      </c>
      <c r="M31" s="47">
        <v>-3.4274637999999999</v>
      </c>
      <c r="N31" s="47">
        <v>-26.09235</v>
      </c>
    </row>
    <row r="32" spans="1:14" x14ac:dyDescent="0.35">
      <c r="A32" s="2">
        <v>42691</v>
      </c>
      <c r="B32" s="40">
        <v>23.454498000000001</v>
      </c>
      <c r="C32" s="40">
        <v>14.0764475</v>
      </c>
      <c r="D32" s="40">
        <v>12.863301999999999</v>
      </c>
      <c r="E32" s="40">
        <v>-2.5789260000000001</v>
      </c>
      <c r="F32" s="40">
        <v>1.8115520000000001</v>
      </c>
      <c r="G32" s="40">
        <v>-4.1621265000000003</v>
      </c>
      <c r="H32" s="40">
        <v>-7.890415</v>
      </c>
      <c r="I32" s="40">
        <v>6.8196773999999998</v>
      </c>
      <c r="J32" s="40">
        <v>8.8885070000000006</v>
      </c>
      <c r="K32" s="47">
        <v>-4.0656805</v>
      </c>
      <c r="L32" s="47">
        <v>-1.838398</v>
      </c>
      <c r="M32" s="47">
        <v>-3.6548674000000001</v>
      </c>
      <c r="N32" s="47">
        <v>-21.82638</v>
      </c>
    </row>
    <row r="33" spans="1:14" x14ac:dyDescent="0.35">
      <c r="A33" s="2">
        <v>42720</v>
      </c>
      <c r="B33" s="40">
        <v>13.190007</v>
      </c>
      <c r="C33" s="40">
        <v>14.982498</v>
      </c>
      <c r="D33" s="40">
        <v>22.752618999999999</v>
      </c>
      <c r="E33" s="40">
        <v>1.0761023000000001</v>
      </c>
      <c r="F33" s="40">
        <v>2.8404950000000002</v>
      </c>
      <c r="G33" s="40">
        <v>-4.4248104000000001</v>
      </c>
      <c r="H33" s="40">
        <v>-1.5744864999999999</v>
      </c>
      <c r="I33" s="40">
        <v>6.4336180000000001</v>
      </c>
      <c r="J33" s="40">
        <v>11.17239</v>
      </c>
      <c r="K33" s="47">
        <v>1.2059689</v>
      </c>
      <c r="L33" s="47">
        <v>0.97496510000000003</v>
      </c>
      <c r="M33" s="47">
        <v>0.75768230000000003</v>
      </c>
      <c r="N33" s="47">
        <v>-12.321388000000001</v>
      </c>
    </row>
    <row r="34" spans="1:14" x14ac:dyDescent="0.35">
      <c r="A34" s="2">
        <v>42752</v>
      </c>
      <c r="B34" s="40">
        <v>29.203759999999999</v>
      </c>
      <c r="C34" s="40">
        <v>37.002586000000001</v>
      </c>
      <c r="D34" s="40">
        <v>45.752290000000002</v>
      </c>
      <c r="E34" s="40">
        <v>17.858791</v>
      </c>
      <c r="F34" s="40">
        <v>14.796792999999999</v>
      </c>
      <c r="G34" s="40">
        <v>9.0477830000000008</v>
      </c>
      <c r="H34" s="40">
        <v>12.376595</v>
      </c>
      <c r="I34" s="40">
        <v>23.127472000000001</v>
      </c>
      <c r="J34" s="40">
        <v>23.058176</v>
      </c>
      <c r="K34" s="47">
        <v>17.427527999999999</v>
      </c>
      <c r="L34" s="47">
        <v>14.616394</v>
      </c>
      <c r="M34" s="47">
        <v>16.621016999999998</v>
      </c>
      <c r="N34" s="47">
        <v>2.3797392999999998</v>
      </c>
    </row>
    <row r="35" spans="1:14" x14ac:dyDescent="0.35">
      <c r="A35" s="2">
        <v>42783</v>
      </c>
      <c r="B35" s="40">
        <v>25.510764999999999</v>
      </c>
      <c r="C35" s="40">
        <v>31.582021999999998</v>
      </c>
      <c r="D35" s="40">
        <v>31.231451</v>
      </c>
      <c r="E35" s="40">
        <v>17.873466000000001</v>
      </c>
      <c r="F35" s="40">
        <v>19.947970000000002</v>
      </c>
      <c r="G35" s="40">
        <v>11.098862</v>
      </c>
      <c r="H35" s="40">
        <v>9.2552780000000006</v>
      </c>
      <c r="I35" s="40">
        <v>28.058682999999998</v>
      </c>
      <c r="J35" s="40">
        <v>24.505222</v>
      </c>
      <c r="K35" s="47">
        <v>12.379289</v>
      </c>
      <c r="L35" s="47">
        <v>16.661894</v>
      </c>
      <c r="M35" s="47">
        <v>15.342843999999999</v>
      </c>
      <c r="N35" s="47">
        <v>6.9940566999999998</v>
      </c>
    </row>
    <row r="36" spans="1:14" x14ac:dyDescent="0.35">
      <c r="A36" s="2">
        <v>42811</v>
      </c>
      <c r="B36" s="40">
        <v>11.342250999999999</v>
      </c>
      <c r="C36" s="40">
        <v>17.446135999999999</v>
      </c>
      <c r="D36" s="40">
        <v>13.532781999999999</v>
      </c>
      <c r="E36" s="40">
        <v>14.113498</v>
      </c>
      <c r="F36" s="40">
        <v>14.999998</v>
      </c>
      <c r="G36" s="40">
        <v>10.726333</v>
      </c>
      <c r="H36" s="40">
        <v>6.36158</v>
      </c>
      <c r="I36" s="40">
        <v>24.105633000000001</v>
      </c>
      <c r="J36" s="40">
        <v>18.840205999999998</v>
      </c>
      <c r="K36" s="47">
        <v>10.342598000000001</v>
      </c>
      <c r="L36" s="47">
        <v>12.363982</v>
      </c>
      <c r="M36" s="47">
        <v>11.540043000000001</v>
      </c>
      <c r="N36" s="47">
        <v>5.2064656999999999</v>
      </c>
    </row>
    <row r="37" spans="1:14" x14ac:dyDescent="0.35">
      <c r="A37" s="2">
        <v>42842</v>
      </c>
      <c r="B37" s="40">
        <v>6.8603635000000001</v>
      </c>
      <c r="C37" s="40">
        <v>18.167256999999999</v>
      </c>
      <c r="D37" s="40">
        <v>13.518428999999999</v>
      </c>
      <c r="E37" s="40">
        <v>12.314546999999999</v>
      </c>
      <c r="F37" s="40">
        <v>10.697293</v>
      </c>
      <c r="G37" s="40">
        <v>8.3545684999999992</v>
      </c>
      <c r="H37" s="40">
        <v>6.1279893000000003</v>
      </c>
      <c r="I37" s="40">
        <v>20.058214</v>
      </c>
      <c r="J37" s="40">
        <v>15.232098000000001</v>
      </c>
      <c r="K37" s="47">
        <v>10.306347000000001</v>
      </c>
      <c r="L37" s="47">
        <v>11.581791000000001</v>
      </c>
      <c r="M37" s="47">
        <v>8.1758019999999991</v>
      </c>
      <c r="N37" s="47">
        <v>6.2716126000000001</v>
      </c>
    </row>
    <row r="38" spans="1:14" x14ac:dyDescent="0.35">
      <c r="A38" s="2">
        <v>42872</v>
      </c>
      <c r="B38" s="40">
        <v>7.8348756000000002</v>
      </c>
      <c r="C38" s="40">
        <v>13.494968</v>
      </c>
      <c r="D38" s="40">
        <v>6.9845796</v>
      </c>
      <c r="E38" s="40">
        <v>23.604918000000001</v>
      </c>
      <c r="F38" s="40">
        <v>15.238678</v>
      </c>
      <c r="G38" s="40">
        <v>17.553352</v>
      </c>
      <c r="H38" s="40">
        <v>12.778926</v>
      </c>
      <c r="I38" s="40">
        <v>30.327679</v>
      </c>
      <c r="J38" s="40">
        <v>17.502678</v>
      </c>
      <c r="K38" s="47">
        <v>24.733340999999999</v>
      </c>
      <c r="L38" s="47">
        <v>24.049294</v>
      </c>
      <c r="M38" s="47">
        <v>20.891522999999999</v>
      </c>
      <c r="N38" s="47">
        <v>23.188568</v>
      </c>
    </row>
    <row r="39" spans="1:14" x14ac:dyDescent="0.35">
      <c r="A39" s="2">
        <v>42902</v>
      </c>
      <c r="B39" s="40">
        <v>12.827586999999999</v>
      </c>
      <c r="C39" s="40">
        <v>21.768485999999999</v>
      </c>
      <c r="D39" s="40">
        <v>10.862278999999999</v>
      </c>
      <c r="E39" s="40">
        <v>29.606605999999999</v>
      </c>
      <c r="F39" s="40">
        <v>20.723175000000001</v>
      </c>
      <c r="G39" s="40">
        <v>20.656442999999999</v>
      </c>
      <c r="H39" s="40">
        <v>16.438652000000001</v>
      </c>
      <c r="I39" s="40">
        <v>29.538440000000001</v>
      </c>
      <c r="J39" s="40">
        <v>19.43853</v>
      </c>
      <c r="K39" s="47">
        <v>29.555225</v>
      </c>
      <c r="L39" s="47">
        <v>28.891635999999998</v>
      </c>
      <c r="M39" s="47">
        <v>27.272964000000002</v>
      </c>
      <c r="N39" s="47">
        <v>29.839753999999999</v>
      </c>
    </row>
    <row r="40" spans="1:14" x14ac:dyDescent="0.35">
      <c r="A40" s="2">
        <v>42933</v>
      </c>
      <c r="B40" s="40">
        <v>11.055004</v>
      </c>
      <c r="C40" s="40">
        <v>14.199161999999999</v>
      </c>
      <c r="D40" s="40">
        <v>10.492718</v>
      </c>
      <c r="E40" s="40">
        <v>27.591574000000001</v>
      </c>
      <c r="F40" s="40">
        <v>14.766978999999999</v>
      </c>
      <c r="G40" s="40">
        <v>18.492376</v>
      </c>
      <c r="H40" s="40">
        <v>13.207255999999999</v>
      </c>
      <c r="I40" s="40">
        <v>28.496742000000001</v>
      </c>
      <c r="J40" s="40">
        <v>16.077482</v>
      </c>
      <c r="K40" s="47">
        <v>28.802251999999999</v>
      </c>
      <c r="L40" s="47">
        <v>30.107796</v>
      </c>
      <c r="M40" s="47">
        <v>29.131067000000002</v>
      </c>
      <c r="N40" s="47">
        <v>34.349335000000004</v>
      </c>
    </row>
    <row r="41" spans="1:14" x14ac:dyDescent="0.35">
      <c r="A41" s="2">
        <v>42964</v>
      </c>
      <c r="B41" s="40">
        <v>5.7025550000000003</v>
      </c>
      <c r="C41" s="40">
        <v>12.480079999999999</v>
      </c>
      <c r="D41" s="40">
        <v>7.1875929999999997</v>
      </c>
      <c r="E41" s="40">
        <v>17.083931</v>
      </c>
      <c r="F41" s="40">
        <v>11.378372000000001</v>
      </c>
      <c r="G41" s="40">
        <v>13.110447000000001</v>
      </c>
      <c r="H41" s="40">
        <v>8.8254339999999996</v>
      </c>
      <c r="I41" s="40">
        <v>21.772528000000001</v>
      </c>
      <c r="J41" s="40">
        <v>13.587177000000001</v>
      </c>
      <c r="K41" s="47">
        <v>23.890471999999999</v>
      </c>
      <c r="L41" s="47">
        <v>26.530349999999999</v>
      </c>
      <c r="M41" s="47">
        <v>19.443490000000001</v>
      </c>
      <c r="N41" s="47">
        <v>36.202334999999998</v>
      </c>
    </row>
    <row r="42" spans="1:14" x14ac:dyDescent="0.35">
      <c r="A42" s="2">
        <v>42993</v>
      </c>
      <c r="B42" s="40">
        <v>6.8974970000000004</v>
      </c>
      <c r="C42" s="40">
        <v>21.298812999999999</v>
      </c>
      <c r="D42" s="40">
        <v>16.037512</v>
      </c>
      <c r="E42" s="40">
        <v>25.114201999999999</v>
      </c>
      <c r="F42" s="40">
        <v>15.356695</v>
      </c>
      <c r="G42" s="40">
        <v>16.457854999999999</v>
      </c>
      <c r="H42" s="40">
        <v>13.702035</v>
      </c>
      <c r="I42" s="40">
        <v>25.441466999999999</v>
      </c>
      <c r="J42" s="40">
        <v>18.693923999999999</v>
      </c>
      <c r="K42" s="47">
        <v>30.952024000000002</v>
      </c>
      <c r="L42" s="47">
        <v>30.648900000000001</v>
      </c>
      <c r="M42" s="47">
        <v>25.243424999999998</v>
      </c>
      <c r="N42" s="47">
        <v>43.043934</v>
      </c>
    </row>
    <row r="43" spans="1:14" x14ac:dyDescent="0.35">
      <c r="A43" s="2">
        <v>43025</v>
      </c>
      <c r="B43" s="40">
        <v>15.262211000000001</v>
      </c>
      <c r="C43" s="40">
        <v>17.285263</v>
      </c>
      <c r="D43" s="40">
        <v>16.493749999999999</v>
      </c>
      <c r="E43" s="40">
        <v>29.990981999999999</v>
      </c>
      <c r="F43" s="40">
        <v>18.685459999999999</v>
      </c>
      <c r="G43" s="40">
        <v>21.451222999999999</v>
      </c>
      <c r="H43" s="40">
        <v>21.223461</v>
      </c>
      <c r="I43" s="40">
        <v>28.859269999999999</v>
      </c>
      <c r="J43" s="40">
        <v>22.724426000000001</v>
      </c>
      <c r="K43" s="47">
        <v>33.385742</v>
      </c>
      <c r="L43" s="47">
        <v>34.172393999999997</v>
      </c>
      <c r="M43" s="47">
        <v>29.686689999999999</v>
      </c>
      <c r="N43" s="47">
        <v>44.182810000000003</v>
      </c>
    </row>
    <row r="44" spans="1:14" x14ac:dyDescent="0.35">
      <c r="A44" s="2">
        <v>43056</v>
      </c>
      <c r="B44" s="40">
        <v>14.290535</v>
      </c>
      <c r="C44" s="40">
        <v>17.554341999999998</v>
      </c>
      <c r="D44" s="40">
        <v>16.373873</v>
      </c>
      <c r="E44" s="40">
        <v>32.955300000000001</v>
      </c>
      <c r="F44" s="40">
        <v>19.188010999999999</v>
      </c>
      <c r="G44" s="40">
        <v>21.490514999999998</v>
      </c>
      <c r="H44" s="40">
        <v>19.000350000000001</v>
      </c>
      <c r="I44" s="40">
        <v>32.041943000000003</v>
      </c>
      <c r="J44" s="40">
        <v>20.133554</v>
      </c>
      <c r="K44" s="47">
        <v>34.146476999999997</v>
      </c>
      <c r="L44" s="47">
        <v>35.230614000000003</v>
      </c>
      <c r="M44" s="47">
        <v>28.140937999999998</v>
      </c>
      <c r="N44" s="47">
        <v>45.736156000000001</v>
      </c>
    </row>
    <row r="45" spans="1:14" x14ac:dyDescent="0.35">
      <c r="A45" s="2">
        <v>43084</v>
      </c>
      <c r="B45" s="40">
        <v>22.421001</v>
      </c>
      <c r="C45" s="40">
        <v>16.848552999999999</v>
      </c>
      <c r="D45" s="40">
        <v>11.312938000000001</v>
      </c>
      <c r="E45" s="40">
        <v>29.457450000000001</v>
      </c>
      <c r="F45" s="40">
        <v>20.634793999999999</v>
      </c>
      <c r="G45" s="40">
        <v>23.920594999999999</v>
      </c>
      <c r="H45" s="40">
        <v>18.371486999999998</v>
      </c>
      <c r="I45" s="40">
        <v>32.250549999999997</v>
      </c>
      <c r="J45" s="40">
        <v>20.49042</v>
      </c>
      <c r="K45" s="47">
        <v>30.206299000000001</v>
      </c>
      <c r="L45" s="47">
        <v>35.435223000000001</v>
      </c>
      <c r="M45" s="47">
        <v>21.149312999999999</v>
      </c>
      <c r="N45" s="47">
        <v>30.741882</v>
      </c>
    </row>
    <row r="46" spans="1:14" x14ac:dyDescent="0.35">
      <c r="A46" s="2">
        <v>43117</v>
      </c>
      <c r="B46" s="40">
        <v>18.949615000000001</v>
      </c>
      <c r="C46" s="40">
        <v>15.539312000000001</v>
      </c>
      <c r="D46" s="40">
        <v>13.921797</v>
      </c>
      <c r="E46" s="40">
        <v>30.294239000000001</v>
      </c>
      <c r="F46" s="40">
        <v>28.802622</v>
      </c>
      <c r="G46" s="40">
        <v>23.029959000000002</v>
      </c>
      <c r="H46" s="40">
        <v>23.668312</v>
      </c>
      <c r="I46" s="40">
        <v>36.250853999999997</v>
      </c>
      <c r="J46" s="40">
        <v>25.981915000000001</v>
      </c>
      <c r="K46" s="47">
        <v>33.474967999999997</v>
      </c>
      <c r="L46" s="47">
        <v>38.013362999999998</v>
      </c>
      <c r="M46" s="47">
        <v>26.679766000000001</v>
      </c>
      <c r="N46" s="47">
        <v>39.387810000000002</v>
      </c>
    </row>
    <row r="47" spans="1:14" x14ac:dyDescent="0.35">
      <c r="A47" s="2">
        <v>43147</v>
      </c>
      <c r="B47" s="40">
        <v>15.894151000000001</v>
      </c>
      <c r="C47" s="40">
        <v>8.0051179999999995</v>
      </c>
      <c r="D47" s="40">
        <v>3.6932706999999998</v>
      </c>
      <c r="E47" s="40">
        <v>23.059929</v>
      </c>
      <c r="F47" s="40">
        <v>21.851275999999999</v>
      </c>
      <c r="G47" s="40">
        <v>18.256509999999999</v>
      </c>
      <c r="H47" s="40">
        <v>15.814947999999999</v>
      </c>
      <c r="I47" s="40">
        <v>28.792942</v>
      </c>
      <c r="J47" s="40">
        <v>18.612814</v>
      </c>
      <c r="K47" s="47">
        <v>29.562653000000001</v>
      </c>
      <c r="L47" s="47">
        <v>29.565833999999999</v>
      </c>
      <c r="M47" s="47">
        <v>16.028058999999999</v>
      </c>
      <c r="N47" s="47">
        <v>40.240893999999997</v>
      </c>
    </row>
    <row r="48" spans="1:14" x14ac:dyDescent="0.35">
      <c r="A48" s="2">
        <v>43175</v>
      </c>
      <c r="B48" s="40">
        <v>23.003053999999999</v>
      </c>
      <c r="C48" s="40">
        <v>6.2077520000000002</v>
      </c>
      <c r="D48" s="40">
        <v>5.1563499999999998</v>
      </c>
      <c r="E48" s="40">
        <v>17.056633000000001</v>
      </c>
      <c r="F48" s="40">
        <v>19.028711000000001</v>
      </c>
      <c r="G48" s="40">
        <v>11.05566</v>
      </c>
      <c r="H48" s="40">
        <v>11.670923</v>
      </c>
      <c r="I48" s="40">
        <v>30.732631999999999</v>
      </c>
      <c r="J48" s="40">
        <v>17.677475000000001</v>
      </c>
      <c r="K48" s="47">
        <v>24.492000000000001</v>
      </c>
      <c r="L48" s="47">
        <v>22.749638000000001</v>
      </c>
      <c r="M48" s="47">
        <v>12.890768</v>
      </c>
      <c r="N48" s="47">
        <v>30.625105000000001</v>
      </c>
    </row>
    <row r="49" spans="1:14" x14ac:dyDescent="0.35">
      <c r="A49" s="2">
        <v>43207</v>
      </c>
      <c r="B49" s="40">
        <v>20.50563</v>
      </c>
      <c r="C49" s="40">
        <v>4.4830800000000002</v>
      </c>
      <c r="D49" s="40">
        <v>6.6872715999999999</v>
      </c>
      <c r="E49" s="40">
        <v>20.347261</v>
      </c>
      <c r="F49" s="40">
        <v>20.096636</v>
      </c>
      <c r="G49" s="40">
        <v>10.143936</v>
      </c>
      <c r="H49" s="40">
        <v>15.622389</v>
      </c>
      <c r="I49" s="40">
        <v>27.429175999999998</v>
      </c>
      <c r="J49" s="40">
        <v>17.377746999999999</v>
      </c>
      <c r="K49" s="47">
        <v>27.28511</v>
      </c>
      <c r="L49" s="47">
        <v>24.866199999999999</v>
      </c>
      <c r="M49" s="47">
        <v>10.328006999999999</v>
      </c>
      <c r="N49" s="47">
        <v>39.521957</v>
      </c>
    </row>
    <row r="50" spans="1:14" x14ac:dyDescent="0.35">
      <c r="A50" s="2">
        <v>43237</v>
      </c>
      <c r="B50" s="40">
        <v>14.743066000000001</v>
      </c>
      <c r="C50" s="40">
        <v>11.598528</v>
      </c>
      <c r="D50" s="40">
        <v>16.048157</v>
      </c>
      <c r="E50" s="40">
        <v>10.326385500000001</v>
      </c>
      <c r="F50" s="40">
        <v>18.076264999999999</v>
      </c>
      <c r="G50" s="40">
        <v>2.7046920000000001</v>
      </c>
      <c r="H50" s="40">
        <v>12.388921</v>
      </c>
      <c r="I50" s="40">
        <v>24.783753999999998</v>
      </c>
      <c r="J50" s="40">
        <v>17.542027999999998</v>
      </c>
      <c r="K50" s="47">
        <v>15.387285</v>
      </c>
      <c r="L50" s="47">
        <v>12.523770000000001</v>
      </c>
      <c r="M50" s="47">
        <v>4.7124147000000001</v>
      </c>
      <c r="N50" s="47">
        <v>18.937671999999999</v>
      </c>
    </row>
    <row r="51" spans="1:14" x14ac:dyDescent="0.35">
      <c r="A51" s="2">
        <v>43266</v>
      </c>
      <c r="B51" s="40">
        <v>14.47649</v>
      </c>
      <c r="C51" s="40">
        <v>6.7562939999999996</v>
      </c>
      <c r="D51" s="40">
        <v>11.34994</v>
      </c>
      <c r="E51" s="40">
        <v>7.1614145999999996</v>
      </c>
      <c r="F51" s="40">
        <v>13.176584</v>
      </c>
      <c r="G51" s="40">
        <v>0.23064613</v>
      </c>
      <c r="H51" s="40">
        <v>10.635864</v>
      </c>
      <c r="I51" s="40">
        <v>28.310537</v>
      </c>
      <c r="J51" s="40">
        <v>16.369676999999999</v>
      </c>
      <c r="K51" s="47">
        <v>13.582981</v>
      </c>
      <c r="L51" s="47">
        <v>11.600674</v>
      </c>
      <c r="M51" s="47">
        <v>1.2093662999999999</v>
      </c>
      <c r="N51" s="47">
        <v>11.173117</v>
      </c>
    </row>
    <row r="52" spans="1:14" x14ac:dyDescent="0.35">
      <c r="A52" s="2">
        <v>43298</v>
      </c>
      <c r="B52" s="40">
        <v>7.1259259999999998</v>
      </c>
      <c r="C52" s="40">
        <v>6.3974500000000001</v>
      </c>
      <c r="D52" s="40">
        <v>7.667351</v>
      </c>
      <c r="E52" s="40">
        <v>2.8388738999999998</v>
      </c>
      <c r="F52" s="40">
        <v>10.039592000000001</v>
      </c>
      <c r="G52" s="40">
        <v>-0.96367599999999998</v>
      </c>
      <c r="H52" s="40">
        <v>6.9988250000000001</v>
      </c>
      <c r="I52" s="40">
        <v>27.807213000000001</v>
      </c>
      <c r="J52" s="40">
        <v>16.360592</v>
      </c>
      <c r="K52" s="47">
        <v>9.4769839999999999</v>
      </c>
      <c r="L52" s="47">
        <v>6.9390535</v>
      </c>
      <c r="M52" s="47">
        <v>-6.3795146999999996</v>
      </c>
      <c r="N52" s="47">
        <v>5.1207659999999997</v>
      </c>
    </row>
    <row r="53" spans="1:14" x14ac:dyDescent="0.35">
      <c r="A53" s="2">
        <v>43329</v>
      </c>
      <c r="B53" s="40">
        <v>5.3826213000000003</v>
      </c>
      <c r="C53" s="40">
        <v>6.7878603999999996</v>
      </c>
      <c r="D53" s="40">
        <v>8.5729959999999998</v>
      </c>
      <c r="E53" s="40">
        <v>-0.86516740000000003</v>
      </c>
      <c r="F53" s="40">
        <v>7.0357560000000001</v>
      </c>
      <c r="G53" s="40">
        <v>2.4774910000000001</v>
      </c>
      <c r="H53" s="40">
        <v>5.0339700000000001</v>
      </c>
      <c r="I53" s="40">
        <v>28.292477000000002</v>
      </c>
      <c r="J53" s="40">
        <v>19.451962999999999</v>
      </c>
      <c r="K53" s="47">
        <v>5.6811449999999999</v>
      </c>
      <c r="L53" s="47">
        <v>1.7982959999999999</v>
      </c>
      <c r="M53" s="47">
        <v>-1.9781648999999999</v>
      </c>
      <c r="N53" s="47">
        <v>-6.4140139999999999</v>
      </c>
    </row>
    <row r="54" spans="1:14" x14ac:dyDescent="0.35">
      <c r="A54" s="2">
        <v>43360</v>
      </c>
      <c r="B54" s="40">
        <v>6.9320680000000001</v>
      </c>
      <c r="C54" s="40">
        <v>-0.14109015</v>
      </c>
      <c r="D54" s="40">
        <v>1.5492678</v>
      </c>
      <c r="E54" s="40">
        <v>-4.8623799999999999</v>
      </c>
      <c r="F54" s="40">
        <v>6.8031907</v>
      </c>
      <c r="G54" s="40">
        <v>2.4487138000000002</v>
      </c>
      <c r="H54" s="40">
        <v>0.65772533</v>
      </c>
      <c r="I54" s="40">
        <v>25.159336</v>
      </c>
      <c r="J54" s="40">
        <v>17.694341999999999</v>
      </c>
      <c r="K54" s="47">
        <v>3.4052253000000001</v>
      </c>
      <c r="L54" s="47">
        <v>-1.2303173999999999</v>
      </c>
      <c r="M54" s="47">
        <v>-4.1140850000000002</v>
      </c>
      <c r="N54" s="47">
        <v>-5.9129294999999997</v>
      </c>
    </row>
    <row r="55" spans="1:14" x14ac:dyDescent="0.35">
      <c r="A55" s="2">
        <v>43390</v>
      </c>
      <c r="B55" s="40">
        <v>0.21972655999999999</v>
      </c>
      <c r="C55" s="40">
        <v>-5.3598879999999998</v>
      </c>
      <c r="D55" s="40">
        <v>-3.6915420999999999</v>
      </c>
      <c r="E55" s="40">
        <v>-11.228061</v>
      </c>
      <c r="F55" s="40">
        <v>1.4408231</v>
      </c>
      <c r="G55" s="40">
        <v>-4.2132319999999996</v>
      </c>
      <c r="H55" s="40">
        <v>-3.4821629999999999</v>
      </c>
      <c r="I55" s="40">
        <v>19.869433999999998</v>
      </c>
      <c r="J55" s="40">
        <v>11.777937</v>
      </c>
      <c r="K55" s="47">
        <v>-3.0196667000000001</v>
      </c>
      <c r="L55" s="47">
        <v>-7.0340037000000004</v>
      </c>
      <c r="M55" s="47">
        <v>-9.8125750000000007</v>
      </c>
      <c r="N55" s="47">
        <v>-12.52327</v>
      </c>
    </row>
    <row r="56" spans="1:14" x14ac:dyDescent="0.35">
      <c r="A56" s="2">
        <v>43420</v>
      </c>
      <c r="B56" s="40">
        <v>10.682285</v>
      </c>
      <c r="C56" s="40">
        <v>-3.8158774000000002</v>
      </c>
      <c r="D56" s="40">
        <v>-5.9004126000000001</v>
      </c>
      <c r="E56" s="40">
        <v>-14.788002000000001</v>
      </c>
      <c r="F56" s="40">
        <v>-5.9040840000000001</v>
      </c>
      <c r="G56" s="40">
        <v>-1.3877212999999999</v>
      </c>
      <c r="H56" s="40">
        <v>-3.8719296000000001</v>
      </c>
      <c r="I56" s="40">
        <v>9.2196940000000005</v>
      </c>
      <c r="J56" s="40">
        <v>7.7707290000000002</v>
      </c>
      <c r="K56" s="47">
        <v>-5.6000889999999997</v>
      </c>
      <c r="L56" s="47">
        <v>-6.7040563000000004</v>
      </c>
      <c r="M56" s="47">
        <v>-10.933738999999999</v>
      </c>
      <c r="N56" s="47">
        <v>-14.491522</v>
      </c>
    </row>
    <row r="57" spans="1:14" x14ac:dyDescent="0.35">
      <c r="A57" s="2">
        <v>43451</v>
      </c>
      <c r="B57" s="40">
        <v>1.0304450999999999</v>
      </c>
      <c r="C57" s="40">
        <v>-9.5286729999999995</v>
      </c>
      <c r="D57" s="40">
        <v>-12.488626999999999</v>
      </c>
      <c r="E57" s="40">
        <v>-21.10688</v>
      </c>
      <c r="F57" s="40">
        <v>-11.007904999999999</v>
      </c>
      <c r="G57" s="40">
        <v>-7.8336953999999999</v>
      </c>
      <c r="H57" s="40">
        <v>-11.841875</v>
      </c>
      <c r="I57" s="40">
        <v>0.62841177000000004</v>
      </c>
      <c r="J57" s="40">
        <v>-2.9303849</v>
      </c>
      <c r="K57" s="47">
        <v>-11.401737000000001</v>
      </c>
      <c r="L57" s="47">
        <v>-13.101255</v>
      </c>
      <c r="M57" s="47">
        <v>-11.821211</v>
      </c>
      <c r="N57" s="47">
        <v>-15.895414000000001</v>
      </c>
    </row>
    <row r="58" spans="1:14" x14ac:dyDescent="0.35">
      <c r="A58" s="2">
        <v>43482</v>
      </c>
      <c r="B58" s="40">
        <v>2.5978564999999998</v>
      </c>
      <c r="C58" s="40">
        <v>-7.9795837000000001</v>
      </c>
      <c r="D58" s="40">
        <v>-11.216419999999999</v>
      </c>
      <c r="E58" s="40">
        <v>-22.767979</v>
      </c>
      <c r="F58" s="40">
        <v>-15.153617000000001</v>
      </c>
      <c r="G58" s="40">
        <v>-7.3030590000000002</v>
      </c>
      <c r="H58" s="40">
        <v>-13.812041000000001</v>
      </c>
      <c r="I58" s="40">
        <v>-0.45900344999999998</v>
      </c>
      <c r="J58" s="40">
        <v>-4.1563689999999998</v>
      </c>
      <c r="K58" s="47">
        <v>-16.031974999999999</v>
      </c>
      <c r="L58" s="47">
        <v>-16.791176</v>
      </c>
      <c r="M58" s="47">
        <v>-14.958662</v>
      </c>
      <c r="N58" s="47">
        <v>-19.661587000000001</v>
      </c>
    </row>
    <row r="59" spans="1:14" x14ac:dyDescent="0.35">
      <c r="A59" s="2">
        <v>43511</v>
      </c>
      <c r="B59" s="40">
        <v>7.3292016999999996</v>
      </c>
      <c r="C59" s="40">
        <v>-3.6608398000000002</v>
      </c>
      <c r="D59" s="40">
        <v>-1.0908008</v>
      </c>
      <c r="E59" s="40">
        <v>-17.686160000000001</v>
      </c>
      <c r="F59" s="40">
        <v>-8.7808309999999992</v>
      </c>
      <c r="G59" s="40">
        <v>-3.3263623999999998</v>
      </c>
      <c r="H59" s="40">
        <v>-5.4488300000000001</v>
      </c>
      <c r="I59" s="40">
        <v>4.6530246999999996</v>
      </c>
      <c r="J59" s="40">
        <v>3.5321832</v>
      </c>
      <c r="K59" s="47">
        <v>-8.435613</v>
      </c>
      <c r="L59" s="47">
        <v>-7.1129265000000004</v>
      </c>
      <c r="M59" s="47">
        <v>-8.9685020000000009</v>
      </c>
      <c r="N59" s="47">
        <v>-15.668732</v>
      </c>
    </row>
    <row r="60" spans="1:14" x14ac:dyDescent="0.35">
      <c r="A60" s="2">
        <v>43539</v>
      </c>
      <c r="B60" s="40">
        <v>5.3680659999999998</v>
      </c>
      <c r="C60" s="40">
        <v>-0.5970299</v>
      </c>
      <c r="D60" s="40">
        <v>2.6665329999999998</v>
      </c>
      <c r="E60" s="40">
        <v>-13.488806</v>
      </c>
      <c r="F60" s="40">
        <v>-9.5146770000000007</v>
      </c>
      <c r="G60" s="40">
        <v>3.535056</v>
      </c>
      <c r="H60" s="40">
        <v>0.52585599999999999</v>
      </c>
      <c r="I60" s="40">
        <v>4.8649550000000001</v>
      </c>
      <c r="J60" s="40">
        <v>4.7076105999999998</v>
      </c>
      <c r="K60" s="47">
        <v>-3.2624602</v>
      </c>
      <c r="L60" s="47">
        <v>-4.1420640000000004</v>
      </c>
      <c r="M60" s="47">
        <v>-7.1313915000000003</v>
      </c>
      <c r="N60" s="47">
        <v>-11.610657</v>
      </c>
    </row>
    <row r="61" spans="1:14" x14ac:dyDescent="0.35">
      <c r="A61" s="2">
        <v>43572</v>
      </c>
      <c r="B61" s="40">
        <v>9.5962160000000001</v>
      </c>
      <c r="C61" s="40">
        <v>3.0212759999999999</v>
      </c>
      <c r="D61" s="40">
        <v>3.9331912999999998</v>
      </c>
      <c r="E61" s="40">
        <v>-11.978923999999999</v>
      </c>
      <c r="F61" s="40">
        <v>-7.4140309999999996</v>
      </c>
      <c r="G61" s="40">
        <v>5.878234</v>
      </c>
      <c r="H61" s="40">
        <v>-2.1057963000000002</v>
      </c>
      <c r="I61" s="40">
        <v>13.654768000000001</v>
      </c>
      <c r="J61" s="40">
        <v>9.2185609999999993</v>
      </c>
      <c r="K61" s="47">
        <v>-3.2715320000000001</v>
      </c>
      <c r="L61" s="47">
        <v>-3.388989</v>
      </c>
      <c r="M61" s="47">
        <v>1.8834829</v>
      </c>
      <c r="N61" s="47">
        <v>-12.378377</v>
      </c>
    </row>
    <row r="62" spans="1:14" x14ac:dyDescent="0.35">
      <c r="A62" s="2">
        <v>43602</v>
      </c>
      <c r="B62" s="40">
        <v>12.359774</v>
      </c>
      <c r="C62" s="40">
        <v>-0.77948569999999995</v>
      </c>
      <c r="D62" s="40">
        <v>-1.8525301999999999</v>
      </c>
      <c r="E62" s="40">
        <v>-12.974083</v>
      </c>
      <c r="F62" s="40">
        <v>-10.840183</v>
      </c>
      <c r="G62" s="40">
        <v>7.2103619999999999</v>
      </c>
      <c r="H62" s="40">
        <v>-7.79739</v>
      </c>
      <c r="I62" s="40">
        <v>9.6861840000000008</v>
      </c>
      <c r="J62" s="40">
        <v>7.1347117000000004</v>
      </c>
      <c r="K62" s="47">
        <v>-6.363696</v>
      </c>
      <c r="L62" s="47">
        <v>-2.4794817</v>
      </c>
      <c r="M62" s="47">
        <v>-6.3725176000000001</v>
      </c>
      <c r="N62" s="47">
        <v>-12.9154625</v>
      </c>
    </row>
    <row r="63" spans="1:14" x14ac:dyDescent="0.35">
      <c r="A63" s="2">
        <v>43633</v>
      </c>
      <c r="B63" s="40">
        <v>4.5154690000000004</v>
      </c>
      <c r="C63" s="40">
        <v>4.1623115999999998</v>
      </c>
      <c r="D63" s="40">
        <v>0.35002232</v>
      </c>
      <c r="E63" s="40">
        <v>-12.623780999999999</v>
      </c>
      <c r="F63" s="40">
        <v>-8.8117485000000002</v>
      </c>
      <c r="G63" s="40">
        <v>13.510859</v>
      </c>
      <c r="H63" s="40">
        <v>-5.7681084</v>
      </c>
      <c r="I63" s="40">
        <v>4.7242044999999999</v>
      </c>
      <c r="J63" s="40">
        <v>5.9777019999999998</v>
      </c>
      <c r="K63" s="47">
        <v>-4.0504990000000003</v>
      </c>
      <c r="L63" s="47">
        <v>-2.2141278</v>
      </c>
      <c r="M63" s="47">
        <v>-2.929014</v>
      </c>
      <c r="N63" s="47">
        <v>-6.3540754000000002</v>
      </c>
    </row>
    <row r="64" spans="1:14" x14ac:dyDescent="0.35">
      <c r="A64" s="2">
        <v>43663</v>
      </c>
      <c r="B64" s="40">
        <v>17.251799999999999</v>
      </c>
      <c r="C64" s="40">
        <v>5.981052</v>
      </c>
      <c r="D64" s="40">
        <v>2.3853898</v>
      </c>
      <c r="E64" s="40">
        <v>-8.8296299999999999</v>
      </c>
      <c r="F64" s="40">
        <v>-4.2963800000000001</v>
      </c>
      <c r="G64" s="40">
        <v>14.253879</v>
      </c>
      <c r="H64" s="40">
        <v>-3.2351136</v>
      </c>
      <c r="I64" s="40">
        <v>7.5537443</v>
      </c>
      <c r="J64" s="40">
        <v>8.2692150000000009</v>
      </c>
      <c r="K64" s="47">
        <v>-6.5541269999999999E-2</v>
      </c>
      <c r="L64" s="47">
        <v>2.8552293999999998</v>
      </c>
      <c r="M64" s="47">
        <v>0.83622929999999995</v>
      </c>
      <c r="N64" s="47">
        <v>0.45477151999999998</v>
      </c>
    </row>
    <row r="65" spans="1:14" x14ac:dyDescent="0.35">
      <c r="A65" s="2">
        <v>43693</v>
      </c>
      <c r="B65" s="40">
        <v>14.179587</v>
      </c>
      <c r="C65" s="40">
        <v>-0.83835124999999999</v>
      </c>
      <c r="D65" s="40">
        <v>-0.45426487999999998</v>
      </c>
      <c r="E65" s="40">
        <v>-9.8950859999999992</v>
      </c>
      <c r="F65" s="40">
        <v>-4.7141549999999999</v>
      </c>
      <c r="G65" s="40">
        <v>11.431384</v>
      </c>
      <c r="H65" s="40">
        <v>-6.3761415000000001</v>
      </c>
      <c r="I65" s="40">
        <v>4.0530204999999997</v>
      </c>
      <c r="J65" s="40">
        <v>3.7090182</v>
      </c>
      <c r="K65" s="47">
        <v>-1.4402508999999999</v>
      </c>
      <c r="L65" s="47">
        <v>1.6623616000000001</v>
      </c>
      <c r="M65" s="47">
        <v>-6.6115139999999997</v>
      </c>
      <c r="N65" s="47">
        <v>-0.1401782</v>
      </c>
    </row>
    <row r="66" spans="1:14" x14ac:dyDescent="0.35">
      <c r="A66" s="2">
        <v>43725</v>
      </c>
      <c r="B66" s="40">
        <v>13.320791</v>
      </c>
      <c r="C66" s="40">
        <v>9.5637910000000002</v>
      </c>
      <c r="D66" s="40">
        <v>5.0873755999999997</v>
      </c>
      <c r="E66" s="40">
        <v>-5.3968134000000001</v>
      </c>
      <c r="F66" s="40">
        <v>-0.70524810000000004</v>
      </c>
      <c r="G66" s="40">
        <v>10.183001000000001</v>
      </c>
      <c r="H66" s="40">
        <v>-0.60181620000000002</v>
      </c>
      <c r="I66" s="40">
        <v>7.1416615999999999</v>
      </c>
      <c r="J66" s="40">
        <v>6.0710430000000004</v>
      </c>
      <c r="K66" s="47">
        <v>1.2483597</v>
      </c>
      <c r="L66" s="47">
        <v>7.8942895000000002</v>
      </c>
      <c r="M66" s="47">
        <v>-3.3595324</v>
      </c>
      <c r="N66" s="47">
        <v>2.0598649999999998</v>
      </c>
    </row>
    <row r="67" spans="1:14" x14ac:dyDescent="0.35">
      <c r="A67" s="2">
        <v>43755</v>
      </c>
      <c r="B67" s="40">
        <v>20.50451</v>
      </c>
      <c r="C67" s="40">
        <v>13.333809</v>
      </c>
      <c r="D67" s="40">
        <v>6.9989800000000004</v>
      </c>
      <c r="E67" s="40">
        <v>1.6875267</v>
      </c>
      <c r="F67" s="40">
        <v>1.5315890000000001</v>
      </c>
      <c r="G67" s="40">
        <v>17.279160000000001</v>
      </c>
      <c r="H67" s="40">
        <v>3.4192084999999999</v>
      </c>
      <c r="I67" s="40">
        <v>10.154294999999999</v>
      </c>
      <c r="J67" s="40">
        <v>8.8487740000000006</v>
      </c>
      <c r="K67" s="47">
        <v>7.8967093999999998</v>
      </c>
      <c r="L67" s="47">
        <v>14.215589</v>
      </c>
      <c r="M67" s="47">
        <v>3.0936360000000001</v>
      </c>
      <c r="N67" s="47">
        <v>14.080334000000001</v>
      </c>
    </row>
    <row r="68" spans="1:14" x14ac:dyDescent="0.35">
      <c r="A68" s="2">
        <v>43784</v>
      </c>
      <c r="B68" s="40">
        <v>14.980124999999999</v>
      </c>
      <c r="C68" s="40">
        <v>15.390347999999999</v>
      </c>
      <c r="D68" s="40">
        <v>14.284145000000001</v>
      </c>
      <c r="E68" s="40">
        <v>9.2890259999999998</v>
      </c>
      <c r="F68" s="40">
        <v>11.234522</v>
      </c>
      <c r="G68" s="40">
        <v>20.709515</v>
      </c>
      <c r="H68" s="40">
        <v>7.3406935000000004</v>
      </c>
      <c r="I68" s="40">
        <v>21.8019</v>
      </c>
      <c r="J68" s="40">
        <v>16.484760000000001</v>
      </c>
      <c r="K68" s="47">
        <v>15.543782999999999</v>
      </c>
      <c r="L68" s="47">
        <v>17.749154999999998</v>
      </c>
      <c r="M68" s="47">
        <v>13.539910000000001</v>
      </c>
      <c r="N68" s="47">
        <v>22.504733999999999</v>
      </c>
    </row>
    <row r="69" spans="1:14" x14ac:dyDescent="0.35">
      <c r="A69" s="2">
        <v>43816</v>
      </c>
      <c r="B69" s="40">
        <v>25.186848000000001</v>
      </c>
      <c r="C69" s="40">
        <v>21.962965000000001</v>
      </c>
      <c r="D69" s="40">
        <v>23.581875</v>
      </c>
      <c r="E69" s="40">
        <v>19.25695</v>
      </c>
      <c r="F69" s="40">
        <v>17.821788999999999</v>
      </c>
      <c r="G69" s="40">
        <v>28.903030000000001</v>
      </c>
      <c r="H69" s="40">
        <v>20.040856999999999</v>
      </c>
      <c r="I69" s="40">
        <v>34.202587000000001</v>
      </c>
      <c r="J69" s="40">
        <v>27.648140000000001</v>
      </c>
      <c r="K69" s="47">
        <v>24.675094999999999</v>
      </c>
      <c r="L69" s="47">
        <v>29.086994000000001</v>
      </c>
      <c r="M69" s="47">
        <v>24.37011</v>
      </c>
      <c r="N69" s="47">
        <v>25.903690000000001</v>
      </c>
    </row>
    <row r="70" spans="1:14" x14ac:dyDescent="0.35">
      <c r="A70" s="2">
        <v>43847</v>
      </c>
      <c r="B70" s="40">
        <v>25.592005</v>
      </c>
      <c r="C70" s="40">
        <v>19.416094000000001</v>
      </c>
      <c r="D70" s="40">
        <v>19.122886999999999</v>
      </c>
      <c r="E70" s="40">
        <v>17.367422000000001</v>
      </c>
      <c r="F70" s="40">
        <v>14.143551</v>
      </c>
      <c r="G70" s="40">
        <v>28.347946</v>
      </c>
      <c r="H70" s="40">
        <v>15.961539999999999</v>
      </c>
      <c r="I70" s="40">
        <v>37.638534999999997</v>
      </c>
      <c r="J70" s="40">
        <v>28.624248999999999</v>
      </c>
      <c r="K70" s="47">
        <v>25.320983999999999</v>
      </c>
      <c r="L70" s="47">
        <v>29.560576999999999</v>
      </c>
      <c r="M70" s="47">
        <v>20.021034</v>
      </c>
      <c r="N70" s="47">
        <v>21.176386000000001</v>
      </c>
    </row>
    <row r="71" spans="1:14" x14ac:dyDescent="0.35">
      <c r="A71" s="2">
        <v>43875</v>
      </c>
      <c r="B71" s="40">
        <v>20.121230000000001</v>
      </c>
      <c r="C71" s="40">
        <v>15.619790999999999</v>
      </c>
      <c r="D71" s="40">
        <v>15.713251</v>
      </c>
      <c r="E71" s="40">
        <v>15.82396</v>
      </c>
      <c r="F71" s="40">
        <v>10.931468000000001</v>
      </c>
      <c r="G71" s="40">
        <v>27.606795999999999</v>
      </c>
      <c r="H71" s="40">
        <v>8.0376259999999995</v>
      </c>
      <c r="I71" s="40">
        <v>38.167605999999999</v>
      </c>
      <c r="J71" s="40">
        <v>25.368893</v>
      </c>
      <c r="K71" s="47">
        <v>17.885255999999998</v>
      </c>
      <c r="L71" s="47">
        <v>22.480129999999999</v>
      </c>
      <c r="M71" s="47">
        <v>18.558502000000001</v>
      </c>
      <c r="N71" s="47">
        <v>20.175625</v>
      </c>
    </row>
    <row r="72" spans="1:14" x14ac:dyDescent="0.35">
      <c r="A72" s="2">
        <v>43907</v>
      </c>
      <c r="B72" s="40">
        <v>-10.933310000000001</v>
      </c>
      <c r="C72" s="40">
        <v>-24.497437000000001</v>
      </c>
      <c r="D72" s="40">
        <v>-27.949601999999999</v>
      </c>
      <c r="E72" s="40">
        <v>-27.694077</v>
      </c>
      <c r="F72" s="40">
        <v>-14.757877000000001</v>
      </c>
      <c r="G72" s="40">
        <v>-5.9601126000000004</v>
      </c>
      <c r="H72" s="40">
        <v>-31.14357</v>
      </c>
      <c r="I72" s="40">
        <v>2.9652953000000002</v>
      </c>
      <c r="J72" s="40">
        <v>-8.8341530000000006</v>
      </c>
      <c r="K72" s="47">
        <v>-26.595645999999999</v>
      </c>
      <c r="L72" s="47">
        <v>-18.454308000000001</v>
      </c>
      <c r="M72" s="47">
        <v>-18.446899999999999</v>
      </c>
      <c r="N72" s="47">
        <v>-28.830475</v>
      </c>
    </row>
    <row r="73" spans="1:14" x14ac:dyDescent="0.35">
      <c r="A73" s="2">
        <v>43938</v>
      </c>
      <c r="B73" s="40">
        <v>-2.3778320000000002</v>
      </c>
      <c r="C73" s="40">
        <v>-20.013003999999999</v>
      </c>
      <c r="D73" s="40">
        <v>-16.524607</v>
      </c>
      <c r="E73" s="40">
        <v>-17.290485</v>
      </c>
      <c r="F73" s="40">
        <v>-6.1146735999999997</v>
      </c>
      <c r="G73" s="40">
        <v>5.6458354000000002</v>
      </c>
      <c r="H73" s="40">
        <v>-23.566305</v>
      </c>
      <c r="I73" s="40">
        <v>16.01857</v>
      </c>
      <c r="J73" s="40">
        <v>1.0795474</v>
      </c>
      <c r="K73" s="47">
        <v>-19.731976</v>
      </c>
      <c r="L73" s="47">
        <v>-8.611637</v>
      </c>
      <c r="M73" s="47">
        <v>-14.797693000000001</v>
      </c>
      <c r="N73" s="47">
        <v>-25.149280000000001</v>
      </c>
    </row>
    <row r="74" spans="1:14" x14ac:dyDescent="0.35">
      <c r="A74" s="2">
        <v>43966</v>
      </c>
      <c r="B74" s="40">
        <v>-1.9391297999999999</v>
      </c>
      <c r="C74" s="40">
        <v>-19.008827</v>
      </c>
      <c r="D74" s="40">
        <v>-13.183373</v>
      </c>
      <c r="E74" s="40">
        <v>-16.825448999999999</v>
      </c>
      <c r="F74" s="40">
        <v>-1.6225636000000001</v>
      </c>
      <c r="G74" s="40">
        <v>4.6049119999999997</v>
      </c>
      <c r="H74" s="40">
        <v>-22.908646000000001</v>
      </c>
      <c r="I74" s="40">
        <v>22.987006999999998</v>
      </c>
      <c r="J74" s="40">
        <v>2.5073051</v>
      </c>
      <c r="K74" s="47">
        <v>-20.495356000000001</v>
      </c>
      <c r="L74" s="47">
        <v>-6.3364266999999996</v>
      </c>
      <c r="M74" s="47">
        <v>-9.4214500000000001</v>
      </c>
      <c r="N74" s="47">
        <v>-22.968912</v>
      </c>
    </row>
    <row r="75" spans="1:14" x14ac:dyDescent="0.35">
      <c r="A75" s="2">
        <v>43999</v>
      </c>
      <c r="B75" s="40">
        <v>12.872958000000001</v>
      </c>
      <c r="C75" s="40">
        <v>-7.6132536000000002</v>
      </c>
      <c r="D75" s="40">
        <v>-5.2896080000000003</v>
      </c>
      <c r="E75" s="40">
        <v>1.8683076000000001</v>
      </c>
      <c r="F75" s="40">
        <v>7.1871400000000003</v>
      </c>
      <c r="G75" s="40">
        <v>9.3962909999999997</v>
      </c>
      <c r="H75" s="40">
        <v>-14.075011</v>
      </c>
      <c r="I75" s="40">
        <v>33.721924000000001</v>
      </c>
      <c r="J75" s="40">
        <v>9.9328880000000002</v>
      </c>
      <c r="K75" s="47">
        <v>-6.0827790000000004</v>
      </c>
      <c r="L75" s="47">
        <v>10.354137</v>
      </c>
      <c r="M75" s="47">
        <v>6.5065384000000002</v>
      </c>
      <c r="N75" s="47">
        <v>-7.0829988000000004</v>
      </c>
    </row>
    <row r="76" spans="1:14" x14ac:dyDescent="0.35">
      <c r="A76" s="2">
        <v>44029</v>
      </c>
      <c r="B76" s="40">
        <v>8.7086919999999992</v>
      </c>
      <c r="C76" s="40">
        <v>-8.7230679999999996</v>
      </c>
      <c r="D76" s="40">
        <v>-4.7004403999999997</v>
      </c>
      <c r="E76" s="40">
        <v>5.9664010000000003</v>
      </c>
      <c r="F76" s="40">
        <v>4.7787547000000004</v>
      </c>
      <c r="G76" s="40">
        <v>11.2801075</v>
      </c>
      <c r="H76" s="40">
        <v>-14.137566</v>
      </c>
      <c r="I76" s="40">
        <v>36.060333</v>
      </c>
      <c r="J76" s="40">
        <v>10.242604999999999</v>
      </c>
      <c r="K76" s="47">
        <v>-4.6919227000000001</v>
      </c>
      <c r="L76" s="47">
        <v>11.530745</v>
      </c>
      <c r="M76" s="47">
        <v>14.498578999999999</v>
      </c>
      <c r="N76" s="47">
        <v>-6.7685310000000003</v>
      </c>
    </row>
    <row r="77" spans="1:14" x14ac:dyDescent="0.35">
      <c r="A77" s="2">
        <v>44060</v>
      </c>
      <c r="B77" s="40">
        <v>14.934754</v>
      </c>
      <c r="C77" s="40">
        <v>1.2685299000000001</v>
      </c>
      <c r="D77" s="40">
        <v>5.7149887000000001</v>
      </c>
      <c r="E77" s="40">
        <v>18.09385</v>
      </c>
      <c r="F77" s="40">
        <v>10.936367000000001</v>
      </c>
      <c r="G77" s="40">
        <v>15.34667</v>
      </c>
      <c r="H77" s="40">
        <v>-6.3775779999999997</v>
      </c>
      <c r="I77" s="40">
        <v>49.631180000000001</v>
      </c>
      <c r="J77" s="40">
        <v>19.35408</v>
      </c>
      <c r="K77" s="47">
        <v>2.9391289</v>
      </c>
      <c r="L77" s="47">
        <v>20.135570000000001</v>
      </c>
      <c r="M77" s="47">
        <v>30.492926000000001</v>
      </c>
      <c r="N77" s="47">
        <v>3.2168865000000002</v>
      </c>
    </row>
    <row r="78" spans="1:14" x14ac:dyDescent="0.35">
      <c r="A78" s="2">
        <v>44091</v>
      </c>
      <c r="B78" s="40">
        <v>16.017426</v>
      </c>
      <c r="C78" s="40">
        <v>-6.8260670000000001</v>
      </c>
      <c r="D78" s="40">
        <v>-1.8264830000000001</v>
      </c>
      <c r="E78" s="40">
        <v>12.656128000000001</v>
      </c>
      <c r="F78" s="40">
        <v>6.9209100000000001</v>
      </c>
      <c r="G78" s="40">
        <v>15.861821000000001</v>
      </c>
      <c r="H78" s="40">
        <v>-13.606394</v>
      </c>
      <c r="I78" s="40">
        <v>41.482689999999998</v>
      </c>
      <c r="J78" s="40">
        <v>13.864922999999999</v>
      </c>
      <c r="K78" s="47">
        <v>-1.7595649</v>
      </c>
      <c r="L78" s="47">
        <v>13.006676000000001</v>
      </c>
      <c r="M78" s="47">
        <v>22.420131999999999</v>
      </c>
      <c r="N78" s="47">
        <v>-5.6025742999999997</v>
      </c>
    </row>
    <row r="79" spans="1:14" x14ac:dyDescent="0.35">
      <c r="A79" s="2">
        <v>44120</v>
      </c>
      <c r="B79" s="40">
        <v>18.294703999999999</v>
      </c>
      <c r="C79" s="40">
        <v>-3.7696838000000001</v>
      </c>
      <c r="D79" s="40">
        <v>1.0293007000000001</v>
      </c>
      <c r="E79" s="40">
        <v>7.4669239999999997</v>
      </c>
      <c r="F79" s="40">
        <v>4.2465925000000002</v>
      </c>
      <c r="G79" s="40">
        <v>11.950815</v>
      </c>
      <c r="H79" s="40">
        <v>-16.592162999999999</v>
      </c>
      <c r="I79" s="40">
        <v>50.573993999999999</v>
      </c>
      <c r="J79" s="40">
        <v>18.671821999999999</v>
      </c>
      <c r="K79" s="47">
        <v>-5.4467974000000003</v>
      </c>
      <c r="L79" s="47">
        <v>15.657722</v>
      </c>
      <c r="M79" s="47">
        <v>22.095537</v>
      </c>
      <c r="N79" s="47">
        <v>-10.757250000000001</v>
      </c>
    </row>
    <row r="80" spans="1:14" x14ac:dyDescent="0.35">
      <c r="A80" s="2">
        <v>44152</v>
      </c>
      <c r="B80" s="40">
        <v>26.442754999999998</v>
      </c>
      <c r="C80" s="40">
        <v>2.3768544</v>
      </c>
      <c r="D80" s="40">
        <v>1.3908624999999999</v>
      </c>
      <c r="E80" s="40">
        <v>4.6266794000000004</v>
      </c>
      <c r="F80" s="40">
        <v>9.232056</v>
      </c>
      <c r="G80" s="40">
        <v>12.979018999999999</v>
      </c>
      <c r="H80" s="40">
        <v>-9.7134350000000005</v>
      </c>
      <c r="I80" s="40">
        <v>45.116615000000003</v>
      </c>
      <c r="J80" s="40">
        <v>17.934752</v>
      </c>
      <c r="K80" s="47">
        <v>2.0681381000000001</v>
      </c>
      <c r="L80" s="47">
        <v>18.407810000000001</v>
      </c>
      <c r="M80" s="47">
        <v>23.604476999999999</v>
      </c>
      <c r="N80" s="47">
        <v>-3.7726639999999998</v>
      </c>
    </row>
    <row r="81" spans="1:14" x14ac:dyDescent="0.35">
      <c r="A81" s="2">
        <v>44182</v>
      </c>
      <c r="B81" s="40">
        <v>24.025286000000001</v>
      </c>
      <c r="C81" s="40">
        <v>9.9481579999999994</v>
      </c>
      <c r="D81" s="40">
        <v>8.4311489999999996</v>
      </c>
      <c r="E81" s="40">
        <v>11.5194435</v>
      </c>
      <c r="F81" s="40">
        <v>12.298750999999999</v>
      </c>
      <c r="G81" s="40">
        <v>13.008022</v>
      </c>
      <c r="H81" s="40">
        <v>-9.1780419999999996</v>
      </c>
      <c r="I81" s="40">
        <v>49.637638000000003</v>
      </c>
      <c r="J81" s="40">
        <v>18.771208000000001</v>
      </c>
      <c r="K81" s="47">
        <v>4.7161460000000002</v>
      </c>
      <c r="L81" s="47">
        <v>23.980152</v>
      </c>
      <c r="M81" s="47">
        <v>21.478712000000002</v>
      </c>
      <c r="N81" s="47">
        <v>1.8462181</v>
      </c>
    </row>
    <row r="82" spans="1:14" x14ac:dyDescent="0.35">
      <c r="A82" s="2">
        <v>44211</v>
      </c>
      <c r="B82" s="40">
        <v>17.366195999999999</v>
      </c>
      <c r="C82" s="40">
        <v>7.4872255000000001</v>
      </c>
      <c r="D82" s="40">
        <v>7.2578550000000002</v>
      </c>
      <c r="E82" s="40">
        <v>9.5774539999999995</v>
      </c>
      <c r="F82" s="40">
        <v>16.564512000000001</v>
      </c>
      <c r="G82" s="40">
        <v>11.896658</v>
      </c>
      <c r="H82" s="40">
        <v>-7.3037330000000003</v>
      </c>
      <c r="I82" s="40">
        <v>42.655647000000002</v>
      </c>
      <c r="J82" s="40">
        <v>16.655182</v>
      </c>
      <c r="K82" s="47">
        <v>3.5334587000000002</v>
      </c>
      <c r="L82" s="47">
        <v>27.292538</v>
      </c>
      <c r="M82" s="47">
        <v>25.663530000000002</v>
      </c>
      <c r="N82" s="47">
        <v>1.4656425</v>
      </c>
    </row>
    <row r="83" spans="1:14" x14ac:dyDescent="0.35">
      <c r="A83" s="2">
        <v>44244</v>
      </c>
      <c r="B83" s="40">
        <v>16.087008000000001</v>
      </c>
      <c r="C83" s="40">
        <v>11.845421999999999</v>
      </c>
      <c r="D83" s="40">
        <v>9.5542669999999994</v>
      </c>
      <c r="E83" s="40">
        <v>12.797366999999999</v>
      </c>
      <c r="F83" s="40">
        <v>24.240839000000001</v>
      </c>
      <c r="G83" s="40">
        <v>8.8136670000000006</v>
      </c>
      <c r="H83" s="40">
        <v>-2.7481914000000001</v>
      </c>
      <c r="I83" s="40">
        <v>43.331240000000001</v>
      </c>
      <c r="J83" s="40">
        <v>18.441438999999999</v>
      </c>
      <c r="K83" s="47">
        <v>7.5734139999999996</v>
      </c>
      <c r="L83" s="47">
        <v>33.98856</v>
      </c>
      <c r="M83" s="47">
        <v>27.009905</v>
      </c>
      <c r="N83" s="47">
        <v>3.3099650999999999</v>
      </c>
    </row>
    <row r="84" spans="1:14" x14ac:dyDescent="0.35">
      <c r="A84" s="2">
        <v>44272</v>
      </c>
      <c r="B84" s="40">
        <v>53.523994000000002</v>
      </c>
      <c r="C84" s="40">
        <v>65.946700000000007</v>
      </c>
      <c r="D84" s="40">
        <v>82.686000000000007</v>
      </c>
      <c r="E84" s="40">
        <v>76.957440000000005</v>
      </c>
      <c r="F84" s="40">
        <v>56.214333000000003</v>
      </c>
      <c r="G84" s="40">
        <v>39.190950000000001</v>
      </c>
      <c r="H84" s="40">
        <v>48.360588</v>
      </c>
      <c r="I84" s="40">
        <v>77.993080000000006</v>
      </c>
      <c r="J84" s="40">
        <v>60.134887999999997</v>
      </c>
      <c r="K84" s="47">
        <v>67.629363999999995</v>
      </c>
      <c r="L84" s="47">
        <v>90.145424000000006</v>
      </c>
      <c r="M84" s="47">
        <v>90.732635000000002</v>
      </c>
      <c r="N84" s="47">
        <v>71.58869</v>
      </c>
    </row>
    <row r="85" spans="1:14" x14ac:dyDescent="0.35">
      <c r="A85" s="2">
        <v>44302</v>
      </c>
      <c r="B85" s="40">
        <v>36.742176000000001</v>
      </c>
      <c r="C85" s="40">
        <v>63.774810000000002</v>
      </c>
      <c r="D85" s="40">
        <v>61.244953000000002</v>
      </c>
      <c r="E85" s="40">
        <v>63.622190000000003</v>
      </c>
      <c r="F85" s="40">
        <v>41.170929999999998</v>
      </c>
      <c r="G85" s="40">
        <v>31.606280999999999</v>
      </c>
      <c r="H85" s="40">
        <v>40.195419999999999</v>
      </c>
      <c r="I85" s="40">
        <v>61.380789999999998</v>
      </c>
      <c r="J85" s="40">
        <v>51.914000000000001</v>
      </c>
      <c r="K85" s="47">
        <v>62.140050000000002</v>
      </c>
      <c r="L85" s="47">
        <v>80.350620000000006</v>
      </c>
      <c r="M85" s="47">
        <v>91.849180000000004</v>
      </c>
      <c r="N85" s="47">
        <v>64.717420000000004</v>
      </c>
    </row>
    <row r="86" spans="1:14" x14ac:dyDescent="0.35">
      <c r="A86" s="2">
        <v>44333</v>
      </c>
      <c r="B86" s="40">
        <v>30.18552</v>
      </c>
      <c r="C86" s="40">
        <v>62.484394000000002</v>
      </c>
      <c r="D86" s="40">
        <v>60.280110000000001</v>
      </c>
      <c r="E86" s="40">
        <v>59.648823</v>
      </c>
      <c r="F86" s="40">
        <v>30.04297</v>
      </c>
      <c r="G86" s="40">
        <v>31.728947000000002</v>
      </c>
      <c r="H86" s="40">
        <v>44.31127</v>
      </c>
      <c r="I86" s="40">
        <v>46.206237999999999</v>
      </c>
      <c r="J86" s="40">
        <v>47.486339999999998</v>
      </c>
      <c r="K86" s="47">
        <v>67.577550000000002</v>
      </c>
      <c r="L86" s="47">
        <v>74.088840000000005</v>
      </c>
      <c r="M86" s="47">
        <v>83.650289999999998</v>
      </c>
      <c r="N86" s="47">
        <v>68.491209999999995</v>
      </c>
    </row>
    <row r="87" spans="1:14" x14ac:dyDescent="0.35">
      <c r="A87" s="2">
        <v>44364</v>
      </c>
      <c r="B87" s="40">
        <v>12.897337</v>
      </c>
      <c r="C87" s="40">
        <v>40.936436</v>
      </c>
      <c r="D87" s="40">
        <v>47.653163999999997</v>
      </c>
      <c r="E87" s="40">
        <v>32.983173000000001</v>
      </c>
      <c r="F87" s="40">
        <v>23.398589999999999</v>
      </c>
      <c r="G87" s="40">
        <v>27.579653</v>
      </c>
      <c r="H87" s="40">
        <v>30.457615000000001</v>
      </c>
      <c r="I87" s="40">
        <v>42.638252000000001</v>
      </c>
      <c r="J87" s="40">
        <v>37.578761999999998</v>
      </c>
      <c r="K87" s="47">
        <v>43.442653999999997</v>
      </c>
      <c r="L87" s="47">
        <v>51.440489999999997</v>
      </c>
      <c r="M87" s="47">
        <v>54.475951999999999</v>
      </c>
      <c r="N87" s="47">
        <v>40.310130000000001</v>
      </c>
    </row>
    <row r="88" spans="1:14" x14ac:dyDescent="0.35">
      <c r="A88" s="2">
        <v>44393</v>
      </c>
      <c r="B88" s="40">
        <v>9.6746920000000003</v>
      </c>
      <c r="C88" s="40">
        <v>32.140743000000001</v>
      </c>
      <c r="D88" s="40">
        <v>38.359259999999999</v>
      </c>
      <c r="E88" s="40">
        <v>23.540474</v>
      </c>
      <c r="F88" s="40">
        <v>21.239066999999999</v>
      </c>
      <c r="G88" s="40">
        <v>22.917843000000001</v>
      </c>
      <c r="H88" s="40">
        <v>25.689803999999999</v>
      </c>
      <c r="I88" s="40">
        <v>38.788246000000001</v>
      </c>
      <c r="J88" s="40">
        <v>36.480094999999999</v>
      </c>
      <c r="K88" s="47">
        <v>31.805205999999998</v>
      </c>
      <c r="L88" s="47">
        <v>41.246234999999999</v>
      </c>
      <c r="M88" s="47">
        <v>43.627693000000001</v>
      </c>
      <c r="N88" s="47">
        <v>25.713920000000002</v>
      </c>
    </row>
    <row r="89" spans="1:14" x14ac:dyDescent="0.35">
      <c r="A89" s="2">
        <v>44425</v>
      </c>
      <c r="B89" s="40">
        <v>5.6086900000000002</v>
      </c>
      <c r="C89" s="40">
        <v>26.476215</v>
      </c>
      <c r="D89" s="40">
        <v>32.013750000000002</v>
      </c>
      <c r="E89" s="40">
        <v>19.914341</v>
      </c>
      <c r="F89" s="40">
        <v>17.684673</v>
      </c>
      <c r="G89" s="40">
        <v>24.123298999999999</v>
      </c>
      <c r="H89" s="40">
        <v>26.578796000000001</v>
      </c>
      <c r="I89" s="40">
        <v>33.591521999999998</v>
      </c>
      <c r="J89" s="40">
        <v>33.380234000000002</v>
      </c>
      <c r="K89" s="47">
        <v>34.750712999999998</v>
      </c>
      <c r="L89" s="47">
        <v>43.165733000000003</v>
      </c>
      <c r="M89" s="47">
        <v>37.903416</v>
      </c>
      <c r="N89" s="47">
        <v>29.892122000000001</v>
      </c>
    </row>
    <row r="90" spans="1:14" x14ac:dyDescent="0.35">
      <c r="A90" s="2">
        <v>44456</v>
      </c>
      <c r="B90" s="40">
        <v>8.3876369999999998</v>
      </c>
      <c r="C90" s="40">
        <v>27.704834000000002</v>
      </c>
      <c r="D90" s="40">
        <v>34.034218000000003</v>
      </c>
      <c r="E90" s="40">
        <v>15.083814</v>
      </c>
      <c r="F90" s="40">
        <v>24.762844000000001</v>
      </c>
      <c r="G90" s="40">
        <v>15.203189999999999</v>
      </c>
      <c r="H90" s="40">
        <v>25.931930000000001</v>
      </c>
      <c r="I90" s="40">
        <v>39.075946999999999</v>
      </c>
      <c r="J90" s="40">
        <v>33.836080000000003</v>
      </c>
      <c r="K90" s="47">
        <v>30.685555999999998</v>
      </c>
      <c r="L90" s="47">
        <v>50.076056999999999</v>
      </c>
      <c r="M90" s="47">
        <v>33.798110000000001</v>
      </c>
      <c r="N90" s="47">
        <v>28.577673000000001</v>
      </c>
    </row>
    <row r="91" spans="1:14" x14ac:dyDescent="0.35">
      <c r="A91" s="2">
        <v>44484</v>
      </c>
      <c r="B91" s="40">
        <v>4.7096251999999996</v>
      </c>
      <c r="C91" s="40">
        <v>28.914238000000001</v>
      </c>
      <c r="D91" s="40">
        <v>40.505744999999997</v>
      </c>
      <c r="E91" s="40">
        <v>18.320156000000001</v>
      </c>
      <c r="F91" s="40">
        <v>18.297671999999999</v>
      </c>
      <c r="G91" s="40">
        <v>20.381820000000001</v>
      </c>
      <c r="H91" s="40">
        <v>36.559759999999997</v>
      </c>
      <c r="I91" s="40">
        <v>27.857303999999999</v>
      </c>
      <c r="J91" s="40">
        <v>30.128145</v>
      </c>
      <c r="K91" s="47">
        <v>38.19988</v>
      </c>
      <c r="L91" s="47">
        <v>43.949092999999998</v>
      </c>
      <c r="M91" s="47">
        <v>36.651479999999999</v>
      </c>
      <c r="N91" s="47">
        <v>37.672460000000001</v>
      </c>
    </row>
    <row r="92" spans="1:14" x14ac:dyDescent="0.35">
      <c r="A92" s="2">
        <v>44517</v>
      </c>
      <c r="B92" s="40">
        <v>-5.4005384000000003</v>
      </c>
      <c r="C92" s="40">
        <v>15.670562</v>
      </c>
      <c r="D92" s="40">
        <v>36.743949999999998</v>
      </c>
      <c r="E92" s="40">
        <v>16.850387999999999</v>
      </c>
      <c r="F92" s="40">
        <v>9.910202</v>
      </c>
      <c r="G92" s="40">
        <v>20.532036000000002</v>
      </c>
      <c r="H92" s="40">
        <v>20.483934000000001</v>
      </c>
      <c r="I92" s="40">
        <v>36.776806000000001</v>
      </c>
      <c r="J92" s="40">
        <v>31.656943999999999</v>
      </c>
      <c r="K92" s="47">
        <v>25.834679000000001</v>
      </c>
      <c r="L92" s="47">
        <v>38.158679999999997</v>
      </c>
      <c r="M92" s="47">
        <v>28.372395000000001</v>
      </c>
      <c r="N92" s="47">
        <v>23.249684999999999</v>
      </c>
    </row>
    <row r="93" spans="1:14" x14ac:dyDescent="0.35">
      <c r="A93" s="2">
        <v>44547</v>
      </c>
      <c r="B93" s="40">
        <v>-13.658761999999999</v>
      </c>
      <c r="C93" s="40">
        <v>3.1456232000000002</v>
      </c>
      <c r="D93" s="40">
        <v>19.679535000000001</v>
      </c>
      <c r="E93" s="40">
        <v>1.7158865999999999</v>
      </c>
      <c r="F93" s="40">
        <v>2.7595282000000001</v>
      </c>
      <c r="G93" s="40">
        <v>17.779945000000001</v>
      </c>
      <c r="H93" s="40">
        <v>11.977732</v>
      </c>
      <c r="I93" s="40">
        <v>24.427485999999998</v>
      </c>
      <c r="J93" s="40">
        <v>25.739742</v>
      </c>
      <c r="K93" s="47">
        <v>15.239679000000001</v>
      </c>
      <c r="L93" s="47">
        <v>16.732047999999999</v>
      </c>
      <c r="M93" s="47">
        <v>15.623236</v>
      </c>
      <c r="N93" s="47">
        <v>10.115361</v>
      </c>
    </row>
    <row r="94" spans="1:14" x14ac:dyDescent="0.35">
      <c r="A94" s="2">
        <v>44575</v>
      </c>
      <c r="B94" s="40">
        <v>-12.015420000000001</v>
      </c>
      <c r="C94" s="40">
        <v>4.3678045000000001</v>
      </c>
      <c r="D94" s="40">
        <v>23.967922000000002</v>
      </c>
      <c r="E94" s="40">
        <v>5.0686239999999998</v>
      </c>
      <c r="F94" s="40">
        <v>-1.8554269999999999</v>
      </c>
      <c r="G94" s="40">
        <v>14.737892</v>
      </c>
      <c r="H94" s="40">
        <v>16.181135000000001</v>
      </c>
      <c r="I94" s="40">
        <v>21.470510000000001</v>
      </c>
      <c r="J94" s="40">
        <v>24.444914000000001</v>
      </c>
      <c r="K94" s="47">
        <v>19.507550999999999</v>
      </c>
      <c r="L94" s="47">
        <v>14.703822000000001</v>
      </c>
      <c r="M94" s="47">
        <v>13.879311</v>
      </c>
      <c r="N94" s="47">
        <v>14.752352</v>
      </c>
    </row>
    <row r="95" spans="1:14" x14ac:dyDescent="0.35">
      <c r="A95" s="2">
        <v>44609</v>
      </c>
      <c r="B95" s="40">
        <v>-14.789593</v>
      </c>
      <c r="C95" s="40">
        <v>0.83374979999999999</v>
      </c>
      <c r="D95" s="40">
        <v>18.764341000000002</v>
      </c>
      <c r="E95" s="40">
        <v>-0.23009181000000001</v>
      </c>
      <c r="F95" s="40">
        <v>-9.3503710000000009</v>
      </c>
      <c r="G95" s="40">
        <v>9.8166829999999994</v>
      </c>
      <c r="H95" s="40">
        <v>14.944696</v>
      </c>
      <c r="I95" s="40">
        <v>3.9487123</v>
      </c>
      <c r="J95" s="40">
        <v>12.883091</v>
      </c>
      <c r="K95" s="47">
        <v>13.688409999999999</v>
      </c>
      <c r="L95" s="47">
        <v>-0.26230811999999998</v>
      </c>
      <c r="M95" s="47">
        <v>-0.4511714</v>
      </c>
      <c r="N95" s="47">
        <v>8.7471250000000005</v>
      </c>
    </row>
    <row r="96" spans="1:14" x14ac:dyDescent="0.35">
      <c r="A96" s="2">
        <v>44637</v>
      </c>
      <c r="B96" s="40">
        <v>-12.547599999999999</v>
      </c>
      <c r="C96" s="40">
        <v>5.6721925999999998</v>
      </c>
      <c r="D96" s="40">
        <v>15.598356000000001</v>
      </c>
      <c r="E96" s="40">
        <v>-11.599339000000001</v>
      </c>
      <c r="F96" s="40">
        <v>-10.339236</v>
      </c>
      <c r="G96" s="40">
        <v>10.337234</v>
      </c>
      <c r="H96" s="40">
        <v>8.4902525000000004</v>
      </c>
      <c r="I96" s="40">
        <v>7.5181839999999998</v>
      </c>
      <c r="J96" s="40">
        <v>12.522268</v>
      </c>
      <c r="K96" s="47">
        <v>2.7477026000000002</v>
      </c>
      <c r="L96" s="47">
        <v>-6.0126122999999998</v>
      </c>
      <c r="M96" s="47">
        <v>-7.7199340000000003</v>
      </c>
      <c r="N96" s="47">
        <v>-6.9638967999999997</v>
      </c>
    </row>
    <row r="97" spans="1:14" x14ac:dyDescent="0.35">
      <c r="A97" s="2">
        <v>44665</v>
      </c>
      <c r="B97" s="40">
        <v>-14.920771</v>
      </c>
      <c r="C97" s="40">
        <v>7.7009679999999996</v>
      </c>
      <c r="D97" s="40">
        <v>15.282261</v>
      </c>
      <c r="E97" s="40">
        <v>-19.425518</v>
      </c>
      <c r="F97" s="40">
        <v>-14.292216</v>
      </c>
      <c r="G97" s="40">
        <v>9.372878</v>
      </c>
      <c r="H97" s="40">
        <v>10.448801</v>
      </c>
      <c r="I97" s="40">
        <v>1.0555505999999999</v>
      </c>
      <c r="J97" s="40">
        <v>7.8113793999999999</v>
      </c>
      <c r="K97" s="47">
        <v>-2.1361827999999998</v>
      </c>
      <c r="L97" s="47">
        <v>-14.903975000000001</v>
      </c>
      <c r="M97" s="47">
        <v>-13.973671</v>
      </c>
      <c r="N97" s="47">
        <v>-6.5641284000000004</v>
      </c>
    </row>
    <row r="98" spans="1:14" x14ac:dyDescent="0.35">
      <c r="A98" s="2">
        <v>44698</v>
      </c>
      <c r="B98" s="40">
        <v>-23.643839</v>
      </c>
      <c r="C98" s="40">
        <v>-4.1683139999999996</v>
      </c>
      <c r="D98" s="40">
        <v>0.9587407</v>
      </c>
      <c r="E98" s="40">
        <v>-23.369842999999999</v>
      </c>
      <c r="F98" s="40">
        <v>-13.319856</v>
      </c>
      <c r="G98" s="40">
        <v>-4.2920230000000004</v>
      </c>
      <c r="H98" s="40">
        <v>9.0539455000000005E-2</v>
      </c>
      <c r="I98" s="40">
        <v>-5.1673830000000001</v>
      </c>
      <c r="J98" s="40">
        <v>-0.43089986000000002</v>
      </c>
      <c r="K98" s="47">
        <v>-9.1361640000000008</v>
      </c>
      <c r="L98" s="47">
        <v>-19.267195000000001</v>
      </c>
      <c r="M98" s="47">
        <v>-21.843039999999998</v>
      </c>
      <c r="N98" s="47">
        <v>-13.635778</v>
      </c>
    </row>
    <row r="99" spans="1:14" x14ac:dyDescent="0.35">
      <c r="A99" s="2">
        <v>44729</v>
      </c>
      <c r="B99" s="40">
        <v>-26.982514999999999</v>
      </c>
      <c r="C99" s="40">
        <v>-16.51585</v>
      </c>
      <c r="D99" s="40">
        <v>-8.988804</v>
      </c>
      <c r="E99" s="40">
        <v>-29.797476</v>
      </c>
      <c r="F99" s="40">
        <v>-22.599094000000001</v>
      </c>
      <c r="G99" s="40">
        <v>-18.044101999999999</v>
      </c>
      <c r="H99" s="40">
        <v>-8.3620070000000002</v>
      </c>
      <c r="I99" s="40">
        <v>-20.07451</v>
      </c>
      <c r="J99" s="40">
        <v>-11.7698555</v>
      </c>
      <c r="K99" s="47">
        <v>-18.84843</v>
      </c>
      <c r="L99" s="47">
        <v>-28.855001000000001</v>
      </c>
      <c r="M99" s="47">
        <v>-29.330438999999998</v>
      </c>
      <c r="N99" s="47">
        <v>-22.954415999999998</v>
      </c>
    </row>
    <row r="100" spans="1:14" x14ac:dyDescent="0.35">
      <c r="A100" s="2">
        <v>44757</v>
      </c>
      <c r="B100" s="40">
        <v>-24.099534999999999</v>
      </c>
      <c r="C100" s="40">
        <v>-12.554682</v>
      </c>
      <c r="D100" s="40">
        <v>-10.082084</v>
      </c>
      <c r="E100" s="40">
        <v>-33.77373</v>
      </c>
      <c r="F100" s="40">
        <v>-20.507245999999999</v>
      </c>
      <c r="G100" s="40">
        <v>-14.354229</v>
      </c>
      <c r="H100" s="40">
        <v>-6.7874613000000004</v>
      </c>
      <c r="I100" s="40">
        <v>-18.592690999999999</v>
      </c>
      <c r="J100" s="40">
        <v>-10.150921</v>
      </c>
      <c r="K100" s="47">
        <v>-16.937864000000001</v>
      </c>
      <c r="L100" s="47">
        <v>-27.937190999999999</v>
      </c>
      <c r="M100" s="47">
        <v>-32.041145</v>
      </c>
      <c r="N100" s="47">
        <v>-26.003706000000001</v>
      </c>
    </row>
    <row r="101" spans="1:14" x14ac:dyDescent="0.35">
      <c r="A101" s="2">
        <v>44790</v>
      </c>
      <c r="B101" s="40">
        <v>-15.899748000000001</v>
      </c>
      <c r="C101" s="40">
        <v>-5.0016403</v>
      </c>
      <c r="D101" s="40">
        <v>-1.3063191999999999</v>
      </c>
      <c r="E101" s="40">
        <v>-29.712337000000002</v>
      </c>
      <c r="F101" s="40">
        <v>-14.012634</v>
      </c>
      <c r="G101" s="40">
        <v>-13.934713</v>
      </c>
      <c r="H101" s="40">
        <v>-2.4435937000000001</v>
      </c>
      <c r="I101" s="40">
        <v>-9.683961</v>
      </c>
      <c r="J101" s="40">
        <v>-2.5469244</v>
      </c>
      <c r="K101" s="47">
        <v>-12.515611</v>
      </c>
      <c r="L101" s="47">
        <v>-23.851262999999999</v>
      </c>
      <c r="M101" s="47">
        <v>-26.565038999999999</v>
      </c>
      <c r="N101" s="47">
        <v>-21.463107999999998</v>
      </c>
    </row>
    <row r="102" spans="1:14" x14ac:dyDescent="0.35">
      <c r="A102" s="2">
        <v>44820</v>
      </c>
      <c r="B102" s="40">
        <v>-25.360292000000001</v>
      </c>
      <c r="C102" s="40">
        <v>-12.325263</v>
      </c>
      <c r="D102" s="40">
        <v>-8.0348970000000008</v>
      </c>
      <c r="E102" s="40">
        <v>-34.979934999999998</v>
      </c>
      <c r="F102" s="40">
        <v>-28.563445999999999</v>
      </c>
      <c r="G102" s="40">
        <v>-16.883707000000001</v>
      </c>
      <c r="H102" s="40">
        <v>-9.7683909999999994</v>
      </c>
      <c r="I102" s="40">
        <v>-23.098648000000001</v>
      </c>
      <c r="J102" s="40">
        <v>-12.186831</v>
      </c>
      <c r="K102" s="47">
        <v>-19.333447</v>
      </c>
      <c r="L102" s="47">
        <v>-36.393833000000001</v>
      </c>
      <c r="M102" s="47">
        <v>-34.721733</v>
      </c>
      <c r="N102" s="47">
        <v>-23.981773</v>
      </c>
    </row>
    <row r="103" spans="1:14" x14ac:dyDescent="0.35">
      <c r="A103" s="2">
        <v>44851</v>
      </c>
      <c r="B103" s="40">
        <v>-33.819589999999998</v>
      </c>
      <c r="C103" s="40">
        <v>-18.323844999999999</v>
      </c>
      <c r="D103" s="40">
        <v>-18.103922000000001</v>
      </c>
      <c r="E103" s="40">
        <v>-35.593640000000001</v>
      </c>
      <c r="F103" s="40">
        <v>-27.454841999999999</v>
      </c>
      <c r="G103" s="40">
        <v>-20.024754000000001</v>
      </c>
      <c r="H103" s="40">
        <v>-16.319476999999999</v>
      </c>
      <c r="I103" s="40">
        <v>-26.540773000000002</v>
      </c>
      <c r="J103" s="40">
        <v>-16.481584999999999</v>
      </c>
      <c r="K103" s="47">
        <v>-22.344111999999999</v>
      </c>
      <c r="L103" s="47">
        <v>-38.912999999999997</v>
      </c>
      <c r="M103" s="47">
        <v>-36.470097000000003</v>
      </c>
      <c r="N103" s="47">
        <v>-28.714651</v>
      </c>
    </row>
    <row r="104" spans="1:14" x14ac:dyDescent="0.35">
      <c r="A104" s="2">
        <v>44882</v>
      </c>
      <c r="B104" s="40">
        <v>-22.307110000000002</v>
      </c>
      <c r="C104" s="40">
        <v>-4.9138308000000004</v>
      </c>
      <c r="D104" s="40">
        <v>-10.80674</v>
      </c>
      <c r="E104" s="40">
        <v>-24.267244000000002</v>
      </c>
      <c r="F104" s="40">
        <v>-20.220835000000001</v>
      </c>
      <c r="G104" s="40">
        <v>-16.117567000000001</v>
      </c>
      <c r="H104" s="40">
        <v>-5.6930246000000002</v>
      </c>
      <c r="I104" s="40">
        <v>-27.928888000000001</v>
      </c>
      <c r="J104" s="40">
        <v>-14.508604999999999</v>
      </c>
      <c r="K104" s="47">
        <v>-13.294088</v>
      </c>
      <c r="L104" s="47">
        <v>-27.019673999999998</v>
      </c>
      <c r="M104" s="47">
        <v>-28.977267999999999</v>
      </c>
      <c r="N104" s="47">
        <v>-15.768022</v>
      </c>
    </row>
    <row r="105" spans="1:14" x14ac:dyDescent="0.35">
      <c r="A105" s="2">
        <v>44911</v>
      </c>
      <c r="B105" s="40">
        <v>-14.105468999999999</v>
      </c>
      <c r="C105" s="40">
        <v>-3.16723</v>
      </c>
      <c r="D105" s="40">
        <v>-10.896492</v>
      </c>
      <c r="E105" s="40">
        <v>-21.521239999999999</v>
      </c>
      <c r="F105" s="40">
        <v>-18.862295</v>
      </c>
      <c r="G105" s="40">
        <v>-17.769735000000001</v>
      </c>
      <c r="H105" s="40">
        <v>-2.2646487</v>
      </c>
      <c r="I105" s="40">
        <v>-28.665368999999998</v>
      </c>
      <c r="J105" s="40">
        <v>-16.198634999999999</v>
      </c>
      <c r="K105" s="47">
        <v>-10.338592999999999</v>
      </c>
      <c r="L105" s="47">
        <v>-20.539124000000001</v>
      </c>
      <c r="M105" s="47">
        <v>-24.389011</v>
      </c>
      <c r="N105" s="47">
        <v>-13.165336999999999</v>
      </c>
    </row>
    <row r="106" spans="1:14" x14ac:dyDescent="0.35">
      <c r="A106" s="2">
        <v>44943</v>
      </c>
      <c r="B106" s="40">
        <v>-9.6790679999999991</v>
      </c>
      <c r="C106" s="40">
        <v>3.1439780000000002</v>
      </c>
      <c r="D106" s="40">
        <v>-8.7053539999999998</v>
      </c>
      <c r="E106" s="40">
        <v>-13.978619</v>
      </c>
      <c r="F106" s="40">
        <v>-13.730043</v>
      </c>
      <c r="G106" s="40">
        <v>-9.8258080000000003</v>
      </c>
      <c r="H106" s="40">
        <v>-2.3194075000000001</v>
      </c>
      <c r="I106" s="40">
        <v>-25.368207999999999</v>
      </c>
      <c r="J106" s="40">
        <v>-13.014001</v>
      </c>
      <c r="K106" s="47">
        <v>-3.8935840000000002</v>
      </c>
      <c r="L106" s="47">
        <v>-13.512551999999999</v>
      </c>
      <c r="M106" s="47">
        <v>-19.050491000000001</v>
      </c>
      <c r="N106" s="47">
        <v>-7.5602650000000002</v>
      </c>
    </row>
    <row r="107" spans="1:14" x14ac:dyDescent="0.35">
      <c r="A107" s="2">
        <v>44974</v>
      </c>
      <c r="B107" s="40">
        <v>-4.3736990000000002</v>
      </c>
      <c r="C107" s="40">
        <v>3.0647397000000001</v>
      </c>
      <c r="D107" s="40">
        <v>-6.4002036999999996</v>
      </c>
      <c r="E107" s="40">
        <v>-8.1614730000000009</v>
      </c>
      <c r="F107" s="40">
        <v>-9.4526880000000002</v>
      </c>
      <c r="G107" s="40">
        <v>-5.2196740000000004</v>
      </c>
      <c r="H107" s="40">
        <v>-1.1302589999999999</v>
      </c>
      <c r="I107" s="40">
        <v>-12.180512999999999</v>
      </c>
      <c r="J107" s="40">
        <v>-5.3023043000000003</v>
      </c>
      <c r="K107" s="47">
        <v>3.265965</v>
      </c>
      <c r="L107" s="47">
        <v>-4.926634</v>
      </c>
      <c r="M107" s="47">
        <v>-7.7748537000000004</v>
      </c>
      <c r="N107" s="47">
        <v>0.22763014000000001</v>
      </c>
    </row>
    <row r="108" spans="1:14" x14ac:dyDescent="0.35">
      <c r="A108" s="2">
        <v>45002</v>
      </c>
      <c r="B108" s="40">
        <v>-11.112349999999999</v>
      </c>
      <c r="C108" s="40">
        <v>-8.9392479999999992</v>
      </c>
      <c r="D108" s="40">
        <v>-16.537302</v>
      </c>
      <c r="E108" s="40">
        <v>-5.7494106</v>
      </c>
      <c r="F108" s="40">
        <v>-8.2953089999999996</v>
      </c>
      <c r="G108" s="40">
        <v>-9.8361970000000003</v>
      </c>
      <c r="H108" s="40">
        <v>-4.9203215</v>
      </c>
      <c r="I108" s="40">
        <v>-10.694675999999999</v>
      </c>
      <c r="J108" s="40">
        <v>-9.7954035000000008</v>
      </c>
      <c r="K108" s="47">
        <v>3.0863643000000001</v>
      </c>
      <c r="L108" s="47">
        <v>-4.4253054000000001</v>
      </c>
      <c r="M108" s="47">
        <v>-14.603853000000001</v>
      </c>
      <c r="N108" s="47">
        <v>2.3600219999999998</v>
      </c>
    </row>
    <row r="109" spans="1:14" x14ac:dyDescent="0.35">
      <c r="A109" s="2">
        <v>45033</v>
      </c>
      <c r="B109" s="40">
        <v>-5.5103600000000004</v>
      </c>
      <c r="C109" s="40">
        <v>-6.561655</v>
      </c>
      <c r="D109" s="40">
        <v>-8.5282619999999998</v>
      </c>
      <c r="E109" s="40">
        <v>9.9967240000000004</v>
      </c>
      <c r="F109" s="40">
        <v>1.5666604</v>
      </c>
      <c r="G109" s="40">
        <v>-2.3728310000000001</v>
      </c>
      <c r="H109" s="40">
        <v>1.5713811</v>
      </c>
      <c r="I109" s="40">
        <v>-5.0675153999999996</v>
      </c>
      <c r="J109" s="40">
        <v>-3.8339555000000001</v>
      </c>
      <c r="K109" s="47">
        <v>17.723835000000001</v>
      </c>
      <c r="L109" s="47">
        <v>6.5223335999999996</v>
      </c>
      <c r="M109" s="47">
        <v>-1.4462470999999999</v>
      </c>
      <c r="N109" s="47">
        <v>13.292586999999999</v>
      </c>
    </row>
    <row r="110" spans="1:14" x14ac:dyDescent="0.35">
      <c r="A110" s="2">
        <v>45063</v>
      </c>
      <c r="B110" s="40">
        <v>10.175741</v>
      </c>
      <c r="C110" s="40">
        <v>-7.8493359999999998E-2</v>
      </c>
      <c r="D110" s="40">
        <v>-3.3356129999999999</v>
      </c>
      <c r="E110" s="40">
        <v>12.870312</v>
      </c>
      <c r="F110" s="40">
        <v>9.1296560000000007</v>
      </c>
      <c r="G110" s="40">
        <v>10.006069999999999</v>
      </c>
      <c r="H110" s="40">
        <v>5.8055399999999997</v>
      </c>
      <c r="I110" s="40">
        <v>8.9766980000000007</v>
      </c>
      <c r="J110" s="40">
        <v>3.428042</v>
      </c>
      <c r="K110" s="47">
        <v>20.108318000000001</v>
      </c>
      <c r="L110" s="47">
        <v>12.963665000000001</v>
      </c>
      <c r="M110" s="47">
        <v>5.2041054000000004</v>
      </c>
      <c r="N110" s="47">
        <v>17.465961</v>
      </c>
    </row>
    <row r="111" spans="1:14" x14ac:dyDescent="0.35">
      <c r="A111" s="2">
        <v>45093</v>
      </c>
      <c r="B111" s="40">
        <v>13.760889000000001</v>
      </c>
      <c r="C111" s="40">
        <v>14.323067999999999</v>
      </c>
      <c r="D111" s="40">
        <v>5.6487800000000004</v>
      </c>
      <c r="E111" s="40">
        <v>26.388000000000002</v>
      </c>
      <c r="F111" s="40">
        <v>20.985365000000002</v>
      </c>
      <c r="G111" s="40">
        <v>20.104206000000001</v>
      </c>
      <c r="H111" s="40">
        <v>15.131187000000001</v>
      </c>
      <c r="I111" s="40">
        <v>36.609912999999999</v>
      </c>
      <c r="J111" s="40">
        <v>22.358453999999998</v>
      </c>
      <c r="K111" s="47">
        <v>32.05789</v>
      </c>
      <c r="L111" s="47">
        <v>29.884398000000001</v>
      </c>
      <c r="M111" s="47">
        <v>16.528261000000001</v>
      </c>
      <c r="N111" s="47">
        <v>33.944332000000003</v>
      </c>
    </row>
    <row r="112" spans="1:14" x14ac:dyDescent="0.35">
      <c r="A112" s="2">
        <v>45124</v>
      </c>
      <c r="B112" s="40">
        <v>13.116622</v>
      </c>
      <c r="C112" s="40">
        <v>14.279567999999999</v>
      </c>
      <c r="D112" s="40">
        <v>11.660981</v>
      </c>
      <c r="E112" s="40">
        <v>36.558450000000001</v>
      </c>
      <c r="F112" s="40">
        <v>19.466745</v>
      </c>
      <c r="G112" s="40">
        <v>16.490364</v>
      </c>
      <c r="H112" s="40">
        <v>16.437017000000001</v>
      </c>
      <c r="I112" s="40">
        <v>32.026077000000001</v>
      </c>
      <c r="J112" s="40">
        <v>18.990874999999999</v>
      </c>
      <c r="K112" s="47">
        <v>36.759354000000002</v>
      </c>
      <c r="L112" s="47">
        <v>33.96367</v>
      </c>
      <c r="M112" s="47">
        <v>21.037662999999998</v>
      </c>
      <c r="N112" s="47">
        <v>53.074480000000001</v>
      </c>
    </row>
    <row r="113" spans="1:14" x14ac:dyDescent="0.35">
      <c r="A113" s="2">
        <v>45155</v>
      </c>
      <c r="B113" s="40">
        <v>-6.1786355999999998</v>
      </c>
      <c r="C113" s="40">
        <v>-2.4461029999999999</v>
      </c>
      <c r="D113" s="40">
        <v>-3.6560177999999999</v>
      </c>
      <c r="E113" s="40">
        <v>20.019590000000001</v>
      </c>
      <c r="F113" s="40">
        <v>5.1226139999999996</v>
      </c>
      <c r="G113" s="40">
        <v>7.3927759999999996</v>
      </c>
      <c r="H113" s="40">
        <v>5.4043770000000002</v>
      </c>
      <c r="I113" s="40">
        <v>9.9402670000000004</v>
      </c>
      <c r="J113" s="40">
        <v>3.9446235000000001</v>
      </c>
      <c r="K113" s="47">
        <v>18.082820000000002</v>
      </c>
      <c r="L113" s="47">
        <v>10.346375999999999</v>
      </c>
      <c r="M113" s="47">
        <v>0.29699801999999997</v>
      </c>
      <c r="N113" s="47">
        <v>29.773558000000001</v>
      </c>
    </row>
    <row r="114" spans="1:14" x14ac:dyDescent="0.35">
      <c r="A114" s="2">
        <v>45184</v>
      </c>
      <c r="B114" s="40">
        <v>-2.3837983999999999</v>
      </c>
      <c r="C114" s="40">
        <v>7.8110455999999999</v>
      </c>
      <c r="D114" s="40">
        <v>6.3758016</v>
      </c>
      <c r="E114" s="40">
        <v>28.499020000000002</v>
      </c>
      <c r="F114" s="40">
        <v>23.041761000000001</v>
      </c>
      <c r="G114" s="40">
        <v>14.953077</v>
      </c>
      <c r="H114" s="40">
        <v>17.66441</v>
      </c>
      <c r="I114" s="40">
        <v>28.292739999999998</v>
      </c>
      <c r="J114" s="40">
        <v>15.935015999999999</v>
      </c>
      <c r="K114" s="47">
        <v>28.949715000000001</v>
      </c>
      <c r="L114" s="47">
        <v>18.294466</v>
      </c>
      <c r="M114" s="47">
        <v>10.713100000000001</v>
      </c>
      <c r="N114" s="47">
        <v>37.685679999999998</v>
      </c>
    </row>
    <row r="115" spans="1:14" x14ac:dyDescent="0.35">
      <c r="A115" s="2">
        <v>45216</v>
      </c>
      <c r="B115" s="40">
        <v>9.0076450000000001</v>
      </c>
      <c r="C115" s="40">
        <v>12.154961</v>
      </c>
      <c r="D115" s="40">
        <v>10.116612999999999</v>
      </c>
      <c r="E115" s="40">
        <v>27.895737</v>
      </c>
      <c r="F115" s="40">
        <v>23.486937000000001</v>
      </c>
      <c r="G115" s="40">
        <v>17.556201999999999</v>
      </c>
      <c r="H115" s="40">
        <v>23.019075000000001</v>
      </c>
      <c r="I115" s="40">
        <v>37.630153999999997</v>
      </c>
      <c r="J115" s="40">
        <v>20.755089000000002</v>
      </c>
      <c r="K115" s="47">
        <v>26.587485999999998</v>
      </c>
      <c r="L115" s="47">
        <v>25.124704000000001</v>
      </c>
      <c r="M115" s="47">
        <v>18.167316</v>
      </c>
      <c r="N115" s="47">
        <v>41.046059999999997</v>
      </c>
    </row>
    <row r="116" spans="1:14" x14ac:dyDescent="0.35">
      <c r="A116" s="2">
        <v>45247</v>
      </c>
      <c r="B116" s="40">
        <v>-2.1520674</v>
      </c>
      <c r="C116" s="40">
        <v>1.6367197</v>
      </c>
      <c r="D116" s="40">
        <v>2.2477984000000002</v>
      </c>
      <c r="E116" s="40">
        <v>15.767538</v>
      </c>
      <c r="F116" s="40">
        <v>15.978109</v>
      </c>
      <c r="G116" s="40">
        <v>8.6382980000000007</v>
      </c>
      <c r="H116" s="40">
        <v>10.269558</v>
      </c>
      <c r="I116" s="40">
        <v>36.465823999999998</v>
      </c>
      <c r="J116" s="40">
        <v>16.162417999999999</v>
      </c>
      <c r="K116" s="47">
        <v>16.748094999999999</v>
      </c>
      <c r="L116" s="47">
        <v>13.017821</v>
      </c>
      <c r="M116" s="47">
        <v>9.6104509999999994</v>
      </c>
      <c r="N116" s="47">
        <v>24.770175999999999</v>
      </c>
    </row>
    <row r="117" spans="1:14" x14ac:dyDescent="0.35">
      <c r="A117" s="2">
        <v>45275</v>
      </c>
      <c r="B117" s="40">
        <v>-1.6382992000000001</v>
      </c>
      <c r="C117" s="40">
        <v>8.8808539999999994</v>
      </c>
      <c r="D117" s="40">
        <v>10.781706</v>
      </c>
      <c r="E117" s="40">
        <v>20.972335999999999</v>
      </c>
      <c r="F117" s="40">
        <v>16.705120000000001</v>
      </c>
      <c r="G117" s="40">
        <v>13.1729965</v>
      </c>
      <c r="H117" s="40">
        <v>8.4067109999999996</v>
      </c>
      <c r="I117" s="40">
        <v>47.386932000000002</v>
      </c>
      <c r="J117" s="40">
        <v>22.867833999999998</v>
      </c>
      <c r="K117" s="47">
        <v>19.972908</v>
      </c>
      <c r="L117" s="47">
        <v>18.217361</v>
      </c>
      <c r="M117" s="47">
        <v>18.323813999999999</v>
      </c>
      <c r="N117" s="47">
        <v>28.583632999999999</v>
      </c>
    </row>
    <row r="118" spans="1:14" x14ac:dyDescent="0.35">
      <c r="A118" s="2">
        <v>45308</v>
      </c>
      <c r="B118" s="40">
        <v>-6.5278349999999996</v>
      </c>
      <c r="C118" s="40">
        <v>-1.526761</v>
      </c>
      <c r="D118" s="40">
        <v>4.0007950000000001</v>
      </c>
      <c r="E118" s="40">
        <v>5.2636979999999998</v>
      </c>
      <c r="F118" s="40">
        <v>16.042698000000001</v>
      </c>
      <c r="G118" s="40">
        <v>5.9370039999999999</v>
      </c>
      <c r="H118" s="40">
        <v>1.3534904000000001</v>
      </c>
      <c r="I118" s="40">
        <v>45.633186000000002</v>
      </c>
      <c r="J118" s="40">
        <v>20.552206000000002</v>
      </c>
      <c r="K118" s="47">
        <v>5.4669976</v>
      </c>
      <c r="L118" s="47">
        <v>4.0976048</v>
      </c>
      <c r="M118" s="47">
        <v>5.5869340000000003</v>
      </c>
      <c r="N118" s="47">
        <v>16.293980000000001</v>
      </c>
    </row>
    <row r="119" spans="1:14" x14ac:dyDescent="0.35">
      <c r="A119" s="2">
        <v>45338</v>
      </c>
      <c r="B119" s="40">
        <v>-7.9157590000000004</v>
      </c>
      <c r="C119" s="40">
        <v>3.5096406999999998</v>
      </c>
      <c r="D119" s="40">
        <v>6.7855477000000004</v>
      </c>
      <c r="E119" s="40">
        <v>8.0994609999999998</v>
      </c>
      <c r="F119" s="40">
        <v>21.085940999999998</v>
      </c>
      <c r="G119" s="40">
        <v>7.3997617</v>
      </c>
      <c r="H119" s="40">
        <v>4.3852450000000003</v>
      </c>
      <c r="I119" s="40">
        <v>42.939877000000003</v>
      </c>
      <c r="J119" s="40">
        <v>24.217987000000001</v>
      </c>
      <c r="K119" s="47">
        <v>7.6664804999999996</v>
      </c>
      <c r="L119" s="47">
        <v>13.934767000000001</v>
      </c>
      <c r="M119" s="47">
        <v>9.9832769999999993</v>
      </c>
      <c r="N119" s="47">
        <v>16.098642000000002</v>
      </c>
    </row>
    <row r="120" spans="1:14" x14ac:dyDescent="0.35">
      <c r="A120" s="2">
        <v>45366</v>
      </c>
      <c r="B120" s="40">
        <v>-2.1477460000000002</v>
      </c>
      <c r="C120" s="40">
        <v>14.416969</v>
      </c>
      <c r="D120" s="40">
        <v>19.528352999999999</v>
      </c>
      <c r="E120" s="40">
        <v>21.041452</v>
      </c>
      <c r="F120" s="40">
        <v>29.320454000000002</v>
      </c>
      <c r="G120" s="40">
        <v>16.651081000000001</v>
      </c>
      <c r="H120" s="40">
        <v>14.273846000000001</v>
      </c>
      <c r="I120" s="40">
        <v>46.157898000000003</v>
      </c>
      <c r="J120" s="40">
        <v>33.388446999999999</v>
      </c>
      <c r="K120" s="47">
        <v>21.869395999999998</v>
      </c>
      <c r="L120" s="47">
        <v>25.497066</v>
      </c>
      <c r="M120" s="47">
        <v>26.763748</v>
      </c>
      <c r="N120" s="47">
        <v>35.9069</v>
      </c>
    </row>
    <row r="121" spans="1:14" x14ac:dyDescent="0.35">
      <c r="A121" s="2">
        <v>45399</v>
      </c>
      <c r="B121" s="40">
        <v>-6.7711296000000001</v>
      </c>
      <c r="C121" s="40">
        <v>4.2111874</v>
      </c>
      <c r="D121" s="40">
        <v>6.0226082999999999</v>
      </c>
      <c r="E121" s="40">
        <v>6.8995952999999997</v>
      </c>
      <c r="F121" s="40">
        <v>16.901457000000001</v>
      </c>
      <c r="G121" s="40">
        <v>-1.5740453999999999</v>
      </c>
      <c r="H121" s="40">
        <v>3.9782166000000001</v>
      </c>
      <c r="I121" s="40">
        <v>34.448160000000001</v>
      </c>
      <c r="J121" s="40">
        <v>22.684849</v>
      </c>
      <c r="K121" s="47">
        <v>4.6924830000000002</v>
      </c>
      <c r="L121" s="47">
        <v>15.084993000000001</v>
      </c>
      <c r="M121" s="47">
        <v>8.2982779999999998</v>
      </c>
      <c r="N121" s="47">
        <v>18.807293000000001</v>
      </c>
    </row>
    <row r="122" spans="1:14" x14ac:dyDescent="0.35">
      <c r="A122" s="2">
        <v>45429</v>
      </c>
      <c r="B122">
        <v>-6.6326559999999999</v>
      </c>
      <c r="C122">
        <v>14.515435999999999</v>
      </c>
      <c r="D122">
        <v>13.410197999999999</v>
      </c>
      <c r="E122">
        <v>15.027475000000001</v>
      </c>
      <c r="F122">
        <v>15.350543999999999</v>
      </c>
      <c r="G122">
        <v>4.4852970000000001</v>
      </c>
      <c r="H122">
        <v>15.028333999999999</v>
      </c>
      <c r="I122">
        <v>37.34207</v>
      </c>
      <c r="J122">
        <v>29.365086000000002</v>
      </c>
      <c r="K122" s="47">
        <v>11.907042000000001</v>
      </c>
      <c r="L122" s="47">
        <v>23.927651999999998</v>
      </c>
      <c r="M122" s="47">
        <v>16.819680000000002</v>
      </c>
      <c r="N122" s="47">
        <v>30.897331000000001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-33.819589999999998</v>
      </c>
      <c r="C126" s="40" cm="1">
        <f t="array" ref="C126">MIN(_xlfn._xlws.FILTER(C2:C122, ISNUMBER(C2:C122)))</f>
        <v>-24.497437000000001</v>
      </c>
      <c r="D126" s="40" cm="1">
        <f t="array" ref="D126">MIN(_xlfn._xlws.FILTER(D2:D122, ISNUMBER(D2:D122)))</f>
        <v>-27.949601999999999</v>
      </c>
      <c r="E126" s="40" cm="1">
        <f t="array" ref="E126">MIN(_xlfn._xlws.FILTER(E2:E122, ISNUMBER(E2:E122)))</f>
        <v>-35.593640000000001</v>
      </c>
      <c r="F126" s="40" cm="1">
        <f t="array" ref="F126">MIN(_xlfn._xlws.FILTER(F2:F122, ISNUMBER(F2:F122)))</f>
        <v>-28.563445999999999</v>
      </c>
      <c r="G126" s="40" cm="1">
        <f t="array" ref="G126">MIN(_xlfn._xlws.FILTER(G2:G122, ISNUMBER(G2:G122)))</f>
        <v>-20.024754000000001</v>
      </c>
      <c r="H126" s="40" cm="1">
        <f t="array" ref="H126">MIN(_xlfn._xlws.FILTER(H2:H122, ISNUMBER(H2:H122)))</f>
        <v>-31.14357</v>
      </c>
      <c r="I126" s="40" cm="1">
        <f t="array" ref="I126">MIN(_xlfn._xlws.FILTER(I2:I122, ISNUMBER(I2:I122)))</f>
        <v>-28.665368999999998</v>
      </c>
      <c r="J126" s="40" cm="1">
        <f t="array" ref="J126">MIN(_xlfn._xlws.FILTER(J2:J122, ISNUMBER(J2:J122)))</f>
        <v>-16.481584999999999</v>
      </c>
      <c r="K126" s="40" cm="1">
        <f t="array" ref="K126">MIN(_xlfn._xlws.FILTER(K2:K122, ISNUMBER(K2:K122)))</f>
        <v>-26.595645999999999</v>
      </c>
      <c r="L126" s="40" cm="1">
        <f t="array" ref="L126">MIN(_xlfn._xlws.FILTER(L2:L122, ISNUMBER(L2:L122)))</f>
        <v>-38.912999999999997</v>
      </c>
      <c r="M126" s="40" cm="1">
        <f t="array" ref="M126">MIN(_xlfn._xlws.FILTER(M2:M122, ISNUMBER(M2:M122)))</f>
        <v>-36.470097000000003</v>
      </c>
      <c r="N126" s="40" cm="1">
        <f t="array" ref="N126">MIN(_xlfn._xlws.FILTER(N2:N122, ISNUMBER(N2:N122)))</f>
        <v>-28.830475</v>
      </c>
    </row>
    <row r="127" spans="1:14" x14ac:dyDescent="0.35">
      <c r="A127" s="2" t="s">
        <v>393</v>
      </c>
      <c r="B127" s="42" cm="1">
        <f t="array" ref="B127">MAX(_xlfn._xlws.FILTER(B1:B122, ISNUMBER(B1:B122)))</f>
        <v>53.523994000000002</v>
      </c>
      <c r="C127" s="42" cm="1">
        <f t="array" ref="C127">MAX(_xlfn._xlws.FILTER(C1:C122, ISNUMBER(C1:C122)))</f>
        <v>65.946700000000007</v>
      </c>
      <c r="D127" s="42" cm="1">
        <f t="array" ref="D127">MAX(_xlfn._xlws.FILTER(D1:D122, ISNUMBER(D1:D122)))</f>
        <v>82.686000000000007</v>
      </c>
      <c r="E127" s="42" cm="1">
        <f t="array" ref="E127">MAX(_xlfn._xlws.FILTER(E1:E122, ISNUMBER(E1:E122)))</f>
        <v>76.957440000000005</v>
      </c>
      <c r="F127" s="42" cm="1">
        <f t="array" ref="F127">MAX(_xlfn._xlws.FILTER(F1:F122, ISNUMBER(F1:F122)))</f>
        <v>56.214333000000003</v>
      </c>
      <c r="G127" s="42" cm="1">
        <f t="array" ref="G127">MAX(_xlfn._xlws.FILTER(G1:G122, ISNUMBER(G1:G122)))</f>
        <v>39.190950000000001</v>
      </c>
      <c r="H127" s="42" cm="1">
        <f t="array" ref="H127">MAX(_xlfn._xlws.FILTER(H1:H122, ISNUMBER(H1:H122)))</f>
        <v>48.360588</v>
      </c>
      <c r="I127" s="42" cm="1">
        <f t="array" ref="I127">MAX(_xlfn._xlws.FILTER(I1:I122, ISNUMBER(I1:I122)))</f>
        <v>77.993080000000006</v>
      </c>
      <c r="J127" s="42" cm="1">
        <f t="array" ref="J127">MAX(_xlfn._xlws.FILTER(J1:J122, ISNUMBER(J1:J122)))</f>
        <v>60.134887999999997</v>
      </c>
      <c r="K127" s="42" cm="1">
        <f t="array" ref="K127">MAX(_xlfn._xlws.FILTER(K1:K122, ISNUMBER(K1:K122)))</f>
        <v>67.629363999999995</v>
      </c>
      <c r="L127" s="42" cm="1">
        <f t="array" ref="L127">MAX(_xlfn._xlws.FILTER(L1:L122, ISNUMBER(L1:L122)))</f>
        <v>90.145424000000006</v>
      </c>
      <c r="M127" s="42" cm="1">
        <f t="array" ref="M127">MAX(_xlfn._xlws.FILTER(M1:M122, ISNUMBER(M1:M122)))</f>
        <v>91.849180000000004</v>
      </c>
      <c r="N127" s="42" cm="1">
        <f t="array" ref="N127">MAX(_xlfn._xlws.FILTER(N1:N122, ISNUMBER(N1:N122)))</f>
        <v>71.58869</v>
      </c>
    </row>
    <row r="128" spans="1:14" x14ac:dyDescent="0.35">
      <c r="A128" s="2" t="s">
        <v>394</v>
      </c>
      <c r="B128" s="40" cm="1">
        <f t="array" ref="B128">MEDIAN(_xlfn._xlws.FILTER(B1:B122, ISNUMBER(B1:B122)))</f>
        <v>7.3292016999999996</v>
      </c>
      <c r="C128" s="40" cm="1">
        <f t="array" ref="C128">MEDIAN(_xlfn._xlws.FILTER(C1:C122, ISNUMBER(C1:C122)))</f>
        <v>3.5096406999999998</v>
      </c>
      <c r="D128" s="40" cm="1">
        <f t="array" ref="D128">MEDIAN(_xlfn._xlws.FILTER(D1:D122, ISNUMBER(D1:D122)))</f>
        <v>5.1563499999999998</v>
      </c>
      <c r="E128" s="40" cm="1">
        <f t="array" ref="E128">MEDIAN(_xlfn._xlws.FILTER(E1:E122, ISNUMBER(E1:E122)))</f>
        <v>2.8388738999999998</v>
      </c>
      <c r="F128" s="40" cm="1">
        <f t="array" ref="F128">MEDIAN(_xlfn._xlws.FILTER(F1:F122, ISNUMBER(F1:F122)))</f>
        <v>7.0357560000000001</v>
      </c>
      <c r="G128" s="40" cm="1">
        <f t="array" ref="G128">MEDIAN(_xlfn._xlws.FILTER(G1:G122, ISNUMBER(G1:G122)))</f>
        <v>8.6382980000000007</v>
      </c>
      <c r="H128" s="40" cm="1">
        <f t="array" ref="H128">MEDIAN(_xlfn._xlws.FILTER(H1:H122, ISNUMBER(H1:H122)))</f>
        <v>0.52585599999999999</v>
      </c>
      <c r="I128" s="40" cm="1">
        <f t="array" ref="I128">MEDIAN(_xlfn._xlws.FILTER(I1:I122, ISNUMBER(I1:I122)))</f>
        <v>21.8019</v>
      </c>
      <c r="J128" s="40" cm="1">
        <f t="array" ref="J128">MEDIAN(_xlfn._xlws.FILTER(J1:J122, ISNUMBER(J1:J122)))</f>
        <v>15.147078</v>
      </c>
      <c r="K128" s="40" cm="1">
        <f t="array" ref="K128">MEDIAN(_xlfn._xlws.FILTER(K1:K122, ISNUMBER(K1:K122)))</f>
        <v>3.4052253000000001</v>
      </c>
      <c r="L128" s="40" cm="1">
        <f t="array" ref="L128">MEDIAN(_xlfn._xlws.FILTER(L1:L122, ISNUMBER(L1:L122)))</f>
        <v>9.2935920000000003</v>
      </c>
      <c r="M128" s="40" cm="1">
        <f t="array" ref="M128">MEDIAN(_xlfn._xlws.FILTER(M1:M122, ISNUMBER(M1:M122)))</f>
        <v>1.2093662999999999</v>
      </c>
      <c r="N128" s="40" cm="1">
        <f t="array" ref="N128">MEDIAN(_xlfn._xlws.FILTER(N1:N122, ISNUMBER(N1:N122)))</f>
        <v>2.3600219999999998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20</v>
      </c>
      <c r="C130">
        <f>COUNTIF(C2:C122, "&lt;"&amp;Assumption!$F$50)</f>
        <v>18</v>
      </c>
      <c r="D130">
        <f>COUNTIF(D2:D122, "&lt;"&amp;Assumption!$F$50)</f>
        <v>21</v>
      </c>
      <c r="E130">
        <f>COUNTIF(E2:E122, "&lt;"&amp;Assumption!$F$50)</f>
        <v>31</v>
      </c>
      <c r="F130">
        <f>COUNTIF(F2:F122, "&lt;"&amp;Assumption!$F$50)</f>
        <v>16</v>
      </c>
      <c r="G130">
        <f>COUNTIF(G2:G122, "&lt;"&amp;Assumption!$F$50)</f>
        <v>13</v>
      </c>
      <c r="H130">
        <f>COUNTIF(H2:H122, "&lt;"&amp;Assumption!$F$50)</f>
        <v>18</v>
      </c>
      <c r="I130">
        <f>COUNTIF(I2:I122, "&lt;"&amp;Assumption!$F$50)</f>
        <v>9</v>
      </c>
      <c r="J130">
        <f>COUNTIF(J2:J122, "&lt;"&amp;Assumption!$F$50)</f>
        <v>7</v>
      </c>
      <c r="K130">
        <f>COUNTIF(K2:K122, "&lt;"&amp;Assumption!$F$50)</f>
        <v>15</v>
      </c>
      <c r="L130">
        <f>COUNTIF(L2:L122, "&lt;"&amp;Assumption!$F$50)</f>
        <v>14</v>
      </c>
      <c r="M130">
        <f>COUNTIF(M2:M122, "&lt;"&amp;Assumption!$F$50)</f>
        <v>21</v>
      </c>
      <c r="N130">
        <f>COUNTIF(N2:N122, "&lt;"&amp;Assumption!$F$50)</f>
        <v>36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0.16528925619834711</v>
      </c>
      <c r="C133" s="9">
        <f t="shared" si="2"/>
        <v>0.1487603305785124</v>
      </c>
      <c r="D133" s="9">
        <f t="shared" si="2"/>
        <v>0.17355371900826447</v>
      </c>
      <c r="E133" s="9">
        <f t="shared" si="2"/>
        <v>0.256198347107438</v>
      </c>
      <c r="F133" s="9">
        <f t="shared" si="2"/>
        <v>0.13223140495867769</v>
      </c>
      <c r="G133" s="9">
        <f t="shared" si="2"/>
        <v>0.10743801652892562</v>
      </c>
      <c r="H133" s="9">
        <f t="shared" si="2"/>
        <v>0.1487603305785124</v>
      </c>
      <c r="I133" s="9">
        <f t="shared" si="2"/>
        <v>7.43801652892562E-2</v>
      </c>
      <c r="J133" s="9">
        <f t="shared" si="2"/>
        <v>5.7851239669421489E-2</v>
      </c>
      <c r="K133" s="9">
        <f t="shared" ref="K133:N133" si="3">K130/K131</f>
        <v>0.12396694214876033</v>
      </c>
      <c r="L133" s="9">
        <f t="shared" si="3"/>
        <v>0.11570247933884298</v>
      </c>
      <c r="M133" s="9">
        <f t="shared" si="3"/>
        <v>0.17355371900826447</v>
      </c>
      <c r="N133" s="9">
        <f t="shared" si="3"/>
        <v>0.2975206611570248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0.311</v>
      </c>
      <c r="C136" s="40" cm="1">
        <f t="array" ref="C136">_xlfn.PERCENTRANK.EXC(_xlfn._xlws.FILTER(C2:C122, ISNUMBER(C2:C122)),C120)</f>
        <v>0.77</v>
      </c>
      <c r="D136" s="40" cm="1">
        <f t="array" ref="D136">_xlfn.PERCENTRANK.EXC(_xlfn._xlws.FILTER(D2:D122, ISNUMBER(D2:D122)),D120)</f>
        <v>0.86</v>
      </c>
      <c r="E136" s="40" cm="1">
        <f t="array" ref="E136">_xlfn.PERCENTRANK.EXC(_xlfn._xlws.FILTER(E2:E122, ISNUMBER(E2:E122)),E120)</f>
        <v>0.82699999999999996</v>
      </c>
      <c r="F136" s="40" cm="1">
        <f t="array" ref="F136">_xlfn.PERCENTRANK.EXC(_xlfn._xlws.FILTER(F2:F122, ISNUMBER(F2:F122)),F120)</f>
        <v>0.96699999999999997</v>
      </c>
      <c r="G136" s="40" cm="1">
        <f t="array" ref="G136">_xlfn.PERCENTRANK.EXC(_xlfn._xlws.FILTER(G2:G122, ISNUMBER(G2:G122)),G120)</f>
        <v>0.77800000000000002</v>
      </c>
      <c r="H136" s="40" cm="1">
        <f t="array" ref="H136">_xlfn.PERCENTRANK.EXC(_xlfn._xlws.FILTER(H2:H122, ISNUMBER(H2:H122)),H120)</f>
        <v>0.76200000000000001</v>
      </c>
      <c r="I136" s="40" cm="1">
        <f t="array" ref="I136">_xlfn.PERCENTRANK.EXC(_xlfn._xlws.FILTER(I2:I122, ISNUMBER(I2:I122)),I120)</f>
        <v>0.93400000000000005</v>
      </c>
      <c r="J136" s="40" cm="1">
        <f t="array" ref="J136">_xlfn.PERCENTRANK.EXC(_xlfn._xlws.FILTER(J2:J122, ISNUMBER(J2:J122)),J120)</f>
        <v>0.94199999999999995</v>
      </c>
      <c r="K136" s="40" cm="1">
        <f t="array" ref="K136">_xlfn.PERCENTRANK.EXC(_xlfn._xlws.FILTER(K2:K122, ISNUMBER(K2:K122)),K120)</f>
        <v>0.754</v>
      </c>
      <c r="L136" s="40" cm="1">
        <f t="array" ref="L136">_xlfn.PERCENTRANK.EXC(_xlfn._xlws.FILTER(L2:L122, ISNUMBER(L2:L122)),L120)</f>
        <v>0.79500000000000004</v>
      </c>
      <c r="M136" s="40" cm="1">
        <f t="array" ref="M136">_xlfn.PERCENTRANK.EXC(_xlfn._xlws.FILTER(M2:M122, ISNUMBER(M2:M122)),M120)</f>
        <v>0.86799999999999999</v>
      </c>
      <c r="N136" s="40" cm="1">
        <f t="array" ref="N136">_xlfn.PERCENTRANK.EXC(_xlfn._xlws.FILTER(N2:N122, ISNUMBER(N2:N122)),N120)</f>
        <v>0.85199999999999998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0.20399999999999999</v>
      </c>
      <c r="C137" s="40" cm="1">
        <f t="array" ref="C137">_xlfn.PERCENTRANK.EXC(_xlfn._xlws.FILTER(C2:C122, ISNUMBER(C2:C122)),C121)</f>
        <v>0.51600000000000001</v>
      </c>
      <c r="D137" s="40" cm="1">
        <f t="array" ref="D137">_xlfn.PERCENTRANK.EXC(_xlfn._xlws.FILTER(D2:D122, ISNUMBER(D2:D122)),D121)</f>
        <v>0.54900000000000004</v>
      </c>
      <c r="E137" s="40" cm="1">
        <f t="array" ref="E137">_xlfn.PERCENTRANK.EXC(_xlfn._xlws.FILTER(E2:E122, ISNUMBER(E2:E122)),E121)</f>
        <v>0.54900000000000004</v>
      </c>
      <c r="F137" s="40" cm="1">
        <f t="array" ref="F137">_xlfn.PERCENTRANK.EXC(_xlfn._xlws.FILTER(F2:F122, ISNUMBER(F2:F122)),F121)</f>
        <v>0.76200000000000001</v>
      </c>
      <c r="G137" s="40" cm="1">
        <f t="array" ref="G137">_xlfn.PERCENTRANK.EXC(_xlfn._xlws.FILTER(G2:G122, ISNUMBER(G2:G122)),G121)</f>
        <v>0.254</v>
      </c>
      <c r="H137" s="40" cm="1">
        <f t="array" ref="H137">_xlfn.PERCENTRANK.EXC(_xlfn._xlws.FILTER(H2:H122, ISNUMBER(H2:H122)),H121)</f>
        <v>0.54900000000000004</v>
      </c>
      <c r="I137" s="40" cm="1">
        <f t="array" ref="I137">_xlfn.PERCENTRANK.EXC(_xlfn._xlws.FILTER(I2:I122, ISNUMBER(I2:I122)),I121)</f>
        <v>0.77800000000000002</v>
      </c>
      <c r="J137" s="40" cm="1">
        <f t="array" ref="J137">_xlfn.PERCENTRANK.EXC(_xlfn._xlws.FILTER(J2:J122, ISNUMBER(J2:J122)),J121)</f>
        <v>0.81100000000000005</v>
      </c>
      <c r="K137" s="40" cm="1">
        <f t="array" ref="K137">_xlfn.PERCENTRANK.EXC(_xlfn._xlws.FILTER(K2:K122, ISNUMBER(K2:K122)),K121)</f>
        <v>0.51600000000000001</v>
      </c>
      <c r="L137" s="40" cm="1">
        <f t="array" ref="L137">_xlfn.PERCENTRANK.EXC(_xlfn._xlws.FILTER(L2:L122, ISNUMBER(L2:L122)),L121)</f>
        <v>0.64700000000000002</v>
      </c>
      <c r="M137" s="40" cm="1">
        <f t="array" ref="M137">_xlfn.PERCENTRANK.EXC(_xlfn._xlws.FILTER(M2:M122, ISNUMBER(M2:M122)),M121)</f>
        <v>0.58099999999999996</v>
      </c>
      <c r="N137" s="40" cm="1">
        <f t="array" ref="N137">_xlfn.PERCENTRANK.EXC(_xlfn._xlws.FILTER(N2:N122, ISNUMBER(N2:N122)),N121)</f>
        <v>0.68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0.21299999999999999</v>
      </c>
      <c r="C138" s="40" cm="1">
        <f t="array" ref="C138">_xlfn.PERCENTRANK.EXC(_xlfn._xlws.FILTER(C2:C122, ISNUMBER(C2:C122)),C122)</f>
        <v>0.77800000000000002</v>
      </c>
      <c r="D138" s="40" cm="1">
        <f t="array" ref="D138">_xlfn.PERCENTRANK.EXC(_xlfn._xlws.FILTER(D2:D122, ISNUMBER(D2:D122)),D122)</f>
        <v>0.72099999999999997</v>
      </c>
      <c r="E138" s="40" cm="1">
        <f t="array" ref="E138">_xlfn.PERCENTRANK.EXC(_xlfn._xlws.FILTER(E2:E122, ISNUMBER(E2:E122)),E122)</f>
        <v>0.68</v>
      </c>
      <c r="F138" s="40" cm="1">
        <f t="array" ref="F138">_xlfn.PERCENTRANK.EXC(_xlfn._xlws.FILTER(F2:F122, ISNUMBER(F2:F122)),F122)</f>
        <v>0.71299999999999997</v>
      </c>
      <c r="G138" s="40" cm="1">
        <f t="array" ref="G138">_xlfn.PERCENTRANK.EXC(_xlfn._xlws.FILTER(G2:G122, ISNUMBER(G2:G122)),G122)</f>
        <v>0.42599999999999999</v>
      </c>
      <c r="H138" s="40" cm="1">
        <f t="array" ref="H138">_xlfn.PERCENTRANK.EXC(_xlfn._xlws.FILTER(H2:H122, ISNUMBER(H2:H122)),H122)</f>
        <v>0.77800000000000002</v>
      </c>
      <c r="I138" s="40" cm="1">
        <f t="array" ref="I138">_xlfn.PERCENTRANK.EXC(_xlfn._xlws.FILTER(I2:I122, ISNUMBER(I2:I122)),I122)</f>
        <v>0.82699999999999996</v>
      </c>
      <c r="J138" s="40" cm="1">
        <f t="array" ref="J138">_xlfn.PERCENTRANK.EXC(_xlfn._xlws.FILTER(J2:J122, ISNUMBER(J2:J122)),J122)</f>
        <v>0.90900000000000003</v>
      </c>
      <c r="K138" s="40" cm="1">
        <f t="array" ref="K138">_xlfn.PERCENTRANK.EXC(_xlfn._xlws.FILTER(K2:K122, ISNUMBER(K2:K122)),K122)</f>
        <v>0.622</v>
      </c>
      <c r="L138" s="40" cm="1">
        <f t="array" ref="L138">_xlfn.PERCENTRANK.EXC(_xlfn._xlws.FILTER(L2:L122, ISNUMBER(L2:L122)),L122)</f>
        <v>0.754</v>
      </c>
      <c r="M138" s="40" cm="1">
        <f t="array" ref="M138">_xlfn.PERCENTRANK.EXC(_xlfn._xlws.FILTER(M2:M122, ISNUMBER(M2:M122)),M122)</f>
        <v>0.72899999999999998</v>
      </c>
      <c r="N138" s="40" cm="1">
        <f t="array" ref="N138">_xlfn.PERCENTRANK.EXC(_xlfn._xlws.FILTER(N2:N122, ISNUMBER(N2:N122)),N122)</f>
        <v>0.82699999999999996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0.24266666666666667</v>
      </c>
      <c r="C140" s="40">
        <f t="shared" si="4"/>
        <v>0.68800000000000006</v>
      </c>
      <c r="D140" s="40">
        <f t="shared" si="4"/>
        <v>0.71</v>
      </c>
      <c r="E140" s="40">
        <f t="shared" si="4"/>
        <v>0.68533333333333335</v>
      </c>
      <c r="F140" s="40">
        <f t="shared" si="4"/>
        <v>0.81400000000000006</v>
      </c>
      <c r="G140" s="40">
        <f t="shared" si="4"/>
        <v>0.48599999999999999</v>
      </c>
      <c r="H140" s="40">
        <f t="shared" si="4"/>
        <v>0.69633333333333336</v>
      </c>
      <c r="I140" s="40">
        <f t="shared" si="4"/>
        <v>0.84633333333333338</v>
      </c>
      <c r="J140" s="40">
        <f t="shared" si="4"/>
        <v>0.88733333333333331</v>
      </c>
      <c r="K140" s="40">
        <f t="shared" ref="K140:N140" si="5">AVERAGE(K136:K138)</f>
        <v>0.6306666666666666</v>
      </c>
      <c r="L140" s="40">
        <f t="shared" si="5"/>
        <v>0.7320000000000001</v>
      </c>
      <c r="M140" s="40">
        <f t="shared" si="5"/>
        <v>0.72599999999999998</v>
      </c>
      <c r="N140" s="40">
        <f t="shared" si="5"/>
        <v>0.78633333333333333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1.3179970851092</v>
      </c>
      <c r="D17">
        <v>2.0739392179922902</v>
      </c>
      <c r="E17">
        <v>2.0881582961298202</v>
      </c>
      <c r="F17">
        <v>4.0763823086139199</v>
      </c>
      <c r="G17">
        <v>2.2808425238276202</v>
      </c>
      <c r="H17">
        <v>2.5348579496144801</v>
      </c>
      <c r="I17">
        <v>9.3523184569568798</v>
      </c>
      <c r="J17">
        <v>17.729435430702701</v>
      </c>
      <c r="K17">
        <v>2.1970597171427402</v>
      </c>
      <c r="L17">
        <v>1.99085797419876</v>
      </c>
      <c r="M17">
        <v>2.0450009050115598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3.67789542177964</v>
      </c>
      <c r="G18">
        <v>2.3686407868237098</v>
      </c>
      <c r="H18">
        <v>2.0346384136804501</v>
      </c>
      <c r="I18">
        <v>10.4260783076313</v>
      </c>
      <c r="J18">
        <v>16.661770333783501</v>
      </c>
      <c r="K18">
        <v>1.8510975088086301</v>
      </c>
      <c r="L18">
        <v>2.00892945351409</v>
      </c>
      <c r="M18">
        <v>2.2138152779134601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4.6161385676982096</v>
      </c>
      <c r="G19">
        <v>2.66234515884581</v>
      </c>
      <c r="H19">
        <v>2.7142722466617202</v>
      </c>
      <c r="I19">
        <v>13.6402697494705</v>
      </c>
      <c r="J19">
        <v>22.276707388058099</v>
      </c>
      <c r="K19">
        <v>2.4608174691400801</v>
      </c>
      <c r="L19">
        <v>2.4360180766850199</v>
      </c>
      <c r="M19">
        <v>2.4898156522320498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4.4608954310188302</v>
      </c>
      <c r="G20">
        <v>2.5838872063229701</v>
      </c>
      <c r="H20">
        <v>3.1276012084365901</v>
      </c>
      <c r="I20">
        <v>12.7503134568906</v>
      </c>
      <c r="J20">
        <v>22.968710470643401</v>
      </c>
      <c r="K20">
        <v>2.8026651893863601</v>
      </c>
      <c r="L20">
        <v>2.4294142549840898</v>
      </c>
      <c r="M20">
        <v>2.5641957436601599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2.6563834912307702</v>
      </c>
      <c r="F21">
        <v>4.5666497354076201</v>
      </c>
      <c r="G21">
        <v>2.8642965748709601</v>
      </c>
      <c r="H21">
        <v>3.0028044281125101</v>
      </c>
      <c r="I21">
        <v>16.324300193902701</v>
      </c>
      <c r="J21">
        <v>24.344986801425499</v>
      </c>
      <c r="K21">
        <v>2.9207046812756801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2.4110260552424823E-2</v>
      </c>
      <c r="G25" s="48" cm="1">
        <f t="array" ref="G25">(G21/INDEX(G2:G21,MATCH(TRUE,INDEX(ISNUMBER(G2:G21),0),0)))^(1/G23)-1</f>
        <v>4.6608631192781802E-2</v>
      </c>
      <c r="H25" s="48" cm="1">
        <f t="array" ref="H25">(H21/INDEX(H2:H21,MATCH(TRUE,INDEX(ISNUMBER(H2:H21),0),0)))^(1/H23)-1</f>
        <v>3.7127107321246466E-3</v>
      </c>
      <c r="I25" s="48" cm="1">
        <f t="array" ref="I25">(I21/INDEX(I2:I21,MATCH(TRUE,INDEX(ISNUMBER(I2:I21),0),0)))^(1/I23)-1</f>
        <v>0.12988959959671664</v>
      </c>
      <c r="J25" s="48" cm="1">
        <f t="array" ref="J25">(J21/INDEX(J2:J21,MATCH(TRUE,INDEX(ISNUMBER(J2:J21),0),0)))^(1/J23)-1</f>
        <v>5.9884631689594459E-2</v>
      </c>
      <c r="K25" s="48" cm="1">
        <f t="array" ref="K25">(K21/INDEX(K2:K21,MATCH(TRUE,INDEX(ISNUMBER(K2:K21),0),0)))^(1/K23)-1</f>
        <v>1.8533351282826072E-2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1.6303905000000001</v>
      </c>
      <c r="E3" cm="1">
        <f t="array" ref="E3">_xll.FDSB(B3,"FG_PRICE_CHANGE(0,-1AY)")</f>
        <v>1.6793013000000001</v>
      </c>
      <c r="F3" cm="1">
        <f t="array" ref="F3">_xll.FDSB(B3,"FG_PRICE_CHANGE(0,-1AM)")</f>
        <v>-3.7988067000000001</v>
      </c>
      <c r="G3" cm="1">
        <f t="array" ref="G3">_xll.FDSB(B3,"FG_PRICE_CHANGE(0,-3AM)")</f>
        <v>-0.30161737999999999</v>
      </c>
      <c r="H3" cm="1">
        <f t="array" ref="H3">_xll.FDSB(B3,"FG_PRICE_CHANGE(0,-6AM)")</f>
        <v>-2.5108039999999998</v>
      </c>
      <c r="I3" cm="1">
        <f t="array" ref="I3">_xll.FDS(B3,"STD(FG_PRICE_CHANGE(0,-1AY,AM))")</f>
        <v>2.7984133142437502</v>
      </c>
      <c r="J3" cm="1">
        <f t="array" ref="J3">_xll.FDS(B3,"STD(FG_PRICE_CHANGE(0,-3AY,M))")*SQRT(12)</f>
        <v>11.98615098528186</v>
      </c>
      <c r="L3">
        <f>(1-(_xlfn.PERCENTRANK.EXC($F$3:$F$15,F3)))*100</f>
        <v>85.8</v>
      </c>
      <c r="M3">
        <f>(1-(_xlfn.PERCENTRANK.EXC($G$3:$G$15,G3)))*100</f>
        <v>64.3</v>
      </c>
      <c r="N3">
        <f>(1-(_xlfn.PERCENTRANK.EXC($H$3:$H$15,H3)))*100</f>
        <v>85.8</v>
      </c>
      <c r="O3">
        <f>SUMPRODUCT($L$1:$N$1,L3:N3)</f>
        <v>77.199999999999989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42.179999999999993</v>
      </c>
      <c r="U3" cm="1">
        <f t="array" ref="U3">_xlfn.PERCENTRANK.EXC(_xlfn._xlws.FILTER(S$3:S$15, ISNUMBER(S$3:S$15)),S3)*100</f>
        <v>28.499999999999996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1.4951034999999999</v>
      </c>
      <c r="E4" cm="1">
        <f t="array" ref="E4">_xll.FDSB(B4,"FG_PRICE_CHANGE(0,-1AY)")</f>
        <v>-0.70269703999999999</v>
      </c>
      <c r="F4" cm="1">
        <f t="array" ref="F4">_xll.FDSB(B4,"FG_PRICE_CHANGE(0,-1AM)")</f>
        <v>-3.999406</v>
      </c>
      <c r="G4" cm="1">
        <f t="array" ref="G4">_xll.FDSB(B4,"FG_PRICE_CHANGE(0,-3AM)")</f>
        <v>-2.4220704999999998</v>
      </c>
      <c r="H4" cm="1">
        <f t="array" ref="H4">_xll.FDSB(B4,"FG_PRICE_CHANGE(0,-6AM)")</f>
        <v>-2.7808964</v>
      </c>
      <c r="I4" cm="1">
        <f t="array" ref="I4">_xll.FDS(B4,"STD(FG_PRICE_CHANGE(0,-1AY,AM))")</f>
        <v>2.8428128959413299</v>
      </c>
      <c r="J4" cm="1">
        <f t="array" ref="J4">_xll.FDS(B4,"STD(FG_PRICE_CHANGE(0,-3AY,M))")*SQRT(12)</f>
        <v>10.585560571795845</v>
      </c>
      <c r="L4">
        <f t="shared" ref="L4:L15" si="1">(1-(_xlfn.PERCENTRANK.EXC($F$3:$F$15,F4)))*100</f>
        <v>92.9</v>
      </c>
      <c r="M4">
        <f t="shared" ref="M4:M15" si="2">(1-(_xlfn.PERCENTRANK.EXC($G$3:$G$15,G4)))*100</f>
        <v>92.9</v>
      </c>
      <c r="N4">
        <f t="shared" ref="N4:N15" si="3">(1-(_xlfn.PERCENTRANK.EXC($H$3:$H$15,H4)))*100</f>
        <v>92.9</v>
      </c>
      <c r="O4">
        <f t="shared" ref="O4:O11" si="4">SUMPRODUCT($L$1:$N$1,L4:N4)</f>
        <v>92.9</v>
      </c>
      <c r="P4">
        <f t="shared" ref="P4:P15" si="5">100- (_xlfn.PERCENTRANK.EXC($J$3:$J$15,J4)*100)</f>
        <v>14.299999999999997</v>
      </c>
      <c r="Q4">
        <f>VLOOKUP(A4,CAD!$A$3:$J$15, 10, FALSE)</f>
        <v>50</v>
      </c>
      <c r="S4">
        <f t="shared" si="0"/>
        <v>60.74</v>
      </c>
      <c r="U4" cm="1">
        <f t="array" ref="U4">_xlfn.PERCENTRANK.EXC(_xlfn._xlws.FILTER(S$3:S$15, ISNUMBER(S$3:S$15)),S4)*100</f>
        <v>71.399999999999991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1.3604499999999999</v>
      </c>
      <c r="E5" cm="1">
        <f t="array" ref="E5">_xll.FDSB(B5,"FG_PRICE_CHANGE(0,-1AY)")</f>
        <v>0.87494850000000002</v>
      </c>
      <c r="F5" cm="1">
        <f t="array" ref="F5">_xll.FDSB(B5,"FG_PRICE_CHANGE(0,-1AM)")</f>
        <v>-1.4630795000000001</v>
      </c>
      <c r="G5" cm="1">
        <f t="array" ref="G5">_xll.FDSB(B5,"FG_PRICE_CHANGE(0,-3AM)")</f>
        <v>0.90488195000000005</v>
      </c>
      <c r="H5" cm="1">
        <f t="array" ref="H5">_xll.FDSB(B5,"FG_PRICE_CHANGE(0,-6AM)")</f>
        <v>-0.91405510000000001</v>
      </c>
      <c r="I5" cm="1">
        <f t="array" ref="I5">_xll.FDS(B5,"STD(FG_PRICE_CHANGE(0,-1AY,AM))")</f>
        <v>1.51521326319828</v>
      </c>
      <c r="J5" cm="1">
        <f t="array" ref="J5">_xll.FDS(B5,"STD(FG_PRICE_CHANGE(0,-3AY,M))")*SQRT(12)</f>
        <v>6.397403714440232</v>
      </c>
      <c r="L5">
        <f t="shared" si="1"/>
        <v>50</v>
      </c>
      <c r="M5">
        <f t="shared" si="2"/>
        <v>35.799999999999997</v>
      </c>
      <c r="N5">
        <f t="shared" si="3"/>
        <v>71.500000000000014</v>
      </c>
      <c r="O5">
        <f t="shared" si="4"/>
        <v>52.920000000000009</v>
      </c>
      <c r="P5">
        <f t="shared" si="5"/>
        <v>71.5</v>
      </c>
      <c r="Q5">
        <f>VLOOKUP(A5,CAD!$A$3:$J$15, 10, FALSE)</f>
        <v>35.699999999999996</v>
      </c>
      <c r="S5">
        <f t="shared" si="0"/>
        <v>55.050000000000004</v>
      </c>
      <c r="U5" cm="1">
        <f t="array" ref="U5">_xlfn.PERCENTRANK.EXC(_xlfn._xlws.FILTER(S$3:S$15, ISNUMBER(S$3:S$15)),S5)*100</f>
        <v>42.8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0.91945569999999999</v>
      </c>
      <c r="E6" cm="1">
        <f t="array" ref="E6">_xll.FDSB(B6,"FG_PRICE_CHANGE(0,-1AY)")</f>
        <v>-0.51029325000000003</v>
      </c>
      <c r="F6" cm="1">
        <f t="array" ref="F6">_xll.FDSB(B6,"FG_PRICE_CHANGE(0,-1AM)")</f>
        <v>-2.2020936</v>
      </c>
      <c r="G6" cm="1">
        <f t="array" ref="G6">_xll.FDSB(B6,"FG_PRICE_CHANGE(0,-3AM)")</f>
        <v>-0.96082690000000004</v>
      </c>
      <c r="H6" cm="1">
        <f t="array" ref="H6">_xll.FDSB(B6,"FG_PRICE_CHANGE(0,-6AM)")</f>
        <v>0.10573863999999999</v>
      </c>
      <c r="I6" cm="1">
        <f t="array" ref="I6">_xll.FDS(B6,"STD(FG_PRICE_CHANGE(0,-1AY,AM))")</f>
        <v>1.93362295760013</v>
      </c>
      <c r="J6" cm="1">
        <f t="array" ref="J6">_xll.FDS(B6,"STD(FG_PRICE_CHANGE(0,-3AY,M))")*SQRT(12)</f>
        <v>7.5501095316907598</v>
      </c>
      <c r="L6">
        <f t="shared" si="1"/>
        <v>64.3</v>
      </c>
      <c r="M6">
        <f t="shared" si="2"/>
        <v>85.8</v>
      </c>
      <c r="N6">
        <f t="shared" si="3"/>
        <v>42.900000000000006</v>
      </c>
      <c r="O6">
        <f t="shared" si="4"/>
        <v>64.34</v>
      </c>
      <c r="P6">
        <f t="shared" si="5"/>
        <v>57.2</v>
      </c>
      <c r="Q6">
        <f>VLOOKUP(A6,CAD!$A$3:$J$15, 10, FALSE)</f>
        <v>78.5</v>
      </c>
      <c r="S6">
        <f t="shared" si="0"/>
        <v>65.03</v>
      </c>
      <c r="U6" cm="1">
        <f t="array" ref="U6">_xlfn.PERCENTRANK.EXC(_xlfn._xlws.FILTER(S$3:S$15, ISNUMBER(S$3:S$15)),S6)*100</f>
        <v>85.7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155.41999999999999</v>
      </c>
      <c r="E7" cm="1">
        <f t="array" ref="E7">_xll.FDSB(B7,"FG_PRICE_CHANGE(0,-1AY)")</f>
        <v>13.094414</v>
      </c>
      <c r="F7" cm="1">
        <f t="array" ref="F7">_xll.FDSB(B7,"FG_PRICE_CHANGE(0,-1AM)")</f>
        <v>0.49464702999999999</v>
      </c>
      <c r="G7" cm="1">
        <f t="array" ref="G7">_xll.FDSB(B7,"FG_PRICE_CHANGE(0,-3AM)")</f>
        <v>3.4512640000000001</v>
      </c>
      <c r="H7" cm="1">
        <f t="array" ref="H7">_xll.FDSB(B7,"FG_PRICE_CHANGE(0,-6AM)")</f>
        <v>3.90774</v>
      </c>
      <c r="I7" cm="1">
        <f t="array" ref="I7">_xll.FDS(B7,"STD(FG_PRICE_CHANGE(0,-1AY,AM))")</f>
        <v>2.77359536427864</v>
      </c>
      <c r="J7" cm="1">
        <f t="array" ref="J7">_xll.FDS(B7,"STD(FG_PRICE_CHANGE(0,-3AY,M))")*SQRT(12)</f>
        <v>10.535136724189327</v>
      </c>
      <c r="L7">
        <f t="shared" si="1"/>
        <v>7.1999999999999957</v>
      </c>
      <c r="M7">
        <f t="shared" si="2"/>
        <v>7.1999999999999957</v>
      </c>
      <c r="N7">
        <f t="shared" si="3"/>
        <v>7.1999999999999957</v>
      </c>
      <c r="O7">
        <f t="shared" si="4"/>
        <v>7.1999999999999957</v>
      </c>
      <c r="P7">
        <f t="shared" si="5"/>
        <v>21.5</v>
      </c>
      <c r="Q7">
        <f>VLOOKUP(A7,CAD!$A$3:$J$15, 10, FALSE)</f>
        <v>64.2</v>
      </c>
      <c r="S7">
        <f t="shared" si="0"/>
        <v>22.89</v>
      </c>
      <c r="U7" cm="1">
        <f t="array" ref="U7">_xlfn.PERCENTRANK.EXC(_xlfn._xlws.FILTER(S$3:S$15, ISNUMBER(S$3:S$15)),S7)*100</f>
        <v>7.1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0.90705000000000002</v>
      </c>
      <c r="E8" cm="1">
        <f t="array" ref="E8">_xll.FDSB(B8,"FG_PRICE_CHANGE(0,-1AY)")</f>
        <v>0.87860819999999995</v>
      </c>
      <c r="F8" cm="1">
        <f t="array" ref="F8">_xll.FDSB(B8,"FG_PRICE_CHANGE(0,-1AM)")</f>
        <v>-0.64625144000000001</v>
      </c>
      <c r="G8" cm="1">
        <f t="array" ref="G8">_xll.FDSB(B8,"FG_PRICE_CHANGE(0,-3AM)")</f>
        <v>2.9860973</v>
      </c>
      <c r="H8" cm="1">
        <f t="array" ref="H8">_xll.FDSB(B8,"FG_PRICE_CHANGE(0,-6AM)")</f>
        <v>2.3181080000000001</v>
      </c>
      <c r="I8" cm="1">
        <f t="array" ref="I8">_xll.FDS(B8,"STD(FG_PRICE_CHANGE(0,-1AY,AM))")</f>
        <v>1.9207518750802199</v>
      </c>
      <c r="J8" cm="1">
        <f t="array" ref="J8">_xll.FDS(B8,"STD(FG_PRICE_CHANGE(0,-3AY,M))")*SQRT(12)</f>
        <v>8.5062012550428463</v>
      </c>
      <c r="L8">
        <f t="shared" si="1"/>
        <v>42.900000000000006</v>
      </c>
      <c r="M8">
        <f t="shared" si="2"/>
        <v>21.499999999999996</v>
      </c>
      <c r="N8">
        <f t="shared" si="3"/>
        <v>21.499999999999996</v>
      </c>
      <c r="O8">
        <f t="shared" si="4"/>
        <v>25.78</v>
      </c>
      <c r="P8">
        <f t="shared" si="5"/>
        <v>42.900000000000006</v>
      </c>
      <c r="Q8">
        <f>VLOOKUP(A8,CAD!$A$3:$J$15, 10, FALSE)</f>
        <v>85.7</v>
      </c>
      <c r="S8">
        <f t="shared" si="0"/>
        <v>42.900000000000006</v>
      </c>
      <c r="U8" cm="1">
        <f t="array" ref="U8">_xlfn.PERCENTRANK.EXC(_xlfn._xlws.FILTER(S$3:S$15, ISNUMBER(S$3:S$15)),S8)*100</f>
        <v>35.699999999999996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0.78749460000000004</v>
      </c>
      <c r="E9" cm="1">
        <f t="array" ref="E9">_xll.FDSB(B9,"FG_PRICE_CHANGE(0,-1AY)")</f>
        <v>-1.8269896999999999</v>
      </c>
      <c r="F9" cm="1">
        <f t="array" ref="F9">_xll.FDSB(B9,"FG_PRICE_CHANGE(0,-1AM)")</f>
        <v>-1.9490479999999999</v>
      </c>
      <c r="G9" cm="1">
        <f t="array" ref="G9">_xll.FDSB(B9,"FG_PRICE_CHANGE(0,-3AM)")</f>
        <v>-0.88592769999999998</v>
      </c>
      <c r="H9" cm="1">
        <f t="array" ref="H9">_xll.FDSB(B9,"FG_PRICE_CHANGE(0,-6AM)")</f>
        <v>-2.0829200000000001</v>
      </c>
      <c r="I9" cm="1">
        <f t="array" ref="I9">_xll.FDS(B9,"STD(FG_PRICE_CHANGE(0,-1AY,AM))")</f>
        <v>2.0284695676719702</v>
      </c>
      <c r="J9" cm="1">
        <f t="array" ref="J9">_xll.FDS(B9,"STD(FG_PRICE_CHANGE(0,-3AY,M))")*SQRT(12)</f>
        <v>8.3339900064387091</v>
      </c>
      <c r="L9">
        <f t="shared" si="1"/>
        <v>57.2</v>
      </c>
      <c r="M9">
        <f t="shared" si="2"/>
        <v>71.500000000000014</v>
      </c>
      <c r="N9">
        <f t="shared" si="3"/>
        <v>78.600000000000009</v>
      </c>
      <c r="O9">
        <f>SUMPRODUCT($L$1:$N$1,L9:N9)</f>
        <v>71.480000000000018</v>
      </c>
      <c r="P9">
        <f t="shared" si="5"/>
        <v>50</v>
      </c>
      <c r="Q9">
        <f>VLOOKUP(A9,CAD!$A$3:$J$15, 10, FALSE)</f>
        <v>28.499999999999996</v>
      </c>
      <c r="S9">
        <f t="shared" si="0"/>
        <v>56.440000000000012</v>
      </c>
      <c r="U9" cm="1">
        <f t="array" ref="U9">_xlfn.PERCENTRANK.EXC(_xlfn._xlws.FILTER(S$3:S$15, ISNUMBER(S$3:S$15)),S9)*100</f>
        <v>50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28.6</v>
      </c>
      <c r="M10">
        <f t="shared" si="2"/>
        <v>57.2</v>
      </c>
      <c r="N10">
        <f t="shared" si="3"/>
        <v>64.3</v>
      </c>
      <c r="O10">
        <f t="shared" si="4"/>
        <v>54.32</v>
      </c>
      <c r="P10">
        <f t="shared" si="5"/>
        <v>92.9</v>
      </c>
      <c r="Q10">
        <f>VLOOKUP(A10,CAD!$A$3:$J$15, 10, FALSE)</f>
        <v>14.2</v>
      </c>
      <c r="S10">
        <f t="shared" si="0"/>
        <v>57.870000000000005</v>
      </c>
      <c r="U10" cm="1">
        <f t="array" ref="U10">_xlfn.PERCENTRANK.EXC(_xlfn._xlws.FILTER(S$3:S$15, ISNUMBER(S$3:S$15)),S10)*100</f>
        <v>57.099999999999994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28.6</v>
      </c>
      <c r="M11">
        <f t="shared" si="2"/>
        <v>57.2</v>
      </c>
      <c r="N11">
        <f t="shared" si="3"/>
        <v>64.3</v>
      </c>
      <c r="O11">
        <f t="shared" si="4"/>
        <v>54.32</v>
      </c>
      <c r="P11">
        <f t="shared" si="5"/>
        <v>92.9</v>
      </c>
      <c r="Q11">
        <f>VLOOKUP(A11,CAD!$A$3:$J$15, 10, FALSE)</f>
        <v>14.2</v>
      </c>
      <c r="S11">
        <f t="shared" si="0"/>
        <v>57.870000000000005</v>
      </c>
      <c r="U11" cm="1">
        <f t="array" ref="U11">_xlfn.PERCENTRANK.EXC(_xlfn._xlws.FILTER(S$3:S$15, ISNUMBER(S$3:S$15)),S11)*100</f>
        <v>57.099999999999994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0.90705000000000002</v>
      </c>
      <c r="E12" cm="1">
        <f t="array" ref="E12">_xll.FDSB(B12,"FG_PRICE_CHANGE(0,-1AY)")</f>
        <v>0.87860819999999995</v>
      </c>
      <c r="F12" cm="1">
        <f t="array" ref="F12">_xll.FDSB(B12,"FG_PRICE_CHANGE(0,-1AM)")</f>
        <v>-0.64625144000000001</v>
      </c>
      <c r="G12" cm="1">
        <f t="array" ref="G12">_xll.FDSB(B12,"FG_PRICE_CHANGE(0,-3AM)")</f>
        <v>2.9860973</v>
      </c>
      <c r="H12" cm="1">
        <f t="array" ref="H12">_xll.FDSB(B12,"FG_PRICE_CHANGE(0,-6AM)")</f>
        <v>2.3181080000000001</v>
      </c>
      <c r="I12" cm="1">
        <f t="array" ref="I12">_xll.FDS(B12,"STD(FG_PRICE_CHANGE(0,-1AY,AM))")</f>
        <v>1.9207518750802199</v>
      </c>
      <c r="J12" cm="1">
        <f t="array" ref="J12">_xll.FDS(B12,"STD(FG_PRICE_CHANGE(0,-3AY,M))")*SQRT(12)</f>
        <v>8.5062012550428463</v>
      </c>
      <c r="L12">
        <f t="shared" si="1"/>
        <v>42.900000000000006</v>
      </c>
      <c r="M12">
        <f t="shared" si="2"/>
        <v>21.499999999999996</v>
      </c>
      <c r="N12">
        <f t="shared" si="3"/>
        <v>21.499999999999996</v>
      </c>
      <c r="O12">
        <f t="shared" ref="O12:O15" si="6">SUMPRODUCT($L$1:$N$1,L12:N12)</f>
        <v>25.78</v>
      </c>
      <c r="P12">
        <f t="shared" si="5"/>
        <v>42.900000000000006</v>
      </c>
      <c r="Q12">
        <f>VLOOKUP(A12,CAD!$A$3:$J$15, 10, FALSE)</f>
        <v>42.8</v>
      </c>
      <c r="S12">
        <f t="shared" ref="S12:S15" si="7">SUMPRODUCT($O$1:$Q$1,O12:Q12)</f>
        <v>34.32</v>
      </c>
      <c r="U12" cm="1">
        <f t="array" ref="U12">_xlfn.PERCENTRANK.EXC(_xlfn._xlws.FILTER(S$3:S$15, ISNUMBER(S$3:S$15)),S12)*100</f>
        <v>14.2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28.6</v>
      </c>
      <c r="M13" s="183">
        <f t="shared" si="2"/>
        <v>57.2</v>
      </c>
      <c r="N13" s="183">
        <f t="shared" si="3"/>
        <v>64.3</v>
      </c>
      <c r="O13" s="183">
        <f t="shared" si="6"/>
        <v>54.32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69.3</v>
      </c>
      <c r="U13" s="183" cm="1">
        <f t="array" ref="U13">_xlfn.PERCENTRANK.EXC(_xlfn._xlws.FILTER(S$3:S$15, ISNUMBER(S$3:S$15)),S13)*100</f>
        <v>92.800000000000011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10.707549999999999</v>
      </c>
      <c r="E14" cm="1">
        <f t="array" ref="E14">_xll.FDSB(B14,"FG_PRICE_CHANGE(0,-1AY)")</f>
        <v>2.2605658000000002</v>
      </c>
      <c r="F14" cm="1">
        <f t="array" ref="F14">_xll.FDSB(B14,"FG_PRICE_CHANGE(0,-1AM)")</f>
        <v>-2.6201308000000001</v>
      </c>
      <c r="G14" cm="1">
        <f t="array" ref="G14">_xll.FDSB(B14,"FG_PRICE_CHANGE(0,-3AM)")</f>
        <v>2.4160743</v>
      </c>
      <c r="H14" cm="1">
        <f t="array" ref="H14">_xll.FDSB(B14,"FG_PRICE_CHANGE(0,-6AM)")</f>
        <v>1.5646100000000001</v>
      </c>
      <c r="I14" cm="1">
        <f t="array" ref="I14">_xll.FDS(B14,"STD(FG_PRICE_CHANGE(0,-1AY,AM))")</f>
        <v>3.3293909714158301</v>
      </c>
      <c r="J14" cm="1">
        <f t="array" ref="J14">_xll.FDS(B14,"STD(FG_PRICE_CHANGE(0,-3AY,M))")*SQRT(12)</f>
        <v>10.098055290056976</v>
      </c>
      <c r="L14">
        <f t="shared" si="1"/>
        <v>78.600000000000009</v>
      </c>
      <c r="M14">
        <f t="shared" si="2"/>
        <v>28.6</v>
      </c>
      <c r="N14">
        <f t="shared" si="3"/>
        <v>28.6</v>
      </c>
      <c r="O14">
        <f t="shared" si="6"/>
        <v>38.600000000000009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42.160000000000004</v>
      </c>
      <c r="U14" cm="1">
        <f t="array" ref="U14">_xlfn.PERCENTRANK.EXC(_xlfn._xlws.FILTER(S$3:S$15, ISNUMBER(S$3:S$15)),S14)*100</f>
        <v>21.4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1780.3145</v>
      </c>
      <c r="E15" cm="1">
        <f t="array" ref="E15">_xll.FDSB(B15,"FG_PRICE_CHANGE(0,-1AY)")</f>
        <v>-0.51029325000000003</v>
      </c>
      <c r="F15" cm="1">
        <f t="array" ref="F15">_xll.FDSB(B15,"FG_PRICE_CHANGE(0,-1AM)")</f>
        <v>-2.2020995999999999</v>
      </c>
      <c r="G15" cm="1">
        <f t="array" ref="G15">_xll.FDSB(B15,"FG_PRICE_CHANGE(0,-3AM)")</f>
        <v>-0.96082690000000004</v>
      </c>
      <c r="H15" cm="1">
        <f t="array" ref="H15">_xll.FDSB(B15,"FG_PRICE_CHANGE(0,-6AM)")</f>
        <v>0.10573863999999999</v>
      </c>
      <c r="I15" cm="1">
        <f t="array" ref="I15">_xll.FDS(B15,"STD(FG_PRICE_CHANGE(0,-1AY,AM))")</f>
        <v>1.9336245056060199</v>
      </c>
      <c r="J15" cm="1">
        <f t="array" ref="J15">_xll.FDS(B15,"STD(FG_PRICE_CHANGE(0,-3AY,M))")*SQRT(12)</f>
        <v>7.5501075443677417</v>
      </c>
      <c r="L15">
        <f t="shared" si="1"/>
        <v>71.500000000000014</v>
      </c>
      <c r="M15">
        <f t="shared" si="2"/>
        <v>85.8</v>
      </c>
      <c r="N15">
        <f t="shared" si="3"/>
        <v>42.900000000000006</v>
      </c>
      <c r="O15">
        <f t="shared" si="6"/>
        <v>65.78</v>
      </c>
      <c r="P15">
        <f t="shared" si="5"/>
        <v>64.300000000000011</v>
      </c>
      <c r="Q15">
        <f>VLOOKUP(A15,CAD!$A$3:$J$15, 10, FALSE)</f>
        <v>57.099999999999994</v>
      </c>
      <c r="S15">
        <f t="shared" si="7"/>
        <v>63.600000000000009</v>
      </c>
      <c r="U15" cm="1">
        <f t="array" ref="U15">_xlfn.PERCENTRANK.EXC(_xlfn._xlws.FILTER(S$3:S$15, ISNUMBER(S$3:S$15)),S15)*100</f>
        <v>78.5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-6.05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1.2187158046039499</v>
      </c>
      <c r="H4" cm="1">
        <f t="array" ref="H4">IFERROR(_xll.FDS($F4,"EE_ACTUAL_ANNUAL(MED,+1)"),0)</f>
        <v>0.5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-0.61472799523697397</v>
      </c>
      <c r="H5" cm="1">
        <f t="array" ref="H5">IFERROR(_xll.FDS($F5,"EE_ACTUAL_ANNUAL(MED,+1)"),0)</f>
        <v>-0.8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6.1136006165464201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3.6105395544238701</v>
      </c>
      <c r="H7" cm="1">
        <f t="array" ref="H7">IFERROR(_xll.FDS($F7,"EE_ACTUAL_ANNUAL(MED,+1)"),0)</f>
        <v>3.5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7.6415194131226398</v>
      </c>
      <c r="H8" cm="1">
        <f t="array" ref="H8">IFERROR(_xll.FDS($F8,"EE_ACTUAL_ANNUAL(MED,+1)"),0)</f>
        <v>8.1999999999999993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-2.8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-2.9956167375174898</v>
      </c>
      <c r="H10" cm="1">
        <f t="array" ref="H10">IFERROR(_xll.FDS($F10,"EE_ACTUAL_ANNUAL(MED,+1)"),0)</f>
        <v>-3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-2.9956167375174898</v>
      </c>
      <c r="H11" cm="1">
        <f t="array" ref="H11">IFERROR(_xll.FDS($F11,"EE_ACTUAL_ANNUAL(MED,+1)"),0)</f>
        <v>-3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-0.76356065982077004</v>
      </c>
      <c r="H12" cm="1">
        <f t="array" ref="H12">IFERROR(_xll.FDS($F12,"EE_ACTUAL_ANNUAL(MED,+1)"),0)</f>
        <v>-0.55000000000000004</v>
      </c>
      <c r="J12" cm="1">
        <f t="array" ref="J12">_xlfn.PERCENTRANK.EXC(_xlfn._xlws.FILTER(H$3:H$15, ISNUMBER(H$3:H$15)),H12)*100</f>
        <v>42.8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10.0884806997308</v>
      </c>
      <c r="H13" cm="1">
        <f t="array" ref="H13">IFERROR(_xll.FDS($F13,"EE_ACTUAL_ANNUAL(MED,+1)"),0)</f>
        <v>8.35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6.7690540119922504</v>
      </c>
      <c r="H14" cm="1">
        <f t="array" ref="H14">IFERROR(_xll.FDS($F14,"EE_ACTUAL_ANNUAL(MED,+1)"),0)</f>
        <v>5.4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0.50820583631101501</v>
      </c>
      <c r="H15" cm="1">
        <f t="array" ref="H15">IFERROR(_xll.FDS($F15,"EE_ACTUAL_ANNUAL(MED,+1)"),0)</f>
        <v>0.9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>
        <v>2.7255995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>
        <v>3.5394266000000001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9.1794989999999999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9.2785794999999993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11.727245321809701</v>
      </c>
      <c r="D17">
        <v>11.978678386383701</v>
      </c>
      <c r="E17">
        <v>10.4475672102116</v>
      </c>
      <c r="F17">
        <v>8.3559627813131101</v>
      </c>
      <c r="G17">
        <v>14.538819869127099</v>
      </c>
      <c r="H17">
        <v>12.871054501249599</v>
      </c>
      <c r="I17">
        <v>25.011729152832</v>
      </c>
      <c r="J17">
        <v>18.292929264234399</v>
      </c>
      <c r="K17">
        <v>10.914009651363701</v>
      </c>
      <c r="L17">
        <v>13.091763606585999</v>
      </c>
      <c r="M17">
        <v>13.411796827237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7.4385992870476301</v>
      </c>
      <c r="G18">
        <v>14.667779515581</v>
      </c>
      <c r="H18">
        <v>11.205060980823401</v>
      </c>
      <c r="I18">
        <v>24.534442850508999</v>
      </c>
      <c r="J18">
        <v>17.2298191446197</v>
      </c>
      <c r="K18">
        <v>8.9422344896343695</v>
      </c>
      <c r="L18">
        <v>9.7785656554204401</v>
      </c>
      <c r="M18">
        <v>11.907032686615199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9.2207656765267707</v>
      </c>
      <c r="G19">
        <v>16.3837417700753</v>
      </c>
      <c r="H19">
        <v>13.922769947021701</v>
      </c>
      <c r="I19">
        <v>26.637202164256799</v>
      </c>
      <c r="J19">
        <v>20.686290276184</v>
      </c>
      <c r="K19">
        <v>12.2539555438325</v>
      </c>
      <c r="L19">
        <v>10.899145950205799</v>
      </c>
      <c r="M19">
        <v>15.3602779627681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</v>
      </c>
      <c r="D20">
        <v>14.002940310619</v>
      </c>
      <c r="E20">
        <v>11.818711551142201</v>
      </c>
      <c r="F20">
        <v>9.2254455739887096</v>
      </c>
      <c r="G20">
        <v>16.690651733527702</v>
      </c>
      <c r="H20">
        <v>15.858744412332101</v>
      </c>
      <c r="I20">
        <v>24.048321572288899</v>
      </c>
      <c r="J20">
        <v>20.5983105929019</v>
      </c>
      <c r="K20">
        <v>13.147634164467201</v>
      </c>
      <c r="L20">
        <v>12.015889172957699</v>
      </c>
      <c r="M20">
        <v>14.691294548400601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11.93889064433</v>
      </c>
      <c r="F21">
        <v>9.29960121519116</v>
      </c>
      <c r="G21">
        <v>19.299686812780902</v>
      </c>
      <c r="H21">
        <v>14.7207289002436</v>
      </c>
      <c r="I21">
        <v>25.319915596446201</v>
      </c>
      <c r="J21">
        <v>20.350503776156899</v>
      </c>
      <c r="K21">
        <v>13.220962405767001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8.9422344896343695</v>
      </c>
      <c r="L23" s="8">
        <f t="shared" si="0"/>
        <v>9.7785656554204401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13.049660814670499</v>
      </c>
      <c r="M24" s="8">
        <f t="shared" si="1"/>
        <v>14.442823056578451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11.93889064433</v>
      </c>
      <c r="F25" s="8">
        <f t="shared" si="2"/>
        <v>9.29960121519116</v>
      </c>
      <c r="G25" s="8">
        <f t="shared" si="2"/>
        <v>19.299686812780902</v>
      </c>
      <c r="H25" s="8">
        <f t="shared" si="2"/>
        <v>14.7207289002436</v>
      </c>
      <c r="I25" s="8">
        <f t="shared" si="2"/>
        <v>25.319915596446201</v>
      </c>
      <c r="J25" s="8">
        <f t="shared" si="2"/>
        <v>20.350503776156899</v>
      </c>
      <c r="K25" s="8">
        <f t="shared" si="2"/>
        <v>13.220962405767001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24" sqref="O24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45401</v>
      </c>
      <c r="M1" s="116"/>
    </row>
    <row r="2" spans="1:20" ht="15" thickBot="1" x14ac:dyDescent="0.4">
      <c r="K2" s="12" t="s">
        <v>772</v>
      </c>
      <c r="L2" s="187">
        <f ca="1">EDATE(TODAY(), -4)</f>
        <v>45310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04/2024</v>
      </c>
      <c r="O3" t="str" cm="1">
        <f t="array" aca="1" ref="O3" ca="1">_xll.FDSRC("-","DUMMY","ECON_DATE("&amp;$L$2&amp;",,, 'MM/YYYY')")</f>
        <v>01/2024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IF(_xll.FDSRC(,"DUMMY","ECON_EXPR_DATA('FDS_ECON["&amp;H4&amp;"]',,,M)")=0,$J$20,_xll.FDSRC(,"DUMMY","ECON_EXPR_DATA('FDS_ECON["&amp;H4&amp;"]',,,M)"))</f>
        <v>48.932884000000001</v>
      </c>
      <c r="N4" cm="1">
        <f t="array" aca="1" ref="N4" ca="1">_xll.FDSRC("-","DUMMY","ECON_EXPR_DATA('FDS_ECON["&amp;H4&amp;"]',"&amp;$N$3&amp;",,Q)")</f>
        <v>47.799872999999998</v>
      </c>
      <c r="O4" cm="1">
        <f t="array" aca="1" ref="O4" ca="1">_xll.FDSRC("-","DUMMY","ECON_EXPR_DATA('FDS_ECON["&amp;H4&amp;"]',"&amp;$O$3&amp;",,Q)")</f>
        <v>44.485503999999999</v>
      </c>
      <c r="P4">
        <f t="shared" ref="P4:P12" ca="1" si="0">IFERROR(N4-O4,$M$20)</f>
        <v>3.3143689999999992</v>
      </c>
      <c r="Q4" cm="1">
        <f t="array" ref="Q4">_xlfn.PERCENTRANK.EXC(_xlfn._xlws.FILTER(M$4:M$16, ISNUMBER(M$4:M$16)),M4)*100</f>
        <v>35.699999999999996</v>
      </c>
      <c r="R4" cm="1">
        <f t="array" aca="1" ref="R4" ca="1">_xlfn.PERCENTRANK.EXC(_xlfn._xlws.FILTER(P$4:P$16, ISNUMBER(P$4:P$16)),P4)*100</f>
        <v>78.5</v>
      </c>
      <c r="S4">
        <f ca="1">Q4*Assumption!$E$27 + R4*Assumption!$F$27</f>
        <v>52.82</v>
      </c>
      <c r="T4" cm="1">
        <f t="array" aca="1" ref="T4" ca="1">_xlfn.PERCENTRANK.EXC(_xlfn._xlws.FILTER(S$4:S$16, ISNUMBER(S$4:S$16)),S4)*100</f>
        <v>64.2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IF(_xll.FDSRC(,"DUMMY","ECON_EXPR_DATA('FDS_ECON["&amp;H5&amp;"]',,,M)")=0,$J$20,_xll.FDSRC(,"DUMMY","ECON_EXPR_DATA('FDS_ECON["&amp;H5&amp;"]',,,M)"))</f>
        <v>49.583427</v>
      </c>
      <c r="N5" cm="1">
        <f t="array" aca="1" ref="N5" ca="1">_xll.FDSRC("-","DUMMY","ECON_EXPR_DATA('FDS_ECON["&amp;H5&amp;"]',"&amp;$N$3&amp;",,Q)")</f>
        <v>48.395470000000003</v>
      </c>
      <c r="O5" cm="1">
        <f t="array" aca="1" ref="O5" ca="1">_xll.FDSRC("-","DUMMY","ECON_EXPR_DATA('FDS_ECON["&amp;H5&amp;"]',"&amp;$O$3&amp;",,Q)")</f>
        <v>47.862293000000001</v>
      </c>
      <c r="P5">
        <f t="shared" ca="1" si="0"/>
        <v>0.53317700000000201</v>
      </c>
      <c r="Q5" cm="1">
        <f t="array" ref="Q5">_xlfn.PERCENTRANK.EXC(_xlfn._xlws.FILTER(M$4:M$16, ISNUMBER(M$4:M$16)),M5)*100</f>
        <v>64.2</v>
      </c>
      <c r="R5" cm="1">
        <f t="array" aca="1" ref="R5" ca="1">_xlfn.PERCENTRANK.EXC(_xlfn._xlws.FILTER(P$4:P$16, ISNUMBER(P$4:P$16)),P5)*100</f>
        <v>14.2</v>
      </c>
      <c r="S5">
        <f ca="1">Q5*Assumption!$E$27 + R5*Assumption!$F$27</f>
        <v>44.2</v>
      </c>
      <c r="T5" cm="1">
        <f t="array" aca="1" ref="T5" ca="1">_xlfn.PERCENTRANK.EXC(_xlfn._xlws.FILTER(S$4:S$16, ISNUMBER(S$4:S$16)),S5)*100</f>
        <v>35.699999999999996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IF(_xll.FDSRC(,"DUMMY","ECON_EXPR_DATA('FDS_ECON["&amp;H6&amp;"]',,,M)")=0,$J$20,_xll.FDSRC(,"DUMMY","ECON_EXPR_DATA('FDS_ECON["&amp;H6&amp;"]',,,M)"))</f>
        <v>49.43967</v>
      </c>
      <c r="N6" cm="1">
        <f t="array" aca="1" ref="N6" ca="1">_xll.FDSRC("-","DUMMY","ECON_EXPR_DATA('FDS_ECON["&amp;H6&amp;"]',"&amp;$N$3&amp;",,Q)")</f>
        <v>49.300910000000002</v>
      </c>
      <c r="O6" cm="1">
        <f t="array" aca="1" ref="O6" ca="1">_xll.FDSRC("-","DUMMY","ECON_EXPR_DATA('FDS_ECON["&amp;H6&amp;"]',"&amp;$O$3&amp;",,Q)")</f>
        <v>47.255585000000004</v>
      </c>
      <c r="P6">
        <f t="shared" ca="1" si="0"/>
        <v>2.0453249999999983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35.699999999999996</v>
      </c>
      <c r="S6">
        <f ca="1">Q6*Assumption!$E$27 + R6*Assumption!$F$27</f>
        <v>44.28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IF(_xll.FDSRC(,"DUMMY","ECON_EXPR_DATA('FDS_ECON["&amp;H7&amp;"]',,,M)")=0,$J$20,_xll.FDSRC(,"DUMMY","ECON_EXPR_DATA('FDS_ECON["&amp;H7&amp;"]',,,M)"))</f>
        <v>42.459229999999998</v>
      </c>
      <c r="N7" cm="1">
        <f t="array" aca="1" ref="N7" ca="1">_xll.FDSRC("-","DUMMY","ECON_EXPR_DATA('FDS_ECON["&amp;H7&amp;"]',"&amp;$N$3&amp;",,Q)")</f>
        <v>43.319096000000002</v>
      </c>
      <c r="O7" cm="1">
        <f t="array" aca="1" ref="O7" ca="1">_xll.FDSRC("-","DUMMY","ECON_EXPR_DATA('FDS_ECON["&amp;H7&amp;"]',"&amp;$O$3&amp;",,Q)")</f>
        <v>42.238945000000001</v>
      </c>
      <c r="P7">
        <f t="shared" ca="1" si="0"/>
        <v>1.0801510000000007</v>
      </c>
      <c r="Q7" cm="1">
        <f t="array" ref="Q7">_xlfn.PERCENTRANK.EXC(_xlfn._xlws.FILTER(M$4:M$16, ISNUMBER(M$4:M$16)),M7)*100</f>
        <v>14.2</v>
      </c>
      <c r="R7" cm="1">
        <f t="array" aca="1" ref="R7" ca="1">_xlfn.PERCENTRANK.EXC(_xlfn._xlws.FILTER(P$4:P$16, ISNUMBER(P$4:P$16)),P7)*100</f>
        <v>28.499999999999996</v>
      </c>
      <c r="S7">
        <f ca="1">Q7*Assumption!$E$27 + R7*Assumption!$F$27</f>
        <v>19.919999999999998</v>
      </c>
      <c r="T7" cm="1">
        <f t="array" aca="1" ref="T7" ca="1">_xlfn.PERCENTRANK.EXC(_xlfn._xlws.FILTER(S$4:S$16, ISNUMBER(S$4:S$16)),S7)*100</f>
        <v>7.1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IF(_xll.FDSRC(,"DUMMY","ECON_EXPR_DATA('FDS_ECON["&amp;H8&amp;"]',,,M)")=0,$J$20,_xll.FDSRC(,"DUMMY","ECON_EXPR_DATA('FDS_ECON["&amp;H8&amp;"]',,,M)"))</f>
        <v>49.568592000000002</v>
      </c>
      <c r="N8" cm="1">
        <f t="array" aca="1" ref="N8" ca="1">_xll.FDSRC("-","DUMMY","ECON_EXPR_DATA('FDS_ECON["&amp;H8&amp;"]',"&amp;$N$3&amp;",,Q)")</f>
        <v>47.808857000000003</v>
      </c>
      <c r="O8" cm="1">
        <f t="array" aca="1" ref="O8" ca="1">_xll.FDSRC("-","DUMMY","ECON_EXPR_DATA('FDS_ECON["&amp;H8&amp;"]',"&amp;$O$3&amp;",,Q)")</f>
        <v>48.318770000000001</v>
      </c>
      <c r="P8">
        <f t="shared" ca="1" si="0"/>
        <v>-0.5099129999999974</v>
      </c>
      <c r="Q8" cm="1">
        <f t="array" ref="Q8">_xlfn.PERCENTRANK.EXC(_xlfn._xlws.FILTER(M$4:M$16, ISNUMBER(M$4:M$16)),M8)*100</f>
        <v>57.099999999999994</v>
      </c>
      <c r="R8" cm="1">
        <f t="array" aca="1" ref="R8" ca="1">_xlfn.PERCENTRANK.EXC(_xlfn._xlws.FILTER(P$4:P$16, ISNUMBER(P$4:P$16)),P8)*100</f>
        <v>7.1</v>
      </c>
      <c r="S8">
        <f ca="1">Q8*Assumption!$E$27 + R8*Assumption!$F$27</f>
        <v>37.099999999999994</v>
      </c>
      <c r="T8" cm="1">
        <f t="array" aca="1" ref="T8" ca="1">_xlfn.PERCENTRANK.EXC(_xlfn._xlws.FILTER(S$4:S$16, ISNUMBER(S$4:S$16)),S8)*100</f>
        <v>21.4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IF(_xll.FDSRC(,"DUMMY","ECON_EXPR_DATA('FDS_ECON["&amp;H9&amp;"]',,,M)")=0,$J$20,_xll.FDSRC(,"DUMMY","ECON_EXPR_DATA('FDS_ECON["&amp;H9&amp;"]',,,M)"))</f>
        <v>41.378143000000001</v>
      </c>
      <c r="N9" cm="1">
        <f t="array" aca="1" ref="N9" ca="1">_xll.FDSRC("-","DUMMY","ECON_EXPR_DATA('FDS_ECON["&amp;H9&amp;"]',"&amp;$N$3&amp;",,Q)")</f>
        <v>44.08605</v>
      </c>
      <c r="O9" cm="1">
        <f t="array" aca="1" ref="O9" ca="1">_xll.FDSRC("-","DUMMY","ECON_EXPR_DATA('FDS_ECON["&amp;H9&amp;"]',"&amp;$O$3&amp;",,Q)")</f>
        <v>41.921543</v>
      </c>
      <c r="P9">
        <f t="shared" ca="1" si="0"/>
        <v>2.1645070000000004</v>
      </c>
      <c r="Q9" cm="1">
        <f t="array" ref="Q9">_xlfn.PERCENTRANK.EXC(_xlfn._xlws.FILTER(M$4:M$16, ISNUMBER(M$4:M$16)),M9)*100</f>
        <v>7.1</v>
      </c>
      <c r="R9" cm="1">
        <f t="array" aca="1" ref="R9" ca="1">_xlfn.PERCENTRANK.EXC(_xlfn._xlws.FILTER(P$4:P$16, ISNUMBER(P$4:P$16)),P9)*100</f>
        <v>42.8</v>
      </c>
      <c r="S9">
        <f ca="1">Q9*Assumption!$E$27 + R9*Assumption!$F$27</f>
        <v>21.380000000000003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IF(_xll.FDSRC(,"DUMMY","ECON_EXPR_DATA('FDS_ECON["&amp;H10&amp;"]',,,M)")=0,$J$20,_xll.FDSRC(,"DUMMY","ECON_EXPR_DATA('FDS_ECON["&amp;H10&amp;"]',,,M)"))</f>
        <v>49.074534999999997</v>
      </c>
      <c r="N10" cm="1">
        <f t="array" aca="1" ref="N10" ca="1">_xll.FDSRC("-","DUMMY","ECON_EXPR_DATA('FDS_ECON["&amp;H10&amp;"]',"&amp;$N$3&amp;",,Q)")</f>
        <v>48.247959999999999</v>
      </c>
      <c r="O10" cm="1">
        <f t="array" aca="1" ref="O10" ca="1">_xll.FDSRC("-","DUMMY","ECON_EXPR_DATA('FDS_ECON["&amp;H10&amp;"]',"&amp;$O$3&amp;",,Q)")</f>
        <v>46.058700000000002</v>
      </c>
      <c r="P10">
        <f t="shared" ca="1" si="0"/>
        <v>2.1892599999999973</v>
      </c>
      <c r="Q10" cm="1">
        <f t="array" ref="Q10">_xlfn.PERCENTRANK.EXC(_xlfn._xlws.FILTER(M$4:M$16, ISNUMBER(M$4:M$16)),M10)*100</f>
        <v>42.8</v>
      </c>
      <c r="R10" cm="1">
        <f t="array" aca="1" ref="R10" ca="1">_xlfn.PERCENTRANK.EXC(_xlfn._xlws.FILTER(P$4:P$16, ISNUMBER(P$4:P$16)),P10)*100</f>
        <v>50</v>
      </c>
      <c r="S10">
        <f ca="1">Q10*Assumption!$E$27 + R10*Assumption!$F$27</f>
        <v>45.679999999999993</v>
      </c>
      <c r="T10" cm="1">
        <f t="array" aca="1" ref="T10" ca="1">_xlfn.PERCENTRANK.EXC(_xlfn._xlws.FILTER(S$4:S$16, ISNUMBER(S$4:S$16)),S10)*100</f>
        <v>50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IF(_xll.FDSRC(,"DUMMY","ECON_EXPR_DATA('FDS_ECON["&amp;H11&amp;"]',,,M)")=0,$J$20,_xll.FDSRC(,"DUMMY","ECON_EXPR_DATA('FDS_ECON["&amp;H11&amp;"]',,,M)"))</f>
        <v>49.950299999999999</v>
      </c>
      <c r="N11" cm="1">
        <f t="array" aca="1" ref="N11" ca="1">_xll.FDSRC("-","DUMMY","ECON_EXPR_DATA('FDS_ECON["&amp;H11&amp;"]',"&amp;$N$3&amp;",,Q)")</f>
        <v>51.582687</v>
      </c>
      <c r="O11" cm="1">
        <f t="array" aca="1" ref="O11" ca="1">_xll.FDSRC("-","DUMMY","ECON_EXPR_DATA('FDS_ECON["&amp;H11&amp;"]',"&amp;$O$3&amp;",,Q)")</f>
        <v>49.098827</v>
      </c>
      <c r="P11">
        <f t="shared" ca="1" si="0"/>
        <v>2.48386</v>
      </c>
      <c r="Q11" cm="1">
        <f t="array" ref="Q11">_xlfn.PERCENTRANK.EXC(_xlfn._xlws.FILTER(M$4:M$16, ISNUMBER(M$4:M$16)),M11)*100</f>
        <v>71.399999999999991</v>
      </c>
      <c r="R11" cm="1">
        <f t="array" aca="1" ref="R11" ca="1">_xlfn.PERCENTRANK.EXC(_xlfn._xlws.FILTER(P$4:P$16, ISNUMBER(P$4:P$16)),P11)*100</f>
        <v>57.099999999999994</v>
      </c>
      <c r="S11">
        <f ca="1">Q11*Assumption!$E$27 + R11*Assumption!$F$27</f>
        <v>65.679999999999993</v>
      </c>
      <c r="T11" cm="1">
        <f t="array" aca="1" ref="T11" ca="1">_xlfn.PERCENTRANK.EXC(_xlfn._xlws.FILTER(S$4:S$16, ISNUMBER(S$4:S$16)),S11)*100</f>
        <v>78.5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IF(_xll.FDSRC(,"DUMMY","ECON_EXPR_DATA('FDS_ECON["&amp;H12&amp;"]',,,M)")=0,$J$20,_xll.FDSRC(,"DUMMY","ECON_EXPR_DATA('FDS_ECON["&amp;H12&amp;"]',,,M)"))</f>
        <v>49.950299999999999</v>
      </c>
      <c r="N12" cm="1">
        <f t="array" aca="1" ref="N12" ca="1">_xll.FDSRC("-","DUMMY","ECON_EXPR_DATA('FDS_ECON["&amp;H12&amp;"]',"&amp;$N$3&amp;",,Q)")</f>
        <v>51.582687</v>
      </c>
      <c r="O12" cm="1">
        <f t="array" aca="1" ref="O12" ca="1">_xll.FDSRC("-","DUMMY","ECON_EXPR_DATA('FDS_ECON["&amp;H12&amp;"]',"&amp;$O$3&amp;",,Q)")</f>
        <v>49.098827</v>
      </c>
      <c r="P12">
        <f t="shared" ca="1" si="0"/>
        <v>2.48386</v>
      </c>
      <c r="Q12" cm="1">
        <f t="array" ref="Q12">_xlfn.PERCENTRANK.EXC(_xlfn._xlws.FILTER(M$4:M$16, ISNUMBER(M$4:M$16)),M12)*100</f>
        <v>71.399999999999991</v>
      </c>
      <c r="R12" cm="1">
        <f t="array" aca="1" ref="R12" ca="1">_xlfn.PERCENTRANK.EXC(_xlfn._xlws.FILTER(P$4:P$16, ISNUMBER(P$4:P$16)),P12)*100</f>
        <v>57.099999999999994</v>
      </c>
      <c r="S12">
        <f ca="1">Q12*Assumption!$E$27 + R12*Assumption!$F$27</f>
        <v>65.679999999999993</v>
      </c>
      <c r="T12" cm="1">
        <f t="array" aca="1" ref="T12" ca="1">_xlfn.PERCENTRANK.EXC(_xlfn._xlws.FILTER(S$4:S$16, ISNUMBER(S$4:S$16)),S12)*100</f>
        <v>78.5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IF(_xll.FDSRC(,"DUMMY","ECON_EXPR_DATA('FDS_ECON["&amp;H13&amp;"]',,,M)")=0,$J$20,_xll.FDSRC(,"DUMMY","ECON_EXPR_DATA('FDS_ECON["&amp;H13&amp;"]',,,M)"))</f>
        <v>45.287039999999998</v>
      </c>
      <c r="N13" cm="1">
        <f t="array" aca="1" ref="N13" ca="1">_xll.FDSRC("-","DUMMY","ECON_EXPR_DATA('FDS_ECON["&amp;H13&amp;"]',"&amp;$N$3&amp;",,Q)")</f>
        <v>45.498753000000001</v>
      </c>
      <c r="O13" cm="1">
        <f t="array" aca="1" ref="O13" ca="1">_xll.FDSRC("-","DUMMY","ECON_EXPR_DATA('FDS_ECON["&amp;H13&amp;"]',"&amp;$O$3&amp;",,Q)")</f>
        <v>42.573967000000003</v>
      </c>
      <c r="P13">
        <f t="shared" ref="P13:P16" ca="1" si="1">IFERROR(N13-O13,$M$20)</f>
        <v>2.9247859999999974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71.399999999999991</v>
      </c>
      <c r="S13">
        <f ca="1">Q13*Assumption!$E$27 + R13*Assumption!$F$27</f>
        <v>41.4</v>
      </c>
      <c r="T13" cm="1">
        <f t="array" aca="1" ref="T13" ca="1">_xlfn.PERCENTRANK.EXC(_xlfn._xlws.FILTER(S$4:S$16, ISNUMBER(S$4:S$16)),S13)*100</f>
        <v>28.499999999999996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IF(_xll.FDSRC(,"DUMMY","ECON_EXPR_DATA('FDS_ECON["&amp;H14&amp;"]',,,M)")=0,$J$20,_xll.FDSRC(,"DUMMY","ECON_EXPR_DATA('FDS_ECON["&amp;H14&amp;"]',,,M)"))</f>
        <v>51.314709999999998</v>
      </c>
      <c r="N14" cm="1">
        <f t="array" aca="1" ref="N14" ca="1">_xll.FDSRC("-","DUMMY","ECON_EXPR_DATA('FDS_ECON["&amp;H14&amp;"]',"&amp;$N$3&amp;",,Q)")</f>
        <v>49.325873999999999</v>
      </c>
      <c r="O14" cm="1">
        <f t="array" aca="1" ref="O14" ca="1">_xll.FDSRC("-","DUMMY","ECON_EXPR_DATA('FDS_ECON["&amp;H14&amp;"]',"&amp;$O$3&amp;",,Q)")</f>
        <v>44.495136000000002</v>
      </c>
      <c r="P14">
        <f t="shared" ca="1" si="1"/>
        <v>4.8307379999999966</v>
      </c>
      <c r="Q14" cm="1">
        <f t="array" ref="Q14">_xlfn.PERCENTRANK.EXC(_xlfn._xlws.FILTER(M$4:M$16, ISNUMBER(M$4:M$16)),M14)*100</f>
        <v>85.7</v>
      </c>
      <c r="R14" cm="1">
        <f t="array" aca="1" ref="R14" ca="1">_xlfn.PERCENTRANK.EXC(_xlfn._xlws.FILTER(P$4:P$16, ISNUMBER(P$4:P$16)),P14)*100</f>
        <v>92.800000000000011</v>
      </c>
      <c r="S14">
        <f ca="1">Q14*Assumption!$E$27 + R14*Assumption!$F$27</f>
        <v>88.54</v>
      </c>
      <c r="T14" cm="1">
        <f t="array" aca="1" ref="T14" ca="1">_xlfn.PERCENTRANK.EXC(_xlfn._xlws.FILTER(S$4:S$16, ISNUMBER(S$4:S$16)),S14)*100</f>
        <v>92.800000000000011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IF(_xll.FDSRC(,"DUMMY","ECON_EXPR_DATA('FDS_ECON["&amp;H15&amp;"]',,,M)")=0,$J$20,_xll.FDSRC(,"DUMMY","ECON_EXPR_DATA('FDS_ECON["&amp;H15&amp;"]',,,M)"))</f>
        <v>51.990540000000003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0.88645700000000005</v>
      </c>
      <c r="Q15" cm="1">
        <f t="array" ref="Q15">_xlfn.PERCENTRANK.EXC(_xlfn._xlws.FILTER(M$4:M$16, ISNUMBER(M$4:M$16)),M15)*100</f>
        <v>92.800000000000011</v>
      </c>
      <c r="R15" cm="1">
        <f t="array" aca="1" ref="R15" ca="1">_xlfn.PERCENTRANK.EXC(_xlfn._xlws.FILTER(P$4:P$16, ISNUMBER(P$4:P$16)),P15)*100</f>
        <v>21.4</v>
      </c>
      <c r="S15">
        <f ca="1">Q15*Assumption!$E$27 + R15*Assumption!$F$27</f>
        <v>64.240000000000009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IF(_xll.FDSRC(,"DUMMY","ECON_EXPR_DATA('FDS_ECON["&amp;H16&amp;"]',,,M)")=0,$J$20,_xll.FDSRC(,"DUMMY","ECON_EXPR_DATA('FDS_ECON["&amp;H16&amp;"]',,,M)"))</f>
        <v>47.301079999999999</v>
      </c>
      <c r="N16" cm="1">
        <f t="array" aca="1" ref="N16" ca="1">_xll.FDSRC("-","DUMMY","ECON_EXPR_DATA('FDS_ECON["&amp;H16&amp;"]',"&amp;$N$3&amp;",,Q)")</f>
        <v>49.208153000000003</v>
      </c>
      <c r="O16" cm="1">
        <f t="array" aca="1" ref="O16" ca="1">_xll.FDSRC("-","DUMMY","ECON_EXPR_DATA('FDS_ECON["&amp;H16&amp;"]',"&amp;$O$3&amp;",,Q)")</f>
        <v>44.859454999999997</v>
      </c>
      <c r="P16">
        <f t="shared" ca="1" si="1"/>
        <v>4.3486980000000059</v>
      </c>
      <c r="Q16" cm="1">
        <f t="array" ref="Q16">_xlfn.PERCENTRANK.EXC(_xlfn._xlws.FILTER(M$4:M$16, ISNUMBER(M$4:M$16)),M16)*100</f>
        <v>28.499999999999996</v>
      </c>
      <c r="R16" cm="1">
        <f t="array" aca="1" ref="R16" ca="1">_xlfn.PERCENTRANK.EXC(_xlfn._xlws.FILTER(P$4:P$16, ISNUMBER(P$4:P$16)),P16)*100</f>
        <v>85.7</v>
      </c>
      <c r="S16">
        <f ca="1">Q16*Assumption!$E$27 + R16*Assumption!$F$27</f>
        <v>51.379999999999995</v>
      </c>
      <c r="T16" cm="1">
        <f t="array" aca="1" ref="T16" ca="1">_xlfn.PERCENTRANK.EXC(_xlfn._xlws.FILTER(S$4:S$16, ISNUMBER(S$4:S$16)),S16)*100</f>
        <v>57.099999999999994</v>
      </c>
    </row>
    <row r="18" spans="8:13" x14ac:dyDescent="0.35">
      <c r="K18" t="str" cm="1">
        <f t="array" aca="1" ref="K18" ca="1">_xll.FDSRC("-","DUMMY","ECON_DATE("&amp;$L$1&amp;",,, 'MM/YYYY')")</f>
        <v>04/2024</v>
      </c>
      <c r="L18" t="str" cm="1">
        <f t="array" aca="1" ref="L18" ca="1">_xll.FDSRC("-","DUMMY","ECON_DATE("&amp;$L$2&amp;",,, 'MM/YYYY')")</f>
        <v>01/2024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_xll.FDSRC("-","DUMMY","ECON_EXPR_DATA('FDS_ECON["&amp;H19&amp;"]',,,M)")</f>
        <v>48.596449999999997</v>
      </c>
      <c r="K19" cm="1">
        <f t="array" aca="1" ref="K19" ca="1">_xll.FDSRC("-","DUMMY","ECON_EXPR_DATA('FDS_ECON["&amp;H19&amp;"]',"&amp;$K$18&amp;",,Q)")</f>
        <v>49.135330000000003</v>
      </c>
      <c r="L19" cm="1">
        <f t="array" aca="1" ref="L19" ca="1">_xll.FDSRC("-","DUMMY","ECON_EXPR_DATA('FDS_ECON["&amp;H19&amp;"]',"&amp;$L$18&amp;",,Q)")</f>
        <v>47.377974999999999</v>
      </c>
      <c r="M19">
        <f ca="1">K19-L19</f>
        <v>1.757355000000004</v>
      </c>
    </row>
    <row r="20" spans="8:13" x14ac:dyDescent="0.35">
      <c r="H20" s="111" t="s">
        <v>761</v>
      </c>
      <c r="I20" s="111" t="s">
        <v>762</v>
      </c>
      <c r="J20" cm="1">
        <f t="array" ref="J20">_xll.FDSRC("-","DUMMY","ECON_EXPR_DATA('FDS_ECON["&amp;H20&amp;"]',,,M)")</f>
        <v>51.990540000000003</v>
      </c>
      <c r="K20" cm="1">
        <f t="array" aca="1" ref="K20" ca="1">_xll.FDSRC("-","DUMMY","ECON_EXPR_DATA('FDS_ECON["&amp;H20&amp;"]',"&amp;$K$18&amp;",,Q)")</f>
        <v>51.510579999999997</v>
      </c>
      <c r="L20" cm="1">
        <f t="array" aca="1" ref="L20" ca="1">_xll.FDSRC("-","DUMMY","ECON_EXPR_DATA('FDS_ECON["&amp;H20&amp;"]',"&amp;$L$18&amp;",,Q)")</f>
        <v>50.624122999999997</v>
      </c>
      <c r="M20">
        <f ca="1">K20-L20</f>
        <v>0.88645700000000005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84.896500000000003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91031.125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1776.896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1717668.4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2747.6080000000002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2787700.5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982.32600000000002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2325798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16546.747500000001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6434431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1156.91625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2171297.5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2865.72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3326938.5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268277.67599999998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55329810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525602.01034499996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55329810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659.1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3444518.5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281.87400000000002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1159770.6000000001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363.82350000000002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1061774.6000000001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460.27800000000002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916203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325012.15999999997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6063960"><![CDATA[{"FC0000ZA^FG_MCAP_IDX(0,,,USD)":325012.16,"EWI^FREF_MARKET_VALUE_COMPANY(0,,,USD,,0,,\"LEGACY\")":460.278,"FC0000IT^FMA_MCAP(0,,,USD,\"PORTAGG\")":916203.0,"EWD^FREF_MARKET_VALUE_COMPANY(0,,,USD,,0,,\"LEGACY\")":363.8235,"FC0000SE^FMA_MCAP(0,,,USD,\"PORTAGG\")":1061774.6,"EWN^FREF_MARKET_VALUE_COMPANY(0,,,USD,,0,,\"LEGACY\")":281.874,"FC0000NL^FMA_MCAP(0,,,USD,\"PORTAGG\")":1159770.6,"EWQ^FREF_MARKET_VALUE_COMPANY(0,,,USD,,0,,\"LEGACY\")":659.1,"FC0000FR^FMA_MCAP(0,,,USD,\"PORTAGG\")":3444518.5,"SPY^FREF_MARKET_VALUE_COMPANY(0,,,USD,,0,,\"LEGACY\")":525602.010345,"FC0000US^FMA_MCAP(0,,,USD,\"PORTAGG\")":55329810.0,"QQQ^FREF_MARKET_VALUE_COMPANY(0,,,USD,,0,,\"LEGACY\")":268277.676,"EWU^FREF_MARKET_VALUE_COMPANY(0,,,USD,,0,,\"LEGACY\")":2865.72,"FC0000GB^FMA_MCAP(0,,,USD,\"PORTAGG\")":3326938.5,"FC0000CH^FMA_MCAP(0,,,USD,\"PORTAGG\")":2171297.5,"FC0000JP^FMA_MCAP(0,,,USD,\"PORTAGG\")":6434431.0,"FC0000DE^FMA_MCAP(0,,,USD,\"PORTAGG\")":2325798.0,"EWC^FREF_MARKET_VALUE_COMPANY(0,,,USD,,0,,\"LEGACY\")":2747.608,"FC0000CA^FMA_MCAP(0,,,USD,\"PORTAGG\")":2787700.5,"EWA^FREF_MARKET_VALUE_COMPANY(0,,,USD,,0,,\"LEGACY\")":1776.896,"FC0000AU^FMA_MCAP(0,,,USD,\"PORTAGG\")":1717668.4,"ENZL^FREF_MARKET_VALUE_COMPANY(0,,,USD,,0,,\"LEGACY\")":84.8965,"FC0000NZ^FMA_MCAP(0,,,USD,\"PORTAGG\")":91031.125,"NQG00809^FG_COMPANY_NAME":"Nasdaq South Africa","CC_ZA^FG_COMPANY_NAME":"South Africa","NQG00809^FMA_MCAP(0,,,USD,\"PORTAGG\")":null,"EWL^FREF_MARKET_VALUE_COMPANY(0,,,USD,,0,,\"LEGACY\")":1156.91625,"EWJ^FREF_MARKET_VALUE_COMPANY(0,,,USD,,0,,\"LEGACY\")":16546.7475,"EWG^FREF_MARKET_VALUE_COMPANY(0,,,USD,,0,,\"LEGACY\")":982.326,"DUMMY^ECON_EXPR_DATA('FDS_ECON[NTCPMIMFGSA@IT]',,,M)":47.30108,"DUMMY^ECON_EXPR_DATA('FDS_ECON[NTCPMIMFGSA@NL]',,,M)":51.31471,"DUMMY^ECON_EXPR_DATA('FDS_ECON[NTCPMIMFGSA@FR]',,,M)":45.28704,"DUMMY^ECON_EXPR_DATA('FDS_ECON[NTCPMIMFGMESA@US]',,,M)":49.9503,"DUMMY^ECON_EXPR_DATA('FDS_ECON[NTCPMIMFGSA@CH]',,,M)":41.378143,"DUMMY^ECON_EXPR_DATA('FDS_ECON[NTCPMIMFGSA@JP]',,,M)":49.568592,"DUMMY^ECON_EXPR_DATA('FDS_ECON[NTCPMIMFGSA@CA]',,,M)":49.43967,"DUMMY^ECON_EXPR_DATA('FDS_ECON[]',,,M)":null,"DUMMY^ECON_EXPR_DATA('FDS_ECON[NTCPMIMFGSA@GB]',,,M)":49.074535,"DUMMY^ECON_EXPR_DATA('FDS_ECON[NTCPMIMFGSA@DE]',,,M)":42.45923,"DUMMY^ECON_EXPR_DATA('FDS_ECON[NTCPMIMFGSA@AU]',,,M)":49.583427,"DUMMY^ECON_EXPR_DATA('FDS_ECON[NTCPMIMFGSA@NZ]',,,M)":48.932884,"CAGDPY@FR^EE_ACTUAL_ANNUAL(MED,+1)":-0.55,"CAGDPY@AU^EE_ACTUAL_ANNUAL(MED,+1)":0.5,"USDITL^FG_PRICE_CHANGE(0,-3AM)":-0.9608269,"USDANG^FG_PRICE_CHANGE(0,-3AM)":0.0,"USDUSD^FG_PRICE_CHANGE(0,-3AM)":0.0,"USDGBP^FG_PRICE_CHANGE(0,-3AM)":-0.8859277,"USDJPY^FG_PRICE_CHANGE(0,-3AM)":3.451264,"USDCAD^FG_PRICE_CHANGE(0,-3AM)":0.90488195,"USDNZD^FG_PRICE_CHANGE(0,-3AM)":-0.30161738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70851092,1.26256164176903,1.41909398824033,1.56850336770513,1.47892717787447],"ENZL^JULIAN(P_PRICE_RETURNS_PR('52W',2,-10AY,0,AM).DATES)":[41775,41807,41837,41866,41899,41929,41960,41990,42020,42052,42080,42111,42139,42172,42202,42233,42264,42293,42325,42355,42384,42417,42446,42475,42507,42538,42566,42599,42629,42660,42691,42720,42752,42783,42811,42842,42872,42902,42933,42964,42993,43025,43056,43084,43117,43147,43175,43207,43237,43266,43298,43329,43360,43390,43420,43451,43482,43511,43539,43572,43602,43633,43663,43693,43725,43755,43784,43816,43847,43875,43907,43938,43966,43999,44029,44060,44091,44120,44152,44182,44211,44244,44272,44302,44333,44364,44393,44425,44456,44484,44517,44547,44575,44609,44637,44665,44698,44729,44757,44790,44820,44851,44882,44911,44943,44974,45002,45033,45063,45093,45124,45155,45184,45216,45247,45275,45308,45338,45366,45399,45429],"EWD^FMA_DIV_YLD(NTMA,-10AY,0,AM,\"PORTAGG\",\"MEANR\")":[4.05699706704334,4.12645947244397,4.18733743829156,4.31049203471032,4.17042288081697,4.50271891342975,4.17475426549103,4.26585730321352,4.10853464384359,3.71900998869871,3.65128406548632,3.71477611230126,3.85337335231932,4.00617881998773,3.88469336882092,4.03382248693388,4.3463870773721,4.39694919424729,4.16847548910749,4.35317538071898,4.75612412835376,4.37003066544423,4.32574244075086,4.33062274106379,4.47675014784464,4.61394995042471,4.34415452774777,4.28903721182745,4.28130521897875,4.13601623665924,4.05584688448255,3.83182065589598,3.92572773346534,3.64412621412014,3.63830171573328,3.6722372479094,3.39741752518709,3.52322416659464,3.54406862341657,3.77311532104527,3.70742694961337,3.57822910936751,3.64140213389896,3.72826470458103,3.66121232811697,3.88809065457878,3.88744848062447,4.07097734626731,3.94800670974881,4.13597263941867,4.16923234232616,4.09517429964534,4.09174360610411,4.28983521364681,4.46993840135065,4.61982941548872,4.46516281993933,4.12241564004056,4.09987547004422,3.98359942561753,4.19112178304092,4.24611624278163,4.12132934606031,4.32526034929052,3.90870610665102,3.82846577325383,3.6518656136356,3.56227312571611,3.49657380864174,3.40744365814321,4.64847589142337,3.44717895495353,3.44181182006514,3.00977969367518,2.92829050799155,2.99735520882831,2.97156209640789,3.02115292514154,3.01364861722749,3.07865607778368,3.0127729206983,2.99591757624843,2.77925338070786,2.67739967093212,2.86037750364641,2.67506906047169,2.68426057221577,2.72681663435812,2.78291656286128,2.8216945440346,2.91762807855156,2.97097185833616,2.96678580604248,3.02009499265845,3.05614122944325,3.16103775121863,3.38470249211872,3.62136001734343,3.74100949669909,3.49280137083616,3.77923447684383,3.69167220503761,3.65685651585265,3.73026996489475,3.49825926557395,3.52159941920069,3.83499467178376,3.6132017029242,3.75165753519131,3.67220525828507,3.799654448817,3.99081575926015,3.94607167437596,3.79651279966502,3.7011214646836,2.93634280019177,3.07315509592837,3.34199163094894,3.18456472968321,3.32400590338517,3.153863986372],"EWQ^FMA_PE(NTMA,-10AY,0,AM,\"PORTAGG\",\"MEANR\")":[14.036757254923,14.282727033683,13.5909233586313,13.1231148310632,13.725526869916,12.5489153992832,13.2466105822063,13.2526119655485,14.3101186853963,15.8167372639101,16.528408373828,16.681820367625,16.1926892533576,15.3265185872859,16.079066522745,15.372467197156,14.4487012940236,14.6125367310741,15.3012998384753,14.6901716038528,13.4651441857621,13.8448811124301,14.5225549883324,14.6977510510707,14.0801398264648,13.4661705103172,13.963616843326,13.9252129747745,13.6024941273295,13.8150351888285,13.7704748425568,14.5158717167062,14.5121536053033,14.273920010363,14.6149066064755,14.7100605762197,15.2299655124766,14.9809724417214,14.8938604545481,14.6104798369147,14.8258607092245,15.136285227038,14.8219308118101,14.9053094936228,15.2267697128066,14.6009205691885,14.5360915971499,14.5749247204479,14.9449679299273,14.492681269394,14.1118452798394,13.6578535341948,13.5833309063866,12.9110981824804,12.6135588062794,12.0769190390746,12.3174837023857,13.1933277057201,13.8089476751275,14.107048899369,13.754216614496,13.561125463199,14.0361388851164,13.4067156635136,14.0906593375754,14.3069827575233,14.8593326012531,14.8948701039435,15.1735496145974,15.2160122704363,10.6290619514632,15.2151726039703,15.9632723517464,18.9655604530866,19.7967167008953,19.7337985186373,19.1320354740098,18.2304529935795,19.1538406264761,18.3647744197053,17.858457434748,17.9628459322794,18.459753451581,18.3474332200298,17.7179221408693,18.0796614700864,16.8652475247079,16.65105686389,15.8902517947267,15.6765103622935,16.0555717169869,15.3728899821495,15.534458134633,14.4848312099099,13.7359449427435,13.1567937060156,12.3770245083906,11.1532990588757,11.1572017278018,11.7748531276215,10.9691052269981,10.76183835907,11.8179067145313,11.752919171787,13.0256099064124,13.4427536646656,12.5904090797829,13.5856084754798,13.302676606862,13.3467837285436,13.1156509419687,12.7698039389592,13.0015350966723,12.2935876421694,12.8234677599813,13.4687269684873,13.0818435775628,13.9969962365502,14.6619486066407,14.2656052834497,14.7828634444309],"QQQ^FMA_PE(LTMA,-10AY,0,AM,\"PORTAGG\",\"MEANR\")":[18.6988801069234,18.9065817180566,19.0364785210653,19.1861699893287,19.4097369881328,18.4466686644066,19.9873295165667,19.7792734697642,19.5352133605673,20.4824179638187,20.6154590413458,20.3862357443063,20.3364625893627,20.0958774155504,20.4773335090047,20.329746080875,19.6839439136457,19.7522977909972,20.0156544249406,20.1222345663761,18.2634328835928,18.3984388613056,18.2920480578975,18.4763854813404,18.301317686881,18.3845919335176,19.0232646156013,19.5786483355333,19.6943265831601,19.7996725062758,19.9074314781122,20.3620809062086,20.9476095340402,21.7629193504294,21.6915977042496,21.5630583966411,21.6764959515536,21.7612940494373,22.0936062186406,21.8534736458757,22.3250718471081,22.7427053170172,22.9879963290216,23.5511027597558,24.9258781165792,23.9657419816844,24.0713317525567,23.6321274320642,23.2454705013571,23.390957061603,23.415196998672,23.0169954039989,22.8860257781581,22.3583234115222,20.7013601011065,19.1472433647816,19.8689912488539,20.7601571034967,20.9834539553982,21.2897857769413,21.2139642958417,21.3278835053701,22.0057816076539,21.6334057157309,22.3064319201305,22.6053843048191,23.6158369122175,24.7983910170522,26.6037633295549,27.2039443898194,23.2216727670251,24.6469648731734,25.6827404073157,27.4000742468811,28.7410645015544,29.5656697138567,29.8426002491959,32.1481851227239,32.1591321012808,34.8573385513742,34.7099584657098,35.2394034240424,32.7922034153943,32.933143288729,31.4513878415512,31.6317185522991,31.8082565801585,31.1248025910368,31.2286984097719,30.697854874413,32.0678408193569,30.8590140055542,30.3904090478216,26.674878473757,26.5740511955135,26.3372751480124,25.4320464986985,24.014463307094,24.4076559125043,26.3110007951983,24.0252426063436,22.6911908183801,23.6280655873925,22.4861960628732,23.9493766564568,25.7287243995809,25.3557605241914,25.6752927280606,25.9375366732652,27.1852121166581,28.0222998229355,25.9935184677904,26.4903165697603,26.5793201117081,27.506618776624,28.6983011834279,28.8438056688892,29.9203670044871,30.0745448474151,29.5369182785596,29.7748365435453],"DDR3512M-FDS^FG_PRICE(0)":0.96377116,"PASP-FDS^FG_PRICE(0)":1024.0,"PLATI-FDS^FG_PRICE(0)":1066.0,"W-FDS^FG_PRICE(0)":6.5125,"COPP-FDS^FG_PRICE(0)":5.057,"FC0000US^FG_PRICE(0)":398.70715,"FC0000GR^FG_PRICE(0)":10.078218,"EWI^FG_PRICE(0)":39.34,"SPY^FG_PRICE(0)":529.45,"EWJ^FG_PRICE(0)":68.73,"ENZL^FG_PRICE(0)":45.89,"EWA^FG_COMPANY_NAME":"iShares MSCI Australia ETF","FXI^P_PRICE(0)/P_PRICE_LOW_PR(0,,,,,,\"PRICE\",\"INTRA\",\"52W\")-1":0.4060402,"SPY^FMA_PCT_ABOVE_MAVG(200,0,,,,\"PORTAGG\")":79.4411177644711,"URTH^PERCENT_CHANGE(FMA_EPS(+1,0,,,,\"PORTAGG\",\"MEAN\"),FMA_EPS(+1,-3AM,,,,\"PORTAGG\",\"MEAN\"))":0.82213971173178,"VGK^FG_TOTAL_RETURNC(0,-3AM)":9.541941,"EWD^P_PRICE(0)/P_PRICE_HIGH_PR(0,,,,,,\"PRICE\",\"INTRA\",\"52W\")":0.9844349,"EWQ^FG_TOTAL_RETURNC(0,-12AM)":11.907042,"SPY^PERCENT_CHANGE(FMA_EPS(+1,0,,,,\"PORTAGG\",\"MEAN\"),FMA_EPS(+1,-1AM,,,,\"PORTAGG\",\"MEAN\"))":0.592391645584935,"EWU^FG_TOTAL_RETURNC(0,-1AM)":9.967077,"EWJ^FG_TOTAL_RETURNC(0,-6AM)":11.786294,"EWC^P_PRICE(0)/P_PRICE_LOW_PR(0,,,,,,\"PRICE\",\"INTRA\",\"52W\")-1":0.22858965,"EWA^FMA_PCT_ABOVE_MAVG(200,0,,,,\"PORTAGG\")":76.271186440678,"EWJ^SIZE(FG_CONSTITUENTS)":218,"EWD^FMA_COS_DOWN(\"EPS\",\"1M\",+1,0,,,\"PORTAGG\",\"MEANR\")":12.0,"EWU^FMA_COS_UP(\"EPS\",\"1M\",+1,0,,,\"PORTAGG\",\"MEANR\")":42.0,"ENZL^SIZE(FG_CONSTITUENTS)":14,"EWI^FMA_RBICS_REV_CURRENT(30, LOC, \"PORTAGG\")":36.6089143757675,"EWQ^FG_ROE(0)":12.7229077710708,"TRYGB10Y-FDS^FG_YIELD_NAME":"United Kingdom Benchmark Bond - 10 Year","EWG^FG_COMPANY_NAME":"iShares MSCI Germany ETF","REFFFUND-FDS^(SUBARRAY(NOT_NA(NO_REPEAT_F(FG_YIELD(NOW,-10AY,D))),0,1)-SUBARRAY(NOT_NA(NO_REPEAT_F(FG_YIELD(NOW,-10AY,D))),1,1))*100":25.0,"REFEUREFI-FDS^FG_YIELD(NOW,,,0)":4.5,"TRYNL10Y-FDS^PCTCHG(FG_YIELD(0,,,,\"YTM\"),FG_YIELD(-1AM,,,,\"YTM\"))":0.72020096,"TRYCA10Y-FDS^PCTCHG(FG_YIELD(0,,,,\"YTM\"),FG_YIELD(-1AM,,,,\"YTM\"))":-1.9172343,"TRYUS10Y-FDS^FG_YIELD_NAME":"US Benchmark Bond - 10 Year","TRYNZ10Y-FDS^FG_YIELD_NAME":"New Zealand Benchmark Bond - 10 Year","VWO^FG_FCF_YIELD_NTM(0)":5.35599074981756,"EWI^FMA_PE(NTMA,0,,,\"PORTAGG\",\"MEANR\")":9.96424773195367,"EWN^JULIAN(FMA_DIV_YLD(NTMA,NOW,NOW,M,\"PORTAGG\",\"MEANR\").DATES)":45412,"QQQ^FMA_EVAL_EBITDA(NTMA,0,,,\"PORTAGG\",\"MEANR\")":16.3337742964885,"EWL^FMA_DIV_YLD(NTMA,NOW,NOW,M,\"PORTAGG\",\"MEANR\")":3.41440942785273,"EWG^FMA_PE(LTM,0,,,\"PORTAGG\",\"MEANR\")":16.586045384785,"ENZL^FMA_EVAL_EBIT(LTMA,NOW,NOW,M,\"PORTAGG\",\"MEANR\")":20.6277876591568,"EWJ^FG_COMPANY_NAME":"iShares MSCI Japan ETF","EWD^FG_COMPANY_NAME":"iShares MSCI Sweden ETF","VGK^P_PRICE(0)/P_PRICE_HIGH_PR(0,,,USD,,,\"PRICE\",\"INTRA\",\"52W\")":0.996871,"QQQ^P_PRICE(0)/P_PRICE_HIGH_PR(0,,,USD,,,\"PRICE\",\"INTRA\",\"52W\")":0.9935561,"VWO^P_PRICE(0)/P_PRICE_HIGH_PR(0,,,USD,,,\"PRICE\",\"INTRA\",\"52W\")":0.99831206,"USDITL^FG_PRICE_CHANGE(0,-1AM)":-2.2020996,"USDUSD^FG_PRICE_CHANGE(0,-1AM)":0.0,"USDGBP^FG_PRICE_CHANGE(0,-1AM)":-1.949048,"EWI^FG_TOTAL_RETURNC(-10AY,0,AM)":[-5.561799,6.9601417,-7.11512,-6.375223,5.058372,-12.407416,1.5503883,-3.7772357,-3.340596,9.541691,-1.4403284,3.340292,8.080805,-5.607474,3.5753489,1.2321591,-3.07495,0.9253144,-7.5311127,-1.7705381,-10.039007,-7.315111,8.673024,-2.8731048,-3.451109,-0.7659614,-2.4432302,1.2658119,-3.5714269,1.2962937,-2.1937847,11.682248,3.6252618,-3.1377375,6.8573833,-1.8897593,11.918139,1.1832237,4.345739,2.6625156,4.64803,-1.1908531,-1.140064,0.065898895,10.616803,-1.7659366,-0.7921934,4.299748,-4.5936346,-6.327164,-0.38181543,-8.602518,5.2083373,-8.132958,-2.8868377,-2.0610392,5.663419,2.676487,4.0423155,3.7763238,-5.178446,0.7306218,6.8612695,-8.974814,7.326579,2.6870012,4.2432785,0.69624186,1.6960621,-0.13341904,-37.17435,9.144079,-2.776432,21.954048,7.2229147,0.7743001,-1.8440306,-3.091973,12.60097,6.576073,-0.47505498,3.5117626,4.347825,2.272737,1.8827081,1.5565634,-4.8611045,5.1412225,-2.8373122,2.5473714,1.9993901,-4.7814074,5.9791207,-4.000002,-10.727614,1.2539148,-4.471964,-9.401327,-7.98853,10.819233,-4.580152,-5.221051,20.524204,-0.44181943,11.236382,4.0878296,-8.8283,12.068356,-0.9529829,3.3080578,5.1526785,-6.049615,1.7063737,-3.3554912,6.6164374,3.2565355,-0.033915043,3.6769152,8.22674,-3.169489,9.126223],"SPY^FMA_PE(NTMA,-10AY,0,AM,\"PORTAGG\",\"MEANR\")":[14.8864570130049,15.2492457736869,15.211667731423,15.0470916718712,15.277434861192,14.4216673069704,15.6371454084994,15.6005563844704,15.9384278995937,16.8676445365491,16.5943629855067,16.6063765210832,16.7321049064136,16.4122786205867,16.6080094788332,16.3832093782187,15.4969127033984,15.918646410385,16.0562729925101,15.9636213914759,14.8633281655956,15.5099438140132,15.5167363536305,16.5004635460184,16.5226770167304,16.3100236406347,16.9559896987878,16.9491743528238,16.4848230909905,16.2630982118089,16.6674144374148,17.019118731154,16.9136228520819,17.5894428121593,17.6866127927459,17.3166766300026,17.1551186874274,17.5621413915088,17.6415460886609,17.267995918525,17.6495901546909,17.9076344732933,17.8547288172865,18.3319676385947,18.3682324044378,17.0679000965126,17.0494543503598,16.6366996819813,16.356240601511,16.5819779029134,16.5670771345347,16.5737428318053,16.654541959472,16.090474574286,15.6334845014148,14.5601570751846,15.2939657636414,16.1790743240804,16.3805050615818,16.7361431988749,16.3507663140404,16.4407558770292,16.9689398783114,16.4035626961471,16.9456372133437,16.9573719386688,17.6037761065584,17.958865868262,18.6496788523071,18.9533239697788,14.525310583055,19.353797404677,20.4267853381009,21.8780051313756,22.2801478965399,22.367993064294,21.6398999091543,21.9712401596061,21.9178904528058,22.065578002289,22.171631474645,22.2015723197161,22.0116754174156,22.4559947785418,21.2534028538556,21.1360347013742,21.2107754183493,20.99712834688,20.6995394838243,20.6911116411751,21.3407656649433,20.746331528686,20.7518254008611,19.1928809221109,19.0407340931399,18.6746147115283,17.2321999664836,15.3323964938762,16.1465438513557,18.021604186355,16.2715862920549,15.6100609198191,17.0999883350149,16.6779372368779,17.4215939330026,17.9816536701573,17.1797285289996,18.2364428103428,18.0679239977745,18.9440080366179,19.4557037004279,18.4606717622283,18.5245147737521,18.1277875254523,18.631968592067,19.325780202647,19.3633802090731,20.2510333668527,20.4520957194219,19.9287988274327,20.7111155737644],"WL-FDS^MAX(FG_PRICE(0,-5AY))":763.4,"BRENT-FDS^MAX(FG_PRICE(0,-5AY))":140.85,"DUMMY^ECON_EXPR_DATA('FDS_ECON[NTCPMIMFGSA@EME]',,,M)":51.99054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827237,11.9070326866152,15.3602779627681,14.6912945484006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FR^EE_ACTUAL_ANNUAL(MED,0)":-0.76356065982077,"CAGDPY@AU^EE_ACTUAL_ANNUAL(MED,0)":1.21871580460395,"USDANG^FG_PRICE_CHANGE(0,-1AM)":0.0,"USDJPY^FG_PRICE_CHANGE(0,-1AM)":0.49464703,"USDCAD^FG_PRICE_CHANGE(0,-1AM)":-1.4630795,"USDNZD^FG_PRICE_CHANGE(0,-1AM)":-3.7988067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N^FMA_DIV_YLD(NTMA,-10AY,0,AM,\"PORTAGG\",\"MEANR\")":[2.83927477042187,2.798449237568,2.9151590708395,3.08799291620336,3.02516642432824,3.28453859731829,3.10299909973931,3.20438533138413,3.03387504756435,2.83636987053135,2.62337426169545,2.68143425885452,2.73384191644202,2.96876178799626,2.81667053387157,3.20835120838571,3.44217023151361,3.40588988344419,3.14238551409743,3.28398600137529,3.39180773227307,3.47392745675284,3.31128809543681,3.24978262335556,3.42807156023981,3.39308996002512,3.25134857476169,3.18212742331714,3.23886909330247,3.14080860974225,3.1380671214901,3.00379622822399,2.98418387973666,2.83885988653288,2.76134753583376,2.77435071615429,2.74245191532763,2.74498051575446,2.76984507035685,2.78691927709943,2.822829775736,2.75058966441047,2.84393306768217,2.82393140063983,2.78807331905069,2.94222146873073,2.91776475521495,2.9128102744437,2.87754791948268,2.86037914060345,2.93460296146284,2.95657348265926,3.03846074011086,3.14325283595357,3.20517021151715,3.39598605501787,3.38395026826803,3.11910751355892,3.03363872538778,2.97888592053606,3.02952373562659,3.0807244494482,2.94632117412218,3.02564571330945,2.75156082597957,2.7382881756693,2.64439140644667,2.59906008356241,2.57451461308405,2.46133900626106,3.65798547203542,2.85046994375983,2.69123071856037,2.37180851243948,2.324077545118,2.32916784011312,2.32648968031922,2.27226683511372,2.17563817407152,2.03062850905219,1.96606909281491,1.89662891885233,2.01734130416443,1.90607266614583,2.00899240436605,1.97584879182327,2.01996785755066,1.95402744720651,1.85337318279996,1.92602842615391,1.83581310670681,2.0080865542202,2.00582946910454,2.23433329779803,2.29547851303425,2.31574787712823,2.5122278973322,3.5686272539998,3.37019981605779,3.05695036679121,3.76103818314811,3.09367265759061,2.6967515816297,2.74083456685724,2.55698114337803,2.55481964428236,2.76230797525795,2.68396513711724,2.69686566996909,2.6517914821457,2.66610249849791,2.88563793007638,2.98644791625279,3.03914080215144,2.8226430327047,2.64805222396655,2.75358834871618,2.46904987056798,2.61675292595552,2.62996427690234,2.45767758165251],"EWU^FMA_PE(LTMA,-10AY,0,AM,\"PORTAGG\",\"MEANR\")":[14.4157371923195,14.3527027265288,14.330588854711,14.158518346815,14.1575790133289,13.4024909452766,13.9040346788141,13.345098409361,13.6269451519732,14.691270155838,15.1831633036842,15.4918551181616,15.706076298141,15.5763769123634,15.799995020816,15.6288329075505,15.2091597733896,15.7571704215956,15.7541286974747,15.3411251342506,14.521775842277,15.0742282948946,15.7158861414349,15.9393670751932,15.9051836199837,15.7986434092372,16.4585341054251,16.8916733697222,16.6543916690216,16.7706388108227,16.3538282226727,16.9360422086708,17.1583028112557,17.2911741921827,17.2626945137543,16.9984493647817,16.9077039672345,16.598412962029,16.4647864068462,16.1475763106089,15.8319173596839,15.7951631774511,15.1965921933713,15.2129207186856,15.6380424338883,14.7016709983108,13.9431176558217,13.9537672825562,14.1464137147269,13.898472979084,13.7740033808118,13.619676469327,13.4039576199259,12.9480167631313,12.7023905463366,12.0776619384525,12.2254961074506,12.8363496045825,12.9637813320408,13.0404172205299,12.9163043081167,12.9371740205395,13.1333235134026,12.6658274471066,13.0822545413203,13.1513988605592,13.3687119680629,14.011500374867,14.3314461552574,13.852430312727,11.9370337868893,13.0284790623684,13.8436700026278,15.1064803267321,15.6553454044647,16.3870845772626,16.9217353542074,16.992364310024,18.5104215407753,19.5806579654539,20.2047061127445,19.8006306053761,18.5714949918405,18.0267344473996,17.3830451346406,16.8589144095667,15.8730767831742,15.1048899664845,14.1489646210826,13.9507118269074,13.142814706443,12.3622118974574,12.7048407343751,12.7296711904221,12.4452501319001,12.2458605880157,11.8078201829279,11.2047118503407,10.9066420045079,10.7669133788751,10.0367061589797,9.50192381980002,9.66075924964194,9.57589587627015,10.2561824527016,10.3364301582561,10.1241143958047,10.3958290334537,10.3347998465907,10.398479203666,10.4069561483341,10.3754167154221,10.7189416426213,10.6727329208069,10.6948600281485,11.024405420472,10.9651186573048,11.3521913607171,11.4652533950364,11.4815077552081,11.7937091898843],"NI-FDS^MAX(FG_PRICE(0,-5AY))":48241.0,"CPALM-FDS^MAX(FG_PRICE(0,-5AY))":8163.0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3218097,11.0508592064609,12.8471719199911,14.658060584009,13.2261379950135],"TRYIN10Y-FDS^FG_YIELD(-10AY,0,Y,,\"YTM\")":[7.86,7.89,6.63,7.35,7.35,6.55,5.9,6.45,7.33,7.19],"TRYFR10Y-FDS^FG_YIELD(-10AY,0,Y,,\"YTM\")":[0.837,0.9989,0.682,0.785,0.71,0.118,-0.344,0.201,3.07,2.534],"CAGDPY@IT^EE_ACTUAL_ANNUAL(MED,0)":0.508205836311015,"CAGDPY@JP^EE_ACTUAL_ANNUAL(MED,0)":3.61053955442387,"CC_AU^FG_COMPANY_NAME":"Australia","USDSEK^FG_PRICE(0)":10.70755,"USDCHF^FG_PRICE(0)":0.90705,"USDUSD^FG_PRICE(0)":1.0,"USDEUR^FG_PRICE(0)":0.9194557,"USDAUD^FG_PRICE(0)":1.4951035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5794961448,2.03463841368045,2.71427224666172,3.12760120843659,3.00280442811251],"EWJ^P_PRICE_RETURNS_PR('52W',2,-10AY,0,AM)":[-5.3683996,7.155049,2.1058798,6.96913,1.6019344,-8.067256,-3.8048685,-1.9755721,-4.4525623,6.082678,13.9819145,17.084455,19.566822,10.023952,8.808088,9.37283,2.5623798,13.350034,9.127771,9.244037,0.6507635,-7.596493,-7.388234,-8.264435,-10.551584,-9.810615,-6.500453,-2.8630853,3.1483054,2.6914,1.811552,2.840495,14.796793,19.94797,14.999998,10.697293,15.238678,20.723175,14.766979,11.378372,15.356695,18.68546,19.188011,20.634794,28.802622,21.851276,19.028711,20.096636,18.076265,13.176584,10.039592,7.035756,6.8031907,1.4408231,-5.904084,-11.007905,-15.153617,-8.780831,-9.514677,-7.414031,-10.840183,-8.8117485,-4.29638,-4.714155,-0.7052481,1.531589,11.234522,17.821789,14.143551,10.931468,-14.757877,-6.1146736,-1.6225636,7.18714,4.7787547,10.936367,6.92091,4.2465925,9.232056,12.298751,16.564512,24.240839,56.214333,41.17093,30.04297,23.39859,21.239067,17.684673,24.762844,18.297672,9.910202,2.7595282,-1.855427,-9.350371,-10.339236,-14.292216,-13.319856,-22.599094,-20.507246,-14.012634,-28.563446,-27.454842,-20.220835,-18.862295,-13.730043,-9.452688,-8.295309,1.5666604,9.129656,20.985365,19.466745,5.1226139999999996,23.041761,23.486937,15.978109,16.70512,16.042698,21.085941,29.320454,16.901457,15.350544],"EWC^FG_TOTAL_RETURNC(-10AY,0,AM)":[1.7368078,3.6441207,2.7840853,-0.27941465,0.6226659,-10.179454,4.478121,-6.8752885,-2.153629,4.071903,-5.0757885,7.723725,-0.27576685,-4.147947,-5.880332,-3.0115783,-3.861469,2.4844766,-7.030302,-5.9973955,-11.106605,13.600421,11.136902,1.2108564,1.2788773,0.12220144,3.664565,2.294302,-3.673631,2.328384,-0.27461648,4.6026707,3.1642437,2.2827744,-3.8516998,1.1980534,-4.5505047,2.9069781,4.1665792,-0.7655859,5.033064,1.9937038,-0.37723184,-0.17211437,5.820906,-6.699663,-2.1223903,2.0599961,3.8243651,-2.114594,1.6017199,0.06912947,-1.761657,-3.270042,-2.7626336,-7.0654154,7.35929,4.4190526,1.2769103,3.1700253,-1.9553065,0.082075596,3.662479,-3.9833784,5.086577,-1.5104651,3.6249518,0.72131157,3.48562,0.098109245,-36.099316,19.529652,1.4970064,9.689808,4.3073297,6.5104127,-2.4100542,0.93057156,4.4326186,7.715118,1.5959144,3.0160308,6.5568686,1.2593031,5.1158786,1.048398,-2.730912,2.1194458,-0.91644526,6.066382,1.3849616,-5.7267547,6.3604236,-2.351141,3.7163138,0.12615919,-7.15726,-8.907968,-2.7619421,10.774935,-6.4659953,-6.7640066,10.4186535,-4.797679,7.8038335,0.11445284,-7.5164375,9.734238,-1.886785,0.694263,1.6124487,-4.420519,4.565668,-4.6782017,2.5282621,4.293585,0.09372234,3.3239484,2.8625965,-2.5443912,4.949689],"ENZL^FMA_DIV_YLD(NTMA,-10AY,0,AM,\"PORTAGG\",\"MEANR\")":[4.09911717663737,4.20743246278969,4.46458810559239,4.52582458038476,4.66337976949019,4.69560903056722,4.42676124213895,4.48850458401128,4.37563125257406,4.24954613410878,4.31652924856404,4.42228280190139,4.47509882866337,4.50338039169201,4.60652623675071,4.71616024381356,5.10979792547554,5.06854880395035,4.93060858096558,4.84517603006311,4.85114730430349,4.91797455411641,4.66853595705592,4.53549430349399,4.43418744981419,4.44974880459988,4.28219707736922,4.14996651491533,4.32404130987216,4.5097790926688,4.663669203289,4.71264125286212,4.52351639459681,4.55040528891217,4.59630881481287,4.56813657438078,4.47602306512097,4.3972567422724,4.39652077521022,4.32183221151468,4.44623422274072,4.34916629035089,4.41094947834673,4.22524734145501,4.26308151113232,4.39585866613761,4.22365478740251,4.3050241107142,4.23083919735982,4.0019506501275,4.05954795544115,4.02999009094997,3.96879385852161,4.2009501949185,4.23580567805645,4.20597335443739,4.04218150354687,4.02858216118949,3.88843850406981,3.69370822961885,3.66575340239948,3.66771232924791,3.46228272637787,3.48061867404903,3.34946747469418,3.27303561827021,3.35291028848066,3.2332562129972,3.08828197843223,3.06518410950339,3.79710544229173,2.69678493501566,2.60958308729702,2.47257641844772,2.44301742072781,2.40415290954771,2.43331267714166,2.35087358014793,2.34293633016013,2.39249161618253,2.45487748039979,2.55890398747226,2.53463718739198,2.56196760003025,2.67507426905899,2.68732271777134,2.61688842745586,2.6877914368166,2.58712724077911,2.66955279946242,2.72912328752878,2.80549711955461,2.84161436516067,2.9660012291922,3.05470502441581,3.14102107944302,3.24754231184455,3.46124124041875,3.32796341763629,3.15700013278853,3.26159331495112,3.50378757106449,3.38114485498708,3.43013813231712,3.35502337611284,3.23639464544743,3.50053697761812,3.402119605845,3.48328379363791,3.46761371741946,3.42667588192894,3.47783770620924,3.4245851574524,3.46555545186151,3.4648363430824,3.02441137475135,3.01392401585506,2.90899463866917,2.7905414739583,2.78796504939504,2.75897049809457],"EWI^FMA_PE(LTMA,-10AY,0,AM,\"PORTAGG\",\"MEANR\")":[16.949014463329,17.3326106331147,17.033597053212,16.6890136575876,18.1128610492835,16.3077123524235,17.7177878596478,17.8515920227599,19.9002375160191,43.2262465878325,43.6699872248044,40.8220593444703,38.3449633926349,34.7750790837867,32.5083197140623,29.8133274079461,26.422801260004,24.2645142485921,22.3704156943375,19.1917789316299,16.1443030110855,15.2546839418826,15.4093491108163,15.2829594089,15.37896019725,14.7092398888453,14.6834441813784,14.9171045627878,14.4842834856679,14.8366446760366,14.2988317441861,16.3027663274373,27.3661824009507,20.6319465074625,82.0940992664108,74.6687601699162,67.9153724872811,60.7894872833788,53.7554693613571,46.413406340395,39.7047371536623,32.4372876140872,25.1233403961635,18.9349168046866,15.9665261130846,14.4947001707681,14.1852545697043,14.1638756086381,14.0251739727179,13.5107993476456,13.256070722645,12.6127235049035,12.5717894603373,11.6941771096924,11.2121493992115,10.7386186666951,11.0463085028759,11.1305089337494,11.3091144024336,11.3725305564992,11.1689750275009,11.0021199600329,11.3407767058043,10.8001183198277,11.242326944483,11.5144162557937,12.007555792085,12.1428929437322,12.3791748547343,12.7386842575481,10.7276095047961,11.6131624635042,13.3501179046438,15.9084750423507,17.5337624304465,17.7537670707575,18.3445314332796,18.9572518573297,21.6838851907986,22.7598856629969,23.3177998003994,20.2981019823426,20.0604534157294,19.5136410634962,18.7339104777277,18.4110265232385,17.4890815939408,16.1700355476433,14.9984851444337,14.4903992555711,13.8128565643044,12.1197470273986,12.1257750040661,11.6319807342847,10.5591860190705,10.5267190562693,10.1508145893123,9.50226695752484,9.05336480079639,8.67934907350812,8.42534118953348,7.98759257769529,8.25564009088037,7.4757163263452,8.0899244577458,8.38011542286428,8.18089520228113,8.3872209903533,8.26360394517844,8.55188148016099,8.64517030559107,8.14306243737509,8.41793804150258,8.22726498513777,8.29273202667747,8.81874599360566,8.95440846223542,9.07175893420361,9.42361403311732,9.42032431856214,9.64244936740261],"DDR3512M-FDS^FG_PRICE_CHANGE(0,-1AY)":-8.24922419341773,"PASP-FDS^FG_PRICE_CHANGE(0,-1AY)":-31.9601328903654,"PLATI-FDS^FG_PRICE_CHANGE(0,-1AY)":-1.47874306839186,"W-FDS^FG_PRICE_CHANGE(0,-1AY)":4.11670663469226,"COPP-FDS^FG_PRICE_CHANGE(0,-1AY)":35.1055303232701,"DUMMY^ECON_EXPR_DATA('FDS_ECON[PMIDMMANHE]',,,M)":48.59645,"CAGDPY@CA^EE_ACTUAL_ANNUAL(MED,0)":-0.614727995236974,"USDITL^FG_PRICE(0)":1780.3145,"USDCAD^STD(FG_PRICE_CHANGE(0,-1AY,AM))":1.51521326319828,"USDNZD^FG_PRICE_CHANGE(0,-1AY)":1.6793013,"EWU^FG_TOTAL_RETURNC(-10AY,0,AM)":[4.593301,-0.2744794,-0.23127198,-2.1707594,-1.1341274,-8.329177,3.3188224,-4.7385693,0.28185844,6.23945,-4.1798887,4.030919,5.307853,-3.4778237,-0.14480948,-2.7156532,-5.9660673,2.677524,-3.514731,-4.465336,-9.043455,4.7586203,5.0032973,0.25078058,-1.0006249,-1.4529347,1.6137123,2.456367,-2.208203,-3.2903254,0.06670952,3.4666657,2.4626255,1.8489003,2.2222161,0.030612946,5.203557,-0.40733218,0.9287715,-1.5093267,3.7560105,1.534903,-1.7684042,2.5551677,7.4282646,-4.3501673,-2.1336257,4.0160537,2.2614598,-3.0205011,-1.3225317,-3.3179522,-0.5669892,-2.641058,-2.2503078,-5.865651,5.027449,5.0195575,3.7243843,1.5260339,-3.6840558,-0.88609457,1.3299584,-6.8750024,6.040275,1.297462,1.9681334,4.743457,1.4583349,-3.432095,-33.01944,12.698423,-2.7364194,10.33597,1.2561798,1.5413523,-2.1473527,-2.8755188,11.141407,5.364585,2.792728,2.0622015,2.1808863,2.9817939,3.535509,-0.25610924,-3.0312061,2.878368,-2.6474178,4.2954206,-0.9777844,-2.074194,8.571434,-0.80972314,-3.5568416,3.0834198,-4.5747757,-8.679372,-0.47977567,6.7148685,-8.454334,-4.8642993,11.596894,2.4734974,7.4646473,0.3978014,-7.253891,10.121584,-0.59682727,0.902009,-0.8795917,-3.3965766,2.9141665,-1.2311518,0.031161308,2.3987532,-1.1525214,2.8967261,2.2643805,-0.029915571,9.967077],"EWN^FMA_PE(LTMA,-10AY,0,AM,\"PORTAGG\",\"MEANR\")":[16.7747597336726,16.825684962039,16.5082684082569,16.1897218337818,16.6946702780207,15.7590722943539,17.3304460627512,16.8723128646347,18.0903629750486,19.2133238353295,20.0932413358981,19.8038417552964,19.5093799629052,18.9364052980982,19.274666241034,18.2840880857364,17.2096561824518,17.0951651431467,18.1040570308138,17.2159349690963,15.4322461669667,15.6429779275507,16.4122154346193,16.3943449715269,16.0977053937654,15.7226610480274,15.9679326579155,16.038132897322,15.7667852999638,15.8175152478068,15.5720123265877,16.0828483935714,16.1973145243621,16.6594780154153,16.5136383339274,16.547927935428,16.6796965752217,16.6509615733331,16.7026453811852,16.6846712025152,16.8225910485489,17.2895553775446,17.1905879558156,17.3229362218578,17.5255687107559,16.5216428307624,16.6538081729037,16.6333876330936,16.6421395866439,16.7172467067895,16.6229167164165,16.4729422049457,16.2554243465559,15.7472284442518,15.5141100341062,14.677166179318,14.6740917946643,16.1285688908039,16.2048847857321,16.2956172046785,16.2298200150131,16.207645833302,16.5432833447811,16.2289825165852,17.070186666358,17.2281342315533,18.0084997703548,18.5468004840963,18.8324688985931,20.0281500078848,16.5792754326657,17.4971581154359,17.8380907708267,19.4659369503072,20.2741997589764,21.0875417597648,21.5886784432581,22.6582799392748,24.7250168014654,26.6378218889009,28.286081415152,29.9468986408584,28.6773683052249,28.4545425731192,27.2743777226081,26.9764126158671,26.2391934668936,25.9363860395716,25.4324964573599,24.5033950006692,24.502447573784,22.1467288430275,21.8209922276867,19.1428738066021,18.3925427359222,18.4235799240869,18.3842417172457,17.7089947674873,18.2656762868005,19.6261745771987,18.0711075889628,16.9946573883318,18.4228546176807,18.0166293353354,19.4741502346619,21.4255932764086,20.3201718516373,20.0980524604793,19.5820923823612,19.3670692914035,19.2218239550898,17.9189627160435,17.2868470494672,16.361674652093,16.5988341273069,16.992476258048,16.2203955344658,17.9050698407687,18.4043879530609,18.1714378552552,18.3434813792555],"CPALM-FDS^FG_PRICE_CHANGE(0,-1AM)":-6.34767973070449,"EWD^FG_PRICE_MAVG(0,,,,200)":36.56235,"EWG^FG_PRICE(0)":32.42,"QQQ^FG_COMPANY_NAME":"Invesco QQQ Trust Series I","URTH^FG_TOTAL_RETURNC(0,-12AM)":24.95308,"VGK^FG_TOTAL_RETURNC(0,-12AM)":15.883911,"EWN^FMA_PCT_ABOVE_MAVG(200,0,,,,\"PORTAGG\")":70.3703703703704,"EWU^FMA_PCT_ABOVE_MAVG(200,0,,,,\"PORTAGG\")":80.9523809523809,"EWC^PERCENT_CHANGE(FMA_EPS(+1,0,,,,\"PORTAGG\",\"MEAN\"),FMA_EPS(+1,-1AM,,,,\"PORTAGG\",\"MEAN\"))":1.39154605329689,"VGK^SIZE(FG_CONSTITUENTS)":1281,"QQQ^SIZE(FG_CONSTITUENTS)":102,"TRYJP10Y-FDS^FG_YIELD_NAME":"Japan Benchmark Bond - 10 Year","REFFFUND-FDS^PROPER_NAME(0,,,\"SECURITY\",\"NAME\")":"US Federal Funds Target Rate","TRYGB10Y-FDS^PCTCHG(FG_YIELD(0,,,,\"YTM\"),FG_YIELD(-1AM,,,,\"YTM\"))":-4.0521717,"CC_NZ^IMF_IFS_RCPI_Q(0)":4.022989,"EWQ^FMA_EVAL_EBIT(LTMA,NOW,NOW,M,\"PORTAGG\",\"MEANR\")":13.2400031889326,"EWJ^FMA_EVAL_EBIT(LTMA,NOW,NOW,M,\"PORTAGG\",\"MEANR\")":17.977364130198,"CC_US^IMF_IFS_RCPI_Q(0)":3.209516,"EWJ^P_PRICE(0)/P_PRICE_HIGH_PR(0,,,USD,,,\"PRICE\",\"INTRA\",\"52W\")":0.95372236,"SPY^FG_TOTAL_RETURNC(0,-1AM)":5.7736516,"TIPSCL10Y-FDS^FG_YIELD(-10AY,0,Y,,\"YTM\")":[null,null,null,null,null,null,null,null,null,null],"CAGDPY@SE^EE_ACTUAL_ANNUAL(MED,0)":6.76905401199225,"USDCHF^STD(FG_PRICE_CHANGE(0,-1AY,AM))":1.92075187508022,"USDCHF^FG_COMPANY_NAME":"Swiss Franc per U.S. Dollar","EWN^P_PRICE_RETURNS_PR('52W',2,-10AY,0,AM)":[18.8236,20.929218,11.929977,3.9951444,4.2225957,-5.97865,-1.9832313,-0.95909834,-7.3286295,-0.48819184,2.1458626,2.7065396,9.293592,2.107966,10.036289,8.193827,1.9802451,14.191604,3.7641644,2.4657369,-3.3403575,-7.3875723,-1.1348188,-3.1237483,-10.563546,-8.535862,-9.639377,-1.8330216,0.98258257,-0.43274164,-1.838398,0.9749651,14.616394,16.661894,12.363982,11.581791,24.049294,28.891636,30.107796,26.53035,30.6489,34.172394,35.230614,35.435223,38.013363,29.565834,22.749638,24.8662,12.52377,11.600674,6.9390535,1.798296,-1.2303174,-7.0340037,-6.7040563,-13.101255,-16.791176,-7.1129265,-4.142064,-3.388989,-2.4794817,-2.2141278,2.8552294,1.6623616,7.8942895,14.215589,17.749155,29.086994,29.560577,22.48013,-18.454308,-8.611637,-6.3364267,10.354137,11.530745,20.13557,13.006676,15.657722,18.40781,23.980152,27.292538,33.98856,90.145424,80.35062,74.08884,51.44049,41.246235,43.165733,50.076057,43.949093,38.15868,16.732048,14.703822,-0.26230812,-6.0126123,-14.903975,-19.267195,-28.855001,-27.937191,-23.851263,-36.393833,-38.913,-27.019674,-20.539124,-13.512552,-4.926634,-4.4253054,6.5223336,12.963665,29.884398,33.96367,10.346376,18.294466,25.124704,13.017821,18.217361,4.0976048,13.934767,25.497066,15.084993,23.927652],"EWA^FMA_DIV_YLD(NTMA,-10AY,0,AM,\"PORTAGG\",\"MEANR\")":[4.76307396845451,4.85699561698991,4.72605610491907,4.72472687607562,4.91860659397846,5.0655415651363,4.9575820607661,5.21504481185629,5.07826404210497,4.63326966165739,4.65082709831143,4.60128995658797,4.68199650881122,4.86207958019547,4.81765920522461,5.10760715941253,5.35392694695624,5.17781929203322,5.35344613435668,5.34014922147916,5.57444278315214,5.18166426286868,4.72364656070467,4.74619603822554,4.53789801246951,4.7553197926033,4.52703744939497,4.45582442088824,4.66560174717176,4.58667586516419,4.63459994584257,4.60882932854851,4.49247611236696,4.45976471142303,4.55232794586758,4.49132081617118,4.60067033261578,4.60557263210598,4.5697696071563,4.51803811221558,4.60047393948092,4.48614759239605,4.49201546880016,4.50421286410196,4.50786632953733,4.64556705569957,4.67978048313108,4.77815768266634,4.62799819504876,4.72905838640092,4.61415361701158,4.55468585283681,4.75644757244641,4.97576881314528,5.22372835161489,5.35795840080803,5.1154501011139,4.95936250542958,4.96178941197789,4.90870367424463,4.85541330209604,4.69788043379267,4.61643224835393,4.77194941420051,4.44084416932405,4.42045968899836,4.31043540102022,4.23025701507741,4.12272998447865,4.07327895528173,5.43657018263106,4.2906887378624,3.83233180745172,3.38976402509957,3.41837081258368,3.37139194158594,3.60612417121627,3.56363253816023,3.46457141580993,3.4808467409355,3.55834767383295,3.73579506846474,3.8825195591121,3.85939079817717,3.94688260090011,3.84727848036073,4.18676000273965,4.07100132076169,4.09888902551727,3.98455239929194,4.02698861526362,3.96390309795131,3.87700807266835,4.24438892429051,4.26451194881692,4.33388876302986,4.71940669237863,5.33004498627038,5.21685834031879,4.69782925996071,5.00216648527706,5.16575235883393,4.64897251009519,4.59377994530832,4.34289672653,4.3951920127214,4.66241896599867,4.36021983046344,4.47335148958647,4.29993057713714,4.18923429166832,4.3182718182647,4.14598123744042,4.34130043560134,4.33081440958178,4.07646021625696,4.14435945158867,3.98526379847662,4.00436529929249,4.07673275825363,3.89528222353816],"NI-FDS^FG_PRICE_CHANGE(0,-6AM)":23.569725864124,"COPP-FDS^MAX(FG_PRICE(0,-5AY))":5.057,"QQQ^FG_PRICE_MAVG(0,,,,30)":434.91165,"SPY^P_PRICE(0)/P_PRICE_LOW_PR(0,,,,,,\"PRICE\",\"INTRA\",\"52W\")-1":0.29383457,"URTH^P_PRICE(0)/P_PRICE_LOW_PR(0,,,,,,\"PRICE\",\"INTRA\",\"52W\")-1":0.27925026,"EWD^FG_TOTAL_RETURNC(0,-12AM)":16.81968,"QQQ^FG_TOTAL_RETURNC(0,-12AM)":37.34207,"EWJ^FMA_PCT_ABOVE_MAVG(200,0,,,,\"PORTAGG\")":70.1834862385321,"ENZL^PERCENT_CHANGE(FMA_EPS(+1,0,,,,\"PORTAGG\",\"MEAN\"),FMA_EPS(+1,-1AM,,,,\"PORTAGG\",\"MEAN\"))":-0.128546392006634,"EWA^SIZE(FG_CONSTITUENTS)":59,"SPY^FG_ROE(0)":18.4140695861581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52832,24.534442850509,26.6372021642568,24.0483215722889,25.3199155964462],"TRYVN10Y-FDS^FG_YIELD(-10AY,0,Y,,\"YTM\")":[7.3,6.277413,7.1117578,5.6717234,4.738006,3.5404546,2.4877946,2.059403,4.687226,2.9473283],"TRYJP10Y-FDS^FG_YIELD(-10AY,0,Y,,\"YTM\")":[0.3138,0.2604,0.0315,0.0465,-0.0051,-0.0208,0.0201,0.0672,0.4224,0.6127],"CC_NZ^FG_COMPANY_NAME":"New Zealand","USDCHF^STD(FG_PRICE_CHANGE(0,-3AY,M))":2.45552879219006,"USDAUD^FG_PRICE_CHANGE(0,-1AY)":-0.70269704,"QQQ^FMA_DIV_YLD(NTMA,-10AY,0,AM,\"PORTAGG\",\"MEANR\")":[1.36108411118471,1.30058864147611,1.26340762844274,1.23736415324595,1.23193585902764,1.32273539493375,1.21553660498314,1.24592566069376,1.2356419380417,1.22675328211205,1.26052075234662,1.27587998522588,1.23822664266552,1.25338859037879,1.20494627732835,1.27196601846154,1.33181430521605,1.31890351116958,1.30009418029083,1.29335856651931,1.39902408568162,1.40771253249889,1.35961274725023,1.31990488823408,1.40105902534897,1.39085088142677,1.3183906793303,1.27563816946884,1.2805825751655,1.28402510012017,1.28901258056781,1.28330983663402,1.25847654758278,1.22228062311592,1.21153958318729,1.22232674353569,1.19750476967866,1.18417111945239,1.17848227177847,1.19669624801744,1.16213959833341,1.1389670266178,1.11039407428718,1.09567214236711,1.03948088962073,1.07551022921951,1.04764985965845,1.08866871735558,1.0920146072365,1.0450206961729,1.02913263128134,1.08343174443854,1.08670527984724,1.11791824942744,1.19460079800683,1.2987287859767,1.248325632266,1.19597581977355,1.14862670736903,1.09828644618101,1.13461876556907,1.13860628372119,1.08738475354415,1.12853164840437,1.09359738945132,1.09325106924031,1.05782630453369,1.05982937870548,1.00119265494381,0.958465335608105,1.24239124856318,1.04959925817893,0.998002437824673,0.910586897230552,0.857788049578648,0.809748630616304,0.825866608464452,0.776618250044382,0.773414137062285,0.731660595555144,0.771151761506993,0.72798576204755,0.760061948384612,0.717547949769634,0.75969435196529,0.721465088278929,0.699884284129202,0.705135209711251,0.693417694016207,0.707868105824092,0.661834973092095,0.689016138008582,0.700406983950061,0.784015169371964,0.79732214577191,0.812428980811977,0.903672947236958,1.01538265977627,0.962045189474914,0.8599641509625,0.983945430739714,1.0650639632881,1.01774917319744,1.0521387759936,0.986910027202231,0.935291053156139,0.927523294807492,0.890065495618617,0.843030697483831,0.767372576678839,0.739808025147487,0.918008369865711,0.893037713141596,0.924831701675909,0.893474772980384,0.895884039718607,0.92092827322425,0.894275269472983,0.89827155642325,0.925735108797704,0.894101105700777],"DDR3512M-FDS^MAX(FG_PRICE(0,-5AY))":3.3053632,"PLATI-FDS^FG_PRICE_MAVG(0,,,,30)":970.93335,"BRENT-FDS^FG_PRICE_CHANGE(0,-1AY)":12.0156555772994,"TIOS-FDS^FG_PRICE_CHANGE(0,-3AM)":-9.62178049346431,"FC0000NZ^FG_PRICE(0)":387.16678,"EWQ^FG_PRICE(0)":42.25,"ENZL^FG_PRICE_MAVG(0,,,,30)":44.86468,"FXI^FG_TOTAL_RETURNC(0,-3AM)":27.134811,"VWO^FG_TOTAL_RETURNC(0,-6AM)":13.637638,"EWN^P_PRICE(0)/P_PRICE_HIGH_PR(0,,,,,,\"PRICE\",\"INTRA\",\"52W\")":0.99845564,"SPY^P_PRICE(0)/P_PRICE_HIGH_PR(0,,,,,,\"PRICE\",\"INTRA\",\"52W\")":0.99610215,"EWJ^P_PRICE(0)/P_PRICE_LOW_PR(0,,,,,,\"PRICE\",\"INTRA\",\"52W\")-1":0.20157349,"ENZL^P_PRICE(0)/P_PRICE_LOW_PR(0,,,,,,\"PRICE\",\"INTRA\",\"52W\")-1":0.118447185,"EWQ^SIZE(FG_CONSTITUENTS)":63,"EWU^FG_COMPANY_NAME":"iShares MSCI United Kingdom ETF","REFEUREFI-FDS^PROPER_NAME(0,,,\"SECURITY\",\"NAME\")":"Eurozone Main Refinancing Operations Minimum Bid Rate","TRYNZ10Y-FDS^PCTCHG(FG_YIELD(0,,,,\"YTM\"),FG_YIELD(-1AM,,,,\"YTM\"))":-7.3384867,"CC_GB^IMF_IFS_RCPI_Q(0)":3.9194994,"EWN^FMA_EVAL_EBIT(LTMA,NOW,NOW,M,\"PORTAGG\",\"MEANR\")":21.9361675821147,"SPY^FMA_PE(NTMA,0,,,\"PORTAGG\",\"MEANR\")":20.7111155737644,"EWG^FMA_PE(NTMA,0,,,\"PORTAGG\",\"MEANR\")":12.2653757637992,"GLD^FG_TOTAL_RETURNC(0,-6AM)":21.772743,"TRYSA10Y-FDS^FG_YIELD(-10AY,0,Y,,\"YTM\")":[null,null,3.8912454,3.7299898,4.5715504,2.8775356,2.0844028,2.5113702,4.613973,4.608568],"CAGDPY@CH^EE_ACTUAL_ANNUAL(MED,0)":7.64151941312264,"USDANG^FG_PRICE_CHANGE(0,-6AM)":0.0,"USDEUR^FG_PRICE_CHANGE(0,-3AM)":-0.9608269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EWD^FG_TOTAL_RETURNC(-10AY,0,AM)":[3.674841,-1.2352407,-4.044652,-0.6995082,-1.2621105,-7.6991677,5.346215,-3.0844092,-1.5888155,8.944141,-1.8375874,1.2681246,3.518188,-1.9009233,-1.617986,-1.2974918,-2.6291072,-2.5072336,-2.5057733,-2.468717,-9.246856,6.34799,5.789292,2.6852489,-4.5680227,-1.9077301,2.1210432,3.4557223,-1.0438383,-1.0196924,-2.7353466,3.9079666,3.1107068,5.1824093,2.3014545,-0.41190982,6.649697,2.028644,4.872799,-4.305667,5.5125117,0.79073906,-3.894645,-2.2449017,8.350908,-2.974701,-1.2320936,-2.6109695,1.221323,-2.8840482,-1.492995,0.19317865,3.213358,-5.1992474,-3.678161,-4.6368895,4.495704,3.8000703,1.550138,6.0733914,-6.981021,0.68775415,2.3279428,-8.638316,8.480692,1.1310697,5.394745,5.1405907,0.84159374,1.0134101,-29.094124,10.819805,-1.0138869,18.276619,10.006428,4.1240096,1.7696619,-0.1656115,7.796526,3.3323646,2.3255706,4.081142,6.480396,6.571126,-0.88971853,-0.5125761,0.6656647,1.5784979,-1.2599707,0.7230997,2.5126696,-6.92997,2.6293874,-10.653919,-1.2944877,-3.6317825,-7.170892,-10.043425,-2.225089,8.674145,-10.379362,-3.995937,14.603174,0.72647333,8.082354,1.7912984,-8.603346,11.216378,-0.906837,-0.36051273,1.5585899,-9.947931,0.0,1.3694525,6.304407,11.239767,-5.7249966,5.822289,6.805742,-6.1035156,6.890285],"EWC^FMA_PE(NTMA,-10AY,0,AM,\"PORTAGG\",\"MEANR\")":[14.6704752274815,14.9785743838414,15.0040207419813,15.0069709765165,15.0822559987189,13.7889254230146,14.6616001646674,14.9801930173521,15.5026934232119,17.4391420614623,17.0962652930181,17.4436986898473,16.7898733962798,16.1570577177288,15.8584294860784,15.4018823845154,14.9888570362034,15.1105735831615,14.4829979593856,14.2691683914057,13.3180754183939,14.829005390792,16.2467818881328,16.1544415466319,16.6443660644048,16.2998758884347,16.5813164241268,16.4606492527344,15.9464251882732,15.8876083849938,15.8839203922352,15.9218787295197,16.0915677748986,16.3850759989601,15.8361930356761,15.8898055228781,15.3151616361252,15.2326677864307,15.3515052311896,15.4141181525178,15.3112882603128,15.749348993792,15.8463516639139,15.8884776449158,15.7930964608531,14.5794402462917,14.5510696313716,14.01883964932,14.4393849456263,14.3946798751586,14.336008937328,13.9971465026428,13.5707191161207,12.9363557160566,12.6451568470615,12.1447851600238,13.2106887343967,13.9455945451503,14.1989655847854,14.003209935832,13.6603926710374,13.6163046560577,13.6889708158656,13.4515578282522,14.0725301714295,13.7926839786376,14.4029825305237,14.4358951721178,14.717578660922,15.0411560507486,11.5861995560802,15.4004436697177,17.56165997081,17.8504969403256,17.7618784675392,17.5802627375883,16.5632694873366,16.2389279324023,16.1416161123552,16.1576987693216,16.0474308198033,16.1096565123605,15.6210676359996,15.6863838917343,15.4082884228313,15.6711922773382,15.0705135829639,14.9275012795497,14.7014822850612,14.9140781645831,14.9694360551265,14.149471642574,14.3824611150688,13.9850746381897,13.7249461885527,13.3947497629698,12.3447142634407,11.2377397201909,10.7848991882848,11.8905856186336,11.3291722882641,10.924796076211,11.8579325974845,11.854512317126,12.8003223346477,12.888014581734,12.1917695931824,13.0994521242537,12.9998661907791,12.9159711125496,13.2430063330263,12.8841948497864,13.3199861926355,12.6302159219067,12.8197702660282,13.3426259945547,13.4861949396361,14.0699790647334,14.4974797305341,14.1704913186806,14.4303426373267],"PASP-FDS^FG_PRICE_CHANGE(0,-3AM)":7.22513089005237,"FC0000JP^FG_PRICE(0)":173.59523,"EWJ^FG_PRICE_MAVG(0,,,,60)":69.26117,"EWI^FG_COMPANY_NAME":"iShares MSCI Italy ETF","EWJ^FG_TOTAL_RETURNC(0,-3AM)":1.6265035,"EWI^FG_TOTAL_RETURNC(0,-6AM)":22.384989,"EWU^P_PRICE(0)/P_PRICE_HIGH_PR(0,,,,,,\"PRICE\",\"INTRA\",\"52W\")":0.9995919,"EWC^P_PRICE(0)/P_PRICE_HIGH_PR(0,,,,,,\"PRICE\",\"INTRA\",\"52W\")":0.99922323,"URTH^FMA_COS_DOWN(\"EPS\",\"1M\",+1,0,,,\"PORTAGG\",\"MEANR\")":544.0,"EWG^SIZE(FG_CONSTITUENTS)":57,"EWC^FMA_RBICS_REV_CURRENT(30, LOC, \"PORTAGG\")":40.0308181746705,"TRYNL10Y-FDS^FG_YIELD_NAME":"Netherlands Benchmark Bond - 10 Year","TRYUS10Y-FDS^PCTCHG(FG_YIELD(0,,,,\"YTM\"),FG_YIELD(-3AM,,,,\"YTM\"))":3.0489569,"TRYCH10Y-FDS^FG_YIELD_NAME":"Treasury - Switzerland Benchmark Bond 10Y","VGK^FG_PE_NTM(0,,,90,0)":13.6673733533388,"EWN^FMA_EVAL_EBITDA(NTMA,0,,,\"PORTAGG\",\"MEANR\")":12.5107719998164,"EWL^FMA_EVAL_EBITDA(NTMA,0,,,\"PORTAGG\",\"MEANR\")":12.9417315478575,"ENZL^FG_FCF_YIELD_NTM(0)":0.529163925264172,"EWQ^FG_COMPANY_NAME":"iShares MSCI France ETF","USO^P_PRICE(0)/P_PRICE_HIGH_PR(0,,,USD,,,\"PRICE\",\"INTRA\",\"52W\")":0.922791,"TRYPH10Y-FDS^FG_YIELD(-10AY,0,Y,,\"YTM\")":[3.8633,4.1,4.6281,5.6986,7.1730304,4.847582,3.4208684,4.796723,6.9293385,6.0028777],"TRYPL10Y-FDS^FG_YIELD(-10AY,0,Y,,\"YTM\")":[2.5048,2.9303,3.6245,3.292,2.8144,2.1086,1.235,3.6216,6.8411,5.1912],"CAGDPY@GB^EE_ACTUAL_ANNUAL(MED,0)":-3.3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ENZL^JULIAN(FMA_DIV_YLD(NTMA,-10AY,0,AM,\"PORTAGG\",\"MEANR\").DATES)":[41775,41807,41837,41866,41899,41929,41960,41990,42020,42052,42080,42111,42139,42172,42202,42233,42264,42293,42325,42355,42384,42417,42446,42475,42507,42538,42566,42599,42629,42660,42691,42720,42752,42783,42811,42842,42872,42902,42933,42964,42993,43025,43056,43084,43117,43147,43175,43207,43237,43266,43298,43329,43360,43390,43420,43451,43482,43511,43539,43572,43602,43633,43663,43693,43725,43755,43784,43816,43847,43875,43907,43938,43966,43999,44029,44060,44091,44120,44152,44182,44211,44244,44272,44302,44333,44364,44393,44425,44456,44484,44517,44547,44575,44609,44637,44665,44698,44729,44757,44790,44820,44851,44882,44911,44943,44974,45002,45033,45063,45093,45124,45155,45184,45216,45247,45275,45308,45338,45366,45399,45427],"WL-FDS^FG_PRICE(0)/MAX(FG_PRICE(0,-1AY))":0.700419177364422,"W-FDS^FG_PRICE_CHANGE(0,-6AM)":18.2478438492964,"EWI^FG_PRICE_MAVG(0,,,,60)":37.067833,"EWC^FG_PRICE_MAVG(0,,,,30)":37.663334,"EWJ^P_PRICE(0)/P_PRICE_HIGH_PR(0,,,,,,\"PRICE\",\"INTRA\",\"52W\")":0.95372236,"EWQ^P_PRICE(0)/P_PRICE_LOW_PR(0,,,,,,\"PRICE\",\"INTRA\",\"52W\")-1":0.25519907,"EWL^FG_TOTAL_RETURNC(0,-3AM)":4.9282312,"EWG^PERCENT_CHANGE(FMA_EPS(+1,0,,,,\"PORTAGG\",\"MEAN\"),FMA_EPS(+1,-3AM,,,,\"PORTAGG\",\"MEAN\"))":2.60348788575441,"URTH^FMA_COS_UP(\"EPS\",\"1M\",+1,0,,,\"PORTAGG\",\"MEANR\")":732.0,"EWJ^FG_ROE(0)":9.49527139704064,"REFEUREFI-FDS^(SUBARRAY(NOT_NA(NO_REPEAT_F(FG_YIELD(NOW,-10AY,D))),0,1)-SUBARRAY(NOT_NA(NO_REPEAT_F(FG_YIELD(NOW,-10AY,D))),1,1))*100":25.0,"TRYUS10Y-FDS^PCTCHG(FG_YIELD(0,,,,\"YTM\"),FG_YIELD(-1AM,,,,\"YTM\"))":-3.553897,"TRYIT10Y-FDS^FG_YIELD(0,,,,\"YTM\")":3.795,"TRYDE10Y-FDS^FG_YIELD_NAME":"Germany Benchmark Bond - 10 Year","VWO^FMA_EVAL_EBIT(LTMA,NOW,NOW,M,\"PORTAGG\",\"MEANR\")":14.3816204774572,"EWI^JULIAN(FMA_DIV_YLD(NTMA,NOW,NOW,M,\"PORTAGG\",\"MEANR\").DATES)":45412,"EWQ^FMA_PE(NTMA,0,,,\"PORTAGG\",\"MEANR\")":14.7828634444309,"EWU^FG_FCF_YIELD_NTM(0)":5.9561078851781,"DBA^FG_TOTAL_RETURNC(0,-6AM)":11.246872,"DBA^FG_TOTAL_RETURNC(0,-3AM)":8.298755,"VWO^FG_TOTAL_RETURNC(0,-3AM)":9.349096,"TRYZA10Y-FDS^FG_YIELD(-10AY,0,Y,,\"YTM\")":[7.9537,9.7513,8.9047,8.58389,9.37766,9.011772,9.179499,9.791837,10.764477,11.358896],"CAGDPY@CH^EE_ACTUAL_ANNUAL(MED,+1)":8.2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3001939027],"EWL^FG_TOTAL_RETURNC(0,-1AM)":7.958555,"EWG^FG_ROE(0)":9.63205542885714,"REFCATARG-FDS^(SUBARRAY(NOT_NA(NO_REPEAT_F(FG_YIELD(NOW,-10AY,D))),0,1)-SUBARRAY(NOT_NA(NO_REPEAT_F(FG_YIELD(NOW,-10AY,D))),1,1))*100":25.0,"TRYIT10Y-FDS^FG_YIELD_NAME":"Italy Benchmark Bond - 10 Year","VWO^FMA_EVAL_EBITDA(NTMA,0,,,\"PORTAGG\",\"MEANR\")":8.90787307017625,"EWQ^FMA_PE(LTM,0,,,\"PORTAGG\",\"MEANR\")":17.0229016313655,"EWL^FG_COMPANY_NAME":"iShares MSCI Switzerland ETF"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8131311,7.43859928704763,9.22076567652677,9.22544557398871,9.29960121519116],"USDITL^STD(FG_PRICE_CHANGE(0,-1AY,AM))":1.93362450560602,"USDANG^FG_COMPANY_NAME":"Netherlands Antilles Guilder per U.S. Dollar","USDJPY^FG_PRICE_CHANGE(0,-6AM)":3.90774,"USDAUD^STD(FG_PRICE_CHANGE(0,-3AY,M))":3.05578812282471,"ENZL^P_PRICE_RETURNS_PR('52W',2,-10AY,0,AM)":[19.328392,26.127647,21.751797,19.13451,7.643187,0.8392453,6.313145,10.308826,7.896459,7.0623875,-0.72113276,2.8755665,-3.2295883,-8.949828,-12.934321,-11.807698,-12.4281225,-2.4872541,-11.442971,-4.6094236,-11.685556,-7.28485,3.5241842,6.05011,9.80792,20.758915,33.502365,42.96738,46.31208,26.636864,23.454498,13.190007,29.20376,25.510765,11.342251,6.8603635,7.8348756,12.827587,11.055004,5.702555,6.897497,15.262211,14.290535,22.421001,18.949615,15.894151,23.003054,20.50563,14.743066,14.47649,7.125926,5.3826213,6.932068,0.21972656,10.682285,1.0304451,2.5978565,7.3292017,5.368066,9.596216,12.359774,4.515469,17.2518,14.179587,13.320791,20.50451,14.980125,25.186848,25.592005,20.12123,-10.93331,-2.377832,-1.9391298,12.872958,8.708692,14.934754,16.017426,18.294704,26.442755,24.025286,17.366196,16.087008,53.523994,36.742176,30.18552,12.897337,9.674692,5.60869,8.387637,4.7096252,-5.4005384,-13.658762,-12.01542,-14.789593,-12.5476,-14.920771,-23.643839,-26.982515,-24.099535,-15.899748,-25.360292,-33.81959,-22.30711,-14.105469,-9.679068,-4.373699,-11.11235,-5.51036,10.175741,13.760889,13.116622,-6.1786356,-2.3837984,9.007645,-2.1520674,-1.6382992,-6.527835,-7.915759,-2.147746,-6.7711296,-6.632656],"EWL^FMA_DIV_YLD(NTMA,-10AY,0,AM,\"PORTAGG\",\"MEANR\")":[3.19114666665821,3.22789098411425,3.32149901342787,3.40790460970107,3.28994346076781,3.54645452129457,3.27668044074143,3.35877717944517,3.5452035248247,3.24436835969091,3.15018352566947,3.07147860181488,3.10954547489031,3.23108702158305,3.1078588723757,3.13974277452926,3.31161453580409,3.33290528003426,3.25058667766828,3.32178685053073,3.55952169820058,3.52437816583061,3.49882275892881,3.4805418606707,3.56248058082279,3.6457634453746,3.50468088196443,3.46400507079459,3.51145934261591,3.57988415151393,3.60856358099675,3.57244797468013,3.50449181256587,3.37887043631587,3.323669932443,3.42757078098898,3.31171527655062,3.27060393818847,3.25497939486346,3.31514117459487,3.28857971560685,3.24830972799281,3.27458560052576,3.22030934850025,3.18836920390903,3.32727490180322,3.44272333089131,3.43041404196513,3.42810857842752,3.54476728563642,3.47942644971684,3.44436241737707,3.42427289140605,3.59527813460624,3.56578872563424,3.65522114170209,3.5052489305739,3.37669559867037,3.31629825966452,3.2787939610536,3.2914434844968,3.25156716887915,3.21411941908267,3.29323438479681,3.21418551095533,3.21070067508684,3.13001477012541,3.07084855465322,2.9842273900564,2.93212089638802,3.86107950220257,3.33388939220045,3.30471914341874,3.05605819740504,2.9938220006511,2.93342207714037,2.88202828823563,2.9640610033212,2.86924101970983,2.86394538536783,2.8036622943743,2.82860022680605,2.83334509241406,2.71758254894283,2.7654329659527,2.61072866797242,2.62195490085393,2.54528003041579,2.67484877095208,2.6927849676968,2.57295119839908,2.56679183636541,2.63094610546141,2.78176934256217,2.80637630433571,2.75022212358612,2.94901746269383,3.30026022203637,3.1501765264064,3.09829528249249,3.2865422619023,3.36092410400375,3.16953355195585,3.22598460770487,3.0314415126052,3.07750839379525,3.29865056090426,3.10593495744658,3.11168322250423,3.13594939452627,3.20069350316976,3.284480955227,3.25392436237386,3.39099090289185,3.4102648121656,3.28299646752708,3.33215543473309,3.32765437048938,3.24877227380543,3.40806401823499,3.23196629815366],"NI-FDS^FG_PRICE_MAVG(0,,,,30)":18640.166,"TIOS-FDS^FG_PRICE(0)/MAX(FG_PRICE(0,-1AY))":0.810557713651498,"QQQ^FG_PRICE(0)":451.76,"FXI^FG_TOTAL_RETURNC(0,-12AM)":6.458056,"VWO^FG_TOTAL_RETURNC(0,-1AM)":9.755492,"EWI^PERCENT_CHANGE(FMA_EPS(+1,0,,,,\"PORTAGG\",\"MEAN\"),FMA_EPS(+1,-1AM,,,,\"PORTAGG\",\"MEAN\"))":2.9329661237482,"QQQ^FG_TOTAL_RETURNC(0,-6AM)":17.471779,"ENZL^FG_TOTAL_RETURNC(0,-12AM)":-6.632656,"SPY^FMA_COS_DOWN(\"EPS\",\"1M\",+1,0,,,\"PORTAGG\",\"MEANR\")":168.0,"EWA^FMA_COS_DOWN(\"EPS\",\"1M\",+1,0,,,\"PORTAGG\",\"MEANR\")":21.0,"EWN^FMA_RBICS_REV_CURRENT(30, LOC, \"PORTAGG\")":25.1822237253434,"EWN^FG_COMPANY_NAME":"iShares MSCI Netherlands ETF","TRYCA10Y-FDS^FG_YIELD(0,,,,\"YTM\")":3.6169,"EWG^FMA_EVAL_EBITDA(NTMA,0,,,\"PORTAGG\",\"MEANR\")":8.64745519271881,"EWA^JULIAN(FMA_DIV_YLD(NTMA,NOW,NOW,M,\"PORTAGG\",\"MEANR\").DATES)":45412,"ENZL^FG_COMPANY_NAME":"iShares MSCI New Zealand ETF","TRY10Y-FDS^FG_YIELD(-10AY,0,Y,,\"YTM\")":[null,null,null,null,null,null,null,null,null,null],"USDUSD^FG_PRICE_CHANGE(0,-1AY)":0.0,"EWD^FMA_PE(LTMA,-10AY,0,AM,\"PORTAGG\",\"MEANR\")":[15.6083380760136,15.7235251116958,15.8370097698029,15.8467368467113,16.0552868325968,15.3152851529383,16.7432479592618,16.8737366940736,17.5544061642548,19.6574973300782,20.1011623089069,19.6902739787084,19.1114074178986,18.7311506872001,18.778407317984,18.3315239556437,17.1730440595781,16.7426664253363,16.9159299082977,16.1808131497228,14.3421430706431,15.274633824665,15.6132628224946,15.6474832747269,15.4261801941747,15.2450190411315,15.625956962513,15.8908601405269,15.9985532918426,16.928739940279,17.2602316590446,18.3076274568384,18.0241460961022,17.4239993911243,17.5068735934462,17.5600336985166,18.0440534852784,17.6291685266696,17.7311756217785,16.8233197702797,17.1160699356948,17.5341423535649,18.0300095400379,17.9363220514309,18.2217234774063,16.7432305380009,16.9421789863474,16.8354973866638,16.8731190822618,16.5028487680024,16.3972006842606,16.586003292887,16.7070331971592,15.7902280325295,14.9035903354192,14.1996660478554,14.9281871889441,18.4479125766109,18.0511342966918,17.8677344125717,17.518844468656,17.0956557135898,16.9297326482519,15.78093210904,16.2646377355365,16.5955417802449,16.2135941187502,16.3151964053154,16.9041263527043,14.4317921581356,12.443319297711,14.032282537448,14.7463102669791,16.6292260496469,18.1520264476177,16.9662813369022,17.9530584486008,16.3449573886579,16.6105941775267,17.1325520542898,18.5491841136136,17.548259831121,17.9633155904271,18.4927555874989,17.4661682791524,17.9439393556948,17.7443882913366,17.5290328102948,17.3755195467397,17.4586745422088,16.8260050594964,16.1573098080634,15.8856714043028,12.0195886995041,11.9498456180309,12.2045469583265,13.4068567657566,13.1048872069135,13.7592683694628,14.9081659295533,14.5332383849762,14.96375121565,13.9191007776594,15.2739553195544,16.6564398417921,26.201400954842,24.8279804885357,23.8259554943444,22.5585219672375,21.5498496229045,20.1199156412061,18.4593691781995,17.4317872338654,16.8859655811758,15.8744415282001,18.2409168730974,16.9604635258296,15.4670100612724,15.9356212336064,15.887411399641,16.1542548245859],"WL-FDS^FG_PRICE_CHANGE(0,-1AY)":-24.8700295068147,"W-FDS^FG_PRICE_CHANGE(0,-3AM)":16.1909009812667,"EWI^FG_PRICE_MAVG(0,,,,30)":37.251335,"EWC^FG_PRICE(0)":38.59,"EWQ^P_PRICE(0)/P_PRICE_HIGH_PR(0,,,,,,\"PRICE\",\"INTRA\",\"52W\")":0.9917841,"EWG^PERCENT_CHANGE(FMA_EPS(+1,0,,,,\"PORTAGG\",\"MEAN\"),FMA_EPS(+1,-1AM,,,,\"PORTAGG\",\"MEAN\"))":3.97070373025579,"VWO^SIZE(FG_CONSTITUENTS)":4781,"TRYCA10Y-FDS^FG_YIELD_NAME":"Canada Benchmark Bond - 10 Year","EWD^FMA_EVAL_EBIT(LTMA,NOW,NOW,M,\"PORTAGG\",\"MEANR\")":15.9121311388266,"EWU^FMA_DIV_YLD(NTMA,NOW,NOW,M,\"PORTAGG\",\"MEANR\")":3.9383886732978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9064433],"USDITL^FG_PRICE_CHANGE(0,-6AM)":0.10573864,"USDAUD^STD(FG_PRICE_CHANGE(0,-1AY,AM))":2.84281289594133,"TRYCN10Y-FDS^FG_YIELD(-10AY,0,Y,,\"YTM\")":[3.653331,2.901145,3.070911,3.93859,3.259862,3.197311,3.1948,2.7893,2.855,2.574],"CC_GB^FG_COMPANY_NAME":"United Kingdom","USDCHF^FG_PRICE_CHANGE(0,-6AM)":2.318108,"QQQ^P_PRICE_RETURNS_PR('52W',2,-10AY,0,AM)":[21.07935,28.689396,27.149319,30.9731,28.953087,16.737652,24.37681,21.315813,15.821398,20.97504,20.804619,24.346851,27.155125,19.319952,21.337664,15.63176,8.790504,19.06483,9.509314,11.527538,2.2286057,-3.2354116,1.6366601,3.714931,-2.692163,-1.0625899,2.42939,6.419432,11.038101,9.269881,6.8196774,6.433618,23.127472,28.058683,24.105633,20.058214,30.327679,29.53844,28.496742,21.772528,25.441467,28.85927,32.041943,32.25055,36.250854,28.792942,30.732632,27.429175999999998,24.783754,28.310537,27.807213,28.292477,25.159336,19.869434,9.219694,0.62841177,-0.45900345,4.6530247,4.864955,13.654768,9.686184,4.7242045,7.5537443,4.0530205,7.1416616,10.154295,21.8019,34.202587,37.638535,38.167606,2.9652953,16.01857,22.987007,33.721924,36.060333,49.63118,41.48269,50.573994,45.116615,49.637638,42.655647,43.33124,77.99308,61.38079,46.206238,42.638252,38.788246,33.591522,39.075947,27.857304,36.776806,24.427486,21.47051,3.9487123,7.518184,1.0555506,-5.167383,-20.07451,-18.592691,-9.683961,-23.098648,-26.540773,-27.928888,-28.665369,-25.368208,-12.180513,-10.694676,-5.0675154,8.976698,36.609913,32.026077,9.940267,28.29274,37.630154,36.465824,47.386932,45.633186,42.939877,46.157898,34.44816,37.34207],"ENZL^JULIAN(FMA_DIV_YLD(LTMA,-10AY,0,AM,\"PORTAGG\",\"MEANR\").DATES)":[41775,41807,41837,41866,41899,41929,41960,41990,42020,42052,42080,42111,42139,42172,42202,42233,42264,42293,42325,42355,42384,42417,42446,42475,42507,42538,42566,42599,42629,42660,42691,42720,42752,42783,42811,42842,42872,42902,42933,42964,42993,43025,43056,43084,43117,43147,43175,43207,43237,43266,43298,43329,43360,43390,43420,43451,43482,43511,43539,43572,43602,43633,43663,43693,43725,43755,43784,43816,43847,43875,43907,43938,43966,43999,44029,44060,44091,44120,44152,44182,44211,44244,44272,44302,44333,44364,44393,44425,44456,44484,44517,44547,44575,44609,44637,44665,44698,44729,44757,44790,44820,44851,44882,44911,44943,44974,45002,45033,45063,45093,45124,45155,45184,45216,45247,45275,45308,45338,45366,45399,45427],"COPP-FDS^FG_PRICE(0)/MAX(FG_PRICE(0,-1AY))":1.0,"FC0000AU^FG_PRICE(0)":365.62497,"EWQ^FG_PRICE_MAVG(0,,,,30)":40.794,"URTH^PERCENT_CHANGE(FMA_EPS(+1,0,,,,\"PORTAGG\",\"MEAN\"),FMA_EPS(+1,-1AM,,,,\"PORTAGG\",\"MEAN\"))":1.08652550668134,"EWN^P_PRICE(0)/P_PRICE_LOW_PR(0,,,,,,\"PRICE\",\"INTRA\",\"52W\")-1":0.42518604,"SPY^FG_TOTAL_RETURNC(0,-3AM)":6.3254595,"EWG^FG_TOTAL_RETURNC(0,-12AM)":15.027475,"EWN^SIZE(FG_CONSTITUENTS)":54,"REFCHMPR-FDS^(SUBARRAY(NOT_NA(NO_REPEAT_F(FG_YIELD(NOW,-10AY,D))),0,1)-SUBARRAY(NOT_NA(NO_REPEAT_F(FG_YIELD(NOW,-10AY,D))),1,1))*100":-25.0,"VGK^JULIAN(FMA_DIV_YLD(NTMA,NOW,NOW,M,\"PORTAGG\",\"MEANR\").DATES)":45379,"EWN^FMA_PE(NTMA,0,,,\"PORTAGG\",\"MEANR\")":16.3473139763207,"QQQ^FMA_DIV_YLD(NTMA,NOW,NOW,M,\"PORTAGG\",\"MEANR\")":0.943896880301974,"SPY^FG_COMPANY_NAME":"SPDR S&P 500 ETF Trust","TLT^FG_TOTAL_RETURNC(0,-3AM)":-0.4908085,"GLD^FG_TOTAL_RETURNC(0,-3AM)":20.027912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MX10Y-FDS^FG_YIELD(-10AY,0,Y,,\"YTM\")":[5.8237,6.2537,7.5651,7.6401,8.7069,6.8373,5.552,7.558,9.0223,8.95],"CAGDPY@US^EE_ACTUAL_ANNUAL(MED,+1)":-3.0,"USDSEK^FG_COMPANY_NAME":"Swedish Krona per U.S. Dollar","USDCAD^STD(FG_PRICE_CHANGE(0,-3AY,M))":1.84677137832339,"USDNZD^FG_COMPANY_NAME":"New Zealand Dollar per U.S. Dollar","ENZL^JULIAN(FG_TOTAL_RETURNC(-10AY,0,AM).DATES)":[41775,41807,41837,41866,41899,41929,41960,41990,42020,42052,42080,42111,42139,42172,42202,42233,42264,42293,42325,42355,42384,42417,42446,42475,42507,42538,42566,42599,42629,42660,42691,42720,42752,42783,42811,42842,42872,42902,42933,42964,42993,43025,43056,43084,43117,43147,43175,43207,43237,43266,43298,43329,43360,43390,43420,43451,43482,43511,43539,43572,43602,43633,43663,43693,43725,43755,43784,43816,43847,43875,43907,43938,43966,43999,44029,44060,44091,44120,44152,44182,44211,44244,44272,44302,44333,44364,44393,44425,44456,44484,44517,44547,44575,44609,44637,44665,44698,44729,44757,44790,44820,44851,44882,44911,44943,44974,45002,45033,45063,45093,45124,45155,45184,45216,45247,45275,45308,45338,45366,45399,45429],"EWL^FMA_PE(NTMA,-10AY,0,AM,\"PORTAGG\",\"MEANR\")":[16.3823125354432,16.2557317582537,15.9947630102833,15.773685737102,16.1744269323025,14.9560518475671,16.0111012474491,15.4992929113838,15.0684969938974,17.1793909816404,17.5873779740239,18.0300186729242,17.6683527102667,17.0603113153489,17.7916840278546,17.4564781155338,16.6012960029672,16.6347215803529,16.9440107884159,16.6881854174181,15.6865596623357,16.2753863104144,16.5425825897978,16.842706697084,16.590341985359,16.2081043403575,16.9775403745249,17.3457961528068,17.0451400333788,16.6648471806112,16.5433497321495,16.7363261949343,17.0302142149479,17.5057578485245,17.78664483832,17.3922999533195,17.9666436838711,18.0083303832634,17.9520914153394,17.5513730750833,17.6332706768824,17.8762734620815,17.6075578838931,17.7047337262461,17.8115512757317,16.906642917335,16.3443899736394,16.1196458814487,16.3070688815154,15.6965312297304,15.9201269309466,15.9429735073554,15.9436840354013,15.2694611787673,15.4614244484418,14.8208445157067,15.3772902571275,15.8878373452864,16.5442366262203,16.893968269505,16.7232838614962,16.9665869765532,17.185893108174,16.7193476877597,17.0629599736766,17.0509026558765,17.3912009304368,17.6870070596884,18.2229273399078,18.4790363072254,14.1973632454985,17.8451703911572,18.3521045601686,19.4752636514213,19.9635500254364,19.5977912527095,19.6256595317035,18.8835549768198,19.0876637834366,18.6718861474905,18.9722161656113,18.8324650475801,18.6268898296496,19.5032024652773,18.9599425085748,19.9688885510351,19.7852021477571,20.0658343310763,18.9321525249499,18.7540915189051,19.43120715845,19.4865517036619,18.9367884259307,18.172910785596,18.0885532062789,18.5527374703552,17.0109550209074,15.1852769528944,16.077543019842,16.7206044615237,15.6646012653244,15.3036265691343,16.5818916107256,16.3163836588258,17.4168981024142,17.3205236610997,16.3645322185771,17.409084097089,17.2809802101621,16.6682321101236,16.4772460798562,16.2748398815864,16.6919037520898,16.0311831436355,16.1020436139526,16.8217641597756,16.8284144313578,17.3858455769257,17.7244209932734,16.773200977689,17.3506356712766],"PASP-FDS^FG_PRICE_MAVG(0,,,,30)":1009.7,"CPALM-FDS^FG_PRICE_CHANGE(0,-3AM)":-0.383631713554988,"FC0000GB^FG_PRICE(0)":130.51935,"EWG^FG_PRICE_MAVG(0,,,,200)":28.80325,"EWI^FG_TOTAL_RETURNC(0,-12AM)":30.897331,"EWU^PERCENT_CHANGE(FMA_EPS(+1,0,,,,\"PORTAGG\",\"MEAN\"),FMA_EPS(+1,-1AM,,,,\"PORTAGG\",\"MEAN\"))":2.45885723311205,"EWA^P_PRICE(0)/P_PRICE_HIGH_PR(0,,,,,,\"PRICE\",\"INTRA\",\"52W\")":1.0,"EWJ^FMA_COS_UP(\"EPS\",\"1M\",+1,0,,,\"PORTAGG\",\"MEANR\")":106.0,"EWD^FG_ROE(0)":16.884260777642,"TRYSE10Y-FDS^PCTCHG(FG_YIELD(0,,,,\"YTM\"),FG_YIELD(-3AM,,,,\"YTM\"))":-3.331966,"TRYAU10Y-FDS^PCTCHG(FG_YIELD(0,,,,\"YTM\"),FG_YIELD(-3AM,,,,\"YTM\"))":0.42907387,"CC_CH^IMF_IFS_RCPI_Q(0)":1.1636324,"QQQ^FMA_PE(NTMA,0,,,\"PORTAGG\",\"MEANR\")":26.1382196721619,"EWJ^FG_FCF_YIELD_NTM(0)":4.20406753952172,"EWA^FMA_EVAL_EBIT(LTMA,NOW,NOW,M,\"PORTAGG\",\"MEANR\")":12.3737151238296,"GLD^FG_TOTAL_RETURNC(0,-1AM)":1.8534541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06586,9.77856565542044,10.8991459502058,12.0158891729577,12.7459856653411],"TRYTR7Y-FDS^FG_YIELD(-10AY,0,Y,,\"YTM\")":[7.979133,10.679033,11.110786,11.586128,15.896213,12.034795,12.534946,23.870693,7.323803,21.984322],"CC_CH^FG_COMPANY_NAME":"Switzerland","USDCHF^FG_PRICE_CHANGE(0,-3AM)":2.9860973,"EWU^P_PRICE_RETURNS_PR('52W',2,-10AY,0,AM)":[16.718887,19.060825,17.99649,13.30862,7.933438,-2.7335227,-0.8888304,-3.7154555,-8.800268,-2.8772235,-4.974246,-3.5561144,-2.40615,-6.01635,-5.934888,-6.458819,-11.030525,1.6426563,-6.9391847,-6.6722574,-13.99728,-16.530794,-8.53129,-12.320352,-17.135298,-15.396923,-13.584882,-9.329945,-6.252199,-11.187065,-7.890415,-1.5744865,12.376595,9.255278,6.36158,6.1279893,12.778926,16.438652,13.207256,8.825434,13.702035,21.223461,19.00035,18.371487,23.668312,15.814948,11.670923,15.622389,12.388921,10.635864,6.998825,5.03397,0.65772533,-3.482163,-3.8719296,-11.841875,-13.812041,-5.44883,0.525856,-2.1057963,-7.79739,-5.7681084,-3.2351136,-6.3761415,-0.6018162,3.4192085,7.3406935,20.040857,15.96154,8.037626,-31.14357,-23.566305,-22.908646,-14.075011,-14.137566,-6.377578,-13.606394,-16.592163,-9.713435,-9.178042,-7.303733,-2.7481914,48.360588,40.19542,44.31127,30.457615,25.689804,26.578796,25.93193,36.55976,20.483934,11.977732,16.181135,14.944696,8.4902525,10.448801,0.090539455,-8.362007,-6.7874613,-2.4435937,-9.768391,-16.319477,-5.6930246,-2.2646487,-2.3194075,-1.130259,-4.9203215,1.5713811,5.80554,15.131187,16.437017,5.404377,17.66441,23.019075,10.269558,8.406711,1.3534904,4.385245,14.273846,3.9782166,15.028334],"DDR3512M-FDS^FG_PRICE(0)/MAX(FG_PRICE(0,-1AY))":0.917507758065823,"COPP-FDS^FG_PRICE_CHANGE(0,-6AM)":35.304347826087,"SPY^FG_PRICE_MAVG(0,,,,200)":472.548,"URTH^FMA_PCT_ABOVE_MAVG(200,0,,,,\"PORTAGG\")":76.1122518822724,"EWN^FG_TOTAL_RETURNC(0,-6AM)":24.012875,"EWG^P_PRICE(0)/P_PRICE_LOW_PR(0,,,,,,\"PRICE\",\"INTRA\",\"52W\")-1":0.31228495,"EWA^FG_TOTAL_RETURNC(0,-6AM)":15.983915,"EWN^FMA_COS_DOWN(\"EPS\",\"1M\",+1,0,,,\"PORTAGG\",\"MEANR\")":25.0,"CAGDPY@US^EE_ACTUAL_ANNUAL(MED,0)":-2.99561673751749,"USDCAD^FG_COMPANY_NAME":"Canadian Dollar per U.S. Dollar","EWG^FMA_PE(NTMA,-10AY,0,AM,\"PORTAGG\",\"MEANR\")":[12.9439513438682,13.3025843189932,12.9562748574416,12.1483594899213,12.7604412129831,11.6960462198589,12.2655159849545,12.5381171335856,13.3310697659629,14.1741004122175,15.5102362291618,15.0004046304314,14.279960880956,13.4240847942759,14.150343345255,13.2168541080246,12.3770680223011,12.4512656761967,13.6673287507798,13.3659979254572,11.9224051099086,11.9205148625941,12.6184919796358,12.8184334767625,12.3634323088268,11.8602820036598,12.4206475282759,12.9270920762679,12.6510087153016,12.8254366667048,12.7912908323617,13.582688290161,13.6586678685665,13.3332944813125,13.9558543848311,13.7938766494491,13.8186826860609,13.7864069181796,13.5324722627136,13.0845965522314,13.3674365898591,13.83837855163,13.8003083422623,13.9771902174272,14.0128517688751,13.1979830615009,13.0514223679959,13.2036547509328,13.5419648508248,13.4527270584679,13.0859540369535,12.66424486454,12.5544808444337,12.0909193612062,11.6359773118956,11.1547706400406,11.390296151052,11.9185768447603,12.352694185309,12.8339798501163,12.6271601906133,12.322551705071,12.8561927987922,12.2222510663755,13.0315137071226,13.2927529023525,14.011704126437,14.2085684138432,14.3807475088946,14.5433827283186,9.67373176386267,13.9304384358285,15.0000202006832,17.9590863445892,18.5494296933798,17.9657169346586,17.6568788259458,16.6823550704092,16.0734085099548,16.2096435532601,15.9906949715668,15.7254202637822,15.9727352929189,16.1946485060954,14.8230567942447,15.0080815017476,14.4734767396826,14.3190958332168,13.857473215634,13.8077968042399,13.8895985905094,13.1674918642206,13.345287722235,12.5700139433153,11.7153395164369,11.3205300335341,10.8732902867424,10.0151253326242,9.79799769835039,10.1690596700317,9.51145341615123,9.40279876040204,10.6554026222638,10.3649605417887,11.5011162652354,11.6785490345113,10.8973712366829,11.4173475563841,10.9811986530312,11.0080179765166,10.7388513726983,10.5295795972085,10.6727163695252,10.1595903441114,10.7773131184925,11.2278706626176,10.9147213937444,11.6613299894699,12.0905727547375,11.8432905204315,12.2653757637992],"PLATI-FDS^FG_PRICE_CHANGE(0,-6AM)":17.7900552486188,"BRENT-FDS^FG_PRICE_CHANGE(0,-1AM)":0.0,"FC0000CH^FG_PRICE(0)":328.3533,"EWL^FG_PRICE_MAVG(0,,,,60)":47.0045,"EWD^FMA_PCT_ABOVE_MAVG(200,0,,,,\"PORTAGG\")":90.6976744186046,"FXI^SIZE(FG_CONSTITUENTS)":53,"QQQ^FMA_RBICS_REV_CURRENT(30, LOC, \"PORTAGG\")":0.907617891806809,"TRYFR10Y-FDS^FG_YIELD_NAME":"France Benchmark Bond - 10 Year","TRYFR10Y-FDS^PCTCHG(FG_YIELD(0,,,,\"YTM\"),FG_YIELD(-1AM,,,,\"YTM\"))":-0.30080426,"TRYNL10Y-FDS^FG_YIELD(0,,,,\"YTM\")":2.797,"VGK^FG_FCF_YIELD_NTM(0)":5.1994556289638,"EWN^FMA_PE(LTM,0,,,\"PORTAGG\",\"MEANR\")":20.4736607226512,"EWU^FMA_EVAL_EBIT(LTMA,NOW,NOW,M,\"PORTAGG\",\"MEANR\")":10.5369204198928,"ENZL^FMA_PE(LTM,0,,,\"PORTAGG\",\"MEANR\")":29.5687262934188,"TRYBR10Y-FDS^FG_YIELD(-10AY,0,Y,,\"YTM\")":[12.319731,15.989595,11.062725,9.887577,8.936093,6.883678,6.961219,10.970291,12.900059,10.455909],"PLATI-FDS^FG_PRICE_CHANGE(0,-3AM)":18.4444444444444,"EWN^FG_TOTAL_RETURNC(0,-12AM)":23.927652,"EWL^PERCENT_CHANGE(FMA_EPS(+1,0,,,,\"PORTAGG\",\"MEAN\"),FMA_EPS(+1,-1AM,,,,\"PORTAGG\",\"MEAN\"))":3.29480773650591,"EWU^FMA_RBICS_REV_CURRENT(30, LOC, \"PORTAGG\")":18.8933168361866,"VGK^FMA_DIV_YLD(NTMA,NOW,NOW,M,\"PORTAGG\",\"MEANR\")":3.44816244250881,"ENZL^JULIAN(FMA_DIV_YLD(NTMA,NOW,NOW,M,\"PORTAGG\",\"MEANR\").DATES)":45412,"USO^FG_TOTAL_RETURNC(0,-1AM)":-2.4585009,"USDSEK^STD(FG_PRICE_CHANGE(0,-3AY,M))":2.91505747000306,"USDUSD^STD(FG_PRICE_CHANGE(0,-1AY,AM))":0.0,"USDCHF^FG_PRICE_CHANGE(0,-1AY)":0.8786082,"EWI^P_PRICE_RETURNS_PR('52W',2,-10AY,0,AM)":[28.849852,41.840317,37.49702,14.121819,17.927635,-7.6397896,-2.6052356,-3.7339747,-15.6409855,-10.481196,-14.595151,-14.8165045,-1.4556348,-13.965643,-4.063618,3.7315965,-4.299015,13.138235,0.40682554,2.5007844,-2.026105,-19.282675,-11.000145,-18.545372,-25.276386,-21.443718,-25.23269,-25.983889,-25.625664,-26.09235,-21.82638,-12.321388,2.3797393,6.9940567,5.2064657,6.2716126,23.188568,29.839754,34.349335,36.202335,43.043934,44.18281,45.736156,30.741882,39.38781,40.240894,30.625105,39.521957,18.937672,11.173117,5.120766,-6.414014,-5.9129295,-12.52327,-14.491522,-15.895414,-19.661587,-15.668732,-11.610657,-12.378377,-12.9154625,-6.3540754,0.45477152,-0.1401782,2.059865,14.080334,22.504734,25.90369,21.176386,20.175625,-28.830475,-25.14928,-22.968912,-7.0829988,-6.768531,3.2168865,-5.6025743,-10.75725,-3.772664,1.8462181,1.4656425,3.3099651,71.58869,64.71742,68.49121,40.31013,25.71392,29.892122,28.577673,37.67246,23.249685,10.115361,14.752352,8.747125,-6.9638968,-6.5641284,-13.635778,-22.954416,-26.003706,-21.463108,-23.981773,-28.714651,-15.768022,-13.165337,-7.560265,0.22763014,2.360022,13.292587,17.465961,33.944332,53.07448,29.773558,37.68568,41.04606,24.770176,28.583633,16.29398,16.098642,35.9069,18.807293,30.897331],"ENZL^FG_TOTAL_RETURNC(-10AY,0,AM)":[2.3922324,-0.7402241,-1.6122341,-2.2049904,-3.4687877,-1.232034,7.146573,-2.256459,3.8775563,-1.4980376,-0.7978082,3.7949204,-3.728813,-6.5643787,-5.917835,-0.93953013,-4.147869,9.69398,-2.440405,5.2859664,-3.663063,3.233099,10.767508,5.7868004,0.19193888,2.7538299999999998,4.4378757,5.649495,-1.7538011,-5.203569,-4.8920574,-1.9318998,8.24399,0.28241873,-1.7366827,1.5285373,1.1056304,7.8873873,2.438748,0.5575776,-0.40519834,1.970017,-5.693823,6.260276,3.9712906,-1.3763368,2.7286053,0.040555,-3.7292242,6.336844,-2.9670238,-1.0788381,1.0591507,-4.4308424,4.3865323,-3.2244623,5.5843353,3.1502604,1.5270233,3.3841372,-1.301688,-1.0869682,8.857477,-4.6809254,1.361978,1.6275525,-0.6890118,5.6740165,5.9260607,-2.1556914,-24.095118,13.314903,-0.22361875,13.129783,4.8413396,0.7782817,2.3167968,2.9855847,6.807816,3.6536336,-1.1160731,-1.8961549,0.38349628,-1.4517188,-2.7135909,-1.8934429,0.72131157,-1.8717408,5.0091267,-0.3632903,-3.646171,-5.394995,1.9184828,-6.063753,3.0247092,-4.869318,-12.006026,-6.1831474,4.2896748,9.155237,-6.8476496,-11.613745,13.115168,6.561613,5.1897407,-0.54602027,-4.2352915,1.1261225,2.6017427,-2.616477,3.1518698,-9.464288,-3.374976,-0.9979546,1.5349269,6.79152,0.2693057,-1.84986,-1.1615217,-0.9756088,2.75414],"EWN^FG_PRICE_MAVG(0,,,,200)":43.924603,"EWL^FG_PRICE(0)":48.97,"EWJ^PERCENT_CHANGE(FMA_EPS(+1,0,,,,\"PORTAGG\",\"MEAN\"),FMA_EPS(+1,-1AM,,,,\"PORTAGG\",\"MEAN\"))":0.305703693981954,"VGK^FG_TOTAL_RETURNC(0,-1AM)":8.381009,"QQQ^P_PRICE(0)/P_PRICE_LOW_PR(0,,,,,,\"PRICE\",\"INTRA\",\"52W\")-1":0.37079751,"FXI^FMA_COS_UP(\"EPS\",\"1M\",+1,0,,,\"PORTAGG\",\"MEANR\")":18.0,"REFSEREPO-FDS^(SUBARRAY(NOT_NA(NO_REPEAT_F(FG_YIELD(NOW,-10AY,D))),0,1)-SUBARRAY(NOT_NA(NO_REPEAT_F(FG_YIELD(NOW,-10AY,D))),1,1))*100":-25.0,"CC_NL^IMF_IFS_RCPI_Q(0)":3.0237906,"EWQ^FMA_EVAL_EBITDA(NTMA,0,,,\"PORTAGG\",\"MEANR\")":9.55105740295096,"CAGDPY@JP^EE_ACTUAL_ANNUAL(MED,+1)":3.5,"USDAUD^FG_PRICE_CHANGE(0,-3AM)":-2.4220705,"ENZL^FMA_PE(NTMA,-10AY,0,AM,\"PORTAGG\",\"MEANR\")":[17.465533554149,17.3852383414272,17.1979026352548,17.0640200899694,16.8087624405425,16.7401097983836,18.087948344297,17.9777120553576,18.5478301470677,18.8906162156397,18.9932458427906,18.4332732653751,18.1577481272639,17.9732996728695,18.1715087899683,17.727762767233,17.5262901960773,17.6236065596109,17.8704791748612,17.8803278471895,17.7346036848985,17.1618560315853,18.2344763863005,18.8865434485466,19.3979302352709,18.9217504725008,19.4934640363663,20.3164672382887,20.1995497998947,19.359698198093,18.6058518359801,18.1634957042499,18.9483913194195,18.9227869332119,18.7962032498598,19.1187013641172,19.5439333819339,19.5568107789944,19.7184872054705,20.2298144438357,19.6407115554074,20.0977372815808,20.1973244525382,20.8536530945937,20.6039143731727,20.2818365986933,20.4977190042163,19.9717328035122,20.382122572994,21.3804673046245,21.1301044112151,21.3168575086892,21.5936576068083,20.5072692874385,20.0735276404331,19.9210382367884,20.619215457781,21.018988736511,21.6177622744923,22.6337556137101,23.1098901534411,22.8403552267355,24.2149800090142,24.0303312312609,25.8572589813813,25.6704580291783,24.6853752436586,25.5184699995349,26.3438275426871,26.9623565295904,21.5445529605157,29.2371303809708,30.4586867154365,31.0092221110197,31.8749262772598,32.1220151227866,31.9251021600585,33.0706454167922,33.3649165008848,32.905702507102,33.6408252776016,31.889159319866,32.8145421750344,32.3808061431811,32.338105452348,33.5494765716689,34.2078054989961,33.6220926005801,34.9638427182766,33.6539615726834,32.7651838249352,31.9105486234566,31.1557608205407,29.7994328834568,28.9151016686445,28.2102626122451,27.1458039886079,25.0638707867245,25.9082971592332,27.0271851962796,26.2433274484386,23.263266955029,23.4635517603236,23.4464203034506,23.8814587706329,24.8437661889129,22.7621783174531,23.3751321938364,23.5133110585707,20.8172027291688,20.9889504112708,20.1199805957764,20.2764060189715,19.7006318407927,20.1270027042033,22.5581462534968,22.3456253162104,22.2964802939291,24.8757284096406,24.8653056417122,25.0413691820602],"PLATI-FDS^FG_PRICE_CHANGE(0,-1AM)":11.6230366492147,"FXI^P_PRICE(0)/P_PRICE_HIGH_PR(0,,,,,,\"PRICE\",\"INTRA\",\"52W\")":0.9603798,"EWN^FG_TOTAL_RETURNC(0,-3AM)":9.414005,"EWL^FMA_PCT_ABOVE_MAVG(200,0,,,,\"PORTAGG\")":68.8888888888889,"EWL^FMA_RBICS_REV_CURRENT(30, LOC, \"PORTAGG\")":17.8649112648431,"TRYID10Y-FDS^FG_YIELD(-10AY,0,Y,,\"YTM\")":[7.922017,8.942368,7.89735,6.462641,8.148183,7.263584,5.902206,6.458283,6.936579,6.498571],"USDUSD^FG_PRICE_CHANGE(0,-6AM)":0.0,"EWD^P_PRICE_RETURNS_PR('52W',2,-10AY,0,AM)":[16.322994,15.51013,10.116804,5.2990794,0.54843426,-6.463897,0.34689903,-1.49315,-10.660702,-2.097702,-5.770254,-3.2470107,-3.289318,-4.044342,-1.6176641,-2.2101164,-3.5639882,4.554367,-5.7316422,-5.1327705,-11.108625,-14.599818,-7.9645214,-8.289856,-13.966454,-13.97242,-9.95183,-6.4026537,-4.077154,-3.4274638,-3.6548674,0.7576823,16.621017,15.342844,11.540043,8.175802,20.891523,27.272964,29.131067,19.44349,25.243425,29.68669,28.140938,21.149313,26.679766,16.028059,12.890768,10.328007,4.7124147,1.2093663,-6.3795147,-1.9781649,-4.114085,-9.812575,-10.933739,-11.821211,-14.958662,-8.968502,-7.1313915,1.8834829,-6.3725176,-2.929014,0.8362293,-6.611514,-3.3595324,3.093636,13.53991,24.37011,20.021034,18.558502,-18.4469,-14.797693,-9.42145,6.5065384,14.498579,30.492926,22.420132,22.095537,23.604477,21.478712,25.66353,27.009905,90.732635,91.84918,83.65029,54.475952,43.627693,37.903416,33.79811,36.65148,28.372395,15.623236,13.879311,-0.4511714,-7.719934,-13.973671,-21.84304,-29.330439,-32.041145,-26.565039,-34.721733,-36.470097,-28.977268,-24.389011,-19.050491,-7.7748537,-14.603853,-1.4462471,5.2041054,16.528261,21.037663,0.29699802,10.7131,18.167316,9.610451,18.323814,5.586934,9.983277,26.763748,8.298278,16.81968],"EWN^FG_PRICE_MAVG(0,,,,60)":48.94975,"SPY^SIZE(FG_CONSTITUENTS)":504,"REFJPTON-FDS^PROPER_NAME(0,,,\"SECURITY\",\"NAME\")":"Japan Policy Rate","EWI^FMA_EVAL_EBIT(LTMA,NOW,NOW,M,\"PORTAGG\",\"MEANR\")":10.8386122168817,"EWU^FMA_PE(NTMA,0,,,\"PORTAGG\",\"MEANR\")":11.9687261103167,"TRYEU10Y-FDS^FG_YIELD(-10AY,0,Y,,\"YTM\")":[0.5475,0.636,0.2082,0.4294,0.239,-0.189,-0.575,-0.181,2.533,2.004],"USDITL^FG_COMPANY_NAME":"Italian Lira per U.S. Dollar","USDUSD^STD(FG_PRICE_CHANGE(0,-3AY,M))":0.0,"USDCHF^FG_PRICE_CHANGE(0,-1AM)":-0.64625144,"EWA^JULIAN(FMA_EPS(NTMA,-20AY,0,CY,,\"PORTAGG\",\"MEANR\").DATES)":[38352,38716,39080,39447,39813,40178,40543,40907,41274,41639,42004,42369,42734,43098,43465,43830,44196,44561,44925,45289],"EWA^FG_TOTAL_RETURNC(-10AY,0,AM)":[1.0586023,-2.020198,2.4360418,0.9080529,-5.6242943,-3.4564972,1.6461015,-10.29421,4.0074587,4.7491074,-2.5235176,2.1500707,1.8041253,-6.2025366,-3.0594528,-5.2756667,-6.121433,4.596472,-5.6719484,-0.8125663,-8.772254,8.307695,13.29546,-0.3009081,-1.006031,-2.8963387,8.157802,2.9931307,-5.7170033,4.295087,-2.131778,1.8316746,6.7169666,4.022455,1.1240959,0.31124353,-4.9202085,3.3100247,2.2909641,1.4427423,1.77778,0.7423639,-1.9072413,2.2536516,4.454851,-2.5858462,-0.9138346,-1.1418521,1.5548706,-1.6185522,2.4092674,1.8149614,-4.826087,-4.5226097,0.57417154,-4.662222,6.243384,2.8292656,1.7552257,2.0978928,-2.191776,3.2814384,4.1974187,-6.020367,6.5944433,-1.2372911,2.0581603,1.1049032,4.024768,-1.9983053,-32.494576,8.16195,-1.010102,17.868305,2.945733,4.2670727,-1.9258499,1.8654823,8.722889,8.582127,0.65870285,3.0265808,0.15878677,4.0824413,0.7235408,2.2371411,-4.0119944,0.35156012,-0.9731412,2.8301835,-2.4464786,-3.1752646,3.1844497,-1.7479658,4.9648404,4.0204883,-8.601737,-10.935712,1.2493968,8.258188,-6.882948,-5.9792876,13.570356,-0.24875402,8.64476,-1.8234491,-7.2604537,6.7364693,-2.2601306,3.712809,-0.55722,-7.586205,3.7313342,-2.9676259,2.919364,7.294011,-2.1368563,3.8511992,1.2642264,-2.2055805,7.404256],"WL-FDS^FG_PRICE_CHANGE(0,-6AM)":-27.4097203366821,"EWD^FG_PRICE(0)":41.11,"EWL^FG_PRICE_MAVG(0,,,,30)":46.518665,"EWJ^PERCENT_CHANGE(FMA_EPS(+1,0,,,,\"PORTAGG\",\"MEAN\"),FMA_EPS(+1,-3AM,,,,\"PORTAGG\",\"MEAN\"))":-0.2651715985226,"VGK^FG_TOTAL_RETURNC(0,-6AM)":16.56642,"EWL^PERCENT_CHANGE(FMA_EPS(+1,0,,,,\"PORTAGG\",\"MEAN\"),FMA_EPS(+1,-3AM,,,,\"PORTAGG\",\"MEAN\"))":2.20399533943541,"EWC^FG_TOTAL_RETURNC(0,-3AM)":5.207193,"FXI^FMA_COS_DOWN(\"EPS\",\"1M\",+1,0,,,\"PORTAGG\",\"MEANR\")":27.0,"EWN^FMA_COS_UP(\"EPS\",\"1M\",+1,0,,,\"PORTAGG\",\"MEANR\")":21.0,"EWC^FMA_COS_UP(\"EPS\",\"1M\",+1,0,,,\"PORTAGG\",\"MEANR\")":41.0,"REFJPTON-FDS^(SUBARRAY(NOT_NA(NO_REPEAT_F(FG_YIELD(NOW,-10AY,D))),0,1)-SUBARRAY(NOT_NA(NO_REPEAT_F(FG_YIELD(NOW,-10AY,D))),1,1))*100":10.0,"CC_SE^IMF_IFS_RCPI_Q(0)":4.6701536,"EWG^FMA_DIV_YLD(NTMA,NOW,NOW,M,\"PORTAGG\",\"MEANR\")":3.3906448019887,"USO^FG_TOTAL_RETURNC(0,-3AM)":4.8494697,"CAGDPY@GB^EE_ACTUAL_ANNUAL(MED,+1)":-2.8,"USDAUD^FG_PRICE_CHANGE(0,-6AM)":-2.7808964,"EWA^FMA_PE(NTMA,-10AY,0,AM,\"PORTAGG\",\"MEANR\")":[14.3333576955102,14.1678346150587,14.7167900236094,14.7660627172875,14.243817346196,13.9235147185662,14.2464687466853,13.7583780795326,14.4484274764468,16.090318949698,16.0233190833988,16.4311562951369,16.1448385527572,15.440468776302,15.5780870981543,14.9929436043781,14.5474262266479,15.0738126732397,14.7307906198965,15.023046661108,14.5769176103174,15.0624122129682,16.1084890328543,15.9106871610048,16.6294781205913,15.7630738048685,16.3742386509534,16.7900245222431,15.8920567278143,15.9882557260604,15.758628948932,15.5675462201942,15.877336093989,16.0601710720143,15.7588330907249,15.9162673426678,15.507783846841,15.4931070075755,15.6389181479776,15.8324229053055,15.5320446203342,15.8640881806706,15.8505622006117,15.8283542446788,15.8304265045601,15.3536324233092,15.2802382453732,14.9832265955424,15.4540384046873,15.1376985404315,15.4138963198151,15.7882168000345,15.217433593486,14.5516372651255,14.1756193041024,14.0019996496904,14.5965903882186,15.0265526899971,15.221972219089,15.3167910222926,15.4211261748783,15.8484677334089,16.170303901667,15.631555354932,16.6554515266946,16.7862680132803,17.2580255634787,17.5353816499094,18.036642423487,18.2951000082654,13.7289175437103,16.5885771895915,17.2422406215851,19.280340771548,19.1954402161942,19.505196591646,18.509331067711,18.5841508816394,19.3596432213928,19.5880148511413,19.1787307887155,18.8507974460887,18.099385260536,18.2188081801904,17.7161459701908,18.2249813476891,16.7966839522648,17.136483639823,16.9877472327236,17.3944057349906,17.1982418136043,17.1221553450961,17.4562645368735,16.13460542015,15.8936736769059,15.6660050718392,14.2205523891285,12.4496745403917,12.8008512132791,14.1420038424279,13.1795040960223,12.8397848768604,14.18997891708,14.0589367716908,14.7942049375039,14.6878779855471,13.9201466758633,14.7215609674866,14.452441653951,15.0516797816379,15.3492475897202,14.9244119267352,15.4827172883608,14.7931838058152,15.0583792148475,16.0435545593765,15.7936851195428,16.4506059585731,16.4175421260201,16.0709232463279,16.9883581983304],"BRENT-FDS^FG_PRICE_MAVG(0,,,,30)":85.86,"EWA^FMA_COS_UP(\"EPS\",\"1M\",+1,0,,,\"PORTAGG\",\"MEANR\")":21.0,"EWU^FMA_EVAL_EBITDA(NTMA,0,,,\"PORTAGG\",\"MEANR\")":7.71529166284258,"WL-FDS^FG_PRICE_CHANGE(0,-3AM)":-16.2306125646248,"EWC^FG_TOTAL_RETURNC(0,-1AM)":4.949689,"EWQ^FMA_COS_DOWN(\"EPS\",\"1M\",+1,0,,,\"PORTAGG\",\"MEANR\")":29.0,"REFJPTON-FDS^FG_YIELD(NOW,,,0)":0.1,"EWG^JULIAN(FMA_DIV_YLD(NTMA,NOW,NOW,M,\"PORTAGG\",\"MEANR\").DATES)":45412,"EWI^FMA_DIV_YLD(NTMA,-10AY,0,AM,\"PORTAGG\",\"MEANR\")":[3.58048748172727,3.39894822771664,3.51230669406337,3.74477886904525,3.52132177058052,4.08857713429136,3.98224444175814,4.14423952331074,4.04382352170221,3.58866680460773,3.18440561186745,3.16458340530868,3.15673449409564,3.41287592030011,3.1554905469398,3.14287541060564,3.37470316388374,3.55207073737418,3.6104871968993,3.79756886943564,4.30985214745065,4.57786988335187,4.26245505157777,4.40030855249208,4.59754820285586,4.8366151161657,4.76373736596518,4.81416247623389,5.01482055046861,4.94475874675354,4.80576717127564,4.33500027503235,4.34365765797899,4.43891666415069,3.9863165802137,4.05572920104888,3.80750691799234,3.7853080044945,3.74593277896081,3.76520713779544,3.7286494614683,3.84182968323389,3.92266861476023,3.92823341587911,3.74834582711488,3.92503073918298,4.01384244607288,3.93132286555395,3.97223805528952,4.36124904132261,4.45725146927946,4.70533723590552,4.60018157093936,5.0175100579978,5.17219035349407,5.29858007929516,5.12002339473182,4.919361234089,4.73641934350289,4.60630466281944,4.82135189210368,4.96404518660706,4.66768231896851,5.1023895557268,4.78933061360911,4.69186973947116,4.50596041302835,4.46946107635586,4.40434774007868,4.44293913230754,7.03302768108678,5.83046663565816,5.17046189557959,4.26635891528689,4.19572870807577,3.95539639179468,4.05513641136352,4.13893151430475,3.96132141000973,3.95022783047986,3.9855176020305,3.96755109194367,4.02387755707268,4.06134480810066,4.1592984425584,4.04229131694435,4.24017078880966,4.29448564460227,4.54412784350503,4.39499279928703,4.29941420353986,4.69808614891234,4.59371642495364,4.85701055059362,5.23206362685718,5.03558338301538,5.13609150164943,5.82744226824427,6.07793457865442,5.60772030240344,5.64208214212667,6.04118173607543,5.49443520963849,5.93596553972739,5.42791566906989,5.39714647360119,5.76033624159116,5.33008836721591,5.57572541999135,5.31858362174296,5.26291135570044,5.64337973267734,5.36814292405018,5.56246882046333,5.48695311589732,5.46603007772352,5.4426502864547,5.44131822946714,5.16282003662624,5.29528715886279,5.09185776810412],"BRENT-FDS^FG_PRICE(0)":85.86,"ENZL^FMA_COS_DOWN(\"EPS\",\"1M\",+1,0,,,\"PORTAGG\",\"MEANR\")":5.0,"TRYFR10Y-FDS^FG_YIELD(0,,,,\"YTM\")":2.983,"VGK^FG_PE(0)":13.1440748782258,"EWC^FG_COMPANY_NAME":"iShares MSCI Canada ETF","DBA^P_PRICE(0)/P_PRICE_HIGH_PR(0,,,USD,,,\"PRICE\",\"INTRA\",\"52W\")":0.88291675,"USDSEK^STD(FG_PRICE_CHANGE(0,-1AY,AM))":3.32939097141583,"USDJPY^STD(FG_PRICE_CHANGE(0,-3AY,M))":3.04123201183011,"WL-FDS^FG_PRICE_CHANGE(0,-1AM)":-4.39835508671552,"EWJ^FG_PRICE_MAVG(0,,,,200)":64.4933,"VGK^PERCENT_CHANGE(FMA_EPS(+1,0,,,,\"PORTAGG\",\"MEAN\"),FMA_EPS(+1,-3AM,,,,\"PORTAGG\",\"MEAN\"))":-1.55445198250733,"QQQ^P_PRICE(0)/P_PRICE_HIGH_PR(0,,,,,,\"PRICE\",\"INTRA\",\"52W\")":0.9935561,"EWC^PERCENT_CHANGE(FMA_EPS(+1,0,,,,\"PORTAGG\",\"MEAN\"),FMA_EPS(+1,-3AM,,,,\"PORTAGG\",\"MEAN\"))":-0.9250208721448,"EWQ^FMA_COS_UP(\"EPS\",\"1M\",+1,0,,,\"PORTAGG\",\"MEANR\")":31.0,"REFSEREPO-FDS^FG_YIELD(NOW,,,0)":3.75,"TRYGB10Y-FDS^PCTCHG(FG_YIELD(0,,,,\"YTM\"),FG_YIELD(-3AM,,,,\"YTM\"))":0.7088684,"CC_FR^IMF_IFS_RCPI_Q(0)":2.79402,"EWQ^FG_FCF_YIELD_NTM(0)":5.53922214627607,"EWC^FMA_EVAL_EBIT(LTMA,NOW,NOW,M,\"PORTAGG\",\"MEANR\")":16.2285497899407,"TRYGB10Y-FDS^FG_YIELD(-10AY,0,Y,,\"YTM\")":[1.8155,2.0248,1.2817,1.2536,1.3339,0.822,0.197,0.966,3.662,3.534],"USDANG^FG_PRICE(0)":1.79,"USDGBP^FG_PRICE_CHANGE(0,-6AM)":-2.08292,"EWQ^FG_TOTAL_RETURNC(-10AY,0,AM)":[0.6261587,1.2445331,-5.3346157,-3.3679724,1.4460564,-10.087723,3.1300783,-2.0942032,-0.40617585,7.01468,-2.248478,3.9766073,4.4994354,-5.0592127,2.4604797,-0.15003085,-4.3200674,1.2563825,-2.7142346,-2.6703894,-9.130579,3.6634922,6.282723,0.49260855,-2.3284316,-1.1292338,1.0162115,3.823018,-3.0202687,1.1945367,-1.4333904,4.191625,3.902471,-0.79301596,4.3565154,0.45958757,10.446048,1.3462305,1.7635703,-0.13619661,4.125476,1.4734745,-0.871253,0.7161498,6.949842,-2.546227,-0.8398235,2.634883,0.122237206,-1.495719,-0.6633103,-3.5987258,1.8830538,-4.8313856,-3.1005085,-5.872011,1.3605237,6.071818,4.991281,2.5930882,-3.078419,0.93774796,3.4623265,-5.7414713,5.5690885,1.4177442,3.8036466,1.5311241,1.8856287,-2.0327628,-33.41592,12.18605,-4.353237,19.675838,4.9945235,1.8055558,0.75035095,-2.6743412,12.382614,4.1651964,-0.059717894,2.5993347,3.756559,4.013467,3.1300545,2.4398685,-3.9256215,4.5161247,-2.2890925,2.026844,3.224969,-4.605275,5.6542873,-4.255867,-6.2283754,-2.668178,-2.537191,-8.509737,-0.97643137,9.316564,-8.646971,-3.1324506,15.254831,0.45250654,11.212671,2.876711,-6.391472,11.152196,-0.563097,0.7619858,2.376604,-5.6122484,0.40540695,-5.51818,6.296301,4.4224024,-3.3530474,4.490781,6.3443303,-4.3781576,6.2893033],"NI-FDS^FG_PRICE_CHANGE(0,-1AY)":-2.74390243902439,"W-FDS^FG_PRICE_CHANGE(0,-1AM)":21.2756052141527,"QQQ^FG_PRICE_MAVG(0,,,,60)":437.8135,"VWO^P_PRICE(0)/P_PRICE_HIGH_PR(0,,,,,,\"PRICE\",\"INTRA\",\"52W\")":0.99831206,"EWQ^PERCENT_CHANGE(FMA_EPS(+1,0,,,,\"PORTAGG\",\"MEAN\"),FMA_EPS(+1,-1AM,,,,\"PORTAGG\",\"MEAN\"))":2.62580457706105,"EWU^FG_TOTAL_RETURNC(0,-3AM)":12.423504,"EWG^FG_TOTAL_RETURNC(0,-6AM)":15.833128,"EWL^FMA_COS_UP(\"EPS\",\"1M\",+1,0,,,\"PORTAGG\",\"MEANR\")":21.0,"REFFFUND-FDS^FG_YIELD(NOW,,,0)":5.5,"REFNZOCR-FDS^PROPER_NAME(0,,,\"SECURITY\",\"NAME\")":"New Zealand Official Cash Rate","TRYAU10Y-FDS^PCTCHG(FG_YIELD(0,,,,\"YTM\"),FG_YIELD(-1AM,,,,\"YTM\"))":-3.8127923,"EWD^FMA_PE(NTMA,0,,,\"PORTAGG\",\"MEANR\")":16.5160691960667,"SPY^JULIAN(FMA_DIV_YLD(NTMA,NOW,NOW,M,\"PORTAGG\",\"MEANR\").DATES)":45412,"EWJ^FMA_EVAL_EBITDA(NTMA,0,,,\"PORTAGG\",\"MEANR\")":10.4822995469971,"EWA^FMA_DIV_YLD(NTMA,NOW,NOW,M,\"PORTAGG\",\"MEANR\")":4.01562454510399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10545012496,11.2050609808234,13.9227699470217,15.8587444123321,14.7207289002436],"CAGDPY@SE^EE_ACTUAL_ANNUAL(MED,+1)":5.4,"CC_JP^FG_COMPANY_NAME":"Japan","USDEUR^FG_PRICE_CHANGE(0,-1AY)":-0.51029325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7419876,2.00892945351409,2.43601807668502,2.42941425498409,2.95560750497075],"EWD^FMA_PE(NTMA,-10AY,0,AM,\"PORTAGG\",\"MEANR\")":[15.8372478736628,15.6232785978946,15.4125313960728,15.0521725222958,14.807665516834,13.6107748756822,15.3049267876028,15.031827701482,15.6294680213848,16.6513081002868,17.0907057649556,16.5876658927194,15.8326662680484,15.6029065097929,16.240203497935,15.9050686279042,14.7613109715605,14.7821973688787,15.4430213220052,14.8716114234542,13.5975182581164,15.1251425475443,15.2978718863344,15.3026492275642,14.6544870342695,14.257975637838,15.0147137725576,15.2765420692986,15.3242835708722,15.9620552939095,16.1208892373641,16.7511997174863,15.9282033359068,16.3751415979077,16.8187429227996,16.9061513709531,18.0112672763498,16.8378806596828,16.7968480908919,15.7142943093165,16.1628726121903,16.7704500336568,16.6859208443406,16.3142436737457,16.6242358696136,16.1561197240843,16.2175354668837,15.8894562531499,16.1373722281664,15.3852770529363,15.2627796558754,15.5559387699017,15.6557004422617,14.682484152575,14.1007755286879,13.6520689377627,14.1572387316938,14.9294651026098,15.0133507635527,15.4466789541528,15.0391529814082,14.7222279920857,14.9080449339328,13.5136919098557,14.610609328387,15.3094471875057,15.8540238937633,16.2936138235111,16.4910119251613,17.0111020961098,12.3317579025851,16.4726400498131,16.9778015302842,19.132959912106,19.9218035469405,18.2402797121983,18.4767096134691,17.3761396484462,17.3000753236265,17.183305698441,18.7174238345529,18.7322918488377,20.0906732334059,20.7635329700299,17.8519106042731,18.7205013864306,18.5991830699659,18.5219788827135,18.3781669243357,18.4247497039251,18.9715657039886,17.726244849041,17.508578081126,15.8480586284327,15.4927662298018,15.0156689571829,16.0032448364999,14.2161411551396,14.3974504453474,14.9753142940966,13.6121127952201,13.4204153051181,12.8097416302275,12.7426217494804,13.6735403078766,14.1822357395213,13.0936615977277,13.9145405888543,13.493566958891,13.8305195227812,13.3547720106994,12.7050952799792,13.0759801560556,13.2155143227738,13.3425651866105,15.6541221045383,15.0854276017912,16.0428926950517,16.7422910308327,16.0790013341507,16.5160691960667],"ENZL^FMA_PE(LTMA,-10AY,0,AM,\"PORTAGG\",\"MEANR\")":[18.0539441924434,18.0386470031418,17.9430115885267,17.91548203036,17.6623483294229,17.6385485902579,18.8058948832647,18.9116195535112,19.4178331283541,19.847655522089,20.4262468310093,20.1863890287462,19.999759491272,19.7860371155205,19.7907254696102,19.4085881322736,19.1395379239398,19.1368195551428,19.3384218505228,19.451937963844,19.2866706508681,18.9845504713983,19.3353490407983,19.4643361268665,19.6960128517959,19.6036139677742,19.9812940631355,20.6923972559132,20.7799639113457,20.3246479195504,19.8638665716367,19.550714252456,20.4352111885537,20.3505065577855,19.7516889647336,19.8114463260487,19.9817101960841,20.0777917390615,20.260539831321,20.7924781317785,20.4498936561367,20.9558888365954,21.3020750296269,22.1789336898757,22.0497653092405,21.8745133611313,22.5700914670495,22.3172137081459,22.3843692778253,22.8371320171852,22.8610728055252,23.1392678848738,23.5763314118709,22.8834785090376,22.7207778810362,22.7240869914216,23.5805466428672,23.8210197523605,24.0857067825863,24.2083973569735,24.3509707040085,24.2278455337647,24.9988189933315,25.0322735008327,28.6151502715447,29.2606526539808,29.1945792851556,31.533379139167,33.0303770825293,33.3238883850852,29.9328432543309,31.6003858512158,32.1124216166842,32.6017129187029,33.4813234171559,34.0110321778751,33.6994525416084,35.1876283192318,36.3464823155504,36.9193215854827,37.4582800177366,35.1507032615899,34.5732422327528,34.5250602156161,34.7321579407932,35.7060545658777,36.4841007473112,36.8726785625568,38.7933502573113,38.6004902660686,38.6542133783006,38.3685357986647,38.1292729645446,36.4248168455633,35.0362815948191,34.4962054461311,33.9030441382049,32.7121800483975,33.0101111533586,33.9011438569564,33.7357829928235,30.9250117281863,30.269457475607,29.5795507733525,29.9524633146445,30.1787104647234,29.0741108410498,28.6397034488609,28.1779734988938,26.3616757506225,25.6857218257937,24.4784015021311,23.9950206249763,23.1811494140217,22.2681538231345,23.8792270297255,23.2791194602107,23.0635498826774,23.8400640936247,24.1182506614568,24.4754216451111],"TIOS-FDS^FG_PRICE(0)":116.85,"EWU^FG_PRICE_MAVG(0,,,,200)":32.70075,"EWA^FG_PRICE(0)":25.24,"SPY^PERCENT_CHANGE(FMA_EPS(+1,0,,,,\"PORTAGG\",\"MEAN\"),FMA_EPS(+1,-3AM,,,,\"PORTAGG\",\"MEAN\"))":0.249402650864249,"EWD^FG_TOTAL_RETURNC(0,-6AM)":18.964088,"ENZL^FG_TOTAL_RETURNC(0,-6AM)":5.697143,"EWI^SIZE(FG_CONSTITUENTS)":26,"TRYIT10Y-FDS^PCTCHG(FG_YIELD(0,,,,\"YTM\"),FG_YIELD(-3AM,,,,\"YTM\"))":-2.0139382,"TRYDE10Y-FDS^FG_YIELD(0,,,,\"YTM\")":2.507,"VWO^FG_PE_NTM(0,,,90,0)":12.7459216412636,"GLD^P_PRICE(0)/P_PRICE_HIGH_PR(0,,,USD,,,\"PRICE\",\"INTRA\",\"52W\")":0.99364704,"SPY^FG_TOTAL_RETURNC(-10AY,0,AM)":[0.8906126,3.6054254,0.93188286,0.0051021576,2.5699973,-5.6777296,8.4363575,-1.2624145,0.46982765,4.2057157,-1.0232687,0.43754578,2.1591783,-0.8708358,1.390481,-0.889498,-5.1569405,2.3105025,1.0823011,-0.2968788,-7.767457,2.699542,6.091869,2.0608187,-1.4097571,1.3412952,4.5080423,1.176846,-1.7941713,-0.46398044,3.112352,3.369522,0.5376816,3.9071798,1.2646675,-1.037842,0.53288937,3.3937335,1.1910677,-0.99377036,3.017223,2.5201678,0.93551874,3.8785934,4.9153805,-2.3246646,0.80070496,-1.4624417,0.673604,2.3401856,1.2052059,1.6365409,1.501441,-2.6334584,-2.3961484,-6.7109942,3.5902977,5.47992,1.8650651,2.8936148,-1.2471974,1.2349606,3.393519,-2.9858232,4.178643,-0.08366704,4.180038,2.495265,4.3824315,1.7020583,-25.118483,14.082634,-0.12559891,8.865452,3.6848307,5.032325,-0.6125927,3.8282037,3.8382888,3.222227,1.3614774,4.44237,1.2411118,5.379081,-0.41701198,1.5522718,2.559507,2.9443145,-0.2729237,1.0126829,4.994738,-1.417011,1.0546446,-5.951971,0.9174943,-0.43863654,-6.7315397,-10.012526,5.267048,10.780775,-9.256679,-4.8604608,7.4750543,-2.3307145,3.783238,2.385807,-3.8706958,6.1411858,0.31163692,6.2298894,2.5895476,-3.2273054,1.9856453,-1.6577601,3.387463,4.5356154,0.63068867,5.7634115,2.3853183,-1.8202126,5.7736516],"NI-FDS^FG_PRICE_CHANGE(0,-3AM)":28.8688626476072,"W-FDS^FG_PRICE_MAVG(0,,,,30)":5.95525,"EWQ^FMA_PCT_ABOVE_MAVG(200,0,,,,\"PORTAGG\")":74.6031746031746,"EWU^PERCENT_CHANGE(FMA_EPS(+1,0,,,,\"PORTAGG\",\"MEAN\"),FMA_EPS(+1,-3AM,,,,\"PORTAGG\",\"MEAN\"))":2.75952318864936,"EWG^FG_TOTAL_RETURNC(0,-3AM)":9.861052,"EWC^FG_ROE(0)":11.0299205534767,"TRYNZ10Y-FDS^PCTCHG(FG_YIELD(0,,,,\"YTM\"),FG_YIELD(-3AM,,,,\"YTM\"))":-5.169005,"EWD^FMA_PE(LTM,0,,,\"PORTAGG\",\"MEANR\")":14.2956725538571,"QQQ^FMA_EVAL_EBIT(LTMA,NOW,NOW,M,\"PORTAGG\",\"MEANR\")":24.2429002536143,"EWJ^FMA_DIV_YLD(NTMA,NOW,NOW,M,\"PORTAGG\",\"MEANR\")":2.20531765496706,"EWA^FMA_PE(NTMA,0,,,\"PORTAGG\",\"MEANR\")":16.9883581983304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2996868127809],"CAGDPY@NL^EE_ACTUAL_ANNUAL(MED,+1)":8.35,"CC_DE^FG_COMPANY_NAME":"Germany","USDGBP^FG_PRICE_CHANGE(0,-1AY)":-1.8269897,"USDEUR^FG_COMPANY_NAME":"Euro per U.S. Dollar"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1714274,1.85109750880863,2.46081746914008,2.80266518938636,2.92070468127568],"EWN^FMA_PE(NTMA,-10AY,0,AM,\"PORTAGG\",\"MEANR\")":[14.0213257835973,14.5213360454277,14.1186707770005,13.8064364414521,14.5533414070829,13.5006858606735,14.8213942161515,14.2188501220215,15.0926858747339,16.1697807863808,17.505408652678,17.1777104831432,16.8797772619537,16.1145578559084,17.0950567755387,15.9009564703212,14.8593586606607,15.1715846055331,16.3029917507159,15.6177966755793,14.1271977719314,14.3662466390366,15.3012109048266,15.3767111388957,14.6485763463555,13.9513203304134,14.5185581145417,14.7616373707354,14.4750377367676,14.6796794456718,14.5539644147704,14.946536712276,14.8695147329732,15.6782842710407,16.0975580919081,16.1140664043186,16.2959785850899,16.0596069330318,15.9874685450655,15.8939023504967,15.8558988987342,16.2069115460991,15.9378221525605,16.065092497502,16.3000182368144,15.5175437484168,15.691995133409,15.7357082126623,15.8378122681843,15.9589231399567,15.688615610116,15.3546322799965,14.9123348124348,14.3047584671485,14.1917440632078,13.4424698509564,13.4031411426171,14.8547936676726,15.3325260907041,15.6722203848157,15.3786629098857,15.1739942918827,15.691393018889,15.0658977755566,16.2495048310335,16.1936526619442,16.7938144432127,17.0525839379843,17.3617062024702,18.2286010756931,12.4362673552714,16.3937241111353,17.0226616116547,19.6863674243035,20.1912886143877,20.0236566075275,19.4713580426131,19.9240631261243,20.6445033969618,20.6616662254063,21.2620504012239,22.5690066496178,21.7943106814571,22.8318428446414,21.0759633969031,21.6444537693328,21.0801286046273,21.5444403712093,21.5889952107946,20.86090939743,21.6648583273122,19.7594203094328,19.7897495125527,18.2873289003663,17.7638923372773,17.6621551515907,17.0694446239157,15.4267058557653,16.1955689888153,17.6764195262705,15.4635639706857,14.3353611986602,16.3397031800225,15.7371948245057,17.0223600744079,17.0390917970217,15.7458410321025,16.2188525171416,15.6758435744553,15.8433562183007,16.0790210694695,14.7167486431369,14.0528618100331,13.5023973850358,14.6755630986315,15.3102962951797,14.6111769451801,16.3679145741274,15.9000570265375,15.6218023009577,16.3473139763207],"EWU^FG_PRICE_MAVG(0,,,,60)":34.182835,"ENZL^FG_PRICE_MAVG(0,,,,200)":45.40844,"VWO^PERCENT_CHANGE(FMA_EPS(+1,0,,,,\"PORTAGG\",\"MEAN\"),FMA_EPS(+1,-3AM,,,,\"PORTAGG\",\"MEAN\"))":-4.18848910287059,"EWD^FG_TOTAL_RETURNC(0,-3AM)":7.1968794,"EWL^FG_TOTAL_RETURNC(0,-12AM)":4.485297,"EWG^FG_TOTAL_RETURNC(0,-1AM)":7.5290203,"ENZL^FG_TOTAL_RETURNC(0,-3AM)":0.56979656,"EWI^FMA_COS_DOWN(\"EPS\",\"1M\",+1,0,,,\"PORTAGG\",\"MEANR\")":5.0,"REFGBBANK-FDS^(SUBARRAY(NOT_NA(NO_REPEAT_F(FG_YIELD(NOW,-10AY,D))),0,1)-SUBARRAY(NOT_NA(NO_REPEAT_F(FG_YIELD(NOW,-10AY,D))),1,1))*100":25.0,"TRYIT10Y-FDS^PCTCHG(FG_YIELD(0,,,,\"YTM\"),FG_YIELD(-1AM,,,,\"YTM\"))":-2.0897794,"VWO^FG_PE(0)":14.39065830733,"TRYAU10Y-FDS^FG_YIELD(-10AY,0,Y,,\"YTM\")":[2.81,2.88,2.76,2.63,2.315,1.375,0.972,1.671,4.051,3.955],"USDCAD^FG_PRICE_CHANGE(0,-6AM)":-0.9140551,"QQQ^FG_TOTAL_RETURNC(-10AY,0,AM)":[1.7517447,5.4041743,2.6209593,2.9391527,2.1868587,-6.3385963,10.655916,-1.0786116,-0.5954504,6.13966,-0.13082623,-0.5779922,3.3676028,-0.4380405,4.356289,-1.901573,-3.8589299,1.1732101,3.1169057,0.744462,-9.940964,1.646173,4.8975587,3.2063603,-4.6637716,1.2292862,4.9863935,4.8837185,0.276196,-0.40071607,0.8046627,1.8639088,2.6672244,5.717075,1.6594648,-0.15947223,3.4910321,1.8067241,2.9243588,-0.6048262,3.346777,2.2641659,3.2944202,2.4033785,5.3817034,-0.5006254,3.673613,-2.7161121,1.3425589,5.138707,2.0773292,-0.2274394,0.82285404,-2.058059,-5.5220246,-6.011945,4.242921,5.0785303,3.728044,5.1247597,-2.1960974,0.38243532,4.8353553,-3.4963608,3.838694,0.69589615,4.8359632,3.1935334,6.911814,5.040741,-22.374702,18.451786,3.706634,9.114515,6.6686153,6.1290503,-1.8160701,6.883955,1.3032436,6.408465,0.45872927,7.076895,-3.6025524,6.378901,-5.1460505,6.451714,3.6694407,2.273488,2.2147417,-1.1963665,7.776332,-3.1989515,-1.1455834,-9.094495,-0.2923727,-1.6231477,-9.532243,-10.281873,6.453681,12.546682,-11.924255,-6.736529,5.7397366,-3.7077367,2.907586,6.968808,1.3946056,4.57561,3.8514614,11.116815,4.132724,-6.280547,3.4106731,-0.56039095,4.84519,4.9994826,0.71361065,5.7366014,0.77804327,-1.733464,6.0867906],"DDR3512M-FDS^FG_PRICE_CHANGE(0,-6AM)":-6.8781177028952,"NI-FDS^FG_PRICE_CHANGE(0,-1AM)":16.0324566312255,"SPY^FG_TOTAL_RETURNC(0,-12AM)":29.365086,"USDJPY^FG_PRICE_CHANGE(0,-1AY)":13.094414,"SPY^FMA_DIV_YLD(NTMA,-10AY,0,AM,\"PORTAGG\",\"MEANR\")":[2.16876791286314,2.11211723243811,2.11214086873996,2.13136459463603,2.09838587608009,2.23666301759582,2.08961862768217,2.142601879424,2.15191508541109,2.104536082835,2.18209103888304,2.17146331957043,2.14130476720364,2.17094679831331,2.14742936463874,2.20024142224174,2.33624275749565,2.29143583581959,2.30583810997221,2.31266401587863,2.52577322652888,2.45182025901469,2.47519773454617,2.29179874134034,2.29270141173246,2.30651609115288,2.21862376707666,2.20572176652498,2.25397209924511,2.26798416878474,2.22274358469171,2.16622740508032,2.17095338845889,2.11331848463476,2.09887528084817,2.13455315330618,2.14244462076144,2.08657704583377,2.08936558450349,2.12738884375202,2.07624463005682,2.03605310921774,2.01951765321519,1.95603580738629,1.88278325583447,1.96390334886112,1.96977148500469,2.0191336343392,2.02963063074249,1.99631000648542,2.00100125367302,1.98834390657188,1.9696603480496,2.03827955381116,2.09826917852094,2.27384329085059,2.20955197588808,2.10816995418462,2.08796241289004,2.05088364630928,2.09084825743899,2.0823917066129,2.02603877120736,2.10223589074752,2.03206147635345,2.04612637841639,1.98048412643462,1.95421722669715,1.88474252253525,1.86880880375892,2.50273995654745,2.14012061352184,2.11694031392647,1.93495124874811,1.84429243146746,1.76164992070016,1.77900571093823,1.71781403298747,1.65775307076658,1.61590923554761,1.57750184465775,1.52711000125142,1.52114149431172,1.4540453797793,1.46876044929784,1.46203026564466,1.44720079783146,1.41803914544335,1.43173901762723,1.42808819316149,1.36942062343558,1.39732266311598,1.38895755050417,1.50164440848221,1.49479590774159,1.5008506802326,1.6232519373139,1.81982012931444,1.74236654775506,1.59098927790707,1.76800327044546,1.86880117593391,1.75567166727358,1.80075888719772,1.74462376518179,1.71910330452271,1.79417115463615,1.70234603800699,1.69677430585852,1.6115774763234,1.57470984225742,1.6421379188715,1.6191735487945,1.66199359484277,1.61436840193809,1.56169628293303,1.55728196819633,1.49615544129767,1.47019473228904,1.50255111370406,1.44269359141051],"EWA^FMA_PE(LTMA,-10AY,0,AM,\"PORTAGG\",\"MEANR\")":[15.2273361141073,15.0982652380645,15.3450707206443,15.3712255328928,14.9988098877562,14.770733588586,14.9879592084817,13.9774345735545,14.4967175436913,15.955139324417,16.1846624762491,16.3460728609376,16.3076344332637,16.0513866538864,16.1138307346702,15.7735836927051,15.4153366482868,15.673842823259,15.2659876484591,15.3469990543685,14.6889113285286,14.9553300208525,15.183454918889,15.2776322262357,15.737806969957,15.5692454246995,16.1015151874223,16.6652431572865,16.2787634815342,16.6929613024722,16.9288694068373,17.2656872029063,17.8138327256553,17.9848459005171,17.4331567442892,17.3276709311797,17.0544152014309,16.881450139886,16.8261294688803,16.8069844571299,16.4972615287132,16.6905370069238,16.6239095729351,16.614390611766,16.6400679723534,16.348062710048,16.4564602181154,16.2743790824568,16.339100869208,16.1526942397189,16.2168796784495,16.4391420629147,16.0233318794338,15.5181508830192,15.0557026032624,14.71609898342,15.171032756432,15.6489885190806,15.8646953066049,15.8564441021006,15.8752874777956,16.0711034020743,16.3004274781149,16.0557846265606,16.7871910733341,17.0790843639433,17.5972383718938,17.99895347762,18.6674392411147,18.8899791188243,16.3484983758212,17.0030600708912,17.3859288224522,18.5538036486075,18.8459457604042,19.5132500766288,19.3170916040055,19.8796482913867,21.5844616418633,23.0635788955997,23.2571726967689,22.9018334089187,21.6031196310603,21.272406053702,20.7208084035851,20.544362751613,19.4227864908401,19.1787452982516,18.7168136681148,18.71975167953,18.0727272466172,17.5953739913474,17.6988894954391,16.3041710533683,15.7347916456554,15.6625557741543,15.0917002706388,14.1163854541898,14.018667418019,14.6035723571857,13.7976637541728,13.2408621151322,14.1110240598228,13.982139251916,14.6830405260499,14.4395982576794,14.1599251896837,14.3617645928222,14.3056177334526,14.6091501741021,14.8552146046573,14.708263695616,15.1881796580514,14.7537079291379,15.020775682626,16.0749661257114,15.881487921544,16.5336526087512,16.5806682286148,16.4867119619429,16.8205263971345],"ENZL^FMA_PCT_ABOVE_MAVG(200,0,,,,\"PORTAGG\")":28.5714285714286,"EWU^FMA_COS_DOWN(\"EPS\",\"1M\",+1,0,,,\"PORTAGG\",\"MEANR\")":38.0,"TRYJP10Y-FDS^PCTCHG(FG_YIELD(0,,,,\"YTM\"),FG_YIELD(-3AM,,,,\"YTM\"))":28.472221,"TRYAU10Y-FDS^FG_YIELD(0,,,,\"YTM\")":4.213,"EWI^FG_FCF_YIELD_NTM(0)":6.16310465335211,"SPY^FMA_PE(LTM,0,,,\"PORTAGG\",\"MEANR\")":25.4968280850881,"EWC^FMA_EVAL_EBITDA(NTMA,0,,,\"PORTAGG\",\"MEANR\")":9.87004454601187,"UUP^FG_TOTAL_RETURNC(0,-6AM)":3.6976814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29657487096],"EWU^FMA_DIV_YLD(NTMA,-10AY,0,AM,\"PORTAGG\",\"MEANR\")":[3.81462633313556,3.86936111881605,3.88548889792172,3.96993651600935,3.93460188830571,4.26193567242097,4.05607134744466,4.27574032753064,4.18156400273836,3.96523591978435,4.01447145100103,3.91161015513181,3.87309130827091,4.07041163638628,4.0630025934882,4.16078300304997,4.42274526307413,4.23594083779223,4.27285669351196,4.39300156405288,4.64280909726162,4.54325455000734,4.32318215280733,4.25146207823085,4.35008815062913,4.45903070632523,4.15498306968487,4.08998737795741,4.23036913893178,4.31958627530607,4.4160943306575,4.33122110045207,4.27463171861432,4.25662329518705,4.28516865662913,4.33475207832787,4.21469459880663,4.28056827801387,4.27927423207102,4.3464368688582,4.37096960893152,4.28361423072321,4.39059439903521,4.32399199067573,4.17487779415006,4.38697091576425,4.50795766771815,4.43923742483089,4.23583930723134,4.38166360624528,4.42811707082304,4.52744387050127,4.62555731340181,4.81736274953075,4.92840173717671,5.18210637856609,5.21776321723221,4.94298950696693,4.89774516118383,4.80616319721735,4.93330965937235,4.84577699449706,4.79185165980156,5.154273864531,4.92907962107809,4.91872277760598,4.81774144859148,4.59818524078513,4.52679493648737,4.70109236989143,6.80944191855915,5.69010277774933,4.59227630150381,4.05783213631467,3.97825903614762,3.95151130071422,4.07749602997295,4.2950204318513,4.00428155358607,3.87536701671452,3.89198157155813,3.96233090556938,3.96840575555433,3.92799163757249,3.90033215988022,3.88360540252622,4.08296883083518,4.15742545195113,4.28533185486775,4.03933234360614,4.03092549343318,4.01747250688556,3.82058456617092,3.83281825447522,4.00373147623754,3.93120684931638,4.07767596696712,4.42962623091787,4.38533390473609,4.18800898899166,4.49657460456604,4.61316594516338,4.35735683641588,4.34259529796147,4.0383891735613,4.05750645684777,4.44024378096336,4.15885903072706,4.29894847475756,4.30850629619613,4.39832343990656,4.54861251207572,4.38159886683758,4.42607379433875,4.49231529840904,4.35688341568893,4.45264811821738,4.2261218750813,4.12986387059795,4.0974481917831,3.80206715041527],"CPALM-FDS^FG_PRICE_MAVG(0,,,,30)":4062.9666,"SPY^FMA_COS_UP(\"EPS\",\"1M\",+1,0,,,\"PORTAGG\",\"MEANR\")":276.0,"TRYJP10Y-FDS^PCTCHG(FG_YIELD(0,,,,\"YTM\"),FG_YIELD(-1AM,,,,\"YTM\"))":7.4601326,"QQQ^FG_FCF_YIELD_NTM(0)":3.6256338771031,"EWC^FG_FCF_YIELD_NTM(0)":5.02957228114558,"EWJ^FMA_DIV_YLD(NTMA,-10AY,0,AM,\"PORTAGG\",\"MEANR\")":[2.2299672182645,2.10819571379157,2.06257415085679,2.08472050245872,2.04806776707064,2.29140445203823,1.98539761588564,2.05778113786536,2.06373440990518,1.95462023917372,1.83684167386705,1.84768452478315,1.87935906282022,1.90798335130449,1.89250052145139,1.90090034470918,2.13898180947968,2.1166005519027,2.02404306551396,2.06178374741203,2.32247062199098,2.53480219304706,2.37623418888204,2.36099736972325,2.39878974778303,2.52035690022553,2.38563066876829,2.39853104550845,2.41694927701799,2.36166812320165,2.25294312789954,2.07486561142846,2.15273352873064,2.14000132546178,2.13465831319679,2.29979875228329,2.17163494998426,2.18180930940393,2.15841532597922,2.19342734612086,2.19615754400665,2.10540176109901,2.08956127012899,2.08153751100606,1.98099871668057,2.19871468312943,2.23127629619239,2.25738066972883,2.18261228639577,2.22636608489503,2.28176367670179,2.35713631676121,2.3238431642672,2.3555185362408,2.50288888893973,2.55748257136695,2.67172242859856,2.61644662750196,2.57260235034742,2.54594449750995,2.66662261397865,2.70877031246855,2.66184255057824,2.80384153415463,2.57378237254749,2.56839328605329,2.47439402376846,2.40495637023537,2.42292587578415,2.46803100926422,3.29700418909165,2.84660463131857,2.81172202272342,2.47198957793049,2.48300212684211,2.40626219468307,2.35893155213543,2.39945095146996,2.23512310250671,2.15330734388738,2.08552419611279,2.00486632932475,2.03305282463041,2.07493649251302,2.21579400944364,2.15514154867296,2.22545572346547,2.27472032582877,2.126903605541,2.21193642467743,2.21770455812481,2.31808799382376,2.34939976924856,2.46416899152198,2.5742626257526,2.5738579416217,2.6475282968091,2.7456988663404,2.67298735053845,2.53209917233677,2.6438689368175,2.74309457427892,2.61862410860482,2.66612795135148,2.72287759551094,2.60860207529793,2.66443171995121,2.58889654041208,2.48493299335173,2.30802488085196,2.39720726670917,2.42694828721799,2.26900521279962,2.41319779660631,2.34741320685269,2.45378710894387,2.29847000400982,2.22345772778756,2.22095082434736,2.26012932368353,2.23002057401505],"FC0000CA^FG_PRICE(0)":297.2645,"EWI^FG_TOTAL_RETURNC(0,-1AM)":9.126223,"EWI^FMA_PE(LTM,0,,,\"PORTAGG\",\"MEANR\")":10.4754552902725,"USDJPY^FG_COMPANY_NAME":"Japanese Yen per U.S. Dollar","CPALM-FDS^FG_PRICE(0)":3895.0,"EWI^PERCENT_CHANGE(FMA_EPS(+1,0,,,,\"PORTAGG\",\"MEAN\"),FMA_EPS(+1,-3AM,,,,\"PORTAGG\",\"MEAN\"))":1.799232382439,"EWL^FMA_COS_DOWN(\"EPS\",\"1M\",+1,0,,,\"PORTAGG\",\"MEANR\")":18.0,"REFCHMPR-FDS^PROPER_NAME(0,,,\"SECURITY\",\"NAME\")":"Swiss Policy Rate - Sight Deposit Rate","TRYDE10Y-FDS^PCTCHG(FG_YIELD(0,,,,\"YTM\"),FG_YIELD(-3AM,,,,\"YTM\"))":4.5018773,"TRYNZ10Y-FDS^FG_YIELD(0,,,,\"YTM\")":4.6012,"EWC^FMA_DIV_YLD(NTMA,NOW,NOW,M,\"PORTAGG\",\"MEANR\")":3.14136477279701,"EWG^FMA_DIV_YLD(NTMA,-10AY,0,AM,\"PORTAGG\",\"MEANR\")":[3.03334147898869,2.9822504090362,3.07839427778471,3.29029701786883,3.12315280875699,3.4220880623056,3.33766434572747,3.27415461496892,3.08590128961542,2.89391030725495,2.65937638936591,2.76424074100679,2.90181671971747,3.07414829389468,2.91049228103939,3.1189953051873,3.34331608495496,3.31652362997191,2.95231352071766,3.03601539926771,3.42500558004797,3.50378866151531,3.32495387634508,3.27147176838217,3.377263844866,3.50515725063525,3.34943967450248,3.19587171725376,3.26531861693927,3.16662439678489,3.17332129650143,2.98869973323847,2.96813223730057,2.93697685304883,2.93582510261744,2.9452275126634,2.91572606443074,2.92392191708105,2.97743348136203,3.10646670478287,3.05111248768786,2.95560221044008,2.95719677474329,2.90620998132894,2.89932449269679,3.11430430654098,3.16067180542612,3.15129899043625,3.07400208495899,3.09404234501938,3.1879151466192,3.30404631047552,3.33685805459652,3.48270216761147,3.63652245238099,3.8774738419001,3.8078894224418,3.67149104071305,3.56416045099729,3.43191849882321,3.50502238892625,3.58277856754564,3.45301648448343,3.63925440864288,3.40465084504137,3.33132374218044,3.11184165228227,3.08124621635535,3.0382588387476,2.99908874490686,4.58975569920696,3.49349703415107,3.44679168415506,2.88329807712354,2.80681755893814,2.82076942340025,2.79523245804597,2.81305167363034,2.84282299295598,2.72502537337562,2.73319995329037,2.75707418993364,2.74720528685031,2.66769544526082,2.81983611581787,2.77455915835165,2.83447633691451,2.83263804918936,2.9137904762881,2.92216524600561,2.9230576124951,3.08326122309408,3.05806517225756,3.24833433966863,3.49161093735588,3.62626382635699,3.79628426846804,4.09883634768671,4.20054900548066,3.96917887566877,4.24125825017283,4.27822006447899,3.79297198606341,3.87110529147815,3.50694720332434,3.45665631255926,3.72225811670849,3.51593903844668,3.59739634255615,3.56402672129097,3.66485256778483,3.75732545601435,3.71799435439466,3.91438684251383,3.70744938261105,3.54079926243294,3.65605302104275,3.48692752684115,3.31417317965386,3.40490087240007,3.27025100734637],"QQQ^FG_TOTAL_RETURNC(0,-1AM)":6.0867906,"EWG^P_PRICE(0)/P_PRICE_HIGH_PR(0,,,,,,\"PRICE\",\"INTRA\",\"52W\")":0.9899991,"EWG^FMA_RBICS_REV_CURRENT(30, LOC, \"PORTAGG\")":23.0857495662059,"EWC^FMA_PE(NTMA,0,,,\"PORTAGG\",\"MEANR\")":14.4303426373267,"UUP^FG_TOTAL_RETURNC(0,-1AM)":-0.9708762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W-FDS^MAX(FG_PRICE(0,-5AY))":14.2525,"EWJ^FMA_COS_DOWN(\"EPS\",\"1M\",+1,0,,,\"PORTAGG\",\"MEANR\")":86.0,"EWA^FMA_RBICS_REV_CURRENT(30, LOC, \"PORTAGG\")":40.9994250737971,"TRYGR10Y-FDS^FG_YIELD(-10AY,0,Y,,\"YTM\")":[9.61,8.24,7.15,4.14,4.37,1.45,0.618,1.315,4.585,3.099],"EWC^FMA_DIV_YLD(NTMA,-10AY,0,AM,\"PORTAGG\",\"MEANR\")":[2.904279209262,2.82016382041474,2.78700729773711,2.79609921799111,2.77099452392765,3.04579480898147,2.92311921876323,3.02891366613463,3.02490215774651,2.83770467492813,2.91371445335753,2.83053741302833,2.87728232371908,2.95865478933279,3.00539281565567,3.07687857292212,3.18165330634181,3.17867320621897,3.32836478049613,3.38445922248454,3.64412404871095,3.32106283614221,3.11114776039523,3.11844869880289,3.05792092505624,3.0980306284358,2.99632552911268,2.95410841831812,3.00052497913214,2.96565732763351,2.91583040772689,2.8392288205718,2.82550184482125,2.7799235385461,2.91681891170469,2.90618928111236,3.01540466197008,3.03561012837462,3.04375967880026,3.07525171495922,3.07622990165703,2.94883672327038,2.92741102375636,2.92599443589103,2.89656300623123,3.11203558435758,3.10563011661686,3.20407768940493,3.05037705380593,3.05347109642868,3.04006919223512,3.0875653910289,3.17063888971521,3.31394102319248,3.39395448359306,3.58309280336358,3.38818561884061,3.30233583513369,3.2621944306028,3.17692930468363,3.29691206358231,3.32410948875359,3.31671915096764,3.43608433709241,3.29293572318402,3.36994183814982,3.24121717299692,3.2481479394798,3.21137301370799,3.2083159761728,4.58055592925542,4.01732741148533,3.80079386087974,3.5624395471794,3.42392078339805,3.32617786247749,3.42842427903649,3.39720943577472,3.27426764853698,3.09544482261238,3.03471458206327,2.93836218305377,2.81564948446752,2.7377678768976,2.7146726589006,2.56444040683179,2.7423913748421,2.70907250132508,2.77061552746887,2.71414416444172,2.69222056811276,2.84314354829194,2.76472550600423,2.84692979292293,2.80534123057991,2.84438195246634,3.13436251116155,3.41604206723269,3.52693570596011,3.30110830179878,3.45322396694688,3.60140545884748,3.35084493192491,3.46249639725673,3.3336033376245,3.29751361090514,3.49150030663514,3.24047647720775,3.28201913764476,3.29944235753295,3.22288715113695,3.57680751426308,3.43828310067102,3.61487837797554,3.50362291855412,3.43438134094618,3.39667160090367,3.28414205413457,3.1526340202902,3.16460931496625,3.04629649946898],"REFCATARG-FDS^FG_YIELD(NOW,,,0)":5.0,"USDEUR^STD(FG_PRICE_CHANGE(0,-1AY,AM))":1.93362295760013,"WL-FDS^FG_PRICE_MAVG(0,,,,30)":577.73,"W-FDS^FG_PRICE(0)/MAX(FG_PRICE(0,-1AY))":0.856626109832292,"EWG^FMA_PCT_ABOVE_MAVG(200,0,,,,\"PORTAGG\")":82.4561403508772,"TRYCA10Y-FDS^PCTCHG(FG_YIELD(0,,,,\"YTM\"),FG_YIELD(-3AM,,,,\"YTM\"))":0.97713745,"EWD^FG_FCF_YIELD_NTM(0)":4.91521715753322,"SPY^FG_TOTAL_RETURNC(0,-6AM)":18.295288,"TRYCH10Y-FDS^FG_YIELD(-10AY,0,Y,,\"YTM\")":[0.314,null,-0.12,-0.09,-0.176,-0.434,-0.49,-0.111,1.617,0.703],"QQQ^PERCENT_CHANGE(FMA_EPS(+1,0,,,,\"PORTAGG\",\"MEAN\"),FMA_EPS(+1,-1AM,,,,\"PORTAGG\",\"MEAN\"))":-0.441653169618854,"REFCATARG-FDS^PROPER_NAME(0,,,\"SECURITY\",\"NAME\")":"Canada Target Rate","EWU^FMA_PE(LTM,0,,,\"PORTAGG\",\"MEANR\")":12.7435732439648,"EWC^JULIAN(FMA_DIV_YLD(NTMA,NOW,NOW,M,\"PORTAGG\",\"MEANR\").DATES)":45412,"EWI^FG_PRICE_MAVG(0,,,,200)":33.6466,"EWD^PERCENT_CHANGE(FMA_EPS(+1,0,,,,\"PORTAGG\",\"MEAN\"),FMA_EPS(+1,-3AM,,,,\"PORTAGG\",\"MEAN\"))":3.9252832312353,"EWC^FG_TOTAL_RETURNC(0,-12AM)":13.410198,"EWI^FG_ROE(0)":14.0767645953124,"EWI^FMA_PE(NTMA,-10AY,0,AM,\"PORTAGG\",\"MEANR\")":[13.5752952232511,14.5345461299792,13.798845279625,13.0386173985438,14.0523637299818,12.1588940617381,12.7439780484957,12.1798685909369,12.9713912814776,14.723183643786,15.5150295405526,15.6874618983984,15.8818995502097,14.7161983701988,15.5309850173596,15.3783470989985,14.5329857002314,14.6660591370084,14.8388297420109,14.187914728014,12.9375630811572,12.5017985665501,13.4405156703774,13.2821762419877,13.3850728730183,12.3419643320221,12.3935258935753,12.4021493483137,11.6759630743512,11.8223360278613,11.6212527463336,13.4700170878655,13.2806848233235,13.0803427844456,13.5188472491037,12.9826947920323,13.6802727916233,13.356857243235,13.5616738185724,13.3454382550225,13.4115433631384,13.4865148687932,13.1060458015238,13.2084720865987,13.6224851252248,12.7056101915544,12.70020595427,12.9451431018274,12.6702916898284,11.6888328349106,11.4451235160109,10.7085908329166,10.8536523702006,9.96585683891102,9.58884661010097,9.38902010207708,9.79330836187121,10.3589539345726,10.6705866578494,10.9966626808465,10.4634374155735,10.2081596596077,10.8976797400085,10.0166494519419,10.7175279020229,10.9166142439954,11.3768361901244,11.4816358504231,11.6649048548083,11.8433227288521,7.73953506982402,11.1768083775679,14.359446378954,17.4997128352626,17.8707721558781,16.3394317648155,15.4907437946668,14.6175666502017,15.0836901459744,14.9105730140231,14.5483480324116,14.1339837890919,14.0702401622382,13.9800235170131,13.3583104835587,13.7759654466976,12.968662598616,12.2429377468842,11.6240744240396,11.7498462835517,11.8213258953336,10.8266698176851,11.077434246242,10.530511456946,9.56361298153518,9.73310447423821,9.03689074559003,7.87479265573353,7.47688408055032,7.69076411807023,7.68022288790052,7.43145269698302,8.14061519079968,7.59605159606092,8.23401012495821,8.4859409152171,7.98715991283366,8.71044814633098,8.28040314270958,8.79828247641717,8.79996684206845,8.13286785726676,8.49895664906106,8.17635501410188,8.32444449997972,8.8535870516537,8.93252225761158,9.00212194058697,9.62361714977697,9.4914068947035,9.96424773195367],"QQQ^FMA_PCT_ABOVE_MAVG(200,0,,,,\"PORTAGG\")":70.5882352941177,"VWO^FMA_COS_DOWN(\"EPS\",\"1M\",+1,0,,,\"PORTAGG\",\"MEANR\")":1619.0,"EWN^FG_ROE(0)":11.5664337352097,"EWU^JULIAN(FMA_DIV_YLD(NTMA,NOW,NOW,M,\"PORTAGG\",\"MEANR\").DATES)":45412,"TRYTW10Y-FDS^FG_YIELD(-10AY,0,Y,,\"YTM\")":[1.6015,1.015,1.2037,0.9478,0.8648,0.672,0.315,0.7413,1.2812,1.211],"CC_US^FG_COMPANY_NAME":"United States","USDEUR^FG_PRICE_CHANGE(0,-1AM)":-2.2020936,"PASP-FDS^MAX(FG_PRICE(0,-5AY))":3158.12,"EWU^FG_TOTAL_RETURNC(0,-12AM)":15.028334,"EWD^JULIAN(FMA_DIV_YLD(NTMA,NOW,NOW,M,\"PORTAGG\",\"MEANR\").DATES)":45412,"EWA^FG_FCF_YIELD_NTM(0)":4.8248472596381,"CAGDPY@DE^EE_ACTUAL_ANNUAL(MED,0)":6.11360061654642,"USDANG^FG_PRICE_CHANGE(0,-1AY)":0.0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0501156,2.21381527791346,2.48981565223205,2.56419574366016,2.51009258677616],"CPALM-FDS^FG_PRICE_CHANGE(0,-6AM)":2.25781044893674,"EWU^FG_PRICE(0)":36.74,"EWI^FG_TOTAL_RETURNC(0,-3AM)":14.360464,"SPY^FMA_RBICS_REV_CURRENT(30, LOC, \"PORTAGG\")":12.6373564575531,"REFGBBANK-FDS^PROPER_NAME(0,,,\"SECURITY\",\"NAME\")":"UK Bank Rate","EWI^FMA_DIV_YLD(NTMA,NOW,NOW,M,\"PORTAGG\",\"MEANR\")":5.30813192252038,"USDJPY^FG_PRICE(0)":155.42,"DDR3512M-FDS^FG_PRICE_CHANGE(0,-3AM)":-0.75683058618139,"EWL^SIZE(FG_CONSTITUENTS)":46,"TRYAU10Y-FDS^FG_YIELD_NAME":"Australia Benchmark Bond - 10 Year","CAGDPY@CA^EE_ACTUAL_ANNUAL(MED,+1)":-0.8,"EWL^FG_PRICE_MAVG(0,,,,200)":45.94505,"EWJ^FG_TOTAL_RETURNC(0,-1AM)":2.4444938,"QQQ^FG_TOTAL_RETURNC(0,-3AM)":5.0589204,"EWJ^FMA_RBICS_REV_CURRENT(30, LOC, \"PORTAGG\")":18.3501830656636,"REFCHMPR-FDS^FG_YIELD(NOW,,,0)":1.5,"UUP^FG_TOTAL_RETURNC(0,-3AM)":1.6731858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0861392,3.67789542177964,4.61613856769821,4.46089543101883,4.56664973540762],"DDR3512M-FDS^FG_PRICE_CHANGE(0,-1AM)":-0.613496451698714,"TRYPE10Y-FDS^FG_YIELD(-10AY,0,Y,,\"YTM\")":[5.681629,7.426917,6.415413,5.167133,5.645114,4.243226,3.535983,5.889906,7.923381,6.6087],"EWI^FMA_PCT_ABOVE_MAVG(200,0,,,,\"PORTAGG\")":72.0,"QQQ^FMA_PE(LTM,0,,,\"PORTAGG\",\"MEANR\")":33.3995897494224,"CAGDPY@NZ^EE_ACTUAL_ANNUAL(MED,+1)":-6.05,"USDEUR^STD(FG_PRICE_CHANGE(0,-3AY,M))":2.17952888526641,"DDR3512M-FDS^FG_PRICE_MAVG(0,,,,30)":0.96873313,"EWJ^FG_PRICE_MAVG(0,,,,30)":68.219666,"URTH^P_PRICE(0)/P_PRICE_HIGH_PR(0,,,,,,\"PRICE\",\"INTRA\",\"52W\")":0.9978917,"TRYDE10Y-FDS^PCTCHG(FG_YIELD(0,,,,\"YTM\"),FG_YIELD(-1AM,,,,\"YTM\"))":1.1294827,"CC_IT^IMF_IFS_RCPI_Q(0)":0.92385906,"EWD^FMA_EVAL_EBITDA(NTMA,0,,,\"PORTAGG\",\"MEANR\")":11.3521981076277,"SPY^P_PRICE(0)/P_PRICE_HIGH_PR(0,,,USD,,,\"PRICE\",\"INTRA\",\"52W\")":0.99610215,"EWG^FG_PRICE_MAVG(0,,,,60)":31.121834,"EWD^P_PRICE(0)/P_PRICE_LOW_PR(0,,,,,,\"PRICE\",\"INTRA\",\"52W\")-1":0.33974254,"QQQ^PERCENT_CHANGE(FMA_EPS(+1,0,,,,\"PORTAGG\",\"MEAN\"),FMA_EPS(+1,-3AM,,,,\"PORTAGG\",\"MEAN\"))":-0.155638988789877,"EWG^FMA_COS_DOWN(\"EPS\",\"1M\",+1,0,,,\"PORTAGG\",\"MEANR\")":28.0,"QQQ^JULIAN(FMA_DIV_YLD(NTMA,NOW,NOW,M,\"PORTAGG\",\"MEANR\").DATES)":45412,"EWC^FMA_PE(LTM,0,,,\"PORTAGG\",\"MEANR\")":17.2966646849312,"CAGDPY@NZ^EE_ACTUAL_ANNUAL(MED,0)":-6.9,"URTH^FG_TOTAL_RETURNC(0,-6AM)":17.144596,"EWD^FG_TOTAL_RETURNC(0,-1AM)":6.890285,"URTH^SIZE(FG_CONSTITUENTS)":1468,"ENZL^FMA_RBICS_REV_CURRENT(30, LOC, \"PORTAGG\")":14.5670087916151,"EWQ^P_PRICE_RETURNS_PR('52W',2,-10AY,0,AM)":[22.73481,22.250927,17.349232,5.5227637,5.5585384,-9.189707,-6.2797966,-5.79924,-10.725755,-5.233902,-7.591498,-7.022524,-3.3461332,-9.455514,-1.9997418,1.2637496,-4.4920025,10.109425,1.462853,0.86574554,-6.1715784,-10.852015,-3.0716896,-7.2928247,-12.440491,-8.816057,-9.38763,-6.524295,-4.1632595,-5.312318,-4.0656805,1.2059689,17.427528,12.379289,10.342598,10.306347,24.733341,29.555225,28.802252,23.890472,30.952024,33.385742,34.146477,30.206299,33.474968,29.562653,24.492,27.28511,15.387285,13.582981,9.476984,5.681145,3.4052253,-3.0196667,-5.600089,-11.401737,-16.031975,-8.435613,-3.2624602,-3.271532,-6.363696,-4.050499,-0.06554127,-1.4402509,1.2483597,7.8967094,15.543783,24.675095,25.320984,17.885256,-26.595646,-19.731976,-20.495356,-6.082779,-4.6919227,2.9391289,-1.7595649,-5.4467974,2.0681381,4.716146,3.5334587,7.573414,67.629364,62.14005,67.57755,43.442654,31.805206,34.750713,30.685556,38.19988,25.834679,15.239679,19.507551,13.68841,2.7477026,-2.1361828,-9.136164,-18.84843,-16.937864,-12.515611,-19.333447,-22.344112,-13.294088,-10.338593,-3.893584,3.265965,3.0863643,17.723835,20.108318,32.05789,36.759354,18.08282,28.949715,26.587486,16.748095,19.972908,5.4669976,7.6664805,21.869396,4.692483,11.907042],"EWG^FG_PRICE_MAVG(0,,,,30)":31.117332,"EWG^FMA_COS_UP(\"EPS\",\"1M\",+1,0,,,\"PORTAGG\",\"MEANR\")":27.0,"USDUSD^FG_COMPANY_NAME":"U.S. Dollar per U.S. Dollar","USDEUR^FG_PRICE_CHANGE(0,-6AM)":0.10573864,"WL-FDS^FG_PRICE(0)":534.7,"URTH^FG_TOTAL_RETURNC(0,-3AM)":6.2952757,"TRYUS10Y-FDS^FG_YIELD(0,,,,\"YTM\")":4.4208,"EWD^FMA_DIV_YLD(NTMA,NOW,NOW,M,\"PORTAGG\",\"MEANR\")":3.27458581335411,"SPY^P_PRICE_RETURNS_PR('52W',2,-10AY,0,AM)":[16.028427,20.869673,18.81957,19.94698,19.656658,10.917616,15.712511,15.147078,11.466682,16.407145,13.787603,13.744938,15.574635,10.199011,10.699725,9.709454,1.4446735,11.335730999999999,2.5735855,3.5766244,-3.668362,-6.289715,0.44683218,0.867331,-1.4955759,0.70261955,4.720652,5.963111,9.473515,6.7447424,8.888507,11.17239,23.058176,24.505222,18.840206,15.232098,17.502678,19.43853,16.077482,13.587177,18.693924,22.724426,20.133554,20.49042,25.981915,18.612814,17.677475,17.377747,17.542028,16.369677,16.360592,19.451963,17.694342,11.777937,7.770729,-2.9303849,-4.156369,3.5321832,4.7076106,9.218561,7.1347117,5.977702,8.269215,3.7090182,6.071043,8.848774,16.48476,27.64814,28.624249,25.368893,-8.834153,1.0795474,2.5073051,9.932888,10.242605,19.35408,13.864923,18.671822,17.934752,18.771208,16.655182,18.441439,60.134888,51.914,47.48634,37.578762,36.480095,33.380234,33.83608,30.128145,31.656944,25.739742,24.444914,12.883091,12.522268,7.8113794,-0.43089986,-11.7698555,-10.150921,-2.5469244,-12.186831,-16.481585,-14.508605,-16.198635,-13.014001,-5.3023043,-9.7954035,-3.8339555,3.428042,22.358454,18.990875,3.9446235,15.935016,20.755089,16.162418,22.867834,20.552206,24.217987,33.388447,22.684849,29.365086],"BRENT-FDS^FG_PRICE(0)/MAX(FG_PRICE(0,-1AY))":0.870614479821537,"EWC^FG_PRICE_MAVG(0,,,,200)":35.59735,"EWC^SIZE(FG_CONSTITUENTS)":88,"REFAUCASH-FDS^(SUBARRAY(NOT_NA(NO_REPEAT_F(FG_YIELD(NOW,-10AY,D))),0,1)-SUBARRAY(NOT_NA(NO_REPEAT_F(FG_YIELD(NOW,-10AY,D))),1,1))*100":25.0,"EWA^FMA_EVAL_EBITDA(NTMA,0,,,\"PORTAGG\",\"MEANR\")":8.80353761423029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513637,8.94223448963437,12.2539555438325,13.1476341644672,13.220962405767],"URTH^FG_TOTAL_RETURNC(0,-1AM)":5.926931,"EWD^PERCENT_CHANGE(FMA_EPS(+1,0,,,,\"PORTAGG\",\"MEAN\"),FMA_EPS(+1,-1AM,,,,\"PORTAGG\",\"MEAN\"))":5.08060351636301,"EWC^FG_TOTAL_RETURNC(0,-6AM)":13.477791,"EWC^FMA_COS_DOWN(\"EPS\",\"1M\",+1,0,,,\"PORTAGG\",\"MEANR\")":38.0,"CC_JP^IMF_IFS_RCPI_Q(0)":2.5231562,"TRYKR10Y-FDS^FG_YIELD(-10AY,0,Y,,\"YTM\")":[2.6272,2.0852,2.0916,2.4797,1.9804,1.6728,1.7238,2.2417,3.6906,3.1928],"USDSEK^FG_PRICE_CHANGE(0,-6AM)":1.56461,"USDAUD^FG_COMPANY_NAME":"Australian Dollar per U.S. Dollar","EWN^FG_TOTAL_RETURNC(-10AY,0,AM)":[-0.43047667,2.7533412,-4.6732306,-1.6359985,1.7879486,-7.720584,6.33024,-1.53777,0.0,5.7700515,1.5643835,1.3428092,6.371784,-4.3780923,2.7285576,-3.2830238,-4.057741,1.1793375,-1.3263643,-2.7698517,-7.26729,3.0909061,8.421516,0.81334114,-3.2674491,-2.21017,1.4891386,5.0724626,-2.0283997,0.49690008,-2.7194083,1.5671253,3.6539316,4.9307227,4.4271827,0.111567974,7.5408697,1.3471484,2.7095318,2.1834016,2.794218,1.5669942,-1.9521415,1.4450908,5.9141755,-2.945596,0.3406644,1.9135714,-3.0890405,-0.37500262,-0.7007539,-2.7287304,-0.26402473,-4.401058,-1.0038018,-6.0839176,1.4168143,8.410179,3.1983733,3.000331,-2.176696,-0.1039207,4.447055,-3.9203107,5.9197307,1.1998653,2.5585055,2.4575472,1.7889023,1.2302399,-30.439817,15.432608,0.3243208,17.620289,5.560684,3.4924388,-0.3655851,2.7660131,5.822575,7.279253,3.834951,7.246387,-1.2859643,7.1980476,-1.0916531,2.318287,-1.9463241,5.3280354,4.443562,-2.4311543,2.6085258,-9.358364,3.676474,-8.226943,-6.97726,-4.4623795,-4.6708107,-9.833008,0.43922663,10.058308,-11.284762,-7.853091,22.58588,0.3284216,11.002111,0.88369846,-6.486744,6.4810157,1.0936737,2.4283648,4.852569,-9.344554,-4.127991,-3.312099,10.72464,6.251788,-3.458774,10.495567,1.8616438,-1.3291836,8.861303],"SPY^FMA_PE(LTMA,-10AY,0,AM,\"PORTAGG\",\"MEANR\")":[16.1805850851913,16.3243006704894,16.3418890295383,16.273149728354,16.5510354185038,15.8473913586229,16.9058112401626,16.878172580742,16.9591436776908,17.5661623804245,17.5248645422136,17.5202825073247,17.5736238276499,17.4760161327869,17.6302497900012,17.523515491236,16.8920961192229,17.1847933276884,17.2080594132801,17.1108601042148,15.7767110477485,16.2966838906097,16.18819342752,16.4452153070474,16.565182572191,16.7256261745427,17.2451747052816,17.5432349536068,17.4840399970967,17.5516837611672,18.0964339921875,18.8285687523753,18.9411752205043,19.4499488578833,19.4355308648251,19.228096462373,19.0644681306717,19.1742879317122,19.1980211499769,18.9213318450939,19.2113118273692,19.5660996908298,19.5710537212846,20.2450393810298,21.0595213986379,20.0308807036986,19.7085349609422,19.370405392926,19.0396146275226,18.9389962373342,18.7423386236971,18.5936275063908,18.5296691909315,17.9667433025715,17.2553677944083,15.8625952629281,16.2884074892819,17.0772159171718,17.1282845755884,17.2345858858238,17.1403868413901,17.227620821179,17.6014391670319,17.3653734218844,17.9095382186461,18.0909448700988,18.839762217469,19.503746721015,20.4344994313111,20.5215638527312,17.4245108918749,18.7990608392291,19.6292390309893,20.9917594735349,22.0250043357081,22.8776092479102,23.2362451767313,24.3645956616323,25.0382705956628,26.3263023285346,27.1287538784987,27.3254807207975,26.1831768615512,25.9954653409464,25.2433484996277,24.8462754456885,24.5509958272906,23.9878032694856,23.4914808605602,23.1830221169553,23.3610213266677,22.6499125521586,22.6077894757184,20.8280844574483,20.6472513641831,20.4553189078049,19.7884336341829,18.6617659356113,18.7548639496508,19.6556266668932,18.2616896130597,17.4401756074032,18.2379964645958,17.5851735716234,18.1014478908893,18.5242312158261,17.9933581288842,18.3164798488784,18.3627662200069,18.9218126989181,19.5070022591253,19.1185987943393,19.4669403388771,19.4782431648891,20.1668612199703,21.252485810143,21.5856299305302,22.4549861616876,22.6979485014624,22.4165246159959,22.6073173772572],"EWQ^FG_PRICE_MAVG(0,,,,200)":38.333374,"FXI^PERCENT_CHANGE(FMA_EPS(+1,0,,,,\"PORTAGG\",\"MEAN\"),FMA_EPS(+1,-1AM,,,,\"PORTAGG\",\"MEAN\"))":1.44656210478365,"EWQ^FG_TOTAL_RETURNC(0,-6AM)":13.977945,"EWD^FMA_COS_UP(\"EPS\",\"1M\",+1,0,,,\"PORTAGG\",\"MEANR\")":23.0,"TRYSE10Y-FDS^PCTCHG(FG_YIELD(0,,,,\"YTM\"),FG_YIELD(-1AM,,,,\"YTM\"))":-6.486275,"VWO^FMA_DIV_YLD(NTMA,NOW,NOW,M,\"PORTAGG\",\"MEANR\")":3.06406952197484,"EWL^JULIAN(FMA_DIV_YLD(NTMA,NOW,NOW,M,\"PORTAGG\",\"MEANR\").DATES)":45412,"TRYAE10Y-FDS^FG_YIELD(-10AY,0,Y,,\"YTM\")":[null,null,null,3.371059,3.6940188,2.542721,1.7060698,2.0444937,4.2739367,null],"TRYZA10Y-FDS^JULIAN(FG_YIELD(-10AY,0,CY,,\"YTM\").DATES)":[42004,42369,42734,43098,43465,43830,44196,44561,44925,45289],"USDGBP^STD(FG_PRICE_CHANGE(0,-1AY,AM))":2.02846956767197,"NI-FDS^FG_PRICE(0)":20735.0,"COPP-FDS^FG_PRICE_MAVG(0,,,,30)":4.55215,"VGK^P_PRICE(0)/P_PRICE_LOW_PR(0,,,,,,\"PRICE\",\"INTRA\",\"52W\")-1":0.27297485,"EWL^FG_TOTAL_RETURNC(0,-6AM)":9.995508,"EWA^FG_TOTAL_RETURNC(0,-1AM)":7.404256,"USO^FG_TOTAL_RETURNC(0,-6AM)":8.791518,"USDSEK^FG_PRICE_CHANGE(0,-3AM)":2.4160743,"USDNZD^STD(FG_PRICE_CHANGE(0,-3AY,M))":3.46010374894999,"EWQ^FG_PRICE_MAVG(0,,,,60)":40.883335,"FXI^FMA_PCT_ABOVE_MAVG(200,0,,,,\"PORTAGG\")":78.4313725490196,"EWQ^FG_TOTAL_RETURNC(0,-3AM)":8.083904,"TRYSE10Y-FDS^FG_YIELD_NAME":"Sweden Benchmark Bond - 10 Year","TRYNL10Y-FDS^PCTCHG(FG_YIELD(0,,,,\"YTM\"),FG_YIELD(-3AM,,,,\"YTM\"))":3.17226,"VWO^JULIAN(FMA_DIV_YLD(NTMA,NOW,NOW,M,\"PORTAGG\",\"MEANR\").DATES)":45412,"EWQ^JULIAN(FMA_DIV_YLD(NTMA,NOW,NOW,M,\"PORTAGG\",\"MEANR\").DATES)":45412,"DBA^FG_TOTAL_RETURNC(0,-1AM)":-7.556081,"TRYMY10Y-FDS^FG_YIELD(-10AY,0,Y,,\"YTM\")":[4.131911,4.345605,4.195897,3.902544,4.235642,3.300551,2.804181,3.573893,4.131847,3.727505],"CAGDPY@IT^EE_ACTUAL_ANNUAL(MED,+1)":0.9,"USDGBP^FG_PRICE(0)":0.7874946,"EWL^FG_TOTAL_RETURNC(-10AY,0,AM)":[2.3060203,-0.453645,-1.4895856,-1.9668758,0.10559559,-7.5949373,6.0013056,-1.8153846,2.1936774,1.2572885,-1.483953,6.3941,3.785026,-4.1202664,1.912725,-2.012831,-4.316765,0.0,-3.5780966,-0.70990324,-7.052326,0.38460493,3.7617564,2.3162127,-1.8044591,0.20046234,2.0117164,3.1208038,-2.1802783,-1.7964065,-1.9986451,0.6913185,4.2874813,2.272725,3.413856,0.12457371,6.5318823,1.5766501,1.4334798,-1.562953,2.3228526,0.8046031,-1.9669414,2.0354748,4.21772,-1.6953766,-3.0041754,-0.5735636,-0.66339374,-2.3519099,1.7456055,1.8574,2.2941113,-5.7504296,0.39658546,-4.1324854,4.817748,2.7215004,3.8269043,1.5310526,0.58642626,3.3866167,2.4116158,-1.0971367,1.5963197,0.31957626,2.8935552,2.812183,4.366374,0.7453799,-22.434372,14.061535,-1.5106618,9.336376,4.1751504,2.517116,2.050066,-3.2469094,4.0318727,2.8385758,1.8740058,-0.62056184,-0.7805526,5.1697016,1.0899782,5.89242,-0.12200475,4.030943,-5.283749,0.51653385,4.768753,0.49048662,-0.27332902,-5.3445635,-0.31023026,2.1784186,-9.746194,-9.323043,4.4810176,4.434204,-6.960559,-4.91271,9.88723,-0.23866892,7.990432,-0.50952435,-5.165887,10.636293,1.6977906,-0.84885955,1.1835575,-3.7218213,0.7068634,-3.838563,1.5510917,5.1437616,-0.08545518,-0.21381974,3.4068942,-6.009114,7.958555],"EWL^FMA_PE(LTMA,-10AY,0,AM,\"PORTAGG\",\"MEANR\")":[17.2027851521752,17.1955854058911,17.1271540468124,17.0882868020366,17.43191183913,16.4940178057016,17.4756846717565,16.967843326822,16.0147467139515,17.5261798846258,17.9906195334844,18.1470940788579,18.0596897370386,17.8333438446968,18.2476272129439,18.0318063979284,17.4226892877714,17.527806045658,17.5654475352628,17.2291411094493,16.0796320553105,16.6945834293227,16.6468433320916,16.8065920963905,16.8382917463366,16.7788647120966,17.3242519198926,17.8072816676598,17.834477350752,17.755384753704,17.724595071032,18.0667534293573,18.4840014239823,19.6449691518581,19.6392922106911,19.4030864459229,19.5085627539649,19.5015116689712,19.4487563306312,19.1918544353235,19.290425718539,19.7301040355532,20.2034023693973,20.5841943457321,20.9703647116959,21.802982471816,20.9690547696546,20.4634165532833,20.1400538539606,19.5135862262678,19.2537434653744,18.8620215004848,18.584509610703,17.7329474949316,17.6385673064002,16.722514145993,17.1477320014258,17.9059655420583,18.3217764710399,18.3068605040211,18.1834695847756,18.2603099147054,18.396743906754,18.1158404315763,18.3807552167955,18.4028134413938,18.8875719225669,19.389837053052,19.993372715883,20.0781761046872,17.4602766410872,18.3343209655167,18.7266479224091,19.4793208065135,20.1681831072573,20.4595772152816,21.0402375664995,20.9094031579738,21.3789677817742,21.5183398800901,21.9739840268714,21.0556415310688,20.460582488564,20.6496100222041,20.4492500462948,20.924648191285,20.9527683175109,21.2495310303938,20.5528427778215,20.4932502600136,21.0656884251872,21.2344872604889,20.8293094697787,18.5030861439555,18.5090212131967,18.6824282663476,18.2055545748234,17.3556958663355,17.7262674826216,18.2767390757886,17.5624428838475,17.2739929599007,19.3655576156589,20.0034162188729,21.5017078804268,21.3325768443549,20.3872833746677,20.3622821297262,20.062574169008,19.5036825296999,19.1335796908388,18.6964187430253,18.8701152022807,18.2280814265778,17.8846575240681,18.4568002707754,18.1936615844558,19.0017802563691,19.1980302972939,18.8424787507722,18.9416914709171],"PLATI-FDS^MAX(FG_PRICE(0,-5AY))":1272.59,"TIOS-FDS^MAX(FG_PRICE(0,-5AY))":219.77,"VGK^P_PRICE(0)/P_PRICE_HIGH_PR(0,,,,,,\"PRICE\",\"INTRA\",\"52W\")":0.996871,"EWJ^FG_TOTAL_RETURNC(0,-12AM)":15.350544,"EWA^PERCENT_CHANGE(FMA_EPS(+1,0,,,,\"PORTAGG\",\"MEAN\"),FMA_EPS(+1,-3AM,,,,\"PORTAGG\",\"MEAN\"))":1.69309143566496,"EWJ^FMA_PE(NTMA,0,,,\"PORTAGG\",\"MEANR\")":15.4437641829219,"TRYQA10Y-FDS^FG_YIELD(-10AY,0,Y,,\"YTM\")":[null,2.7255995,3.5394266,null,null,null,null,null,null,null],"CAGDPY@NL^EE_ACTUAL_ANNUAL(MED,0)":10.0884806997308,"USDSEK^FG_PRICE_CHANGE(0,-1AM)":-2.6201308,"USDNZD^STD(FG_PRICE_CHANGE(0,-1AY,AM))":2.79841331424375,"TIOS-FDS^FG_PRICE_CHANGE(0,-1AY)":8.81914695474018,"SPY^FG_PRICE_MAVG(0,,,,60)":513.35364,"EWQ^FG_TOTAL_RETURNC(0,-1AM)":6.2893033,"TRYFR10Y-FDS^PCTCHG(FG_YIELD(0,,,,\"YTM\"),FG_YIELD(-3AM,,,,\"YTM\"))":3.7565231,"TRYGB10Y-FDS^FG_YIELD(0,,,,\"YTM\")":4.12,"VGK^FMA_EVAL_EBIT(LTMA,NOW,NOW,M,\"PORTAGG\",\"MEANR\")":13.2613538148039,"SPY^FMA_EVAL_EBIT(LTMA,NOW,NOW,M,\"PORTAGG\",\"MEANR\")":20.3484154241648,"USDGBP^FG_COMPANY_NAME":"British Pounds per U.S. Dollar","EWJ^FG_TOTAL_RETURNC(-10AY,0,AM)":[-0.2683401,5.9192896,2.8157592,-0.74626803,-2.0885527,-6.6552935,5.8501005,-2.1043003,0.62111616,5.114639,5.369127,2.9060483,1.6634464,-2.3592114,1.6795635,-0.23112297,-8.185328,2.6913404,2.375102,-1.9999981,-8.111393,-2.6398242,5.6066155,2.5239348,-1.4431238,-1.5503824,4.7617555,4.292929,-2.4213076,2.1505356,1.497972,-0.03988743,1.5765905,1.7289281,1.2502551,-1.3119817,2.600193,3.315556,-0.58090687,1.2135863,1.9000292,4.2360663,1.9277453,2.061689,7.510221,-3.7048638,-1.4772713,-0.098860264,0.8741498,-1.373446,-2.942741,-1.5493214,1.6786218,-0.9974241,-4.9852314,-3.9488137,2.5018334,1.9648314,-0.3303349,1.7676234,-2.8586984,0.870347,1.8632412,-2.3047328,6.309676,1.2328267,4.0187955,1.8137574,-0.6981373,-2.159357,-22.42943,12.086451,1.7512798,9.94426,-0.42553544,3.436613,2.4616957,-1.0416627,8.709669,4.6721935,2.9358864,4.4237494,-2.4665594,-0.0428617,-5.0171556,4.3267965,-2.324903,0.5653024,8.624268,-5.978483,0.796628,-2.1376848,0.02976656,-5.2060127,-3.5305202,-5.0097585,-3.373289,-6.8415523,1.3445973,7.6762795,-9.118116,-5.1907835,10.8477955,0.7578969,5.059588,-0.5060196,-2.2974432,5.205536,3.8218737,4.429698,-1.0301054,-5.2522063,6.4559817,-4.921418,4.107535,1.3151526,4.539919,3.8544178,2.868557,-3.564757,2.4444938],"EWJ^FMA_PE(LTMA,-10AY,0,AM,\"PORTAGG\",\"MEANR\")":[15.0839231576337,15.2568039870711,15.2825546219564,15.0610325712805,15.1900837302057,14.0298153948272,15.6145506790108,15.2359096364183,15.3457663960416,16.2323606642888,16.9410094572574,16.8985551028021,16.9673189602694,16.9110405692027,16.8815462465843,16.8298765627707,15.5092007704433,15.4915291469703,16.1511184685425,15.8344391865221,14.3185797866969,13.4737997879713,13.8818922454612,13.8661892851473,13.9017413319054,13.6701820351596,14.1554741515511,14.0996906246451,14.1347798618028,14.425061735036,15.1312100155821,16.6375511216123,16.2512121149573,16.1937095795299,15.9012283865276,15.4857342241578,15.6939821751141,15.6225392401355,15.4873911863403,15.1055511103025,14.8375425128559,15.2257751182113,15.6017854248111,16.0437526856346,16.9800515644446,15.0221899402473,14.3822592309669,14.2233785621894,14.3150392374991,14.167236305793,13.9189046577605,13.5574427994852,13.5379792456831,13.3010539066778,12.6288741947664,12.2967068851511,11.881629124158,12.4088731088842,12.7014294929199,12.7873021018853,12.6663197319676,12.7645453136046,12.9522114209144,12.6469793270733,13.5439217251134,13.7553782964212,14.4505060846045,15.3816020062042,15.4731265326243,15.3906446386004,13.5079906962177,14.0759240873478,14.5358585271511,16.7738608187975,17.5290641449907,18.1570936501498,19.7946568594376,20.3616857359871,22.2305079182453,23.0184848843329,23.9745368775587,23.7733676574551,21.5440510402246,21.1151101370279,20.2635546843254,20.0628677312379,19.4278845966618,18.5735201156371,18.7546237827808,17.8676527238604,17.5031639212157,16.3099404218743,15.8660227320337,15.0780698342415,14.6070882770732,14.4809120001164,14.195643128351,13.8379451318648,13.8332694408473,14.1377068898965,13.5805908542134,13.0829131957019,13.5279969468085,13.2700366293435,12.9081506690444,13.5613231375379,13.5882860248163,13.7082879463585,13.9975284850973,14.5603040269319,14.464967151386,14.4261584795069,15.2725040069988,14.7295213307914,15.3470127847729,15.0568480946858,16.2216482074113,16.8012494723108,16.9473929752186,16.7635993897919,16.7669691354141],"PLATI-FDS^FG_PRICE(0)/MAX(FG_PRICE(0,-1AY))":0.985212569316081,"VGK^PERCENT_CHANGE(FMA_EPS(+1,0,,,,\"PORTAGG\",\"MEAN\"),FMA_EPS(+1,-1AM,,,,\"PORTAGG\",\"MEAN\"))":0.0,"EWA^PERCENT_CHANGE(FMA_EPS(+1,0,,,,\"PORTAGG\",\"MEAN\"),FMA_EPS(+1,-1AM,,,,\"PORTAGG\",\"MEAN\"))":0.824814729297809,"QQQ^FMA_COS_DOWN(\"EPS\",\"1M\",+1,0,,,\"PORTAGG\",\"MEANR\")":37.0,"EWJ^FMA_PE(LTM,0,,,\"PORTAGG\",\"MEANR\")":15.9539909365438,"TRYUS10Y-FDS^FG_YIELD(-10AY,0,Y,,\"YTM\")":[2.1881,2.2961,2.4752,2.4325,2.6836,1.9185,0.9174,1.5119,3.8776,3.8791],"USDSEK^FG_PRICE_CHANGE(0,-1AY)":2.2605658,"USDNZD^FG_PRICE_CHANGE(0,-6AM)":-2.510804,"TIOS-FDS^FG_PRICE_CHANGE(0,-6AM)":-9.38348196975571,"SPY^FG_PRICE_MAVG(0,,,,30)":511.98334,"EWQ^PERCENT_CHANGE(FMA_EPS(+1,0,,,,\"PORTAGG\",\"MEAN\"),FMA_EPS(+1,-3AM,,,,\"PORTAGG\",\"MEAN\"))":0.771407663945863,"ENZL^P_PRICE(0)/P_PRICE_HIGH_PR(0,,,,,,\"PRICE\",\"INTRA\",\"52W\")":0.8945419,"TRYCH10Y-FDS^FG_YIELD(0,,,,\"YTM\")":0.754,"VGK^FMA_EVAL_EBITDA(NTMA,0,,,\"PORTAGG\",\"MEANR\")":9.01990404265644,"SPY^FMA_EVAL_EBITDA(NTMA,0,,,\"PORTAGG\",\"MEANR\")":14.2451790809978,"USDANG^STD(FG_PRICE_CHANGE(0,-3AY,M))":0.0594600681310969,"EWG^FG_TOTAL_RETURNC(-10AY,0,AM)":[0.9671211,1.8199205,-2.5253356,-6.3997326,1.4025211,-9.543568,3.172779,2.6306033,-0.036102533,4.911518,1.8932939,-0.70946217,3.6406875,-5.8108926,2.3382783,-3.6382556,-3.8475335,-1.8698573,0.5335331,0.07581711,-10.492426,1.3118982,6.5580606,1.1368036,-1.7441809,-1.6568065,1.6082287,7.319057,-3.8432598,0.5877733,-2.2594452,4.145074,4.054117,1.3245106,3.1590343,-0.45758486,8.132958,2.1255732,1.0008216,-1.519072,5.0869703,2.1861315,-0.030571222,0.97829103,5.1694274,-3.9538324,-1.953119,2.0533204,-0.87087154,-1.7570376,-2.1330953,-5.0661507,0.8497596,-4.6511593,-3.5701692,-6.9648147,2.955079,2.1814108,3.2958746,3.770852,-1.9916177,-1.3615787,2.1165967,-6.90909,6.718743,2.4890184,3.7142873,1.446271,1.3238311,-1.2395322,-34.15875,18.701708,-1.4756978,20.850813,6.22468,3.744793,1.8048048,-2.7905405,1.5535235,8.129513,-0.8408606,2.0728588,3.2923102,5.4215074,0.084769726,0.66547394,-2.1391928,1.5447378,-2.2962093,-1.2044668,1.4570236,-5.87545,4.711628,-5.18896,-8.478332,-6.0836496,-2.6131809,-7.7782154,-6.928599,6.8996787,-8.237785,-3.6094427,19.29909,-0.97277164,13.04878,1.2225866,-6.0745955,9.6066475,-0.06901622,2.5684953,1.2452483,-6.0471478,-0.6181836,-5.1591635,7.9861045,4.573059,-2.659756,3.5802007,5.625212,-3.2723784,7.5290203],"EWG^FMA_PE(LTMA,-10AY,0,AM,\"PORTAGG\",\"MEANR\")":[14.5665490654276,14.6828865210643,14.4668986123058,13.8928459597718,14.26259857863,13.3133070801076,13.6842799430726,13.953188726311,14.8055038851887,15.7312002189767,16.5648688387196,16.3747459124872,16.0538811645989,15.5160940929777,15.7472214466477,14.9832409865145,14.2214793961808,13.9467038416892,14.6319791980253,14.1512052831866,12.434742956048,12.450667382408,12.7416662595298,12.842965995313,12.7651878639303,12.5866842655909,12.9193952947314,13.3177395442157,13.3211554879037,13.6171108795833,13.6740719687769,14.6056325425582,14.8067386484323,14.6594529214376,14.973715831195,14.8712584265489,14.821299854271,14.7663496423781,14.604095282361,14.2332249978846,14.3598939911991,14.8120355144753,15.1453090005387,15.4653636267839,15.5200866657794,14.5329369343567,14.2028946496887,14.177833341069,14.2574019403733,14.2373079989336,14.093919446036,13.8665895518683,13.8196843959245,13.414726857716,12.9794593873438,12.3427752852608,12.4789037771765,13.0500552139688,13.2335376668333,13.340655308023,13.3042134624328,13.1844125287164,13.532372733644,13.2410566979382,14.0043307786012,14.374322279671,15.1325487943312,15.4836169885549,15.8273695274935,16.2720882887277,13.343952128135,14.448599350415,15.2145356281528,17.3816001287891,18.8263641293084,19.5891140987424,20.5868333491802,20.6238676354725,20.7271070672706,21.6467114574695,21.8645449558947,21.2561689757166,20.1772275895398,19.9074888286869,19.0055184692964,18.6587932412315,17.9624111563696,17.2049167653362,16.3896357364526,16.0136086885761,15.3608455163979,14.1632117300609,14.0934204288255,13.4589519246612,12.4867977005097,12.3439781009498,12.108720752627,11.6165419685536,11.3000117278324,11.195209193693,10.6291626951989,10.2289812249329,11.0575220932708,10.44949602345,11.4646115603579,11.6298046011716,11.2444887599476,11.4204405353246,11.3067625377501,11.3559360329898,11.2610151959765,11.1428782878648,11.2914602192936,10.9339507117456,11.3990878145322,11.9362294901192,11.6598766351243,12.1853452835611,12.5252087837234,12.4685907118129,12.6457387463679],"VGK^FMA_PCT_ABOVE_MAVG(200,0,,,,\"PORTAGG\")":69.2368839427663,"ENZL^FG_TOTAL_RETURNC(0,-1AM)":2.75414,"QQQ^FMA_COS_UP(\"EPS\",\"1M\",+1,0,,,\"PORTAGG\",\"MEANR\")":51.0,"EWJ^JULIAN(FMA_DIV_YLD(NTMA,NOW,NOW,M,\"PORTAGG\",\"MEANR\").DATES)":45412,"CPALM-FDS^FG_PRICE(0)/MAX(FG_PRICE(0,-1AY))":0.850622406639004,"TIOS-FDS^FG_PRICE_CHANGE(0,-1AM)":8.90027958993476,"QQQ^FG_PRICE_MAVG(0,,,,200)":402.01855,"EWI^P_PRICE(0)/P_PRICE_LOW_PR(0,,,,,,\"PRICE\",\"INTRA\",\"52W\")-1":0.35585046,"TRYCH10Y-FDS^PCTCHG(FG_YIELD(0,,,,\"YTM\"),FG_YIELD(-3AM,,,,\"YTM\"))":-18.837461,"TRYJP10Y-FDS^FG_YIELD(0,,,,\"YTM\")":0.9435,"SPY^FG_FCF_YIELD_NTM(0)":4.09384919546615,"EWG^FMA_EVAL_EBIT(LTMA,NOW,NOW,M,\"PORTAGG\",\"MEANR\")":13.2775669216229,"USDANG^STD(FG_PRICE_CHANGE(0,-1AY,AM))":0.0,"USDNZD^FG_PRICE(0)":1.6303905,"EWQ^FMA_DIV_YLD(NTMA,-10AY,0,AM,\"PORTAGG\",\"MEANR\")":[3.43694173022317,3.38732203024351,3.53591959300194,3.67671950788908,3.52297845784458,3.87472559405058,3.70379446359558,3.77715977802032,3.5576478375526,3.23814565924063,3.1969709684052,3.14031168721663,3.27653260050906,3.44166033924561,3.25096374377281,3.36990409999485,3.61958199911733,3.55328513884346,3.41883298094546,3.57296640019249,3.97060678912394,3.91337248668635,3.72473267117455,3.6902858702376,3.82993559051086,3.95602012329049,3.79390057966562,3.74840117926778,3.8135661315122,3.75511344502968,3.70914165486667,3.50085564196863,3.46415695679607,3.49149768559694,3.40389905856789,3.39019196361274,3.23878157675854,3.28652961139152,3.32650729588771,3.38795107395106,3.35160086501022,3.28847464800167,3.34166826220579,3.29860220024784,3.21811671260907,3.37624098390326,3.38458889508576,3.36411605531507,3.2580544065107,3.34732616668155,3.40039383913391,3.49083191098522,3.49583552506329,3.66680581854378,3.76640097552337,3.94631034605495,3.94339048032361,3.70692515352674,3.54890269637222,3.47846080309745,3.56739706908919,3.61324317751842,3.52024938656731,3.71485513933603,3.5180750627619,3.49558780084553,3.35557801957446,3.35369019458016,3.28710637434256,3.28173165019035,4.94411538751121,3.78783673307291,3.68767612941015,3.12322187351436,3.05745392956304,3.12275707487482,3.12076093017797,3.20636530014614,2.91469561798984,2.91998826813456,2.92804428745461,2.84731626243839,2.73767753186146,2.67928131434227,2.71453688002538,2.62931523136036,2.73579147031898,2.70031366237726,2.82232916218622,2.81790990020418,2.71359975829683,2.82354043381423,2.76805978513539,2.93686782976602,3.11280353549983,3.12954773260007,3.22722597042152,3.55551964595517,3.48319634641771,3.2731620004727,3.55271848834366,3.61223897176021,3.32749679316009,3.39192903191863,3.10448210664513,3.10129909673737,3.33455079738619,3.11116797737192,3.20261971882017,3.21330851748409,3.28400189195275,3.378735727405,3.30893497100406,3.48010251950597,3.36463808304834,3.21585268894405,3.32356976977391,3.16762796088405,3.05676631898969,3.15267366362043,3.04977022766669],"EWC^FMA_PE(LTMA,-10AY,0,AM,\"PORTAGG\",\"MEANR\")":[16.2013578221586,16.2714082105438,16.2861525422173,16.3192671854317,16.38908966146,15.3434476033209,15.827599876134,15.2165630242628,15.2893769634409,16.8846027168318,17.0268701015182,17.2681170025104,17.2279911586142,17.1171474757939,17.08570769628,16.9349603837883,16.7282843377734,16.9531012943588,16.5581763623197,16.2075449238069,14.614080256697,15.5972905423993,16.0275912173955,16.1416154074434,16.5476276923484,16.6565012785106,17.1379956606272,17.4642085670151,17.5038836609723,17.9121587182617,18.6080075134451,19.1963482221362,19.8263490191219,19.8608379956003,19.2297529044701,18.9701498925373,18.4917955959334,18.1752045616531,17.9833729413605,17.6812623190829,17.3908897390839,17.5212695548068,17.3186437375246,17.1781584330585,17.2618089814744,15.9096190829983,15.8167066919703,15.5844999054096,15.6578091398394,15.6023470359393,15.5458138133045,15.3785952002805,15.0537947961565,14.5554176788292,14.107601794778,13.2624931026664,14.0231919416025,14.6942866053121,14.7333914127315,14.6702724611374,14.5237470741693,14.4744082812649,14.489248894652,14.3046126127651,14.7361022196371,14.5962154462054,15.1509044758691,15.2337557122451,15.6737986203494,15.7344230156377,13.8945014993418,15.0115118554391,16.3764521277881,17.2021761676454,17.8239400121601,18.3086122087026,18.232680755451,18.8197290100056,19.4794011338899,20.415142043097,21.0804397584269,20.7820753577395,19.8220533830481,19.4727011263889,18.9702218535975,18.6712559776957,18.0152862342452,17.4178951436118,16.8042239062857,16.7211905780795,16.4459751495237,15.3815597773545,15.5671639505639,15.3193896966547,15.134875848254,14.9320499078101,14.359026630687,13.6027472027309,13.0431998914239,13.3163114989929,12.7123297460866,12.1023432396804,12.5629248511192,12.194192129104,12.6912271524352,12.7472612003568,12.4963225690679,12.7906102440118,12.8472346868049,12.9388463303694,13.2761033166124,13.2557384847899,13.7848398361774,13.4007741865086,13.7244481989154,14.1944916842496,14.4123615849369,14.7497323454767,14.9214229547106,14.8511903890309,14.9742913439602],"ENZL^PERCENT_CHANGE(FMA_EPS(+1,0,,,,\"PORTAGG\",\"MEAN\"),FMA_EPS(+1,-3AM,,,,\"PORTAGG\",\"MEAN\"))":-14.2629140984916,"EWU^SIZE(FG_CONSTITUENTS)":85,"EWD^FMA_RBICS_REV_CURRENT(30, LOC, \"PORTAGG\")":25.9129717795788,"EWI^FMA_EVAL_EBITDA(NTMA,0,,,\"PORTAGG\",\"MEANR\")":6.91804813590216,"SPY^FMA_DIV_YLD(NTMA,NOW,NOW,M,\"PORTAGG\",\"MEANR\")":1.50895004433144,"EWG^FG_FCF_YIELD_NTM(0)":5.68592206652288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642344,17.2298191446197,20.686290276184,20.5983105929019,20.3505037761569],"PASP-FDS^FG_PRICE_CHANGE(0,-1AM)":-1.06280193236715,"NI-FDS^FG_PRICE(0)/MAX(FG_PRICE(0,-1AY))":0.896067415730337,"CPALM-FDS^FG_PRICE_CHANGE(0,-1AY)":4.59183673469388,"USDCAD^FG_PRICE(0)":1.36045,"EWA^FG_PRICE_MAVG(0,,,,60)":24.206333,"EWU^P_PRICE(0)/P_PRICE_LOW_PR(0,,,,,,\"PRICE\",\"INTRA\",\"52W\")-1":0.21897817,"TRYSE10Y-FDS^FG_YIELD(0,,,,\"YTM\")":2.35,"EWA^JULIAN(FMA_ROE(NTMA,-20AY,NOW,FY,\"PORTAGG\",\"MEANR\").DATES)":[38352,38716,39080,39447,39813,40178,40543,40907,41274,41639,42004,42369,42734,43098,43465,43830,44196,44561,44925,45289],"USDAUD^FG_PRICE_CHANGE(0,-1AM)":-3.999406,"BRENT-FDS^FG_PRICE_CHANGE(0,-3AM)":0.0,"ENZL^FG_PRICE_MAVG(0,,,,60)":45.16913,"EWU^FG_TOTAL_RETURNC(0,-6AM)":17.089771,"QQQ^FG_ROE(0)":22.6526396898003,"EWA^FMA_PE(LTM,0,,,\"PORTAGG\",\"MEANR\")":19.3812374413989,"EWL^P_PRICE(0)/P_PRICE_LOW_PR(0,,,,,,\"PRICE\",\"INTRA\",\"52W\")-1":0.17858005,"ENZL^FMA_EVAL_EBITDA(NTMA,0,,,\"PORTAGG\",\"MEANR\")":12.1671116656234,"COPP-FDS^FG_PRICE_CHANGE(0,-3AM)":31.7613340281397,"EWL^P_PRICE_RETURNS_PR('52W',2,-10AY,0,AM)":[17.312849,18.87157,16.180742,11.388707,10.814643,-0.8076787,3.0592084,3.5310507,0.5256176,0.62212944,-1.0184765,2.6987433,4.1538954,0.34599304,3.811705,3.7630439,-0.8208871,9.400368,-2.3687363,-1.2694776,-11.074763,-10.976065,-6.2357664,-10.218698,-14.68584,-10.841232,-10.125404,-6.0789766,-3.7422538,-5.70671,-4.1621265,-4.4248104,9.047783,11.098862,10.726333,8.3545685,17.553352,20.656443,18.492376,13.110447,16.457855,21.451223,21.490515,23.920595,23.029959,18.25651,11.05566,10.143936,2.704692,0.23064613,-0.963676,2.477491,2.4487138,-4.213232,-1.3877213,-7.8336954,-7.303059,-3.3263624,3.535056,5.878234,7.210362,13.510859,14.253879,11.431384,10.183001,17.27916,20.709515,28.90303,28.347946,27.606796,-5.9601126,5.6458354,4.604912,9.396291,11.2801075,15.34667,15.861821,11.950815,12.979019,13.008022,11.896658,8.813667,39.19095,31.606281,31.728947,27.579653,22.917843,24.123299,15.20319,20.38182,20.532036,17.779945,14.737892,9.816683,10.337234,9.372878,-4.292023,-18.044102,-14.354229,-13.934713,-16.883707,-20.024754,-16.117567,-17.769735,-9.825808,-5.219674,-9.836197,-2.372831,10.00607,20.104206,16.490364,7.392776,14.953077,17.556202,8.638298,13.1729965,5.937004,7.3997617,16.651081,-1.5740454,4.485297],"FXI^FG_TOTAL_RETURNC(0,-6AM)":15.266693,"COPP-FDS^FG_PRICE_CHANGE(0,-1AM)":16.4536557282671,"TIOS-FDS^FG_PRICE_MAVG(0,,,,30)":111.71067,"FXI^FG_TOTAL_RETURNC(0,-1AM)":24.016916,"EWA^FG_ROE(0)":12.608533401708,"CC_DE^IMF_IFS_RCPI_Q(0)":2.5173564,"EWC^P_PRICE_RETURNS_PR('52W',2,-10AY,0,AM)":[11.879158,17.25812,19.700777,17.024124,16.014444,2.4404526,4.606092,1.1407256,-3.1264842,-0.29207468,-5.9678373,-1.039505,-3.2829225,-10.289919,-17.852228,-20.10293,-23.663448,-11.991156,-22.494776,-21.76413,-27.594692,-22.415113,-9.163928,-14.714593,-13.325328,-9.46402,-0.8186698,5.172622,5.3344846,5.217612,12.863302,22.752619,45.75229,31.231451,13.532782,13.518429,6.9845796,10.862279,10.492718,7.187593,16.037512,16.49375,16.373873,11.312938,13.921797,3.6932707,5.15635,6.6872716,16.048157,11.34994,7.667351,8.572996,1.5492678,-3.6915421,-5.9004126,-12.488627,-11.21642,-1.0908008,2.666533,3.9331913,-1.8525302,0.35002232,2.3853898,-0.45426488,5.0873756,6.99898,14.284145,23.581875,19.122887,15.713251,-27.949602,-16.524607,-13.183373,-5.289608,-4.7004404,5.7149887,-1.826483,1.0293007,1.3908625,8.431149,7.257855,9.554267,82.686,61.244953,60.28011,47.653164,38.35926,32.01375,34.034218,40.505745,36.74395,19.679535,23.967922,18.764341,15.598356,15.282261,0.9587407,-8.988804,-10.082084,-1.3063192,-8.034897,-18.103922,-10.80674,-10.896492,-8.705354,-6.4002037,-16.537302,-8.528262,-3.335613,5.64878,11.660981,-3.6560178,6.3758016,10.116613,2.2477984,10.781706,4.000795,6.7855477,19.528353,6.0226083,13.410198],"ENZL^FG_ROE(0)":5.64589655010415,"CAGDPY@DE^EE_ACTUAL_ANNUAL(MED,+1)":6.5,"CC_AU^IMF_IFS_RCPI_Q(0)":3.61991,"CC_CA^FG_COMPANY_NAME":"Canada","REFSEREPO-FDS^PROPER_NAME(0,,,\"SECURITY\",\"NAME\")":"Sweden Repo Rate"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9,13.147116166704],"TRYCH10Y-FDS^PCTCHG(FG_YIELD(0,,,,\"YTM\"),FG_YIELD(-1AM,,,,\"YTM\"))":0.0,"EWL^FMA_PE(NTMA,0,,,\"PORTAGG\",\"MEANR\")":17.3506356712766,"UUP^P_PRICE(0)/P_PRICE_HIGH_PR(0,,,USD,,,\"PRICE\",\"INTRA\",\"52W\")":0.9467926,"USDCAD^FG_PRICE_CHANGE(0,-1AY)":0.8749485,"EWA^FG_PRICE_MAVG(0,,,,200)":22.9791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EWL^FMA_PE(LTM,0,,,\"PORTAGG\",\"MEANR\")":16.1554589362443,"BRENT-FDS^FG_PRICE_CHANGE(0,-6AM)":0.0,"EWA^FG_PRICE_MAVG(0,,,,30)":24.116,"EWQ^FMA_RBICS_REV_CURRENT(30, LOC, \"PORTAGG\")":11.6274292606376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U^FG_ROE(0)":15.0087466264632,"EWL^P_PRICE(0)/P_PRICE_HIGH_PR(0,,,,,,\"PRICE\",\"INTRA\",\"52W\")":0.9987763,"ENZL^FMA_DIV_YLD(NTMA,NOW,NOW,M,\"PORTAGG\",\"MEANR\")":2.7463353353453,"EWL^FG_ROE(0)":24.1916359459291,"EWG^P_PRICE_RETURNS_PR('52W',2,-10AY,0,AM)":[22.192907,21.93867,20.110786,8.605194,7.129276,-7.526946,-7.166326,-5.929458,-10.803318,-6.1259866,-0.9280801,-3.3433855,-1.1940658,-8.219618,-3.6401212,-0.79723,-5.933392,4.6057343,-0.56387186,-3.0391395,-11.127215,-16.160172,-12.321907,-13.544965,-15.331781,-11.597597,-11.95367,-2.247703,-1.6178787,0.20493269,-2.578926,1.0761023,17.858791,17.873466,14.113498,12.314547,23.604918,29.606606,27.591574,17.083931,25.114202,29.990982,32.9553,29.45745,30.294239,23.059929,17.056633,20.347261,10.3263855,7.1614146,2.8388739,-0.8651674,-4.86238,-11.228061,-14.788002,-21.10688,-22.767979,-17.68616,-13.488806,-11.978924,-12.974083,-12.623781,-8.82963,-9.895086,-5.3968134,1.6875267,9.289026,19.25695,17.367422,15.82396,-27.694077,-17.290485,-16.825449,1.8683076,5.966401,18.09385,12.656128,7.466924,4.6266794,11.5194435,9.577454,12.797367,76.95744,63.62219,59.648823,32.983173,23.540474,19.914341,15.083814,18.320156,16.850388,1.7158866,5.068624,-0.23009181,-11.599339,-19.425518,-23.369843,-29.797476,-33.77373,-29.712337,-34.979935,-35.59364,-24.267244,-21.52124,-13.978619,-8.161473,-5.7494106,9.996724,12.870312,26.388,36.55845,20.01959,28.49902,27.895737,15.767538,20.972336,5.263698,8.099461,21.041452,6.8995953,15.027475],"ENZL^FMA_PE(NTMA,0,,,\"PORTAGG\",\"MEANR\")":25.0413691820602,"EWC^FMA_PCT_ABOVE_MAVG(200,0,,,,\"PORTAGG\")":76.1363636363636,"CC_CA^IMF_IFS_RCPI_Q(0)":2.8466706,"FXI^PERCENT_CHANGE(FMA_EPS(+1,0,,,,\"PORTAGG\",\"MEAN\"),FMA_EPS(+1,-3AM,,,,\"PORTAGG\",\"MEAN\"))":1.1538538295034,"EWA^FG_TOTAL_RETURNC(0,-12AM)":14.515436,"EWA^P_PRICE_RETURNS_PR('52W',2,-10AY,0,AM)":[5.5419326,13.061929,16.216051,15.659559,2.6154995,-4.8434734,-2.8753042,-2.7766943,-1.919049,-1.4747322,-4.689193,-7.756406,-6.8668604,-11.042452,-15.814853,-20.973783,-21.390062,-13.66046,-20.964605,-12.610787,-22.480297,-20.74452,-7.882553,-10.362321,-12.5745535,-9.492964,1.65627,9.794712,9.159195,9.949982,14.0764475,14.982498,37.002586,31.582022,17.446136,18.167257,13.494968,21.768486,14.199162,12.48008,21.298813,17.285263,17.554342,16.848553,15.539312,8.005118,6.207752,4.48308,11.598528,6.756294,6.39745,6.7878604,-0.14109015,-5.359888,-3.8158774,-9.528673,-7.9795837,-3.6608398,-0.5970299,3.021276,-0.7794857,4.1623116,5.981052,-0.83835125,9.563791,13.333809,15.390348,21.962965,19.416094,15.619791,-24.497437,-20.013004,-19.008827,-7.6132536,-8.723068,1.2685299,-6.826067,-3.7696838,2.3768544,9.948158,7.4872255,11.845422,65.9467,63.77481,62.484394,40.936436,32.140743,26.476215,27.704834,28.914238,15.670562,3.1456232,4.3678045,0.8337498,5.6721926,7.700968,-4.168314,-16.51585,-12.554682,-5.0016403,-12.325263,-18.323845,-4.9138308,-3.16723,3.143978,3.0647397,-8.939248,-6.561655,-0.07849336,14.323068,14.279568,-2.446103,7.8110456,12.154961,1.6367197,8.880854,-1.526761,3.5096407,14.416969,4.2111874,14.515436],"EWA^P_PRICE(0)/P_PRICE_LOW_PR(0,,,,,,\"PRICE\",\"INTRA\",\"52W\")-1":0.2336266,"USDITL^STD(FG_PRICE_CHANGE(0,-3AY,M))":2.17952831157567,"QQQ^FMA_PE(NTMA,-10AY,0,AM,\"PORTAGG\",\"MEANR\")":[16.598622804596,17.2173611362744,17.4052589968763,17.5522553505286,17.6511580120144,16.3570414656842,17.8878940473073,17.4277402929337,16.9330232799213,17.9172463496347,17.8036170829803,17.6946380889642,18.0342417150186,17.7982261879974,18.6502740976733,18.4936523908349,17.6431414021231,17.7982614318244,18.2895689261875,18.3374516155656,16.6737264004486,16.9360461811082,17.546541317282,18.0607152042005,17.330019770554,17.3392188765082,18.2690755934434,18.7792928789077,18.5111857492327,18.2573104106747,18.1982130003849,18.3237547324015,18.631083816719,20.083947065919,20.1588511394013,19.8910550041767,20.2642691280948,20.3634873398926,20.6883790792352,20.1825673865952,20.5756923235018,20.7175358866196,20.8327306115383,21.0646955933483,21.8484442865767,20.6398029045591,21.1703525274099,20.372814652867,20.0016148048325,20.7675877891223,21.0274439236089,20.4708595873138,20.3882181539205,19.8318438231865,18.624333458586,17.4205925369951,18.4247589869415,19.5287904397589,20.1694240256922,21.0500379867044,20.449279332865,20.3983229276401,21.267285850756,20.3281675363018,20.8580113811934,20.8147535649041,21.6443772963015,22.3263829052681,23.7403873830029,24.352441860662,19.0498289915066,24.3781998474104,26.2007836900898,28.2543668343432,29.3211787246078,29.5511165054316,28.5084820139714,30.015374388316,29.1921198677881,30.3359695955117,29.6062108107944,30.0148183787989,28.2751941401772,29.7510795212621,26.4399462268855,27.6737639797813,28.3574742264274,27.711285524364,27.9876324155041,27.5836091152118,29.5437391733051,28.2106866849329,27.7465202880656,24.7553238054522,24.4176476948054,23.8929411883424,21.7670541882512,19.3627282583577,20.80506258181,23.9888312491198,20.9876374057465,19.7957514053882,21.7381710402042,20.8801568576861,22.065914824707,23.7858269611691,23.8382467108487,24.7551046999388,25.0147213942467,26.9901385786405,27.5082491362065,23.8621194097962,24.0271526796084,23.6507966682939,24.401495859851,24.9407298621541,24.7887511503373,25.913077960271,25.6805415504299,24.9001944360535,26.1382196721619],"VWO^FG_TOTAL_RETURNC(0,-12AM)":15.858245,"EWA^FG_TOTAL_RETURNC(0,-3AM)":6.363249,"EWU^FMA_PE(NTMA,-10AY,0,AM,\"PORTAGG\",\"MEANR\")":[13.7145585489155,13.6017211627323,13.5677276265948,13.3444614365721,13.3565391341176,12.5181958946333,13.3904222834916,13.3076954877489,14.2009914453255,15.471575235609,15.407964707658,16.0350693373536,16.1600649341813,15.3768931027705,15.6018789049891,15.1012359959901,14.5850119401237,15.2865242054251,15.2412429593959,14.8766990076404,14.588535689747,15.4259553917915,16.3072226050208,16.4650163840602,15.8014032626508,15.1801328652566,16.0757875614766,16.1575932888355,15.4392493465808,15.0956094525098,14.3768132008804,14.3474304248576,14.3571634975635,14.5152731486049,14.5510663947547,14.4584636742496,14.8545371098911,14.6005985663932,14.6849443559926,14.4961511337729,14.4170380507208,14.5638391777281,14.2150545605185,14.4019127183173,14.7212193289948,13.7878042820511,13.3941611708345,13.5132324926735,14.0245648211646,13.3985313166073,13.1062141420364,12.7957001057414,12.4785984368324,11.9023462843719,11.7389457056459,11.4391929917107,11.7992554184629,12.4858689884881,12.5998477189738,12.8184668021584,12.3779271375409,12.3967752731352,12.6596662936771,11.8195668557379,12.3753530619466,12.4170597234937,12.8102383215137,13.4197373859569,13.6208464082618,13.3233627555106,10.0305556302431,13.7102406772503,14.8043284079766,16.2222735431664,16.0126684692458,15.6642719144303,15.0305170516925,14.1626001314181,14.8023430379068,14.7804056711709,14.4658409862861,14.3712476399896,13.97408310931,13.623990812398,13.2746026568133,13.2196057722479,12.3717236276984,12.3282482388006,11.7878293750808,12.3312080155742,12.0921118030735,11.927028143704,12.4176897629866,12.2077855057099,11.5804105770163,11.2003150824142,10.4442594148292,9.51373182205469,9.46011955944094,9.79918554152083,9.0916498729571,8.74441154196886,9.43198166933356,9.65535588652374,10.4834911373868,10.6982000658722,9.78301734008226,10.764494459397,10.4467429453344,10.5011317443803,10.3941040250336,10.2268471520588,10.6309659310761,10.4668639045652,10.3738385743067,10.7223268743993,10.6926816595321,11.2006800328731,11.297814891112,11.2519691100486,11.9687261103167],"USDITL^FG_PRICE_CHANGE(0,-1AY)":-0.51029325,"EWJ^FMA_PE(NTMA,-10AY,0,AM,\"PORTAGG\",\"MEANR\")":[12.7665449359567,13.56527519178,13.8258466091667,13.6010207446168,13.8366306182325,12.415970232638,14.2403711641215,13.7639555099551,13.7228271357823,14.5163246498805,15.5138329044976,15.6274564646433,15.8763334837628,15.6738458188327,15.6311543919345,15.4915155220303,13.7575454315961,13.9017858807677,14.6518495363909,14.2443710951323,12.7150164356575,11.9142104013048,12.9265986377323,13.0444713937215,13.1205616312094,12.5994391161941,13.4940333005006,13.3387985808198,13.2545299732359,13.4957205872077,14.0924207248956,15.0974042728696,14.4403052156695,14.3461138025709,14.2762787931405,13.29402568469,14.3221380026248,14.3406458346215,14.2873531753705,13.8560930161225,13.7321776224153,14.3086316193147,14.5129847382699,14.5217449062466,15.2881581629949,13.6765004916888,12.9926588377316,12.8800155334745,13.423645660539,13.2205469851466,12.9015303163406,12.4859410522818,12.6425929617496,12.49447835346,11.9547377548086,11.7975473474981,11.6054123653282,12.1300495250649,12.5476757399475,12.8020514184813,12.3512842800335,12.5600830829858,12.8470099194251,12.2720166094583,13.4767835005888,13.5272782936349,14.1171314009461,14.7536141096126,14.6604383399493,14.3638999597467,10.9605616168842,13.464317007902,14.3744555752568,17.8771349145334,17.9124252096195,17.8850836780042,18.3788265545157,17.7788737375101,18.5545543770076,18.4653136454242,18.7269326103888,19.0189040409771,17.9605452220223,17.3945121666737,16.1186934892279,16.5229254265955,15.9731755396833,15.2905640930942,16.1151159899399,15.3874292661571,15.3189153123649,14.5190076238777,14.3255590089781,13.6060263222721,12.9556672082995,12.9832702809258,12.6059089485855,12.1528993102738,12.4608834132985,13.1528875450682,12.6306770692781,12.1870555717055,12.8063450396161,12.6370085892745,12.3945838385493,13.0598879411477,12.8373398660768,13.3400662255307,14.0308229835716,15.0262359645395,14.4617916718312,14.1398299918152,15.106179108182,14.1592722917874,14.5351435402726,13.9473011423735,14.8035844993096,15.3644870321296,15.3313235213407,15.1360378367182,15.4437641829219],"VWO^P_PRICE(0)/P_PRICE_LOW_PR(0,,,,,,\"PRICE\",\"INTRA\",\"52W\")-1":0.1985048,"VWO^FMA_COS_UP(\"EPS\",\"1M\",+1,0,,,\"PORTAGG\",\"MEANR\")":856.0,"EWD^FG_PRICE_MAVG(0,,,,60)":39.918083,"EWN^FG_FCF_YIELD_NTM(0)":3.62673757485092,"VWO^PERCENT_CHANGE(FMA_EPS(+1,0,,,,\"PORTAGG\",\"MEAN\"),FMA_EPS(+1,-1AM,,,,\"PORTAGG\",\"MEAN\"))":-2.31424245955516,"VGK^FMA_COS_DOWN(\"EPS\",\"1M\",+1,0,,,\"PORTAGG\",\"MEANR\")":545.0,"EWQ^FMA_PE(LTMA,-10AY,0,AM,\"PORTAGG\",\"MEANR\")":[15.783437482101,15.8430520276145,15.4378595643197,15.073004984053,15.4909640063445,14.4454434475899,14.9504311552049,14.5583969895308,15.3428384201067,16.7362611038566,17.56316568566,17.5937028814129,17.4250425999342,17.0222245997747,17.4102081314941,16.897585975531,16.0553408209146,15.9960417350144,16.4181999362978,15.6337707755555,14.0278255720747,14.7442666572372,15.1854713600693,15.2350730975719,15.0361070403614,14.7654091224685,14.9937074801397,14.9014399369673,14.6746970155932,14.869080541661,14.8533547164423,15.6390211508184,15.7904746875241,15.5069192023849,15.6202713042743,15.6072107054739,15.789814954067,15.7158219457954,15.7253158795296,15.5500041039049,15.7119950511108,16.0558155753857,15.8531549814856,16.0467060225535,16.5427227400472,15.7154374416483,15.5723302975611,15.5385119884795,15.6500199025761,15.4131642136325,15.2725627410765,14.9546197531653,14.8797140535658,14.3271950871521,13.9356086321765,13.1990669522102,13.1930861749877,14.1935261736236,14.6086515016695,14.6727588053833,14.5685429181405,14.5011071444327,14.8212432221907,14.4682297774342,15.0575108189255,15.3502405288325,16.1053543954649,16.3885302131988,16.8376366337947,16.7237669091791,14.0031792122011,15.2638187893409,15.9100011548589,18.1664775234227,20.0877548994366,22.1384189542064,23.4290396307374,24.2611289814518,27.2972004972969,28.3195168792481,28.7166772036827,27.6311689415957,26.7101988959708,25.9388653089596,24.9062225769901,24.3213618167446,22.8820189139969,21.6853109011239,20.2623280309013,19.3079381004208,18.5748175628098,17.103461368621,16.9770690206874,16.1738687591017,15.3733643992879,15.0699557672355,14.5260570215891,13.6911429892502,13.3054628836947,13.1453095282848,12.2383060053671,11.6531556870604,12.0911482630645,11.627975895998,12.7025954227551,13.052499136238,12.8072454475983,13.1346688305854,13.1382377439744,13.2783376235274,13.2568872725224,13.1403417622359,13.3470216250202,12.8286787271487,13.2551739272244,14.0540100476215,13.8104515800246,15.1599865283107,15.5307691431964,15.3833018829845,15.544491766906],"EWD^FG_PRICE_MAVG(0,,,,30)":39.6095,"VWO^FMA_PCT_ABOVE_MAVG(200,0,,,,\"PORTAGG\")":46.8729851708575,"VGK^FMA_COS_UP(\"EPS\",\"1M\",+1,0,,,\"PORTAGG\",\"MEANR\")":428.0,"REFGBBANK-FDS^FG_YIELD(NOW,,,0)":5.25,"EWN^FMA_DIV_YLD(NTMA,NOW,NOW,M,\"PORTAGG\",\"MEANR\")":2.59161900106332,"EWI^P_PRICE(0)/P_PRICE_HIGH_PR(0,,,,,,\"PRICE\",\"INTRA\",\"52W\")":0.999238,"EWI^FMA_COS_UP(\"EPS\",\"1M\",+1,0,,,\"PORTAGG\",\"MEANR\")":16.0,"REFAUCASH-FDS^FG_YIELD(NOW,,,0)":4.35,"EWN^FG_PRICE_MAVG(0,,,,30)":49.1435,"REFAUCASH-FDS^PROPER_NAME(0,,,\"SECURITY\",\"NAME\")":"Australia Target Cash Rate","EWN^FG_TOTAL_RETURNC(0,-1AM)":8.861303,"EWD^SIZE(FG_CONSTITUENTS)":45,"EWQ^FMA_DIV_YLD(NTMA,NOW,NOW,M,\"PORTAGG\",\"MEANR\")":3.14682611634042,"TLT^P_PRICE(0)/P_PRICE_HIGH_PR(0,,,USD,,,\"PRICE\",\"INTRA\",\"52W\")":0.8791727,"PASP-FDS^FG_PRICE(0)/MAX(FG_PRICE(0,-1AY))":0.671475409836066,"EWN^FG_PRICE(0)":51.72,"REFNZOCR-FDS^(SUBARRAY(NOT_NA(NO_REPEAT_F(FG_YIELD(NOW,-10AY,D))),0,1)-SUBARRAY(NOT_NA(NO_REPEAT_F(FG_YIELD(NOW,-10AY,D))),1,1))*100":25.0,"EWN^PERCENT_CHANGE(FMA_EPS(+1,0,,,,\"PORTAGG\",\"MEAN\"),FMA_EPS(+1,-3AM,,,,\"PORTAGG\",\"MEAN\"))":4.51546828535117,"EWL^FMA_EVAL_EBIT(LTMA,NOW,NOW,M,\"PORTAGG\",\"MEANR\")":16.4158351780209,"TLT^FG_TOTAL_RETURNC(0,-6AM)":3.4818172,"USDGBP^STD(FG_PRICE_CHANGE(0,-3AY,M))":2.40581568682052,"PASP-FDS^FG_PRICE_CHANGE(0,-6AM)":-2.47619047619048,"EWU^FG_PRICE_MAVG(0,,,,30)":34.864334,"ENZL^FMA_COS_UP(\"EPS\",\"1M\",+1,0,,,\"PORTAGG\",\"MEANR\")":5.0,"REFNZOCR-FDS^FG_YIELD(NOW,,,0)":5.5,"USDJPY^STD(FG_PRICE_CHANGE(0,-1AY,AM))":2.77359536427864,"EWC^FG_PRICE_MAVG(0,,,,60)":37.652332,"EWN^PERCENT_CHANGE(FMA_EPS(+1,0,,,,\"PORTAGG\",\"MEAN\"),FMA_EPS(+1,-1AM,,,,\"PORTAGG\",\"MEAN\"))":2.15856327151768,"EWL^FG_FCF_YIELD_NTM(0)":4.90164474834015,"TLT^FG_TOTAL_RETURNC(0,-1AM)":2.7190566,"DUMMY^ECON_DATE(45310,,, 'MM/YYYY')":"01/2024","DUMMY^ECON_DATE(45401,,, 'MM/YYYY')":"04/2024","DUMMY^ECON_EXPR_DATA('FDS_ECON[NTCPMIMFGSA@NZ]',04/2024,,Q)":47.799873,"DUMMY^ECON_EXPR_DATA('FDS_ECON[NTCPMIMFGSA@NZ]',01/2024,,Q)":44.485504,"DUMMY^ECON_EXPR_DATA('FDS_ECON[NTCPMIMFGSA@AU]',04/2024,,Q)":48.39547,"DUMMY^ECON_EXPR_DATA('FDS_ECON[NTCPMIMFGSA@AU]',01/2024,,Q)":47.862293,"DUMMY^ECON_EXPR_DATA('FDS_ECON[NTCPMIMFGSA@CA]',04/2024,,Q)":49.30091,"DUMMY^ECON_EXPR_DATA('FDS_ECON[NTCPMIMFGSA@CA]',01/2024,,Q)":47.255585,"DUMMY^ECON_EXPR_DATA('FDS_ECON[NTCPMIMFGSA@DE]',04/2024,,Q)":43.319096,"DUMMY^ECON_EXPR_DATA('FDS_ECON[NTCPMIMFGSA@DE]',01/2024,,Q)":42.238945,"DUMMY^ECON_EXPR_DATA('FDS_ECON[NTCPMIMFGSA@JP]',04/2024,,Q)":47.808857,"DUMMY^ECON_EXPR_DATA('FDS_ECON[NTCPMIMFGSA@JP]',01/2024,,Q)":48.31877,"DUMMY^ECON_EXPR_DATA('FDS_ECON[NTCPMIMFGSA@CH]',04/2024,,Q)":44.08605,"DUMMY^ECON_EXPR_DATA('FDS_ECON[NTCPMIMFGSA@CH]',01/2024,,Q)":41.921543,"DUMMY^ECON_EXPR_DATA('FDS_ECON[NTCPMIMFGSA@GB]',04/2024,,Q)":48.24796,"DUMMY^ECON_EXPR_DATA('FDS_ECON[NTCPMIMFGSA@GB]',01/2024,,Q)":46.0587,"DUMMY^ECON_EXPR_DATA('FDS_ECON[NTCPMIMFGMESA@US]',04/2024,,Q)":51.582687,"DUMMY^ECON_EXPR_DATA('FDS_ECON[NTCPMIMFGMESA@US]',01/2024,,Q)":49.098827,"DUMMY^ECON_EXPR_DATA('FDS_ECON[NTCPMIMFGSA@FR]',04/2024,,Q)":45.498753,"DUMMY^ECON_EXPR_DATA('FDS_ECON[NTCPMIMFGSA@FR]',01/2024,,Q)":42.573967,"DUMMY^ECON_EXPR_DATA('FDS_ECON[NTCPMIMFGSA@NL]',04/2024,,Q)":49.325874,"DUMMY^ECON_EXPR_DATA('FDS_ECON[NTCPMIMFGSA@NL]',01/2024,,Q)":44.495136,"DUMMY^ECON_EXPR_DATA('FDS_ECON[]',04/2024,,Q)":null,"DUMMY^ECON_EXPR_DATA('FDS_ECON[]',01/2024,,Q)":null,"DUMMY^ECON_EXPR_DATA('FDS_ECON[NTCPMIMFGSA@IT]',04/2024,,Q)":49.208153,"DUMMY^ECON_EXPR_DATA('FDS_ECON[NTCPMIMFGSA@IT]',01/2024,,Q)":44.859455,"DUMMY^ECON_EXPR_DATA('FDS_ECON[PMIDMMANHE]',04/2024,,Q)":49.13533,"DUMMY^ECON_EXPR_DATA('FDS_ECON[PMIDMMANHE]',01/2024,,Q)":47.377975,"DUMMY^ECON_EXPR_DATA('FDS_ECON[NTCPMIMFGSA@EME]',04/2024,,Q)":51.51058,"DUMMY^ECON_EXPR_DATA('FDS_ECON[NTCPMIMFGSA@EME]',01/2024,,Q)":50.624123}]]></FdsFormulaCache>
</file>

<file path=customXml/itemProps1.xml><?xml version="1.0" encoding="utf-8"?>
<ds:datastoreItem xmlns:ds="http://schemas.openxmlformats.org/officeDocument/2006/customXml" ds:itemID="{9E049013-E8D2-4006-A008-1418F2419E0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2024-05-18T20:26:01Z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