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38026DB8-B31E-4C90-9A89-3DF8DFB6D709}" xr6:coauthVersionLast="47" xr6:coauthVersionMax="47" xr10:uidLastSave="{00000000-0000-0000-0000-000000000000}"/>
  <bookViews>
    <workbookView xWindow="-110" yWindow="-110" windowWidth="25820" windowHeight="15500" firstSheet="1" activeTab="4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1" l="1" a="1"/>
  <c r="G14" i="57" a="1"/>
  <c r="D13" i="57" a="1"/>
  <c r="G13" i="57" a="1"/>
  <c r="D12" i="57" a="1"/>
  <c r="G12" i="57" a="1"/>
  <c r="D11" i="57" a="1"/>
  <c r="G11" i="57" a="1"/>
  <c r="D10" i="57" a="1"/>
  <c r="G10" i="57" a="1"/>
  <c r="D9" i="57" a="1"/>
  <c r="G9" i="57" a="1"/>
  <c r="D8" i="57" a="1"/>
  <c r="G8" i="57" a="1"/>
  <c r="D7" i="57" a="1"/>
  <c r="G7" i="57" a="1"/>
  <c r="D6" i="57" a="1"/>
  <c r="G6" i="57" a="1"/>
  <c r="D5" i="57" a="1"/>
  <c r="G5" i="57" a="1"/>
  <c r="D4" i="57" a="1"/>
  <c r="G4" i="57" a="1"/>
  <c r="D3" i="57" a="1"/>
  <c r="G3" i="57" a="1"/>
  <c r="D2" i="57" a="1"/>
  <c r="G2" i="57" a="1"/>
  <c r="B17" i="57" a="1"/>
  <c r="E17" i="57" a="1"/>
  <c r="D17" i="57" a="1"/>
  <c r="G17" i="57" a="1"/>
  <c r="D14" i="57" a="1"/>
  <c r="O4" i="1" l="1"/>
  <c r="D14" i="57"/>
  <c r="G17" i="57"/>
  <c r="D17" i="57"/>
  <c r="E17" i="57"/>
  <c r="B17" i="57"/>
  <c r="G2" i="57"/>
  <c r="D2" i="57"/>
  <c r="G3" i="57"/>
  <c r="D3" i="57"/>
  <c r="G4" i="57"/>
  <c r="D4" i="57"/>
  <c r="G5" i="57"/>
  <c r="D5" i="57"/>
  <c r="G6" i="57"/>
  <c r="D6" i="57"/>
  <c r="G7" i="57"/>
  <c r="D7" i="57"/>
  <c r="G8" i="57"/>
  <c r="D8" i="57"/>
  <c r="G9" i="57"/>
  <c r="D9" i="57"/>
  <c r="G10" i="57"/>
  <c r="D10" i="57"/>
  <c r="G11" i="57"/>
  <c r="D11" i="57"/>
  <c r="G12" i="57"/>
  <c r="D12" i="57"/>
  <c r="G13" i="57"/>
  <c r="D13" i="57"/>
  <c r="G14" i="57"/>
  <c r="M16" i="48" a="1"/>
  <c r="M12" i="48" a="1"/>
  <c r="M8" i="48" a="1"/>
  <c r="M14" i="48" a="1"/>
  <c r="M11" i="48" a="1"/>
  <c r="M10" i="48" a="1"/>
  <c r="M4" i="48" a="1"/>
  <c r="M5" i="48" a="1"/>
  <c r="M13" i="48" a="1"/>
  <c r="M6" i="48" a="1"/>
  <c r="M9" i="48" a="1"/>
  <c r="M7" i="48" a="1"/>
  <c r="M7" i="48" l="1"/>
  <c r="M9" i="48"/>
  <c r="M6" i="48"/>
  <c r="M13" i="48"/>
  <c r="M5" i="48"/>
  <c r="M4" i="48"/>
  <c r="M10" i="48"/>
  <c r="M11" i="48"/>
  <c r="M14" i="48"/>
  <c r="M8" i="48"/>
  <c r="M12" i="48"/>
  <c r="M16" i="48"/>
  <c r="H12" i="43" a="1"/>
  <c r="H4" i="43" a="1"/>
  <c r="G15" i="42" a="1"/>
  <c r="G13" i="42" a="1"/>
  <c r="G11" i="42" a="1"/>
  <c r="G9" i="42" a="1"/>
  <c r="G7" i="42" a="1"/>
  <c r="G5" i="42" a="1"/>
  <c r="G3" i="42" a="1"/>
  <c r="C2" i="18" a="1"/>
  <c r="A2" i="15" a="1"/>
  <c r="M2" i="7" a="1"/>
  <c r="K2" i="47" a="1"/>
  <c r="I2" i="46" a="1"/>
  <c r="C12" i="52" a="1"/>
  <c r="C10" i="52" a="1"/>
  <c r="C8" i="52" a="1"/>
  <c r="C6" i="52" a="1"/>
  <c r="C4" i="52" a="1"/>
  <c r="S16" i="56" a="1"/>
  <c r="S12" i="56" a="1"/>
  <c r="S8" i="56" a="1"/>
  <c r="G17" i="56" a="1"/>
  <c r="G13" i="56" a="1"/>
  <c r="G9" i="56" a="1"/>
  <c r="G5" i="56" a="1"/>
  <c r="B6" i="56" a="1"/>
  <c r="R23" i="12" a="1"/>
  <c r="K22" i="12" a="1"/>
  <c r="M20" i="12" a="1"/>
  <c r="O18" i="12" a="1"/>
  <c r="Q14" i="12" a="1"/>
  <c r="J20" i="48" a="1"/>
  <c r="M2" i="38" a="1"/>
  <c r="AK4" i="9" a="1"/>
  <c r="U4" i="9" a="1"/>
  <c r="E4" i="9" a="1"/>
  <c r="E14" i="12" a="1"/>
  <c r="G8" i="12" a="1"/>
  <c r="F3" i="12" a="1"/>
  <c r="J13" i="39" a="1"/>
  <c r="H10" i="39" a="1"/>
  <c r="F7" i="39" a="1"/>
  <c r="C4" i="39" a="1"/>
  <c r="L11" i="28" a="1"/>
  <c r="K6" i="28" a="1"/>
  <c r="H12" i="28" a="1"/>
  <c r="H4" i="28" a="1"/>
  <c r="E10" i="28" a="1"/>
  <c r="I20" i="1" a="1"/>
  <c r="G15" i="1" a="1"/>
  <c r="L12" i="1" a="1"/>
  <c r="J10" i="1" a="1"/>
  <c r="H8" i="1" a="1"/>
  <c r="K3" i="1" a="1"/>
  <c r="D4" i="49" a="1"/>
  <c r="C16" i="40" a="1"/>
  <c r="G12" i="43" a="1"/>
  <c r="G4" i="43" a="1"/>
  <c r="F15" i="42" a="1"/>
  <c r="F13" i="42" a="1"/>
  <c r="F11" i="42" a="1"/>
  <c r="F9" i="42" a="1"/>
  <c r="F7" i="42" a="1"/>
  <c r="F5" i="42" a="1"/>
  <c r="F3" i="42" a="1"/>
  <c r="B2" i="18" a="1"/>
  <c r="N2" i="5" a="1"/>
  <c r="L2" i="7" a="1"/>
  <c r="J2" i="47" a="1"/>
  <c r="H2" i="46" a="1"/>
  <c r="J11" i="52" a="1"/>
  <c r="J9" i="52" a="1"/>
  <c r="J7" i="52" a="1"/>
  <c r="J5" i="52" a="1"/>
  <c r="J3" i="52" a="1"/>
  <c r="V15" i="56" a="1"/>
  <c r="V11" i="56" a="1"/>
  <c r="V7" i="56" a="1"/>
  <c r="J16" i="56" a="1"/>
  <c r="J12" i="56" a="1"/>
  <c r="J8" i="56" a="1"/>
  <c r="C26" i="56" a="1"/>
  <c r="B5" i="56" a="1"/>
  <c r="Q23" i="12" a="1"/>
  <c r="S21" i="12" a="1"/>
  <c r="L20" i="12" a="1"/>
  <c r="N18" i="12" a="1"/>
  <c r="P14" i="12" a="1"/>
  <c r="R12" i="12" a="1"/>
  <c r="K11" i="12" a="1"/>
  <c r="M9" i="12" a="1"/>
  <c r="O7" i="12" a="1"/>
  <c r="Q5" i="12" a="1"/>
  <c r="S3" i="12" a="1"/>
  <c r="F21" i="12" a="1"/>
  <c r="O15" i="1" a="1"/>
  <c r="F6" i="1" a="1"/>
  <c r="C6" i="1" a="1"/>
  <c r="G11" i="60" a="1"/>
  <c r="G7" i="60" a="1"/>
  <c r="G3" i="60" a="1"/>
  <c r="J19" i="48" a="1"/>
  <c r="L2" i="38" a="1"/>
  <c r="AJ4" i="9" a="1"/>
  <c r="T4" i="9" a="1"/>
  <c r="D4" i="9" a="1"/>
  <c r="K2" i="7" a="1"/>
  <c r="I9" i="52" a="1"/>
  <c r="I7" i="52" a="1"/>
  <c r="I5" i="52" a="1"/>
  <c r="I3" i="52" a="1"/>
  <c r="K20" i="12" a="1"/>
  <c r="M18" i="12" a="1"/>
  <c r="O14" i="12" a="1"/>
  <c r="H11" i="43" a="1"/>
  <c r="H3" i="43" a="1"/>
  <c r="E15" i="42" a="1"/>
  <c r="E13" i="42" a="1"/>
  <c r="E11" i="42" a="1"/>
  <c r="E9" i="42" a="1"/>
  <c r="E7" i="42" a="1"/>
  <c r="E5" i="42" a="1"/>
  <c r="E3" i="42" a="1"/>
  <c r="A2" i="18" a="1"/>
  <c r="M2" i="5" a="1"/>
  <c r="I2" i="47" a="1"/>
  <c r="G2" i="46" a="1"/>
  <c r="I11" i="52" a="1"/>
  <c r="U15" i="56" a="1"/>
  <c r="U11" i="56" a="1"/>
  <c r="U7" i="56" a="1"/>
  <c r="I16" i="56" a="1"/>
  <c r="I12" i="56" a="1"/>
  <c r="I8" i="56" a="1"/>
  <c r="C25" i="56" a="1"/>
  <c r="C16" i="13" a="1"/>
  <c r="P23" i="12" a="1"/>
  <c r="R21" i="12" a="1"/>
  <c r="Q12" i="12" a="1"/>
  <c r="S10" i="12" a="1"/>
  <c r="L9" i="12" a="1"/>
  <c r="N7" i="12" a="1"/>
  <c r="P5" i="12" a="1"/>
  <c r="R3" i="12" a="1"/>
  <c r="E21" i="12" a="1"/>
  <c r="G13" i="12" a="1"/>
  <c r="F8" i="12" a="1"/>
  <c r="J16" i="48" a="1"/>
  <c r="K2" i="38" a="1"/>
  <c r="AI4" i="9" a="1"/>
  <c r="S4" i="9" a="1"/>
  <c r="C4" i="9" a="1"/>
  <c r="G11" i="43" a="1"/>
  <c r="G3" i="43" a="1"/>
  <c r="D15" i="42" a="1"/>
  <c r="D13" i="42" a="1"/>
  <c r="D11" i="42" a="1"/>
  <c r="D9" i="42" a="1"/>
  <c r="D7" i="42" a="1"/>
  <c r="D5" i="42" a="1"/>
  <c r="D3" i="42" a="1"/>
  <c r="N2" i="15" a="1"/>
  <c r="L2" i="5" a="1"/>
  <c r="J2" i="7" a="1"/>
  <c r="H2" i="47" a="1"/>
  <c r="F2" i="46" a="1"/>
  <c r="H11" i="52" a="1"/>
  <c r="H9" i="52" a="1"/>
  <c r="H7" i="52" a="1"/>
  <c r="H5" i="52" a="1"/>
  <c r="H3" i="52" a="1"/>
  <c r="T15" i="56" a="1"/>
  <c r="T11" i="56" a="1"/>
  <c r="T7" i="56" a="1"/>
  <c r="H16" i="56" a="1"/>
  <c r="H12" i="56" a="1"/>
  <c r="H8" i="56" a="1"/>
  <c r="C24" i="56" a="1"/>
  <c r="C15" i="13" a="1"/>
  <c r="O23" i="12" a="1"/>
  <c r="Q21" i="12" a="1"/>
  <c r="S19" i="12" a="1"/>
  <c r="L18" i="12" a="1"/>
  <c r="N14" i="12" a="1"/>
  <c r="P12" i="12" a="1"/>
  <c r="R10" i="12" a="1"/>
  <c r="K9" i="12" a="1"/>
  <c r="M7" i="12" a="1"/>
  <c r="O5" i="12" a="1"/>
  <c r="Q3" i="12" a="1"/>
  <c r="G20" i="12" a="1"/>
  <c r="F13" i="12" a="1"/>
  <c r="E8" i="12" a="1"/>
  <c r="B15" i="12" a="1"/>
  <c r="J11" i="39" a="1"/>
  <c r="H8" i="39" a="1"/>
  <c r="F5" i="39" a="1"/>
  <c r="C2" i="39" a="1"/>
  <c r="M10" i="28" a="1"/>
  <c r="L5" i="28" a="1"/>
  <c r="H11" i="28" a="1"/>
  <c r="H3" i="28" a="1"/>
  <c r="E9" i="28" a="1"/>
  <c r="O13" i="1" a="1"/>
  <c r="G20" i="1" a="1"/>
  <c r="L14" i="1" a="1"/>
  <c r="J12" i="1" a="1"/>
  <c r="J15" i="48" a="1"/>
  <c r="J2" i="38" a="1"/>
  <c r="AH4" i="9" a="1"/>
  <c r="R4" i="9" a="1"/>
  <c r="B4" i="9" a="1"/>
  <c r="G9" i="52" a="1"/>
  <c r="G7" i="52" a="1"/>
  <c r="G5" i="52" a="1"/>
  <c r="H10" i="43" a="1"/>
  <c r="C11" i="43" a="1"/>
  <c r="C15" i="42" a="1"/>
  <c r="C13" i="42" a="1"/>
  <c r="C11" i="42" a="1"/>
  <c r="C9" i="42" a="1"/>
  <c r="C7" i="42" a="1"/>
  <c r="C5" i="42" a="1"/>
  <c r="C3" i="42" a="1"/>
  <c r="M2" i="15" a="1"/>
  <c r="K2" i="5" a="1"/>
  <c r="I2" i="7" a="1"/>
  <c r="G2" i="47" a="1"/>
  <c r="E2" i="46" a="1"/>
  <c r="G11" i="52" a="1"/>
  <c r="J14" i="48" a="1"/>
  <c r="I2" i="38" a="1"/>
  <c r="AG4" i="9" a="1"/>
  <c r="Q4" i="9" a="1"/>
  <c r="L2" i="15" a="1"/>
  <c r="H2" i="7" a="1"/>
  <c r="F2" i="47" a="1"/>
  <c r="D2" i="46" a="1"/>
  <c r="F11" i="52" a="1"/>
  <c r="G10" i="43" a="1"/>
  <c r="C10" i="43" a="1"/>
  <c r="J14" i="42" a="1"/>
  <c r="J12" i="42" a="1"/>
  <c r="J10" i="42" a="1"/>
  <c r="J8" i="42" a="1"/>
  <c r="J6" i="42" a="1"/>
  <c r="J4" i="42" a="1"/>
  <c r="N2" i="18" a="1"/>
  <c r="J2" i="5" a="1"/>
  <c r="J13" i="48" a="1"/>
  <c r="H2" i="38" a="1"/>
  <c r="AF4" i="9" a="1"/>
  <c r="P4" i="9" a="1"/>
  <c r="G2" i="7" a="1"/>
  <c r="E2" i="47" a="1"/>
  <c r="C2" i="46" a="1"/>
  <c r="E11" i="52" a="1"/>
  <c r="E9" i="52" a="1"/>
  <c r="E7" i="52" a="1"/>
  <c r="E5" i="52" a="1"/>
  <c r="E3" i="52" a="1"/>
  <c r="U14" i="56" a="1"/>
  <c r="U10" i="56" a="1"/>
  <c r="H9" i="43" a="1"/>
  <c r="C9" i="43" a="1"/>
  <c r="I14" i="42" a="1"/>
  <c r="I12" i="42" a="1"/>
  <c r="I10" i="42" a="1"/>
  <c r="I8" i="42" a="1"/>
  <c r="I6" i="42" a="1"/>
  <c r="I4" i="42" a="1"/>
  <c r="M2" i="18" a="1"/>
  <c r="K2" i="15" a="1"/>
  <c r="I2" i="5" a="1"/>
  <c r="U6" i="56" a="1"/>
  <c r="J12" i="48" a="1"/>
  <c r="G2" i="38" a="1"/>
  <c r="AE4" i="9" a="1"/>
  <c r="O4" i="9" a="1"/>
  <c r="H7" i="56" a="1"/>
  <c r="K23" i="12" a="1"/>
  <c r="M21" i="12" a="1"/>
  <c r="Q15" i="12" a="1"/>
  <c r="S13" i="12" a="1"/>
  <c r="L12" i="12" a="1"/>
  <c r="N10" i="12" a="1"/>
  <c r="P8" i="12" a="1"/>
  <c r="R6" i="12" a="1"/>
  <c r="K5" i="12" a="1"/>
  <c r="M3" i="12" a="1"/>
  <c r="F19" i="12" a="1"/>
  <c r="E12" i="12" a="1"/>
  <c r="G6" i="12" a="1"/>
  <c r="B11" i="12" a="1"/>
  <c r="G9" i="43" a="1"/>
  <c r="C8" i="43" a="1"/>
  <c r="H14" i="42" a="1"/>
  <c r="H12" i="42" a="1"/>
  <c r="H10" i="42" a="1"/>
  <c r="H8" i="42" a="1"/>
  <c r="H6" i="42" a="1"/>
  <c r="H4" i="42" a="1"/>
  <c r="L2" i="18" a="1"/>
  <c r="J2" i="15" a="1"/>
  <c r="H2" i="5" a="1"/>
  <c r="F2" i="7" a="1"/>
  <c r="D2" i="47" a="1"/>
  <c r="B2" i="46" a="1"/>
  <c r="D11" i="52" a="1"/>
  <c r="D9" i="52" a="1"/>
  <c r="D7" i="52" a="1"/>
  <c r="D5" i="52" a="1"/>
  <c r="D3" i="52" a="1"/>
  <c r="T14" i="56" a="1"/>
  <c r="T10" i="56" a="1"/>
  <c r="T6" i="56" a="1"/>
  <c r="H15" i="56" a="1"/>
  <c r="H11" i="56" a="1"/>
  <c r="B15" i="56" a="1"/>
  <c r="C11" i="13" a="1"/>
  <c r="O19" i="12" a="1"/>
  <c r="J11" i="48" a="1"/>
  <c r="F2" i="38" a="1"/>
  <c r="AD4" i="9" a="1"/>
  <c r="N4" i="9" a="1"/>
  <c r="E2" i="7" a="1"/>
  <c r="C7" i="52" a="1"/>
  <c r="C5" i="52" a="1"/>
  <c r="G15" i="56" a="1"/>
  <c r="G11" i="56" a="1"/>
  <c r="G7" i="56" a="1"/>
  <c r="B14" i="56" a="1"/>
  <c r="C10" i="13" a="1"/>
  <c r="S22" i="12" a="1"/>
  <c r="L21" i="12" a="1"/>
  <c r="P15" i="12" a="1"/>
  <c r="R13" i="12" a="1"/>
  <c r="H8" i="43" a="1"/>
  <c r="C7" i="43" a="1"/>
  <c r="G14" i="42" a="1"/>
  <c r="G12" i="42" a="1"/>
  <c r="G10" i="42" a="1"/>
  <c r="G8" i="42" a="1"/>
  <c r="G6" i="42" a="1"/>
  <c r="G4" i="42" a="1"/>
  <c r="K2" i="18" a="1"/>
  <c r="I2" i="15" a="1"/>
  <c r="G2" i="5" a="1"/>
  <c r="C2" i="47" a="1"/>
  <c r="A2" i="46" a="1"/>
  <c r="C11" i="52" a="1"/>
  <c r="C9" i="52" a="1"/>
  <c r="C3" i="52" a="1"/>
  <c r="S14" i="56" a="1"/>
  <c r="S10" i="56" a="1"/>
  <c r="S6" i="56" a="1"/>
  <c r="N19" i="12" a="1"/>
  <c r="K12" i="12" a="1"/>
  <c r="J10" i="48" a="1"/>
  <c r="E2" i="38" a="1"/>
  <c r="AC4" i="9" a="1"/>
  <c r="M4" i="9" a="1"/>
  <c r="A4" i="9" a="1"/>
  <c r="G8" i="43" a="1"/>
  <c r="C6" i="43" a="1"/>
  <c r="F14" i="42" a="1"/>
  <c r="F12" i="42" a="1"/>
  <c r="F10" i="42" a="1"/>
  <c r="F8" i="42" a="1"/>
  <c r="F6" i="42" a="1"/>
  <c r="F4" i="42" a="1"/>
  <c r="J2" i="18" a="1"/>
  <c r="H2" i="15" a="1"/>
  <c r="F2" i="5" a="1"/>
  <c r="J9" i="48" a="1"/>
  <c r="D2" i="38" a="1"/>
  <c r="AB4" i="9" a="1"/>
  <c r="L4" i="9" a="1"/>
  <c r="H15" i="43" a="1"/>
  <c r="H7" i="43" a="1"/>
  <c r="C5" i="43" a="1"/>
  <c r="E14" i="42" a="1"/>
  <c r="E12" i="42" a="1"/>
  <c r="E10" i="42" a="1"/>
  <c r="E8" i="42" a="1"/>
  <c r="E6" i="42" a="1"/>
  <c r="E4" i="42" a="1"/>
  <c r="I2" i="18" a="1"/>
  <c r="G2" i="15" a="1"/>
  <c r="E2" i="5" a="1"/>
  <c r="C2" i="7" a="1"/>
  <c r="A2" i="47" a="1"/>
  <c r="I12" i="52" a="1"/>
  <c r="I10" i="52" a="1"/>
  <c r="I8" i="52" a="1"/>
  <c r="I6" i="52" a="1"/>
  <c r="I4" i="52" a="1"/>
  <c r="U17" i="56" a="1"/>
  <c r="U13" i="56" a="1"/>
  <c r="U9" i="56" a="1"/>
  <c r="U5" i="56" a="1"/>
  <c r="I14" i="56" a="1"/>
  <c r="I10" i="56" a="1"/>
  <c r="I6" i="56" a="1"/>
  <c r="B12" i="56" a="1"/>
  <c r="C8" i="13" a="1"/>
  <c r="Q22" i="12" a="1"/>
  <c r="S20" i="12" a="1"/>
  <c r="L19" i="12" a="1"/>
  <c r="N15" i="12" a="1"/>
  <c r="P13" i="12" a="1"/>
  <c r="J8" i="48" a="1"/>
  <c r="C2" i="38" a="1"/>
  <c r="AA4" i="9" a="1"/>
  <c r="K4" i="9" a="1"/>
  <c r="G15" i="43" a="1"/>
  <c r="G7" i="43" a="1"/>
  <c r="C4" i="43" a="1"/>
  <c r="D14" i="42" a="1"/>
  <c r="D12" i="42" a="1"/>
  <c r="D10" i="42" a="1"/>
  <c r="D8" i="42" a="1"/>
  <c r="D6" i="42" a="1"/>
  <c r="D4" i="42" a="1"/>
  <c r="H2" i="18" a="1"/>
  <c r="F2" i="15" a="1"/>
  <c r="B2" i="7" a="1"/>
  <c r="H12" i="52" a="1"/>
  <c r="T13" i="56" a="1"/>
  <c r="T9" i="56" a="1"/>
  <c r="T5" i="56" a="1"/>
  <c r="H14" i="56" a="1"/>
  <c r="H10" i="56" a="1"/>
  <c r="H6" i="56" a="1"/>
  <c r="B11" i="56" a="1"/>
  <c r="D2" i="5" a="1"/>
  <c r="N2" i="46" a="1"/>
  <c r="H10" i="52" a="1"/>
  <c r="H8" i="52" a="1"/>
  <c r="H6" i="52" a="1"/>
  <c r="H4" i="52" a="1"/>
  <c r="T17" i="56" a="1"/>
  <c r="J7" i="48" a="1"/>
  <c r="B2" i="38" a="1"/>
  <c r="Z4" i="9" a="1"/>
  <c r="J4" i="9" a="1"/>
  <c r="H14" i="43" a="1"/>
  <c r="H6" i="43" a="1"/>
  <c r="C3" i="43" a="1"/>
  <c r="C14" i="42" a="1"/>
  <c r="C12" i="42" a="1"/>
  <c r="C10" i="42" a="1"/>
  <c r="C8" i="42" a="1"/>
  <c r="C6" i="42" a="1"/>
  <c r="C4" i="42" a="1"/>
  <c r="J6" i="48" a="1"/>
  <c r="A2" i="38" a="1"/>
  <c r="Y4" i="9" a="1"/>
  <c r="I4" i="9" a="1"/>
  <c r="J5" i="48" a="1"/>
  <c r="AN4" i="9" a="1"/>
  <c r="X4" i="9" a="1"/>
  <c r="H4" i="9" a="1"/>
  <c r="H13" i="43" a="1"/>
  <c r="H5" i="43" a="1"/>
  <c r="I15" i="42" a="1"/>
  <c r="I13" i="42" a="1"/>
  <c r="I11" i="42" a="1"/>
  <c r="I9" i="42" a="1"/>
  <c r="I7" i="42" a="1"/>
  <c r="I5" i="42" a="1"/>
  <c r="I3" i="42" a="1"/>
  <c r="E2" i="18" a="1"/>
  <c r="C2" i="15" a="1"/>
  <c r="A2" i="5" a="1"/>
  <c r="K2" i="46" a="1"/>
  <c r="E12" i="52" a="1"/>
  <c r="M2" i="47" a="1"/>
  <c r="E10" i="52" a="1"/>
  <c r="E8" i="52" a="1"/>
  <c r="E6" i="52" a="1"/>
  <c r="E4" i="52" a="1"/>
  <c r="U16" i="56" a="1"/>
  <c r="U12" i="56" a="1"/>
  <c r="U8" i="56" a="1"/>
  <c r="I17" i="56" a="1"/>
  <c r="I13" i="56" a="1"/>
  <c r="I9" i="56" a="1"/>
  <c r="I5" i="56" a="1"/>
  <c r="B8" i="56" a="1"/>
  <c r="C4" i="13" a="1"/>
  <c r="M22" i="12" a="1"/>
  <c r="O20" i="12" a="1"/>
  <c r="J4" i="48" a="1"/>
  <c r="AM4" i="9" a="1"/>
  <c r="W4" i="9" a="1"/>
  <c r="G4" i="9" a="1"/>
  <c r="G13" i="43" a="1"/>
  <c r="G5" i="43" a="1"/>
  <c r="H15" i="42" a="1"/>
  <c r="H13" i="42" a="1"/>
  <c r="H11" i="42" a="1"/>
  <c r="H9" i="42" a="1"/>
  <c r="H7" i="42" a="1"/>
  <c r="H5" i="42" a="1"/>
  <c r="H3" i="42" a="1"/>
  <c r="D2" i="18" a="1"/>
  <c r="B2" i="15" a="1"/>
  <c r="N2" i="7" a="1"/>
  <c r="L2" i="47" a="1"/>
  <c r="J2" i="46" a="1"/>
  <c r="D12" i="52" a="1"/>
  <c r="D10" i="52" a="1"/>
  <c r="D8" i="52" a="1"/>
  <c r="D6" i="52" a="1"/>
  <c r="D4" i="52" a="1"/>
  <c r="T16" i="56" a="1"/>
  <c r="T12" i="56" a="1"/>
  <c r="T8" i="56" a="1"/>
  <c r="H17" i="56" a="1"/>
  <c r="H13" i="56" a="1"/>
  <c r="H9" i="56" a="1"/>
  <c r="H5" i="56" a="1"/>
  <c r="B7" i="56" a="1"/>
  <c r="S23" i="12" a="1"/>
  <c r="N2" i="38" a="1"/>
  <c r="AL4" i="9" a="1"/>
  <c r="V4" i="9" a="1"/>
  <c r="F4" i="9" a="1"/>
  <c r="F2" i="18" a="1"/>
  <c r="J10" i="52" a="1"/>
  <c r="F4" i="52" a="1"/>
  <c r="C5" i="13" a="1"/>
  <c r="Q19" i="12" a="1"/>
  <c r="O10" i="12" a="1"/>
  <c r="N4" i="12" a="1"/>
  <c r="E18" i="12" a="1"/>
  <c r="J14" i="39" a="1"/>
  <c r="K15" i="28" a="1"/>
  <c r="K7" i="28" a="1"/>
  <c r="H8" i="28" a="1"/>
  <c r="D11" i="28" a="1"/>
  <c r="I14" i="1" a="1"/>
  <c r="F11" i="1" a="1"/>
  <c r="H7" i="1" a="1"/>
  <c r="C18" i="40" a="1"/>
  <c r="H14" i="1" a="1"/>
  <c r="D12" i="49" a="1"/>
  <c r="G14" i="1" a="1"/>
  <c r="G7" i="1" a="1"/>
  <c r="C17" i="40" a="1"/>
  <c r="S7" i="56" a="1"/>
  <c r="G8" i="56" a="1"/>
  <c r="P19" i="12" a="1"/>
  <c r="Q13" i="12" a="1"/>
  <c r="M10" i="12" a="1"/>
  <c r="P7" i="12" a="1"/>
  <c r="M4" i="12" a="1"/>
  <c r="E6" i="12" a="1"/>
  <c r="J12" i="39" a="1"/>
  <c r="F12" i="39" a="1"/>
  <c r="M14" i="28" a="1"/>
  <c r="D10" i="28" a="1"/>
  <c r="E2" i="15" a="1"/>
  <c r="V6" i="56" a="1"/>
  <c r="J7" i="56" a="1"/>
  <c r="L7" i="12" a="1"/>
  <c r="G15" i="12" a="1"/>
  <c r="J10" i="39" a="1"/>
  <c r="L14" i="28" a="1"/>
  <c r="M6" i="28" a="1"/>
  <c r="G8" i="28" a="1"/>
  <c r="F9" i="60" a="1"/>
  <c r="H3" i="60" a="1"/>
  <c r="E9" i="60" a="1"/>
  <c r="F3" i="60" a="1"/>
  <c r="G10" i="52" a="1"/>
  <c r="G3" i="52" a="1"/>
  <c r="V5" i="56" a="1"/>
  <c r="I7" i="56" a="1"/>
  <c r="N23" i="12" a="1"/>
  <c r="M19" i="12" a="1"/>
  <c r="O13" i="12" a="1"/>
  <c r="L10" i="12" a="1"/>
  <c r="K7" i="12" a="1"/>
  <c r="L4" i="12" a="1"/>
  <c r="G5" i="12" a="1"/>
  <c r="J9" i="39" a="1"/>
  <c r="F11" i="39" a="1"/>
  <c r="H7" i="28" a="1"/>
  <c r="E8" i="28" a="1"/>
  <c r="O3" i="1" a="1"/>
  <c r="L3" i="1" a="1"/>
  <c r="D11" i="49" a="1"/>
  <c r="C15" i="40" a="1"/>
  <c r="G14" i="43" a="1"/>
  <c r="D2" i="15" a="1"/>
  <c r="F3" i="52" a="1"/>
  <c r="J6" i="56" a="1"/>
  <c r="M23" i="12" a="1"/>
  <c r="S6" i="12" a="1"/>
  <c r="F15" i="12" a="1"/>
  <c r="F5" i="12" a="1"/>
  <c r="J8" i="39" a="1"/>
  <c r="F10" i="39" a="1"/>
  <c r="K14" i="28" a="1"/>
  <c r="L6" i="28" a="1"/>
  <c r="D8" i="28" a="1"/>
  <c r="L20" i="1" a="1"/>
  <c r="F14" i="1" a="1"/>
  <c r="K10" i="1" a="1"/>
  <c r="F7" i="1" a="1"/>
  <c r="J3" i="1" a="1"/>
  <c r="D10" i="49" a="1"/>
  <c r="C14" i="40" a="1"/>
  <c r="C13" i="40" a="1"/>
  <c r="H8" i="60" a="1"/>
  <c r="E3" i="60" a="1"/>
  <c r="L13" i="28" a="1"/>
  <c r="G3" i="1" a="1"/>
  <c r="C11" i="40" a="1"/>
  <c r="D7" i="49" a="1"/>
  <c r="C7" i="40" a="1"/>
  <c r="C11" i="1" a="1"/>
  <c r="E6" i="60" a="1"/>
  <c r="O9" i="1" a="1"/>
  <c r="V8" i="56" a="1"/>
  <c r="O6" i="1" a="1"/>
  <c r="F10" i="52" a="1"/>
  <c r="V17" i="56" a="1"/>
  <c r="L23" i="12" a="1"/>
  <c r="K19" i="12" a="1"/>
  <c r="N13" i="12" a="1"/>
  <c r="K10" i="12" a="1"/>
  <c r="Q6" i="12" a="1"/>
  <c r="K4" i="12" a="1"/>
  <c r="E15" i="12" a="1"/>
  <c r="J7" i="39" a="1"/>
  <c r="M5" i="28" a="1"/>
  <c r="G7" i="28" a="1"/>
  <c r="E7" i="28" a="1"/>
  <c r="I10" i="1" a="1"/>
  <c r="L6" i="1" a="1"/>
  <c r="I3" i="1" a="1"/>
  <c r="L9" i="1" a="1"/>
  <c r="D6" i="28" a="1"/>
  <c r="L12" i="28" a="1"/>
  <c r="G5" i="28" a="1"/>
  <c r="H6" i="1" a="1"/>
  <c r="J5" i="1" a="1"/>
  <c r="C18" i="55" a="1"/>
  <c r="J7" i="1" a="1"/>
  <c r="S5" i="56" a="1"/>
  <c r="S9" i="12" a="1"/>
  <c r="P3" i="12" a="1"/>
  <c r="E5" i="12" a="1"/>
  <c r="J6" i="39" a="1"/>
  <c r="F9" i="39" a="1"/>
  <c r="M13" i="28" a="1"/>
  <c r="K5" i="28" a="1"/>
  <c r="D7" i="28" a="1"/>
  <c r="K20" i="1" a="1"/>
  <c r="L13" i="1" a="1"/>
  <c r="H10" i="1" a="1"/>
  <c r="H3" i="1" a="1"/>
  <c r="D9" i="49" a="1"/>
  <c r="C12" i="40" a="1"/>
  <c r="H6" i="28" a="1"/>
  <c r="G8" i="60" a="1"/>
  <c r="C9" i="40" a="1"/>
  <c r="H5" i="28" a="1"/>
  <c r="K19" i="1" a="1"/>
  <c r="K4" i="1" a="1"/>
  <c r="G10" i="28" a="1"/>
  <c r="F14" i="39" a="1"/>
  <c r="D14" i="49" a="1"/>
  <c r="G6" i="43" a="1"/>
  <c r="C2" i="5" a="1"/>
  <c r="G6" i="56" a="1"/>
  <c r="R22" i="12" a="1"/>
  <c r="S18" i="12" a="1"/>
  <c r="M13" i="12" a="1"/>
  <c r="P6" i="12" a="1"/>
  <c r="O3" i="12" a="1"/>
  <c r="G14" i="12" a="1"/>
  <c r="M4" i="28" a="1"/>
  <c r="K13" i="1" a="1"/>
  <c r="G10" i="1" a="1"/>
  <c r="K6" i="1" a="1"/>
  <c r="K13" i="28" a="1"/>
  <c r="H20" i="1" a="1"/>
  <c r="D23" i="1" a="1"/>
  <c r="I6" i="1" a="1"/>
  <c r="E8" i="60" a="1"/>
  <c r="M6" i="12" a="1"/>
  <c r="F2" i="39" a="1"/>
  <c r="F7" i="60" a="1"/>
  <c r="K15" i="1" a="1"/>
  <c r="K14" i="1" a="1"/>
  <c r="F9" i="52" a="1"/>
  <c r="S17" i="56" a="1"/>
  <c r="J17" i="56" a="1"/>
  <c r="L13" i="12" a="1"/>
  <c r="R9" i="12" a="1"/>
  <c r="N3" i="12" a="1"/>
  <c r="G4" i="12" a="1"/>
  <c r="J5" i="39" a="1"/>
  <c r="F8" i="39" a="1"/>
  <c r="L4" i="28" a="1"/>
  <c r="G6" i="28" a="1"/>
  <c r="E6" i="28" a="1"/>
  <c r="J20" i="1" a="1"/>
  <c r="F10" i="1" a="1"/>
  <c r="F3" i="1" a="1"/>
  <c r="D8" i="49" a="1"/>
  <c r="C10" i="40" a="1"/>
  <c r="F8" i="60" a="1"/>
  <c r="J13" i="1" a="1"/>
  <c r="F20" i="1" a="1"/>
  <c r="K9" i="1" a="1"/>
  <c r="E13" i="28" a="1"/>
  <c r="G4" i="60" a="1"/>
  <c r="B2" i="5" a="1"/>
  <c r="J8" i="52" a="1"/>
  <c r="J5" i="56" a="1"/>
  <c r="P22" i="12" a="1"/>
  <c r="R18" i="12" a="1"/>
  <c r="O6" i="12" a="1"/>
  <c r="L3" i="12" a="1"/>
  <c r="F14" i="12" a="1"/>
  <c r="F4" i="12" a="1"/>
  <c r="F6" i="39" a="1"/>
  <c r="K4" i="28" a="1"/>
  <c r="J6" i="1" a="1"/>
  <c r="C15" i="1" a="1"/>
  <c r="L3" i="28" a="1"/>
  <c r="H13" i="1" a="1"/>
  <c r="H7" i="60" a="1"/>
  <c r="O7" i="1" a="1"/>
  <c r="E10" i="60" a="1"/>
  <c r="Q10" i="12" a="1"/>
  <c r="J15" i="42" a="1"/>
  <c r="D2" i="7" a="1"/>
  <c r="V16" i="56" a="1"/>
  <c r="Q18" i="12" a="1"/>
  <c r="K13" i="12" a="1"/>
  <c r="Q9" i="12" a="1"/>
  <c r="N6" i="12" a="1"/>
  <c r="E13" i="12" a="1"/>
  <c r="J4" i="39" a="1"/>
  <c r="F4" i="39" a="1"/>
  <c r="M3" i="28" a="1"/>
  <c r="C14" i="1" a="1"/>
  <c r="H11" i="60" a="1"/>
  <c r="E11" i="60" a="1"/>
  <c r="K7" i="1" a="1"/>
  <c r="G9" i="28" a="1"/>
  <c r="G16" i="56" a="1"/>
  <c r="O22" i="12" a="1"/>
  <c r="P9" i="12" a="1"/>
  <c r="K3" i="12" a="1"/>
  <c r="G12" i="12" a="1"/>
  <c r="E4" i="12" a="1"/>
  <c r="J3" i="39" a="1"/>
  <c r="F3" i="39" a="1"/>
  <c r="M12" i="28" a="1"/>
  <c r="E5" i="28" a="1"/>
  <c r="L19" i="1" a="1"/>
  <c r="I13" i="1" a="1"/>
  <c r="J9" i="1" a="1"/>
  <c r="D6" i="49" a="1"/>
  <c r="C8" i="40" a="1"/>
  <c r="C23" i="56" a="1"/>
  <c r="F12" i="12" a="1"/>
  <c r="C20" i="55" a="1"/>
  <c r="C5" i="1" a="1"/>
  <c r="F15" i="1" a="1"/>
  <c r="C6" i="13" a="1"/>
  <c r="G8" i="52" a="1"/>
  <c r="J15" i="56" a="1"/>
  <c r="P18" i="12" a="1"/>
  <c r="S12" i="12" a="1"/>
  <c r="C6" i="40" a="1"/>
  <c r="C12" i="1" a="1"/>
  <c r="E7" i="60" a="1"/>
  <c r="C14" i="55" a="1"/>
  <c r="D13" i="28" a="1"/>
  <c r="L7" i="1" a="1"/>
  <c r="E7" i="12" a="1"/>
  <c r="J13" i="42" a="1"/>
  <c r="A2" i="7" a="1"/>
  <c r="S15" i="56" a="1"/>
  <c r="I15" i="56" a="1"/>
  <c r="B17" i="56" a="1"/>
  <c r="N22" i="12" a="1"/>
  <c r="O12" i="12" a="1"/>
  <c r="O9" i="12" a="1"/>
  <c r="G23" i="12" a="1"/>
  <c r="G11" i="12" a="1"/>
  <c r="G3" i="12" a="1"/>
  <c r="J2" i="39" a="1"/>
  <c r="C14" i="39" a="1"/>
  <c r="G4" i="28" a="1"/>
  <c r="D5" i="28" a="1"/>
  <c r="J19" i="1" a="1"/>
  <c r="I9" i="1" a="1"/>
  <c r="D5" i="49" a="1"/>
  <c r="B4" i="12" a="1"/>
  <c r="D15" i="49" a="1"/>
  <c r="F8" i="52" a="1"/>
  <c r="V14" i="56" a="1"/>
  <c r="J14" i="56" a="1"/>
  <c r="B16" i="56" a="1"/>
  <c r="K18" i="12" a="1"/>
  <c r="N12" i="12" a="1"/>
  <c r="L6" i="12" a="1"/>
  <c r="F23" i="12" a="1"/>
  <c r="E3" i="12" a="1"/>
  <c r="C13" i="39" a="1"/>
  <c r="K12" i="28" a="1"/>
  <c r="K3" i="28" a="1"/>
  <c r="G3" i="28" a="1"/>
  <c r="I19" i="1" a="1"/>
  <c r="G13" i="1" a="1"/>
  <c r="G6" i="1" a="1"/>
  <c r="C13" i="1" a="1"/>
  <c r="C21" i="55" a="1"/>
  <c r="L5" i="1" a="1"/>
  <c r="C8" i="1" a="1"/>
  <c r="O11" i="1" a="1"/>
  <c r="F9" i="12" a="1"/>
  <c r="C12" i="55" a="1"/>
  <c r="H4" i="1" a="1"/>
  <c r="N2" i="47" a="1"/>
  <c r="V13" i="56" a="1"/>
  <c r="B13" i="56" a="1"/>
  <c r="L22" i="12" a="1"/>
  <c r="S15" i="12" a="1"/>
  <c r="M12" i="12" a="1"/>
  <c r="N9" i="12" a="1"/>
  <c r="K6" i="12" a="1"/>
  <c r="F11" i="12" a="1"/>
  <c r="B14" i="12" a="1"/>
  <c r="H14" i="39" a="1"/>
  <c r="H15" i="28" a="1"/>
  <c r="E18" i="28" a="1"/>
  <c r="E4" i="28" a="1"/>
  <c r="H9" i="1" a="1"/>
  <c r="F12" i="60" a="1"/>
  <c r="C10" i="55" a="1"/>
  <c r="J11" i="42" a="1"/>
  <c r="R15" i="12" a="1"/>
  <c r="S8" i="12" a="1"/>
  <c r="E23" i="12" a="1"/>
  <c r="B13" i="12" a="1"/>
  <c r="H13" i="39" a="1"/>
  <c r="C12" i="39" a="1"/>
  <c r="M11" i="28" a="1"/>
  <c r="D18" i="28" a="1"/>
  <c r="D4" i="28" a="1"/>
  <c r="H19" i="1" a="1"/>
  <c r="F13" i="1" a="1"/>
  <c r="G9" i="1" a="1"/>
  <c r="K5" i="1" a="1"/>
  <c r="C19" i="55" a="1"/>
  <c r="H12" i="60" a="1"/>
  <c r="H6" i="60" a="1"/>
  <c r="K12" i="1" a="1"/>
  <c r="G6" i="60" a="1"/>
  <c r="C10" i="1" a="1"/>
  <c r="H4" i="39" a="1"/>
  <c r="G12" i="28" a="1"/>
  <c r="I4" i="1" a="1"/>
  <c r="O4" i="12" a="1"/>
  <c r="B2" i="47" a="1"/>
  <c r="F7" i="52" a="1"/>
  <c r="G14" i="56" a="1"/>
  <c r="P21" i="12" a="1"/>
  <c r="S11" i="12" a="1"/>
  <c r="R8" i="12" a="1"/>
  <c r="S5" i="12" a="1"/>
  <c r="E11" i="12" a="1"/>
  <c r="B12" i="12" a="1"/>
  <c r="K11" i="28" a="1"/>
  <c r="G15" i="28" a="1"/>
  <c r="E15" i="28" a="1"/>
  <c r="C16" i="55" a="1"/>
  <c r="H5" i="60" a="1"/>
  <c r="G5" i="60" a="1"/>
  <c r="J8" i="1" a="1"/>
  <c r="E5" i="60" a="1"/>
  <c r="E11" i="28" a="1"/>
  <c r="J6" i="52" a="1"/>
  <c r="S13" i="56" a="1"/>
  <c r="B10" i="56" a="1"/>
  <c r="O21" i="12" a="1"/>
  <c r="O15" i="12" a="1"/>
  <c r="Q8" i="12" a="1"/>
  <c r="G22" i="12" a="1"/>
  <c r="G10" i="12" a="1"/>
  <c r="B10" i="12" a="1"/>
  <c r="H12" i="39" a="1"/>
  <c r="C11" i="39" a="1"/>
  <c r="L10" i="28" a="1"/>
  <c r="D15" i="28" a="1"/>
  <c r="E3" i="28" a="1"/>
  <c r="G19" i="1" a="1"/>
  <c r="I12" i="1" a="1"/>
  <c r="F9" i="1" a="1"/>
  <c r="I5" i="1" a="1"/>
  <c r="C17" i="55" a="1"/>
  <c r="G12" i="60" a="1"/>
  <c r="F6" i="60" a="1"/>
  <c r="H12" i="1" a="1"/>
  <c r="I8" i="1" a="1"/>
  <c r="H2" i="39" a="1"/>
  <c r="C5" i="39" a="1"/>
  <c r="D12" i="28" a="1"/>
  <c r="M15" i="28" a="1"/>
  <c r="J9" i="42" a="1"/>
  <c r="J13" i="56" a="1"/>
  <c r="N21" i="12" a="1"/>
  <c r="R11" i="12" a="1"/>
  <c r="O8" i="12" a="1"/>
  <c r="R5" i="12" a="1"/>
  <c r="F22" i="12" a="1"/>
  <c r="C10" i="39" a="1"/>
  <c r="K10" i="28" a="1"/>
  <c r="H14" i="28" a="1"/>
  <c r="F19" i="1" a="1"/>
  <c r="H5" i="1" a="1"/>
  <c r="L4" i="1" a="1"/>
  <c r="H11" i="1" a="1"/>
  <c r="L14" i="12" a="1"/>
  <c r="F4" i="60" a="1"/>
  <c r="M2" i="46" a="1"/>
  <c r="V12" i="56" a="1"/>
  <c r="B9" i="56" a="1"/>
  <c r="M15" i="12" a="1"/>
  <c r="Q11" i="12" a="1"/>
  <c r="N5" i="12" a="1"/>
  <c r="F10" i="12" a="1"/>
  <c r="B9" i="12" a="1"/>
  <c r="H11" i="39" a="1"/>
  <c r="M9" i="28" a="1"/>
  <c r="G14" i="28" a="1"/>
  <c r="E14" i="28" a="1"/>
  <c r="D3" i="28" a="1"/>
  <c r="G12" i="1" a="1"/>
  <c r="L8" i="1" a="1"/>
  <c r="G5" i="1" a="1"/>
  <c r="C9" i="1" a="1"/>
  <c r="C15" i="55" a="1"/>
  <c r="H4" i="60" a="1"/>
  <c r="J9" i="56" a="1"/>
  <c r="G6" i="52" a="1"/>
  <c r="K21" i="12" a="1"/>
  <c r="N8" i="12" a="1"/>
  <c r="M5" i="12" a="1"/>
  <c r="E22" i="12" a="1"/>
  <c r="H9" i="39" a="1"/>
  <c r="C9" i="39" a="1"/>
  <c r="L9" i="28" a="1"/>
  <c r="O14" i="1" a="1"/>
  <c r="L15" i="1" a="1"/>
  <c r="F12" i="1" a="1"/>
  <c r="K8" i="1" a="1"/>
  <c r="F5" i="1" a="1"/>
  <c r="E12" i="60" a="1"/>
  <c r="L15" i="12" a="1"/>
  <c r="L5" i="12" a="1"/>
  <c r="K9" i="28" a="1"/>
  <c r="H13" i="28" a="1"/>
  <c r="O12" i="1" a="1"/>
  <c r="H15" i="1" a="1"/>
  <c r="F10" i="60" a="1"/>
  <c r="J7" i="42" a="1"/>
  <c r="L2" i="46" a="1"/>
  <c r="G12" i="56" a="1"/>
  <c r="P11" i="12" a="1"/>
  <c r="E10" i="12" a="1"/>
  <c r="B8" i="12" a="1"/>
  <c r="H7" i="39" a="1"/>
  <c r="D14" i="28" a="1"/>
  <c r="L11" i="1" a="1"/>
  <c r="F6" i="52" a="1"/>
  <c r="S11" i="56" a="1"/>
  <c r="J11" i="56" a="1"/>
  <c r="C14" i="13" a="1"/>
  <c r="R20" i="12" a="1"/>
  <c r="M8" i="12" a="1"/>
  <c r="S4" i="12" a="1"/>
  <c r="G21" i="12" a="1"/>
  <c r="G9" i="12" a="1"/>
  <c r="B7" i="12" a="1"/>
  <c r="H6" i="39" a="1"/>
  <c r="C8" i="39" a="1"/>
  <c r="J12" i="52" a="1"/>
  <c r="V10" i="56" a="1"/>
  <c r="I11" i="56" a="1"/>
  <c r="C13" i="13" a="1"/>
  <c r="K15" i="12" a="1"/>
  <c r="O11" i="12" a="1"/>
  <c r="L8" i="12" a="1"/>
  <c r="F20" i="12" a="1"/>
  <c r="H5" i="39" a="1"/>
  <c r="C7" i="39" a="1"/>
  <c r="M8" i="28" a="1"/>
  <c r="G13" i="28" a="1"/>
  <c r="O10" i="1" a="1"/>
  <c r="J15" i="1" a="1"/>
  <c r="K11" i="1" a="1"/>
  <c r="C7" i="1" a="1"/>
  <c r="C13" i="55" a="1"/>
  <c r="F11" i="60" a="1"/>
  <c r="F5" i="60" a="1"/>
  <c r="N11" i="12" a="1"/>
  <c r="R4" i="12" a="1"/>
  <c r="E20" i="12" a="1"/>
  <c r="B6" i="12" a="1"/>
  <c r="J5" i="42" a="1"/>
  <c r="V9" i="56" a="1"/>
  <c r="J10" i="56" a="1"/>
  <c r="C12" i="13" a="1"/>
  <c r="Q20" i="12" a="1"/>
  <c r="S14" i="12" a="1"/>
  <c r="F5" i="52" a="1"/>
  <c r="C9" i="13" a="1"/>
  <c r="K8" i="12" a="1"/>
  <c r="G19" i="12" a="1"/>
  <c r="H3" i="39" a="1"/>
  <c r="C6" i="39" a="1"/>
  <c r="L8" i="28" a="1"/>
  <c r="G11" i="28" a="1"/>
  <c r="O8" i="1" a="1"/>
  <c r="I15" i="1" a="1"/>
  <c r="J11" i="1" a="1"/>
  <c r="G8" i="1" a="1"/>
  <c r="J4" i="1" a="1"/>
  <c r="C4" i="1" a="1"/>
  <c r="H10" i="60" a="1"/>
  <c r="H10" i="28" a="1"/>
  <c r="I11" i="1" a="1"/>
  <c r="F8" i="1" a="1"/>
  <c r="C3" i="1" a="1"/>
  <c r="C11" i="55" a="1"/>
  <c r="G10" i="60" a="1"/>
  <c r="G12" i="52" a="1"/>
  <c r="J4" i="52" a="1"/>
  <c r="P20" i="12" a="1"/>
  <c r="R14" i="12" a="1"/>
  <c r="M11" i="12" a="1"/>
  <c r="Q4" i="12" a="1"/>
  <c r="E19" i="12" a="1"/>
  <c r="E9" i="12" a="1"/>
  <c r="B5" i="12" a="1"/>
  <c r="K8" i="28" a="1"/>
  <c r="E12" i="28" a="1"/>
  <c r="J3" i="42" a="1"/>
  <c r="S9" i="56" a="1"/>
  <c r="G10" i="56" a="1"/>
  <c r="C7" i="13" a="1"/>
  <c r="S7" i="12" a="1"/>
  <c r="P4" i="12" a="1"/>
  <c r="G7" i="12" a="1"/>
  <c r="D16" i="49" a="1"/>
  <c r="B3" i="12" a="1"/>
  <c r="F12" i="52" a="1"/>
  <c r="N20" i="12" a="1"/>
  <c r="M14" i="12" a="1"/>
  <c r="L11" i="12" a="1"/>
  <c r="R7" i="12" a="1"/>
  <c r="G18" i="12" a="1"/>
  <c r="F7" i="12" a="1"/>
  <c r="C3" i="39" a="1"/>
  <c r="M7" i="28" a="1"/>
  <c r="H9" i="28" a="1"/>
  <c r="G2" i="18" a="1"/>
  <c r="G4" i="52" a="1"/>
  <c r="H9" i="60" a="1"/>
  <c r="R19" i="12" a="1"/>
  <c r="K14" i="12" a="1"/>
  <c r="P10" i="12" a="1"/>
  <c r="Q7" i="12" a="1"/>
  <c r="F18" i="12" a="1"/>
  <c r="F6" i="12" a="1"/>
  <c r="F13" i="39" a="1"/>
  <c r="L15" i="28" a="1"/>
  <c r="L7" i="28" a="1"/>
  <c r="O5" i="1" a="1"/>
  <c r="J14" i="1" a="1"/>
  <c r="G11" i="1" a="1"/>
  <c r="I7" i="1" a="1"/>
  <c r="G4" i="1" a="1"/>
  <c r="D13" i="49" a="1"/>
  <c r="G9" i="60" a="1"/>
  <c r="E4" i="60" a="1"/>
  <c r="F4" i="1" a="1"/>
  <c r="D9" i="28" a="1"/>
  <c r="L10" i="1" a="1"/>
  <c r="C9" i="55" a="1"/>
  <c r="C9" i="55" l="1"/>
  <c r="L10" i="1"/>
  <c r="D9" i="28"/>
  <c r="F4" i="1"/>
  <c r="E4" i="60"/>
  <c r="G9" i="60"/>
  <c r="D13" i="49"/>
  <c r="G4" i="1"/>
  <c r="I7" i="1"/>
  <c r="G11" i="1"/>
  <c r="J14" i="1"/>
  <c r="O5" i="1"/>
  <c r="L7" i="28"/>
  <c r="L15" i="28"/>
  <c r="F13" i="39"/>
  <c r="F6" i="12"/>
  <c r="F18" i="12"/>
  <c r="Q7" i="12"/>
  <c r="P10" i="12"/>
  <c r="K14" i="12"/>
  <c r="R19" i="12"/>
  <c r="H9" i="60"/>
  <c r="G4" i="52"/>
  <c r="G2" i="18"/>
  <c r="H9" i="28"/>
  <c r="M7" i="28"/>
  <c r="C3" i="39"/>
  <c r="F7" i="12"/>
  <c r="G18" i="12"/>
  <c r="R7" i="12"/>
  <c r="L11" i="12"/>
  <c r="M14" i="12"/>
  <c r="N20" i="12"/>
  <c r="F12" i="52"/>
  <c r="B3" i="12"/>
  <c r="D16" i="49"/>
  <c r="G7" i="12"/>
  <c r="P4" i="12"/>
  <c r="S7" i="12"/>
  <c r="C7" i="13"/>
  <c r="G10" i="56"/>
  <c r="S9" i="56"/>
  <c r="J3" i="42"/>
  <c r="E12" i="28"/>
  <c r="K8" i="28"/>
  <c r="B5" i="12"/>
  <c r="E9" i="12"/>
  <c r="E19" i="12"/>
  <c r="Q4" i="12"/>
  <c r="M11" i="12"/>
  <c r="R14" i="12"/>
  <c r="P20" i="12"/>
  <c r="J4" i="52"/>
  <c r="G12" i="52"/>
  <c r="G10" i="60"/>
  <c r="C11" i="55"/>
  <c r="C3" i="1"/>
  <c r="F8" i="1"/>
  <c r="I11" i="1"/>
  <c r="H10" i="28"/>
  <c r="H10" i="60"/>
  <c r="C4" i="1"/>
  <c r="J4" i="1"/>
  <c r="G8" i="1"/>
  <c r="J11" i="1"/>
  <c r="I15" i="1"/>
  <c r="O8" i="1"/>
  <c r="G11" i="28"/>
  <c r="L8" i="28"/>
  <c r="C6" i="39"/>
  <c r="H3" i="39"/>
  <c r="G19" i="12"/>
  <c r="K8" i="12"/>
  <c r="C9" i="13"/>
  <c r="F5" i="52"/>
  <c r="S14" i="12"/>
  <c r="Q20" i="12"/>
  <c r="C12" i="13"/>
  <c r="J10" i="56"/>
  <c r="V9" i="56"/>
  <c r="J5" i="42"/>
  <c r="B6" i="12"/>
  <c r="E20" i="12"/>
  <c r="R4" i="12"/>
  <c r="N11" i="12"/>
  <c r="F5" i="60"/>
  <c r="F11" i="60"/>
  <c r="C13" i="55"/>
  <c r="C7" i="1"/>
  <c r="K11" i="1"/>
  <c r="J15" i="1"/>
  <c r="O10" i="1"/>
  <c r="G13" i="28"/>
  <c r="M8" i="28"/>
  <c r="C7" i="39"/>
  <c r="H5" i="39"/>
  <c r="F20" i="12"/>
  <c r="L8" i="12"/>
  <c r="O11" i="12"/>
  <c r="K15" i="12"/>
  <c r="C13" i="13"/>
  <c r="I11" i="56"/>
  <c r="V10" i="56"/>
  <c r="J12" i="52"/>
  <c r="C8" i="39"/>
  <c r="H6" i="39"/>
  <c r="B7" i="12"/>
  <c r="G9" i="12"/>
  <c r="G21" i="12"/>
  <c r="S4" i="12"/>
  <c r="M8" i="12"/>
  <c r="R20" i="12"/>
  <c r="C14" i="13"/>
  <c r="J11" i="56"/>
  <c r="S11" i="56"/>
  <c r="F6" i="52"/>
  <c r="L11" i="1"/>
  <c r="D14" i="28"/>
  <c r="H7" i="39"/>
  <c r="B8" i="12"/>
  <c r="E10" i="12"/>
  <c r="P11" i="12"/>
  <c r="G12" i="56"/>
  <c r="L2" i="46"/>
  <c r="J7" i="42"/>
  <c r="F10" i="60"/>
  <c r="H15" i="1"/>
  <c r="O12" i="1"/>
  <c r="H13" i="28"/>
  <c r="K9" i="28"/>
  <c r="L5" i="12"/>
  <c r="L15" i="12"/>
  <c r="E12" i="60"/>
  <c r="F5" i="1"/>
  <c r="K8" i="1"/>
  <c r="F12" i="1"/>
  <c r="L15" i="1"/>
  <c r="O14" i="1"/>
  <c r="L9" i="28"/>
  <c r="C9" i="39"/>
  <c r="H9" i="39"/>
  <c r="E22" i="12"/>
  <c r="M5" i="12"/>
  <c r="N8" i="12"/>
  <c r="K21" i="12"/>
  <c r="G6" i="52"/>
  <c r="J9" i="56"/>
  <c r="H4" i="60"/>
  <c r="C15" i="55"/>
  <c r="C9" i="1"/>
  <c r="G5" i="1"/>
  <c r="L8" i="1"/>
  <c r="G12" i="1"/>
  <c r="D3" i="28"/>
  <c r="E14" i="28"/>
  <c r="G14" i="28"/>
  <c r="M9" i="28"/>
  <c r="H11" i="39"/>
  <c r="B9" i="12"/>
  <c r="F10" i="12"/>
  <c r="N5" i="12"/>
  <c r="Q11" i="12"/>
  <c r="M15" i="12"/>
  <c r="B9" i="56"/>
  <c r="V12" i="56"/>
  <c r="M2" i="46"/>
  <c r="F4" i="60"/>
  <c r="L14" i="12"/>
  <c r="H11" i="1"/>
  <c r="L4" i="1"/>
  <c r="H5" i="1"/>
  <c r="F19" i="1"/>
  <c r="H14" i="28"/>
  <c r="K10" i="28"/>
  <c r="C10" i="39"/>
  <c r="F22" i="12"/>
  <c r="R5" i="12"/>
  <c r="O8" i="12"/>
  <c r="R11" i="12"/>
  <c r="N21" i="12"/>
  <c r="J13" i="56"/>
  <c r="J9" i="42"/>
  <c r="M15" i="28"/>
  <c r="D12" i="28"/>
  <c r="C5" i="39"/>
  <c r="H2" i="39"/>
  <c r="I8" i="1"/>
  <c r="H12" i="1"/>
  <c r="F6" i="60"/>
  <c r="G12" i="60"/>
  <c r="C17" i="55"/>
  <c r="I5" i="1"/>
  <c r="F9" i="1"/>
  <c r="I12" i="1"/>
  <c r="G19" i="1"/>
  <c r="E3" i="28"/>
  <c r="D15" i="28"/>
  <c r="L10" i="28"/>
  <c r="C11" i="39"/>
  <c r="H12" i="39"/>
  <c r="B10" i="12"/>
  <c r="G10" i="12"/>
  <c r="G22" i="12"/>
  <c r="Q8" i="12"/>
  <c r="O15" i="12"/>
  <c r="O21" i="12"/>
  <c r="B10" i="56"/>
  <c r="S13" i="56"/>
  <c r="J6" i="52"/>
  <c r="E11" i="28"/>
  <c r="E5" i="60"/>
  <c r="J8" i="1"/>
  <c r="G5" i="60"/>
  <c r="H5" i="60"/>
  <c r="C16" i="55"/>
  <c r="E15" i="28"/>
  <c r="G15" i="28"/>
  <c r="K11" i="28"/>
  <c r="B12" i="12"/>
  <c r="E11" i="12"/>
  <c r="S5" i="12"/>
  <c r="R8" i="12"/>
  <c r="S11" i="12"/>
  <c r="P21" i="12"/>
  <c r="G14" i="56"/>
  <c r="F7" i="52"/>
  <c r="B2" i="47"/>
  <c r="O4" i="12"/>
  <c r="I4" i="1"/>
  <c r="G12" i="28"/>
  <c r="H4" i="39"/>
  <c r="C10" i="1"/>
  <c r="G6" i="60"/>
  <c r="K12" i="1"/>
  <c r="H6" i="60"/>
  <c r="H12" i="60"/>
  <c r="C19" i="55"/>
  <c r="K5" i="1"/>
  <c r="G9" i="1"/>
  <c r="F13" i="1"/>
  <c r="H19" i="1"/>
  <c r="D4" i="28"/>
  <c r="D18" i="28"/>
  <c r="M11" i="28"/>
  <c r="C12" i="39"/>
  <c r="H13" i="39"/>
  <c r="B13" i="12"/>
  <c r="E23" i="12"/>
  <c r="S8" i="12"/>
  <c r="R15" i="12"/>
  <c r="J11" i="42"/>
  <c r="C10" i="55"/>
  <c r="F12" i="60"/>
  <c r="H9" i="1"/>
  <c r="E4" i="28"/>
  <c r="E18" i="28"/>
  <c r="H15" i="28"/>
  <c r="H14" i="39"/>
  <c r="B14" i="12"/>
  <c r="F11" i="12"/>
  <c r="K6" i="12"/>
  <c r="N9" i="12"/>
  <c r="M12" i="12"/>
  <c r="S15" i="12"/>
  <c r="L22" i="12"/>
  <c r="B13" i="56"/>
  <c r="V13" i="56"/>
  <c r="N2" i="47"/>
  <c r="H4" i="1"/>
  <c r="C12" i="55"/>
  <c r="F9" i="12"/>
  <c r="O11" i="1"/>
  <c r="C8" i="1"/>
  <c r="L5" i="1"/>
  <c r="C21" i="55"/>
  <c r="C13" i="1"/>
  <c r="G6" i="1"/>
  <c r="G13" i="1"/>
  <c r="I19" i="1"/>
  <c r="G3" i="28"/>
  <c r="K3" i="28"/>
  <c r="K12" i="28"/>
  <c r="C13" i="39"/>
  <c r="E3" i="12"/>
  <c r="F23" i="12"/>
  <c r="L6" i="12"/>
  <c r="N12" i="12"/>
  <c r="K18" i="12"/>
  <c r="B16" i="56"/>
  <c r="J14" i="56"/>
  <c r="V14" i="56"/>
  <c r="F8" i="52"/>
  <c r="D15" i="49"/>
  <c r="B4" i="12"/>
  <c r="D5" i="49"/>
  <c r="I9" i="1"/>
  <c r="J19" i="1"/>
  <c r="D5" i="28"/>
  <c r="G4" i="28"/>
  <c r="C14" i="39"/>
  <c r="J2" i="39"/>
  <c r="G3" i="12"/>
  <c r="G11" i="12"/>
  <c r="G23" i="12"/>
  <c r="O9" i="12"/>
  <c r="O12" i="12"/>
  <c r="N22" i="12"/>
  <c r="B17" i="56"/>
  <c r="I15" i="56"/>
  <c r="S15" i="56"/>
  <c r="A2" i="7"/>
  <c r="J13" i="42"/>
  <c r="E7" i="12"/>
  <c r="L7" i="1"/>
  <c r="D13" i="28"/>
  <c r="C14" i="55"/>
  <c r="E7" i="60"/>
  <c r="C12" i="1"/>
  <c r="C6" i="40"/>
  <c r="S12" i="12"/>
  <c r="P18" i="12"/>
  <c r="J15" i="56"/>
  <c r="G8" i="52"/>
  <c r="C6" i="13"/>
  <c r="F15" i="1"/>
  <c r="C5" i="1"/>
  <c r="C20" i="55"/>
  <c r="F12" i="12"/>
  <c r="C23" i="56"/>
  <c r="C8" i="40"/>
  <c r="D6" i="49"/>
  <c r="J9" i="1"/>
  <c r="I13" i="1"/>
  <c r="L19" i="1"/>
  <c r="E5" i="28"/>
  <c r="M12" i="28"/>
  <c r="F3" i="39"/>
  <c r="J3" i="39"/>
  <c r="E4" i="12"/>
  <c r="G12" i="12"/>
  <c r="K3" i="12"/>
  <c r="P9" i="12"/>
  <c r="O22" i="12"/>
  <c r="G16" i="56"/>
  <c r="G9" i="28"/>
  <c r="K7" i="1"/>
  <c r="E11" i="60"/>
  <c r="H11" i="60"/>
  <c r="C14" i="1"/>
  <c r="M3" i="28"/>
  <c r="F4" i="39"/>
  <c r="J4" i="39"/>
  <c r="E13" i="12"/>
  <c r="N6" i="12"/>
  <c r="Q9" i="12"/>
  <c r="K13" i="12"/>
  <c r="Q18" i="12"/>
  <c r="V16" i="56"/>
  <c r="D2" i="7"/>
  <c r="J15" i="42"/>
  <c r="Q10" i="12"/>
  <c r="E10" i="60"/>
  <c r="O7" i="1"/>
  <c r="H7" i="60"/>
  <c r="H13" i="1"/>
  <c r="L3" i="28"/>
  <c r="C15" i="1"/>
  <c r="J6" i="1"/>
  <c r="K4" i="28"/>
  <c r="F6" i="39"/>
  <c r="F4" i="12"/>
  <c r="F14" i="12"/>
  <c r="L3" i="12"/>
  <c r="O6" i="12"/>
  <c r="R18" i="12"/>
  <c r="P22" i="12"/>
  <c r="J5" i="56"/>
  <c r="J8" i="52"/>
  <c r="B2" i="5"/>
  <c r="G4" i="60"/>
  <c r="E13" i="28"/>
  <c r="K9" i="1"/>
  <c r="F20" i="1"/>
  <c r="J13" i="1"/>
  <c r="F8" i="60"/>
  <c r="C10" i="40"/>
  <c r="D8" i="49"/>
  <c r="F3" i="1"/>
  <c r="F10" i="1"/>
  <c r="J20" i="1"/>
  <c r="E6" i="28"/>
  <c r="G6" i="28"/>
  <c r="L4" i="28"/>
  <c r="F8" i="39"/>
  <c r="J5" i="39"/>
  <c r="G4" i="12"/>
  <c r="N3" i="12"/>
  <c r="R9" i="12"/>
  <c r="L13" i="12"/>
  <c r="J17" i="56"/>
  <c r="S17" i="56"/>
  <c r="F9" i="52"/>
  <c r="K14" i="1"/>
  <c r="K15" i="1"/>
  <c r="F7" i="60"/>
  <c r="F2" i="39"/>
  <c r="M6" i="12"/>
  <c r="E8" i="60"/>
  <c r="I6" i="1"/>
  <c r="D23" i="1"/>
  <c r="H20" i="1"/>
  <c r="K13" i="28"/>
  <c r="K6" i="1"/>
  <c r="G10" i="1"/>
  <c r="K13" i="1"/>
  <c r="M4" i="28"/>
  <c r="G14" i="12"/>
  <c r="O3" i="12"/>
  <c r="P6" i="12"/>
  <c r="M13" i="12"/>
  <c r="S18" i="12"/>
  <c r="R22" i="12"/>
  <c r="G6" i="56"/>
  <c r="C2" i="5"/>
  <c r="G6" i="43"/>
  <c r="D14" i="49"/>
  <c r="F14" i="39"/>
  <c r="G10" i="28"/>
  <c r="K4" i="1"/>
  <c r="K19" i="1"/>
  <c r="H5" i="28"/>
  <c r="C9" i="40"/>
  <c r="G8" i="60"/>
  <c r="H6" i="28"/>
  <c r="C12" i="40"/>
  <c r="D9" i="49"/>
  <c r="H3" i="1"/>
  <c r="H10" i="1"/>
  <c r="L13" i="1"/>
  <c r="K20" i="1"/>
  <c r="D7" i="28"/>
  <c r="K5" i="28"/>
  <c r="M13" i="28"/>
  <c r="F9" i="39"/>
  <c r="J6" i="39"/>
  <c r="E5" i="12"/>
  <c r="P3" i="12"/>
  <c r="S9" i="12"/>
  <c r="S5" i="56"/>
  <c r="J7" i="1"/>
  <c r="C18" i="55"/>
  <c r="J5" i="1"/>
  <c r="H6" i="1"/>
  <c r="G5" i="28"/>
  <c r="L12" i="28"/>
  <c r="D6" i="28"/>
  <c r="L9" i="1"/>
  <c r="I3" i="1"/>
  <c r="L6" i="1"/>
  <c r="I10" i="1"/>
  <c r="E7" i="28"/>
  <c r="G7" i="28"/>
  <c r="M5" i="28"/>
  <c r="J7" i="39"/>
  <c r="E15" i="12"/>
  <c r="K4" i="12"/>
  <c r="Q6" i="12"/>
  <c r="K10" i="12"/>
  <c r="N13" i="12"/>
  <c r="K19" i="12"/>
  <c r="L23" i="12"/>
  <c r="V17" i="56"/>
  <c r="F10" i="52"/>
  <c r="O6" i="1"/>
  <c r="V8" i="56"/>
  <c r="O9" i="1"/>
  <c r="E6" i="60"/>
  <c r="C11" i="1"/>
  <c r="C7" i="40"/>
  <c r="D7" i="49"/>
  <c r="C11" i="40"/>
  <c r="G3" i="1"/>
  <c r="L13" i="28"/>
  <c r="E3" i="60"/>
  <c r="H8" i="60"/>
  <c r="C13" i="40"/>
  <c r="C14" i="40"/>
  <c r="D10" i="49"/>
  <c r="J3" i="1"/>
  <c r="F7" i="1"/>
  <c r="K10" i="1"/>
  <c r="F14" i="1"/>
  <c r="L20" i="1"/>
  <c r="D8" i="28"/>
  <c r="L6" i="28"/>
  <c r="K14" i="28"/>
  <c r="F10" i="39"/>
  <c r="J8" i="39"/>
  <c r="F5" i="12"/>
  <c r="F15" i="12"/>
  <c r="S6" i="12"/>
  <c r="M23" i="12"/>
  <c r="J6" i="56"/>
  <c r="F3" i="52"/>
  <c r="D2" i="15"/>
  <c r="G14" i="43"/>
  <c r="C15" i="40"/>
  <c r="D11" i="49"/>
  <c r="L3" i="1"/>
  <c r="O3" i="1"/>
  <c r="E8" i="28"/>
  <c r="H7" i="28"/>
  <c r="F11" i="39"/>
  <c r="J9" i="39"/>
  <c r="G5" i="12"/>
  <c r="L4" i="12"/>
  <c r="K7" i="12"/>
  <c r="L10" i="12"/>
  <c r="O13" i="12"/>
  <c r="M19" i="12"/>
  <c r="N23" i="12"/>
  <c r="I7" i="56"/>
  <c r="V5" i="56"/>
  <c r="G3" i="52"/>
  <c r="G10" i="52"/>
  <c r="F3" i="60"/>
  <c r="E9" i="60"/>
  <c r="H3" i="60"/>
  <c r="F9" i="60"/>
  <c r="G8" i="28"/>
  <c r="M6" i="28"/>
  <c r="L14" i="28"/>
  <c r="J10" i="39"/>
  <c r="G15" i="12"/>
  <c r="L7" i="12"/>
  <c r="J7" i="56"/>
  <c r="V6" i="56"/>
  <c r="E2" i="15"/>
  <c r="D10" i="28"/>
  <c r="M14" i="28"/>
  <c r="F12" i="39"/>
  <c r="J12" i="39"/>
  <c r="E6" i="12"/>
  <c r="M4" i="12"/>
  <c r="P7" i="12"/>
  <c r="M10" i="12"/>
  <c r="Q13" i="12"/>
  <c r="P19" i="12"/>
  <c r="G8" i="56"/>
  <c r="S7" i="56"/>
  <c r="C17" i="40"/>
  <c r="G7" i="1"/>
  <c r="G14" i="1"/>
  <c r="D12" i="49"/>
  <c r="H14" i="1"/>
  <c r="C18" i="40"/>
  <c r="H7" i="1"/>
  <c r="F11" i="1"/>
  <c r="I14" i="1"/>
  <c r="D11" i="28"/>
  <c r="H8" i="28"/>
  <c r="K7" i="28"/>
  <c r="K15" i="28"/>
  <c r="J14" i="39"/>
  <c r="E18" i="12"/>
  <c r="N4" i="12"/>
  <c r="O10" i="12"/>
  <c r="Q19" i="12"/>
  <c r="C5" i="13"/>
  <c r="F4" i="52"/>
  <c r="J10" i="52"/>
  <c r="F2" i="18"/>
  <c r="F4" i="9"/>
  <c r="V4" i="9"/>
  <c r="AL4" i="9"/>
  <c r="N2" i="38"/>
  <c r="S23" i="12"/>
  <c r="B7" i="56"/>
  <c r="H5" i="56"/>
  <c r="H9" i="56"/>
  <c r="H13" i="56"/>
  <c r="H17" i="56"/>
  <c r="T8" i="56"/>
  <c r="T12" i="56"/>
  <c r="T16" i="56"/>
  <c r="D4" i="52"/>
  <c r="D6" i="52"/>
  <c r="D8" i="52"/>
  <c r="D10" i="52"/>
  <c r="D12" i="52"/>
  <c r="J2" i="46"/>
  <c r="L2" i="47"/>
  <c r="N2" i="7"/>
  <c r="B2" i="15"/>
  <c r="D2" i="18"/>
  <c r="H3" i="42"/>
  <c r="H5" i="42"/>
  <c r="H7" i="42"/>
  <c r="H9" i="42"/>
  <c r="H11" i="42"/>
  <c r="H13" i="42"/>
  <c r="H15" i="42"/>
  <c r="G5" i="43"/>
  <c r="G13" i="43"/>
  <c r="G4" i="9"/>
  <c r="W4" i="9"/>
  <c r="AM4" i="9"/>
  <c r="J4" i="48"/>
  <c r="O20" i="12"/>
  <c r="M22" i="12"/>
  <c r="C4" i="13"/>
  <c r="B8" i="56"/>
  <c r="I5" i="56"/>
  <c r="I9" i="56"/>
  <c r="I13" i="56"/>
  <c r="I17" i="56"/>
  <c r="U8" i="56"/>
  <c r="U12" i="56"/>
  <c r="U16" i="56"/>
  <c r="E4" i="52"/>
  <c r="E6" i="52"/>
  <c r="E8" i="52"/>
  <c r="E10" i="52"/>
  <c r="M2" i="47"/>
  <c r="E12" i="52"/>
  <c r="K2" i="46"/>
  <c r="A2" i="5"/>
  <c r="C2" i="15"/>
  <c r="E2" i="18"/>
  <c r="I3" i="42"/>
  <c r="I5" i="42"/>
  <c r="I7" i="42"/>
  <c r="I9" i="42"/>
  <c r="I11" i="42"/>
  <c r="I13" i="42"/>
  <c r="I15" i="42"/>
  <c r="H5" i="43"/>
  <c r="H13" i="43"/>
  <c r="H4" i="9"/>
  <c r="X4" i="9"/>
  <c r="AN4" i="9"/>
  <c r="J5" i="48"/>
  <c r="I4" i="9"/>
  <c r="Y4" i="9"/>
  <c r="A2" i="38"/>
  <c r="J6" i="48"/>
  <c r="C4" i="42"/>
  <c r="C6" i="42"/>
  <c r="C8" i="42"/>
  <c r="C10" i="42"/>
  <c r="C12" i="42"/>
  <c r="C14" i="42"/>
  <c r="C3" i="43"/>
  <c r="H6" i="43"/>
  <c r="H14" i="43"/>
  <c r="J4" i="9"/>
  <c r="Z4" i="9"/>
  <c r="B2" i="38"/>
  <c r="J7" i="48"/>
  <c r="T17" i="56"/>
  <c r="H4" i="52"/>
  <c r="H6" i="52"/>
  <c r="H8" i="52"/>
  <c r="H10" i="52"/>
  <c r="N2" i="46"/>
  <c r="D2" i="5"/>
  <c r="B11" i="56"/>
  <c r="H6" i="56"/>
  <c r="H10" i="56"/>
  <c r="H14" i="56"/>
  <c r="T5" i="56"/>
  <c r="T9" i="56"/>
  <c r="T13" i="56"/>
  <c r="H12" i="52"/>
  <c r="B2" i="7"/>
  <c r="F2" i="15"/>
  <c r="H2" i="18"/>
  <c r="D4" i="42"/>
  <c r="D6" i="42"/>
  <c r="D8" i="42"/>
  <c r="D10" i="42"/>
  <c r="D12" i="42"/>
  <c r="D14" i="42"/>
  <c r="C4" i="43"/>
  <c r="G7" i="43"/>
  <c r="G15" i="43"/>
  <c r="K4" i="9"/>
  <c r="AA4" i="9"/>
  <c r="C2" i="38"/>
  <c r="J8" i="48"/>
  <c r="P13" i="12"/>
  <c r="N15" i="12"/>
  <c r="L19" i="12"/>
  <c r="S20" i="12"/>
  <c r="Q22" i="12"/>
  <c r="C8" i="13"/>
  <c r="B12" i="56"/>
  <c r="I6" i="56"/>
  <c r="I10" i="56"/>
  <c r="I14" i="56"/>
  <c r="U5" i="56"/>
  <c r="U9" i="56"/>
  <c r="U13" i="56"/>
  <c r="U17" i="56"/>
  <c r="I4" i="52"/>
  <c r="I6" i="52"/>
  <c r="I8" i="52"/>
  <c r="I10" i="52"/>
  <c r="I12" i="52"/>
  <c r="A2" i="47"/>
  <c r="C2" i="7"/>
  <c r="E2" i="5"/>
  <c r="G2" i="15"/>
  <c r="I2" i="18"/>
  <c r="E4" i="42"/>
  <c r="E6" i="42"/>
  <c r="E8" i="42"/>
  <c r="E10" i="42"/>
  <c r="E12" i="42"/>
  <c r="E14" i="42"/>
  <c r="C5" i="43"/>
  <c r="H7" i="43"/>
  <c r="H15" i="43"/>
  <c r="L4" i="9"/>
  <c r="AB4" i="9"/>
  <c r="D2" i="38"/>
  <c r="J9" i="48"/>
  <c r="F2" i="5"/>
  <c r="H2" i="15"/>
  <c r="J2" i="18"/>
  <c r="F4" i="42"/>
  <c r="F6" i="42"/>
  <c r="F8" i="42"/>
  <c r="F10" i="42"/>
  <c r="F12" i="42"/>
  <c r="F14" i="42"/>
  <c r="C6" i="43"/>
  <c r="G8" i="43"/>
  <c r="A13" i="9"/>
  <c r="A12" i="9"/>
  <c r="A11" i="9"/>
  <c r="A10" i="9"/>
  <c r="A9" i="9"/>
  <c r="A8" i="9"/>
  <c r="A7" i="9"/>
  <c r="A6" i="9"/>
  <c r="A5" i="9"/>
  <c r="A4" i="9"/>
  <c r="M4" i="9"/>
  <c r="AC4" i="9"/>
  <c r="E2" i="38"/>
  <c r="J10" i="48"/>
  <c r="K12" i="12"/>
  <c r="N19" i="12"/>
  <c r="S6" i="56"/>
  <c r="S10" i="56"/>
  <c r="S14" i="56"/>
  <c r="C3" i="52"/>
  <c r="C9" i="52"/>
  <c r="C11" i="52"/>
  <c r="A2" i="46"/>
  <c r="C2" i="47"/>
  <c r="G2" i="5"/>
  <c r="I2" i="15"/>
  <c r="K2" i="18"/>
  <c r="G4" i="42"/>
  <c r="G6" i="42"/>
  <c r="G8" i="42"/>
  <c r="G10" i="42"/>
  <c r="G12" i="42"/>
  <c r="G14" i="42"/>
  <c r="C7" i="43"/>
  <c r="H8" i="43"/>
  <c r="R13" i="12"/>
  <c r="P15" i="12"/>
  <c r="L21" i="12"/>
  <c r="S22" i="12"/>
  <c r="C10" i="13"/>
  <c r="B14" i="56"/>
  <c r="G7" i="56"/>
  <c r="G11" i="56"/>
  <c r="G15" i="56"/>
  <c r="C5" i="52"/>
  <c r="C7" i="52"/>
  <c r="E2" i="7"/>
  <c r="N4" i="9"/>
  <c r="AD4" i="9"/>
  <c r="F2" i="38"/>
  <c r="J11" i="48"/>
  <c r="O19" i="12"/>
  <c r="C11" i="13"/>
  <c r="B15" i="56"/>
  <c r="H11" i="56"/>
  <c r="H15" i="56"/>
  <c r="T6" i="56"/>
  <c r="T10" i="56"/>
  <c r="T14" i="56"/>
  <c r="D3" i="52"/>
  <c r="D5" i="52"/>
  <c r="D7" i="52"/>
  <c r="D9" i="52"/>
  <c r="D11" i="52"/>
  <c r="B2" i="46"/>
  <c r="D2" i="47"/>
  <c r="F2" i="7"/>
  <c r="H2" i="5"/>
  <c r="J2" i="15"/>
  <c r="L2" i="18"/>
  <c r="H4" i="42"/>
  <c r="H6" i="42"/>
  <c r="H8" i="42"/>
  <c r="H10" i="42"/>
  <c r="H12" i="42"/>
  <c r="H14" i="42"/>
  <c r="C8" i="43"/>
  <c r="G9" i="43"/>
  <c r="B11" i="12"/>
  <c r="G6" i="12"/>
  <c r="E12" i="12"/>
  <c r="F19" i="12"/>
  <c r="M3" i="12"/>
  <c r="K5" i="12"/>
  <c r="R6" i="12"/>
  <c r="P8" i="12"/>
  <c r="N10" i="12"/>
  <c r="L12" i="12"/>
  <c r="S13" i="12"/>
  <c r="Q15" i="12"/>
  <c r="M21" i="12"/>
  <c r="K23" i="12"/>
  <c r="H7" i="56"/>
  <c r="O4" i="9"/>
  <c r="AE4" i="9"/>
  <c r="G2" i="38"/>
  <c r="J12" i="48"/>
  <c r="U6" i="56"/>
  <c r="I2" i="5"/>
  <c r="K2" i="15"/>
  <c r="M2" i="18"/>
  <c r="I4" i="42"/>
  <c r="I6" i="42"/>
  <c r="I8" i="42"/>
  <c r="I10" i="42"/>
  <c r="I12" i="42"/>
  <c r="I14" i="42"/>
  <c r="C9" i="43"/>
  <c r="H9" i="43"/>
  <c r="U10" i="56"/>
  <c r="U14" i="56"/>
  <c r="E3" i="52"/>
  <c r="E5" i="52"/>
  <c r="E7" i="52"/>
  <c r="E9" i="52"/>
  <c r="E11" i="52"/>
  <c r="C2" i="46"/>
  <c r="E2" i="47"/>
  <c r="G2" i="7"/>
  <c r="P4" i="9"/>
  <c r="AF4" i="9"/>
  <c r="H2" i="38"/>
  <c r="J13" i="48"/>
  <c r="J2" i="5"/>
  <c r="N2" i="18"/>
  <c r="J4" i="42"/>
  <c r="J6" i="42"/>
  <c r="J8" i="42"/>
  <c r="J10" i="42"/>
  <c r="J12" i="42"/>
  <c r="J14" i="42"/>
  <c r="C10" i="43"/>
  <c r="G10" i="43"/>
  <c r="F11" i="52"/>
  <c r="D2" i="46"/>
  <c r="F2" i="47"/>
  <c r="H2" i="7"/>
  <c r="L2" i="15"/>
  <c r="Q4" i="9"/>
  <c r="AG4" i="9"/>
  <c r="I2" i="38"/>
  <c r="J14" i="48"/>
  <c r="G11" i="52"/>
  <c r="E2" i="46"/>
  <c r="G2" i="47"/>
  <c r="I2" i="7"/>
  <c r="K2" i="5"/>
  <c r="M2" i="15"/>
  <c r="C3" i="42"/>
  <c r="C5" i="42"/>
  <c r="C7" i="42"/>
  <c r="C9" i="42"/>
  <c r="C11" i="42"/>
  <c r="C13" i="42"/>
  <c r="C15" i="42"/>
  <c r="C11" i="43"/>
  <c r="H10" i="43"/>
  <c r="G5" i="52"/>
  <c r="G7" i="52"/>
  <c r="G9" i="52"/>
  <c r="B4" i="9"/>
  <c r="R4" i="9"/>
  <c r="AH4" i="9"/>
  <c r="J2" i="38"/>
  <c r="J15" i="48"/>
  <c r="J12" i="1"/>
  <c r="L14" i="1"/>
  <c r="G20" i="1"/>
  <c r="O13" i="1"/>
  <c r="E9" i="28"/>
  <c r="H3" i="28"/>
  <c r="H11" i="28"/>
  <c r="L5" i="28"/>
  <c r="M10" i="28"/>
  <c r="C2" i="39"/>
  <c r="F5" i="39"/>
  <c r="H8" i="39"/>
  <c r="J11" i="39"/>
  <c r="B15" i="12"/>
  <c r="E8" i="12"/>
  <c r="F13" i="12"/>
  <c r="G20" i="12"/>
  <c r="Q3" i="12"/>
  <c r="O5" i="12"/>
  <c r="M7" i="12"/>
  <c r="K9" i="12"/>
  <c r="R10" i="12"/>
  <c r="P12" i="12"/>
  <c r="N14" i="12"/>
  <c r="L18" i="12"/>
  <c r="S19" i="12"/>
  <c r="Q21" i="12"/>
  <c r="O23" i="12"/>
  <c r="C15" i="13"/>
  <c r="C24" i="56"/>
  <c r="H8" i="56"/>
  <c r="H12" i="56"/>
  <c r="H16" i="56"/>
  <c r="T7" i="56"/>
  <c r="T11" i="56"/>
  <c r="T15" i="56"/>
  <c r="H3" i="52"/>
  <c r="H5" i="52"/>
  <c r="H7" i="52"/>
  <c r="H9" i="52"/>
  <c r="H11" i="52"/>
  <c r="F2" i="46"/>
  <c r="H2" i="47"/>
  <c r="J2" i="7"/>
  <c r="L2" i="5"/>
  <c r="N2" i="15"/>
  <c r="D3" i="42"/>
  <c r="D5" i="42"/>
  <c r="D7" i="42"/>
  <c r="D9" i="42"/>
  <c r="D11" i="42"/>
  <c r="D13" i="42"/>
  <c r="D15" i="42"/>
  <c r="G3" i="43"/>
  <c r="G11" i="43"/>
  <c r="C4" i="9"/>
  <c r="S4" i="9"/>
  <c r="AI4" i="9"/>
  <c r="K2" i="38"/>
  <c r="J16" i="48"/>
  <c r="F8" i="12"/>
  <c r="G13" i="12"/>
  <c r="E21" i="12"/>
  <c r="R3" i="12"/>
  <c r="P5" i="12"/>
  <c r="N7" i="12"/>
  <c r="L9" i="12"/>
  <c r="S10" i="12"/>
  <c r="Q12" i="12"/>
  <c r="R21" i="12"/>
  <c r="P23" i="12"/>
  <c r="C16" i="13"/>
  <c r="C25" i="56"/>
  <c r="I8" i="56"/>
  <c r="I12" i="56"/>
  <c r="I16" i="56"/>
  <c r="U7" i="56"/>
  <c r="U11" i="56"/>
  <c r="U15" i="56"/>
  <c r="I11" i="52"/>
  <c r="G2" i="46"/>
  <c r="I2" i="47"/>
  <c r="M2" i="5"/>
  <c r="A2" i="18"/>
  <c r="E3" i="42"/>
  <c r="E5" i="42"/>
  <c r="E7" i="42"/>
  <c r="E9" i="42"/>
  <c r="E11" i="42"/>
  <c r="E13" i="42"/>
  <c r="E15" i="42"/>
  <c r="H3" i="43"/>
  <c r="H11" i="43"/>
  <c r="O14" i="12"/>
  <c r="M18" i="12"/>
  <c r="K20" i="12"/>
  <c r="I3" i="52"/>
  <c r="I5" i="52"/>
  <c r="I7" i="52"/>
  <c r="I9" i="52"/>
  <c r="K2" i="7"/>
  <c r="D4" i="9"/>
  <c r="T4" i="9"/>
  <c r="AJ4" i="9"/>
  <c r="L2" i="38"/>
  <c r="J19" i="48"/>
  <c r="G3" i="60"/>
  <c r="G7" i="60"/>
  <c r="G11" i="60"/>
  <c r="C6" i="1"/>
  <c r="F6" i="1"/>
  <c r="O15" i="1"/>
  <c r="F21" i="12"/>
  <c r="S3" i="12"/>
  <c r="Q5" i="12"/>
  <c r="O7" i="12"/>
  <c r="M9" i="12"/>
  <c r="K11" i="12"/>
  <c r="R12" i="12"/>
  <c r="P14" i="12"/>
  <c r="N18" i="12"/>
  <c r="L20" i="12"/>
  <c r="S21" i="12"/>
  <c r="Q23" i="12"/>
  <c r="B5" i="56"/>
  <c r="C26" i="56"/>
  <c r="J8" i="56"/>
  <c r="J12" i="56"/>
  <c r="J16" i="56"/>
  <c r="V7" i="56"/>
  <c r="V11" i="56"/>
  <c r="V15" i="56"/>
  <c r="J3" i="52"/>
  <c r="J5" i="52"/>
  <c r="J7" i="52"/>
  <c r="J9" i="52"/>
  <c r="J11" i="52"/>
  <c r="H2" i="46"/>
  <c r="J2" i="47"/>
  <c r="L2" i="7"/>
  <c r="N2" i="5"/>
  <c r="B2" i="18"/>
  <c r="F3" i="42"/>
  <c r="F5" i="42"/>
  <c r="F7" i="42"/>
  <c r="F9" i="42"/>
  <c r="F11" i="42"/>
  <c r="F13" i="42"/>
  <c r="F15" i="42"/>
  <c r="G4" i="43"/>
  <c r="G12" i="43"/>
  <c r="C16" i="40"/>
  <c r="D4" i="49"/>
  <c r="K3" i="1"/>
  <c r="H8" i="1"/>
  <c r="J10" i="1"/>
  <c r="L12" i="1"/>
  <c r="G15" i="1"/>
  <c r="I20" i="1"/>
  <c r="E10" i="28"/>
  <c r="H4" i="28"/>
  <c r="H12" i="28"/>
  <c r="K6" i="28"/>
  <c r="L11" i="28"/>
  <c r="C4" i="39"/>
  <c r="F7" i="39"/>
  <c r="H10" i="39"/>
  <c r="J13" i="39"/>
  <c r="F3" i="12"/>
  <c r="G8" i="12"/>
  <c r="E14" i="12"/>
  <c r="E4" i="9"/>
  <c r="U4" i="9"/>
  <c r="AK4" i="9"/>
  <c r="M2" i="38"/>
  <c r="J20" i="48"/>
  <c r="Q14" i="12"/>
  <c r="O18" i="12"/>
  <c r="M20" i="12"/>
  <c r="K22" i="12"/>
  <c r="R23" i="12"/>
  <c r="B6" i="56"/>
  <c r="G5" i="56"/>
  <c r="G9" i="56"/>
  <c r="G13" i="56"/>
  <c r="G17" i="56"/>
  <c r="S8" i="56"/>
  <c r="S12" i="56"/>
  <c r="S16" i="56"/>
  <c r="C4" i="52"/>
  <c r="C6" i="52"/>
  <c r="C8" i="52"/>
  <c r="C10" i="52"/>
  <c r="C12" i="52"/>
  <c r="I2" i="46"/>
  <c r="K2" i="47"/>
  <c r="M2" i="7"/>
  <c r="A2" i="15"/>
  <c r="C2" i="18"/>
  <c r="G3" i="42"/>
  <c r="G5" i="42"/>
  <c r="G7" i="42"/>
  <c r="G9" i="42"/>
  <c r="G11" i="42"/>
  <c r="G13" i="42"/>
  <c r="G15" i="42"/>
  <c r="H4" i="43"/>
  <c r="H12" i="43"/>
  <c r="M15" i="48" a="1"/>
  <c r="M15" i="48" l="1"/>
  <c r="Y2" i="12" l="1"/>
  <c r="F24" i="8"/>
  <c r="E24" i="8"/>
  <c r="Y13" i="12" l="1" a="1"/>
  <c r="Y13" i="12" s="1"/>
  <c r="AG2" i="12"/>
  <c r="AF2" i="12"/>
  <c r="AE2" i="12"/>
  <c r="Y11" i="12" l="1" a="1"/>
  <c r="Y11" i="12" s="1"/>
  <c r="Y9" i="12" a="1"/>
  <c r="Y9" i="12" s="1"/>
  <c r="Y12" i="12" a="1"/>
  <c r="Y12" i="12" s="1"/>
  <c r="Y10" i="12" a="1"/>
  <c r="Y10" i="12" s="1"/>
  <c r="Y8" i="12" a="1"/>
  <c r="Y8" i="12" s="1"/>
  <c r="Y4" i="12" a="1"/>
  <c r="Y4" i="12" s="1"/>
  <c r="Y7" i="12" a="1"/>
  <c r="Y7" i="12" s="1"/>
  <c r="Y6" i="12" a="1"/>
  <c r="Y6" i="12" s="1"/>
  <c r="Y5" i="12" a="1"/>
  <c r="Y5" i="12" s="1"/>
  <c r="Y3" i="12" a="1"/>
  <c r="Y3" i="12" s="1"/>
  <c r="Y15" i="12" a="1"/>
  <c r="Y15" i="12" s="1"/>
  <c r="Y14" i="12" a="1"/>
  <c r="Y14" i="12" s="1"/>
  <c r="E31" i="8"/>
  <c r="F28" i="8"/>
  <c r="E28" i="8"/>
  <c r="E20" i="8"/>
  <c r="H16" i="8"/>
  <c r="G16" i="8"/>
  <c r="F16" i="8"/>
  <c r="E16" i="8"/>
  <c r="G12" i="8"/>
  <c r="F12" i="8"/>
  <c r="E12" i="8"/>
  <c r="L2" i="48" l="1"/>
  <c r="L1" i="48"/>
  <c r="L18" i="48" a="1"/>
  <c r="O3" i="48" a="1"/>
  <c r="K18" i="48" a="1"/>
  <c r="N3" i="48" a="1"/>
  <c r="N3" i="48" l="1"/>
  <c r="K18" i="48"/>
  <c r="O3" i="48"/>
  <c r="L18" i="48"/>
  <c r="C2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K19" i="48" a="1"/>
  <c r="K20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L19" i="48" a="1"/>
  <c r="L20" i="48" a="1"/>
  <c r="L20" i="48" l="1"/>
  <c r="L19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0" i="48"/>
  <c r="K19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O6" i="28" l="1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P14" i="56" l="1"/>
  <c r="M20" i="48"/>
  <c r="M19" i="48"/>
  <c r="P8" i="56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L22" i="56" l="1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AF4" i="12" s="1"/>
  <c r="Q8" i="48" a="1"/>
  <c r="Q8" i="48" s="1"/>
  <c r="AF7" i="12" s="1"/>
  <c r="Q13" i="48" a="1"/>
  <c r="Q13" i="48" s="1"/>
  <c r="AF12" i="12" s="1"/>
  <c r="Q16" i="48" a="1"/>
  <c r="Q16" i="48" s="1"/>
  <c r="AF15" i="12" s="1"/>
  <c r="Q12" i="48" a="1"/>
  <c r="Q12" i="48" s="1"/>
  <c r="AF11" i="12" s="1"/>
  <c r="Q7" i="48" a="1"/>
  <c r="Q7" i="48" s="1"/>
  <c r="AF6" i="12" s="1"/>
  <c r="Q15" i="48" a="1"/>
  <c r="Q15" i="48" s="1"/>
  <c r="AF14" i="12" s="1"/>
  <c r="Q6" i="48" a="1"/>
  <c r="Q6" i="48" s="1"/>
  <c r="AF5" i="12" s="1"/>
  <c r="Q11" i="48" a="1"/>
  <c r="Q11" i="48" s="1"/>
  <c r="AF10" i="12" s="1"/>
  <c r="Q14" i="48" a="1"/>
  <c r="Q14" i="48" s="1"/>
  <c r="AF13" i="12" s="1"/>
  <c r="Q9" i="48" a="1"/>
  <c r="Q9" i="48" s="1"/>
  <c r="AF8" i="12" s="1"/>
  <c r="Q4" i="48" a="1"/>
  <c r="Q4" i="48" s="1"/>
  <c r="AF3" i="12" s="1"/>
  <c r="Q10" i="48" a="1"/>
  <c r="Q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R7" i="48" a="1"/>
  <c r="R7" i="48" s="1"/>
  <c r="R9" i="48" a="1"/>
  <c r="R9" i="48" s="1"/>
  <c r="R11" i="48" a="1"/>
  <c r="R11" i="48" s="1"/>
  <c r="R13" i="48" a="1"/>
  <c r="R13" i="48" s="1"/>
  <c r="R8" i="48" a="1"/>
  <c r="R8" i="48" s="1"/>
  <c r="R10" i="48" a="1"/>
  <c r="R10" i="48" s="1"/>
  <c r="R14" i="48" a="1"/>
  <c r="R14" i="48" s="1"/>
  <c r="R16" i="48" a="1"/>
  <c r="R16" i="48" s="1"/>
  <c r="R6" i="48" a="1"/>
  <c r="R6" i="48" s="1"/>
  <c r="R12" i="48" a="1"/>
  <c r="R12" i="48" s="1"/>
  <c r="R15" i="48" a="1"/>
  <c r="R15" i="48" s="1"/>
  <c r="R4" i="48" a="1"/>
  <c r="R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S15" i="48" l="1"/>
  <c r="AG14" i="12"/>
  <c r="S16" i="48"/>
  <c r="AG15" i="12"/>
  <c r="S12" i="48"/>
  <c r="AG11" i="12"/>
  <c r="S11" i="48"/>
  <c r="AG10" i="12"/>
  <c r="S6" i="48"/>
  <c r="AG5" i="12"/>
  <c r="S5" i="48"/>
  <c r="AG4" i="12"/>
  <c r="S14" i="48"/>
  <c r="AG13" i="12"/>
  <c r="S9" i="48"/>
  <c r="AG8" i="12"/>
  <c r="S8" i="48"/>
  <c r="AG7" i="12"/>
  <c r="S13" i="48"/>
  <c r="AG12" i="12"/>
  <c r="S10" i="48"/>
  <c r="AG9" i="12"/>
  <c r="S7" i="48"/>
  <c r="AG6" i="12"/>
  <c r="S4" i="48"/>
  <c r="AG3" i="12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T6" i="48" l="1" a="1"/>
  <c r="T6" i="48" s="1"/>
  <c r="T4" i="48" a="1"/>
  <c r="T4" i="48" s="1"/>
  <c r="T9" i="48" a="1"/>
  <c r="T9" i="48" s="1"/>
  <c r="T5" i="48" a="1"/>
  <c r="T5" i="48" s="1"/>
  <c r="T12" i="48" a="1"/>
  <c r="T12" i="48" s="1"/>
  <c r="T11" i="48" a="1"/>
  <c r="T11" i="48" s="1"/>
  <c r="T14" i="48" a="1"/>
  <c r="T14" i="48" s="1"/>
  <c r="T10" i="48" a="1"/>
  <c r="T10" i="48" s="1"/>
  <c r="T15" i="48" a="1"/>
  <c r="T15" i="48" s="1"/>
  <c r="T7" i="48" a="1"/>
  <c r="T7" i="48" s="1"/>
  <c r="T8" i="48" a="1"/>
  <c r="T8" i="48" s="1"/>
  <c r="T13" i="48" a="1"/>
  <c r="T13" i="48" s="1"/>
  <c r="T16" i="48" a="1"/>
  <c r="T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8" i="13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K7" i="13" l="1"/>
  <c r="K6" i="13"/>
  <c r="AH2" i="12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M7" i="40"/>
  <c r="F13" i="55"/>
  <c r="J13" i="55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J14" i="49" l="1"/>
  <c r="M16" i="40"/>
  <c r="J10" i="49"/>
  <c r="F11" i="55"/>
  <c r="J11" i="55" s="1"/>
  <c r="F17" i="55"/>
  <c r="J17" i="55" s="1"/>
  <c r="J7" i="49"/>
  <c r="M15" i="40"/>
  <c r="F21" i="55"/>
  <c r="J21" i="55" s="1"/>
  <c r="J16" i="49"/>
  <c r="J13" i="49"/>
  <c r="M11" i="40"/>
  <c r="J9" i="49"/>
  <c r="F14" i="55"/>
  <c r="J14" i="55" s="1"/>
  <c r="J4" i="49"/>
  <c r="N6" i="40" l="1" a="1"/>
  <c r="N6" i="40" s="1"/>
  <c r="L4" i="49" s="1"/>
  <c r="N12" i="40" a="1"/>
  <c r="N12" i="40" s="1"/>
  <c r="L10" i="49" s="1"/>
  <c r="N10" i="40" a="1"/>
  <c r="N10" i="40" s="1"/>
  <c r="L8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2" i="55" l="1"/>
  <c r="R12" i="55" s="1"/>
  <c r="K9" i="55"/>
  <c r="R9" i="55" s="1"/>
  <c r="K18" i="55"/>
  <c r="R18" i="55" s="1"/>
  <c r="K15" i="55"/>
  <c r="R15" i="55" s="1"/>
  <c r="K21" i="55"/>
  <c r="R21" i="55" s="1"/>
  <c r="K11" i="55"/>
  <c r="R11" i="55" s="1"/>
  <c r="K17" i="55"/>
  <c r="R17" i="55" s="1"/>
  <c r="K13" i="55"/>
  <c r="R13" i="55" s="1"/>
  <c r="S14" i="55" s="1"/>
  <c r="K19" i="55"/>
  <c r="R19" i="55" s="1"/>
  <c r="S10" i="55" l="1"/>
  <c r="S20" i="55"/>
  <c r="S16" i="55"/>
  <c r="S19" i="55"/>
  <c r="S12" i="55"/>
  <c r="S17" i="55"/>
  <c r="S13" i="55"/>
  <c r="S21" i="55"/>
  <c r="S15" i="55"/>
  <c r="S11" i="55"/>
  <c r="S9" i="55"/>
  <c r="R3" i="55"/>
  <c r="S18" i="55"/>
  <c r="E13" i="59"/>
  <c r="E12" i="59"/>
  <c r="E15" i="59"/>
  <c r="E16" i="59"/>
  <c r="E8" i="59"/>
  <c r="E9" i="59"/>
  <c r="E11" i="59"/>
  <c r="E10" i="59"/>
  <c r="E17" i="59"/>
  <c r="E14" i="59"/>
  <c r="S3" i="55" l="1"/>
  <c r="K35" i="59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4301931E-CB61-46BF-88BB-36F8D4A46DFB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Timestamp="1723959567"&gt;&lt;FQL&gt;&lt;Q&gt;FC0000IT^FMA_MCAP(0,,,USD,"PORTAGG")&lt;/Q&gt;&lt;R&gt;1&lt;/R&gt;&lt;C&gt;1&lt;/C&gt;&lt;D xsi:type="xsd:double"&gt;861066&lt;/D&gt;&lt;/FQL&gt;&lt;FQL&gt;&lt;Q&gt;EWD^FREF_MARKET_VALUE_COMPANY(0,,,USD,,0,,"LEGACY")&lt;/Q&gt;&lt;R&gt;1&lt;/R&gt;&lt;C&gt;1&lt;/C&gt;&lt;D xsi:type="xsd:double"&gt;301.95&lt;/D&gt;&lt;/FQL&gt;&lt;FQL&gt;&lt;Q&gt;FC0000SE^FMA_MCAP(0,,,USD,"PORTAGG")&lt;/Q&gt;&lt;R&gt;1&lt;/R&gt;&lt;C&gt;1&lt;/C&gt;&lt;D xsi:type="xsd:double"&gt;1019947.5&lt;/D&gt;&lt;/FQL&gt;&lt;FQL&gt;&lt;Q&gt;EWN^FREF_MARKET_VALUE_COMPANY(0,,,USD,,0,,"LEGACY")&lt;/Q&gt;&lt;R&gt;1&lt;/R&gt;&lt;C&gt;1&lt;/C&gt;&lt;D xsi:type="xsd:double"&gt;326.2555&lt;/D&gt;&lt;/FQL&gt;&lt;FQL&gt;&lt;Q&gt;FC0000NL^FMA_MCAP(0,,,USD,"PORTAGG")&lt;/Q&gt;&lt;R&gt;1&lt;/R&gt;&lt;C&gt;1&lt;/C&gt;&lt;D xsi:type="xsd:double"&gt;1119828.9&lt;/D&gt;&lt;/FQL&gt;&lt;FQL&gt;&lt;Q&gt;EWQ^FREF_MARKET_VALUE_COMPANY(0,,,USD,,0,,"LEGACY")&lt;/Q&gt;&lt;R&gt;1&lt;/R&gt;&lt;C&gt;1&lt;/C&gt;&lt;D xsi:type="xsd:double"&gt;651.84&lt;/D&gt;&lt;/FQL&gt;&lt;FQL&gt;&lt;Q&gt;FC0000FR^FMA_MCAP(0,,,USD,"PORTAGG")&lt;/Q&gt;&lt;R&gt;1&lt;/R&gt;&lt;C&gt;1&lt;/C&gt;&lt;D xsi:type="xsd:double"&gt;3157173.3&lt;/D&gt;&lt;/FQL&gt;&lt;FQL&gt;&lt;Q&gt;SPY^FREF_MARKET_VALUE_COMPANY(0,,,USD,,0,,"LEGACY")&lt;/Q&gt;&lt;R&gt;1&lt;/R&gt;&lt;C&gt;1&lt;/C&gt;&lt;D xsi:type="xsd:double"&gt;561533.823351&lt;/D&gt;&lt;/FQL&gt;&lt;FQL&gt;&lt;Q&gt;FC0000US^FMA_MCAP(0,,,USD,"PORTAGG")&lt;/Q&gt;&lt;R&gt;1&lt;/R&gt;&lt;C&gt;1&lt;/C&gt;&lt;D xsi:type="xsd:double"&gt;57517052&lt;/D&gt;&lt;/FQL&gt;&lt;FQL&gt;&lt;Q&gt;QQQ^FREF_MARKET_VALUE_COMPANY(0,,,USD,,0,,"LEGACY")&lt;/Q&gt;&lt;R&gt;1&lt;/R&gt;&lt;C&gt;1&lt;/C&gt;&lt;D xsi:type="xsd:double"&gt;286015.563&lt;/D&gt;&lt;/FQL&gt;&lt;FQL&gt;&lt;Q&gt;EWU^FREF_MARKET_VALUE_COMPANY(0,,,USD,,0,,"LEGACY")&lt;/Q&gt;&lt;R&gt;1&lt;/R&gt;&lt;C&gt;1&lt;/C&gt;&lt;D xsi:type="xsd:double"&gt;3141.789&lt;/D&gt;&lt;/FQL&gt;&lt;FQL&gt;&lt;Q&gt;FC0000GB^FMA_MCAP(0,,,USD,"PORTAGG")&lt;/Q&gt;&lt;R&gt;1&lt;/R&gt;&lt;C&gt;1&lt;/C&gt;&lt;D xsi:type="xsd:double"&gt;3318202.5&lt;/D&gt;&lt;/FQL&gt;&lt;FQL&gt;&lt;Q&gt;EWL^FREF_MARKET_VALUE_COMPANY(0,,,USD,,0,,"LEGACY")&lt;/Q&gt;&lt;R&gt;1&lt;/R&gt;&lt;C&gt;1&lt;/C&gt;&lt;D xsi:type="xsd:double"&gt;1243.62&lt;/D&gt;&lt;/FQL&gt;&lt;FQL&gt;&lt;Q&gt;FC0000CH^FMA_MCAP(0,,,USD,"PORTAGG")&lt;/Q&gt;&lt;R&gt;1&lt;/R&gt;&lt;C&gt;1&lt;/C&gt;&lt;D xsi:type="xsd:double"&gt;2282942&lt;/D&gt;&lt;/FQL&gt;&lt;FQL&gt;&lt;Q&gt;EWJ^FREF_MARKET_VALUE_COMPANY(0,,,USD,,0,,"LEGACY")&lt;/Q&gt;&lt;R&gt;1&lt;/R&gt;&lt;C&gt;1&lt;/C&gt;&lt;D xsi:type="xsd:double"&gt;15577.0335&lt;/D&gt;&lt;/FQL&gt;&lt;FQL&gt;&lt;Q&gt;FC0000JP^FMA_MCAP(0,,,USD,"PORTAGG")&lt;/Q&gt;&lt;R&gt;1&lt;/R&gt;&lt;C&gt;1&lt;/C&gt;&lt;D xsi:type="xsd:double"&gt;6583668&lt;/D&gt;&lt;/FQL&gt;&lt;FQL&gt;&lt;Q&gt;EWG^FREF_MARKET_VALUE_COMPANY(0,,,USD,,0,,"LEGACY")&lt;/Q&gt;&lt;R&gt;1&lt;/R&gt;&lt;C&gt;1&lt;/C&gt;&lt;D xsi:type="xsd:double"&gt;904.32&lt;/D&gt;&lt;/FQL&gt;&lt;FQL&gt;&lt;Q&gt;FC0000DE^FMA_MCAP(0,,,USD,"PORTAGG")&lt;/Q&gt;&lt;R&gt;1&lt;/R&gt;&lt;C&gt;1&lt;/C&gt;&lt;D xsi:type="xsd:double"&gt;2263608.8&lt;/D&gt;&lt;/FQL&gt;&lt;FQL&gt;&lt;Q&gt;EWC^FREF_MARKET_VALUE_COMPANY(0,,,USD,,0,,"LEGACY")&lt;/Q&gt;&lt;R&gt;1&lt;/R&gt;&lt;C&gt;1&lt;/C&gt;&lt;D xsi:type="xsd:double"&gt;2485.791&lt;/D&gt;&lt;/FQL&gt;&lt;FQL&gt;&lt;Q&gt;FC0000CA^FMA_MCAP(0,,,USD,"PORTAGG")&lt;/Q&gt;&lt;R&gt;1&lt;/R&gt;&lt;C&gt;1&lt;/C&gt;&lt;D xsi:type="xsd:double"&gt;2828009.5&lt;/D&gt;&lt;/FQL&gt;&lt;FQL&gt;&lt;Q&gt;EWA^FREF_MARKET_VALUE_COMPANY(0,,,USD,,0,,"LEGACY")&lt;/Q&gt;&lt;R&gt;1&lt;/R&gt;&lt;C&gt;1&lt;/C&gt;&lt;D xsi:type="xsd:double"&gt;1407.18&lt;/D&gt;&lt;/FQL&gt;&lt;FQL&gt;&lt;Q&gt;FC0000AU^FMA_MCAP(0,,,USD,"PORTAGG")&lt;/Q&gt;&lt;R&gt;1&lt;/R&gt;&lt;C&gt;1&lt;/C&gt;&lt;D xsi:type="xsd:double"&gt;1724404.1&lt;/D&gt;&lt;/FQL&gt;&lt;FQL&gt;&lt;Q&gt;ENZL^FREF_MARKET_VALUE_COMPANY(0,,,USD,,0,,"LEGACY")&lt;/Q&gt;&lt;R&gt;1&lt;/R&gt;&lt;C&gt;1&lt;/C&gt;&lt;D xsi:type="xsd:double"&gt;86.616&lt;/D&gt;&lt;/FQL&gt;&lt;FQL&gt;&lt;Q&gt;FC0000NZ^FMA_MCAP(0,,,USD,"PORTAGG")&lt;/Q&gt;&lt;R&gt;1&lt;/R&gt;&lt;C&gt;1&lt;/C&gt;&lt;D xsi:type="xsd:double"&gt;97755.484&lt;/D&gt;&lt;/FQL&gt;&lt;FQL&gt;&lt;Q&gt;NQG00809^FG_COMPANY_NAME&lt;/Q&gt;&lt;R&gt;1&lt;/R&gt;&lt;C&gt;1&lt;/C&gt;&lt;D xsi:type="xsd:string"&gt;Nasdaq South Africa&lt;/D&gt;&lt;/FQL&gt;&lt;FQL&gt;&lt;Q&gt;CC_ZA^FG_COMPANY_NAME&lt;/Q&gt;&lt;R&gt;1&lt;/R&gt;&lt;C&gt;1&lt;/C&gt;&lt;D xsi:type="xsd:string"&gt;South Africa&lt;/D&gt;&lt;/FQL&gt;&lt;FQL&gt;&lt;Q&gt;NQG00809^FMA_MCAP(0,,,USD,"PORTAGG")&lt;/Q&gt;&lt;R&gt;0&lt;/R&gt;&lt;C&gt;0&lt;/C&gt;&lt;/FQL&gt;&lt;FQL&gt;&lt;Q&gt;FC0000ZA^FG_MCAP_IDX(0,,,USD)&lt;/Q&gt;&lt;R&gt;1&lt;/R&gt;&lt;C&gt;1&lt;/C&gt;&lt;D xsi:type="xsd:double"&gt;349007.4&lt;/D&gt;&lt;/FQL&gt;&lt;FQL&gt;&lt;Q&gt;EWI^FREF_MARKET_VALUE_COMPANY(0,,,USD,,0,,"LEGACY")&lt;/Q&gt;&lt;R&gt;1&lt;/R&gt;&lt;C&gt;1&lt;/C&gt;&lt;D xsi:type="xsd:double"&gt;446.52&lt;/D&gt;&lt;/FQL&gt;&lt;FQL&gt;&lt;Q&gt;DUMMY^ECON_EXPR_DATA('FDS_ECON[NTCPMIMFGSA@IT]',,,M)&lt;/Q&gt;&lt;R&gt;1&lt;/R&gt;&lt;C&gt;1&lt;/C&gt;&lt;D xsi:type="xsd:double"&gt;47.399715&lt;/D&gt;&lt;/FQL&gt;&lt;FQL&gt;&lt;Q&gt;DUMMY^ECON_EXPR_DATA('FDS_ECON[NTCPMIMFGMESA@US]',,,M)&lt;/Q&gt;&lt;R&gt;1&lt;/R&gt;&lt;C&gt;1&lt;/C&gt;&lt;D xsi:type="xsd:double"&gt;49.629135&lt;/D&gt;&lt;/FQL&gt;&lt;FQL&gt;&lt;Q&gt;DUMMY^ECON_EXPR_DATA('FDS_ECON[NTCPMIMFGSA@JP]',,,M)&lt;/Q&gt;&lt;R&gt;1&lt;/R&gt;&lt;C&gt;1&lt;/C&gt;&lt;D xsi:type="xsd:double"&gt;49.104828&lt;/D&gt;&lt;/FQL&gt;&lt;FQL&gt;&lt;Q&gt;DUMMY^ECON_EXPR_DATA('FDS_ECON[NTCPMIMFGSA@NL]',,,M)&lt;/Q&gt;&lt;R&gt;1&lt;/R&gt;&lt;C&gt;1&lt;/C&gt;&lt;D xsi:type="xsd:double"&gt;49.181965&lt;/D&gt;&lt;/FQL&gt;&lt;FQL&gt;&lt;Q&gt;DUMMY^ECON_EXPR_DATA('FDS_ECON[NTCPMIMFGSA@GB]',,,M)&lt;/Q&gt;&lt;R&gt;1&lt;/R&gt;&lt;C&gt;1&lt;/C&gt;&lt;D xsi:type="xsd:double"&gt;52.11154&lt;/D&gt;&lt;/FQL&gt;&lt;FQL&gt;&lt;Q&gt;DUMMY^ECON_EXPR_DATA('FDS_ECON[NTCPMIMFGSA@NZ]',,,M)&lt;/Q&gt;&lt;R&gt;1&lt;/R&gt;&lt;C&gt;1&lt;/C&gt;&lt;D xsi:type="xsd:double"&gt;44.007698&lt;/D&gt;&lt;/FQL&gt;&lt;FQL&gt;&lt;Q&gt;DUMMY^ECON_EXPR_DATA('FDS_ECON[]',,,M)&lt;/Q&gt;&lt;R&gt;0&lt;/R&gt;&lt;C&gt;0&lt;/C&gt;&lt;/FQL&gt;&lt;FQL&gt;&lt;Q&gt;DUMMY^ECON_EXPR_DATA('FDS_ECON[NTCPMIMFGSA@AU]',,,M)&lt;/Q&gt;&lt;R&gt;1&lt;/R&gt;&lt;C&gt;1&lt;/C&gt;&lt;D xsi:type="xsd:double"&gt;47.461594&lt;/D&gt;&lt;/FQL&gt;&lt;FQL&gt;&lt;Q&gt;DUMMY^ECON_EXPR_DATA('FDS_ECON[NTCPMIMFGSA@FR]',,,M)&lt;/Q&gt;&lt;R&gt;1&lt;/R&gt;&lt;C&gt;1&lt;/C&gt;&lt;D xsi:type="xsd:double"&gt;44.00542&lt;/D&gt;&lt;/FQL&gt;&lt;FQL&gt;&lt;Q&gt;DUMMY^ECON_EXPR_DATA('FDS_ECON[NTCPMIMFGSA@CA]',,,M)&lt;/Q&gt;&lt;R&gt;1&lt;/R&gt;&lt;C&gt;1&lt;/C&gt;&lt;D xsi:type="xsd:double"&gt;47.763653&lt;/D&gt;&lt;/FQL&gt;&lt;FQL&gt;&lt;Q&gt;DUMMY^ECON_EXPR_DATA('FDS_ECON[NTCPMIMFGSA@CH]',,,M)&lt;/Q&gt;&lt;R&gt;1&lt;/R&gt;&lt;C&gt;1&lt;/C&gt;&lt;D xsi:type="xsd:double"&gt;43.4886&lt;/D&gt;&lt;/FQL&gt;&lt;FQL&gt;&lt;Q&gt;DUMMY^ECON_EXPR_DATA('FDS_ECON[NTCPMIMFGSA@DE]',,,M)&lt;/Q&gt;&lt;R&gt;1&lt;/R&gt;&lt;C&gt;1&lt;/C&gt;&lt;D xsi:type="xsd:double"&gt;43.19687&lt;/D&gt;&lt;/FQL&gt;&lt;FQL&gt;&lt;Q&gt;CAGDPY@FR^EE_ACTUAL_ANNUAL(MED,+1)&lt;/Q&gt;&lt;R&gt;1&lt;/R&gt;&lt;C&gt;1&lt;/C&gt;&lt;D xsi:type="xsd:double"&gt;-0.45&lt;/D&gt;&lt;/FQL&gt;&lt;FQL&gt;&lt;Q&gt;CAGDPY@AU^EE_ACTUAL_ANNUAL(MED,+1)&lt;/Q&gt;&lt;R&gt;1&lt;/R&gt;&lt;C&gt;1&lt;/C&gt;&lt;D xsi:type="xsd:double"&gt;0&lt;/D&gt;&lt;/FQL&gt;&lt;FQL&gt;&lt;Q&gt;USDITL^FG_PRICE_CHANGE(0,-3AM)&lt;/Q&gt;&lt;R&gt;1&lt;/R&gt;&lt;C&gt;1&lt;/C&gt;&lt;D xsi:type="xsd:double"&gt;-1.1008978&lt;/D&gt;&lt;/FQL&gt;&lt;FQL&gt;&lt;Q&gt;USDANG^FG_PRICE_CHANGE(0,-3AM)&lt;/Q&gt;&lt;R&gt;1&lt;/R&gt;&lt;C&gt;1&lt;/C&gt;&lt;D xsi:type="xsd:double"&gt;0&lt;/D&gt;&lt;/FQL&gt;&lt;FQL&gt;&lt;Q&gt;USDUSD^FG_PRICE_CHANGE(0,-3AM)&lt;/Q&gt;&lt;R&gt;1&lt;/R&gt;&lt;C&gt;1&lt;/C&gt;&lt;D xsi:type="xsd:double"&gt;0&lt;/D&gt;&lt;/FQL&gt;&lt;FQL&gt;&lt;Q&gt;USDGBP^FG_PRICE_CHANGE(0,-3AM)&lt;/Q&gt;&lt;R&gt;1&lt;/R&gt;&lt;C&gt;1&lt;/C&gt;&lt;D xsi:type="xsd:double"&gt;-1.7298222&lt;/D&gt;&lt;/FQL&gt;&lt;FQL&gt;&lt;Q&gt;USDJPY^FG_PRICE_CHANGE(0,-3AM)&lt;/Q&gt;&lt;R&gt;1&lt;/R&gt;&lt;C&gt;1&lt;/C&gt;&lt;D xsi:type="xsd:double"&gt;-4.722208&lt;/D&gt;&lt;/FQL&gt;&lt;FQL&gt;&lt;Q&gt;USDCAD^FG_PRICE_CHANGE(0,-3AM)&lt;/Q&gt;&lt;R&gt;1&lt;/R&gt;&lt;C&gt;1&lt;/C&gt;&lt;D xsi:type="xsd:double"&gt;0.74180365&lt;/D&gt;&lt;/FQL&gt;&lt;FQL&gt;&lt;Q&gt;USDNZD^FG_PRICE_CHANGE(0,-3AM)&lt;/Q&gt;&lt;R&gt;1&lt;/R&gt;&lt;C&gt;1&lt;/C&gt;&lt;D xsi:type="xsd:double"&gt;1.5273452&lt;/D&gt;&lt;/FQL&gt;&lt;FQL&gt;&lt;Q&gt;EWA^FMA_EPS(NTMA,-20AY,0,CY,,"PORTAGG","MEANR")&lt;/Q&gt;&lt;R&gt;20&lt;/R&gt;&lt;C&gt;1&lt;/C&gt;&lt;D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xsi:type="xsd:double"&gt;1.31799698481148&lt;/D&gt;&lt;D xsi:type="xsd:double"&gt;1.26256164176903&lt;/D&gt;&lt;D xsi:type="xsd:double"&gt;1.41909398824033&lt;/D&gt;&lt;D xsi:type="xsd:double"&gt;1.56850336770513&lt;/D&gt;&lt;D xsi:type="xsd:double"&gt;1.47895581929429&lt;/D&gt;&lt;/FQL&gt;&lt;FQL&gt;&lt;Q&gt;ENZL^JULIAN(P_PRICE_RETURNS_PR('52W',2,-10AY,0,AM).DATES)&lt;/Q&gt;&lt;R&gt;121&lt;/R&gt;&lt;C&gt;1&lt;/C&gt;&lt;D xsi:type="xsd:long"&gt;41866&lt;/D&gt;&lt;D xsi:type="xsd:long"&gt;41898&lt;/D&gt;&lt;D xsi:type="xsd:long"&gt;41928&lt;/D&gt;&lt;D xsi:type="xsd:long"&gt;41957&lt;/D&gt;&lt;D xsi:type="xsd:long"&gt;41989&lt;/D&gt;&lt;D xsi:type="xsd:long"&gt;42020&lt;/D&gt;&lt;D xsi:type="xsd:long"&gt;42048&lt;/D&gt;&lt;D xsi:type="xsd:long"&gt;42079&lt;/D&gt;&lt;D xsi:type="xsd:long"&gt;42110&lt;/D&gt;&lt;D xsi:type="xsd:long"&gt;42139&lt;/D&gt;&lt;D xsi:type="xsd:long"&gt;42171&lt;/D&gt;&lt;D xsi:type="xsd:long"&gt;42201&lt;/D&gt;&lt;D xsi:type="xsd:long"&gt;42230&lt;/D&gt;&lt;D xsi:type="xsd:long"&gt;42263&lt;/D&gt;&lt;D xsi:type="xsd:long"&gt;42293&lt;/D&gt;&lt;D xsi:type="xsd:long"&gt;42324&lt;/D&gt;&lt;D xsi:type="xsd:long"&gt;42354&lt;/D&gt;&lt;D xsi:type="xsd:long"&gt;42384&lt;/D&gt;&lt;D xsi:type="xsd:long"&gt;42416&lt;/D&gt;&lt;D xsi:type="xsd:long"&gt;42445&lt;/D&gt;&lt;D xsi:type="xsd:long"&gt;42475&lt;/D&gt;&lt;D xsi:type="xsd:long"&gt;42506&lt;/D&gt;&lt;D xsi:type="xsd:long"&gt;42537&lt;/D&gt;&lt;D xsi:type="xsd:long"&gt;42566&lt;/D&gt;&lt;D xsi:type="xsd:long"&gt;42598&lt;/D&gt;&lt;D xsi:type="xsd:long"&gt;42629&lt;/D&gt;&lt;D xsi:type="xsd:long"&gt;42657&lt;/D&gt;&lt;D xsi:type="xsd:long"&gt;42690&lt;/D&gt;&lt;D xsi:type="xsd:long"&gt;42720&lt;/D&gt;&lt;D xsi:type="xsd:long"&gt;42748&lt;/D&gt;&lt;D xsi:type="xsd:long"&gt;42782&lt;/D&gt;&lt;D xsi:type="xsd:long"&gt;42810&lt;/D&gt;&lt;D xsi:type="xsd:long"&gt;42838&lt;/D&gt;&lt;D xsi:type="xsd:long"&gt;42871&lt;/D&gt;&lt;D xsi:type="xsd:long"&gt;42902&lt;/D&gt;&lt;D xsi:type="xsd:long"&gt;42930&lt;/D&gt;&lt;D xsi:type="xsd:long"&gt;42963&lt;/D&gt;&lt;D xsi:type="xsd:long"&gt;42993&lt;/D&gt;&lt;D xsi:type="xsd:long"&gt;43024&lt;/D&gt;&lt;D xsi:type="xsd:long"&gt;43055&lt;/D&gt;&lt;D xsi:type="xsd:long"&gt;43084&lt;/D&gt;&lt;D xsi:type="xsd:long"&gt;43116&lt;/D&gt;&lt;D xsi:type="xsd:long"&gt;43147&lt;/D&gt;&lt;D xsi:type="xsd:long"&gt;43175&lt;/D&gt;&lt;D xsi:type="xsd:long"&gt;43206&lt;/D&gt;&lt;D xsi:type="xsd:long"&gt;43236&lt;/D&gt;&lt;D xsi:type="xsd:long"&gt;43266&lt;/D&gt;&lt;D xsi:type="xsd:long"&gt;43297&lt;/D&gt;&lt;D xsi:type="xsd:long"&gt;43328&lt;/D&gt;&lt;D xsi:type="xsd:long"&gt;43357&lt;/D&gt;&lt;D xsi:type="xsd:long"&gt;43389&lt;/D&gt;&lt;D xsi:type="xsd:long"&gt;43420&lt;/D&gt;&lt;D xsi:type="xsd:long"&gt;43448&lt;/D&gt;&lt;D xsi:type="xsd:long"&gt;43481&lt;/D&gt;&lt;D xsi:type="xsd:long"&gt;43511&lt;/D&gt;&lt;D xsi:type="xsd:long"&gt;43539&lt;/D&gt;&lt;D xsi:type="xsd:long"&gt;43571&lt;/D&gt;&lt;D xsi:type="xsd:long"&gt;43601&lt;/D&gt;&lt;D xsi:type="xsd:long"&gt;43630&lt;/D&gt;&lt;D xsi:type="xsd:long"&gt;43662&lt;/D&gt;&lt;D xsi:type="xsd:long"&gt;43693&lt;/D&gt;&lt;D xsi:type="xsd:long"&gt;43724&lt;/D&gt;&lt;D xsi:type="xsd:long"&gt;43754&lt;/D&gt;&lt;D xsi:type="xsd:long"&gt;43784&lt;/D&gt;&lt;D xsi:type="xsd:long"&gt;43815&lt;/D&gt;&lt;D xsi:type="xsd:long"&gt;43846&lt;/D&gt;&lt;D xsi:type="xsd:long"&gt;43875&lt;/D&gt;&lt;D xsi:type="xsd:long"&gt;43906&lt;/D&gt;&lt;D xsi:type="xsd:long"&gt;43937&lt;/D&gt;&lt;D xsi:type="xsd:long"&gt;43966&lt;/D&gt;&lt;D xsi:type="xsd:long"&gt;43998&lt;/D&gt;&lt;D xsi:type="xsd:long"&gt;44028&lt;/D&gt;&lt;D xsi:type="xsd:long"&gt;44057&lt;/D&gt;&lt;D xsi:type="xsd:long"&gt;44090&lt;/D&gt;&lt;D xsi:type="xsd:long"&gt;44120&lt;/D&gt;&lt;D xsi:type="xsd:long"&gt;44151&lt;/D&gt;&lt;D xsi:type="xsd:long"&gt;44181&lt;/D&gt;&lt;D xsi:type="xsd:long"&gt;44211&lt;/D&gt;&lt;D xsi:type="xsd:long"&gt;44243&lt;/D&gt;&lt;D xsi:type="xsd:long"&gt;44271&lt;/D&gt;&lt;D xsi:type="xsd:long"&gt;44302&lt;/D&gt;&lt;D xsi:type="xsd:long"&gt;44330&lt;/D&gt;&lt;D xsi:type="xsd:long"&gt;44363&lt;/D&gt;&lt;D xsi:type="xsd:long"&gt;44393&lt;/D&gt;&lt;D xsi:type="xsd:long"&gt;44424&lt;/D&gt;&lt;D xsi:type="xsd:long"&gt;44455&lt;/D&gt;&lt;D xsi:type="xsd:long"&gt;44484&lt;/D&gt;&lt;D xsi:type="xsd:long"&gt;44516&lt;/D&gt;&lt;D xsi:type="xsd:long"&gt;44546&lt;/D&gt;&lt;D xsi:type="xsd:long"&gt;44575&lt;/D&gt;&lt;D xsi:type="xsd:long"&gt;44608&lt;/D&gt;&lt;D xsi:type="xsd:long"&gt;44636&lt;/D&gt;&lt;D xsi:type="xsd:long"&gt;44665&lt;/D&gt;&lt;D xsi:type="xsd:long"&gt;44697&lt;/D&gt;&lt;D xsi:type="xsd:long"&gt;44728&lt;/D&gt;&lt;D xsi:type="xsd:long"&gt;44757&lt;/D&gt;&lt;D xsi:type="xsd:long"&gt;44789&lt;/D&gt;&lt;D xsi:type="xsd:long"&gt;44820&lt;/D&gt;&lt;D xsi:type="xsd:long"&gt;44848&lt;/D&gt;&lt;D xsi:type="xsd:long"&gt;44881&lt;/D&gt;&lt;D xsi:type="xsd:long"&gt;44911&lt;/D&gt;&lt;D xsi:type="xsd:long"&gt;44939&lt;/D&gt;&lt;D xsi:type="xsd:long"&gt;44973&lt;/D&gt;&lt;D xsi:type="xsd:long"&gt;45001&lt;/D&gt;&lt;D xsi:type="xsd:long"&gt;45030&lt;/D&gt;&lt;D xsi:type="xsd:long"&gt;45062&lt;/D&gt;&lt;D xsi:type="xsd:long"&gt;45093&lt;/D&gt;&lt;D xsi:type="xsd:long"&gt;45121&lt;/D&gt;&lt;D xsi:type="xsd:long"&gt;45154&lt;/D&gt;&lt;D xsi:type="xsd:long"&gt;45184&lt;/D&gt;&lt;D xsi:type="xsd:long"&gt;45215&lt;/D&gt;&lt;D xsi:type="xsd:long"&gt;45246&lt;/D&gt;&lt;D xsi:type="xsd:long"&gt;45275&lt;/D&gt;&lt;D xsi:type="xsd:long"&gt;45307&lt;/D&gt;&lt;D xsi:type="xsd:long"&gt;45338&lt;/D&gt;&lt;D xsi:type="xsd:long"&gt;45366&lt;/D&gt;&lt;D xsi:type="xsd:long"&gt;45398&lt;/D&gt;&lt;D xsi:type="xsd:long"&gt;45428&lt;/D&gt;&lt;D xsi:type="xsd:long"&gt;45457&lt;/D&gt;&lt;D xsi:type="xsd:long"&gt;45489&lt;/D&gt;&lt;D xsi:type="xsd:long"&gt;45520&lt;/D&gt;&lt;/FQL&gt;&lt;FQL&gt;&lt;Q&gt;EWD^FMA_DIV_YLD(NTMA,-10AY,0,AM,"PORTAGG","MEANR")&lt;/Q&gt;&lt;R&gt;121&lt;/R&gt;&lt;C&gt;1&lt;/C&gt;&lt;D xsi:type="xsd:double"&gt;4.31049203471032&lt;/D&gt;&lt;D xsi:type="xsd:double"&gt;4.2042786514267&lt;/D&gt;&lt;D xsi:type="xsd:double"&gt;4.64173675745387&lt;/D&gt;&lt;D xsi:type="xsd:double"&gt;4.18268956704712&lt;/D&gt;&lt;D xsi:type="xsd:double"&gt;4.24111079849586&lt;/D&gt;&lt;D xsi:type="xsd:double"&gt;4.10853464384359&lt;/D&gt;&lt;D xsi:type="xsd:double"&gt;3.69143980802822&lt;/D&gt;&lt;D xsi:type="xsd:double"&gt;3.61968306371029&lt;/D&gt;&lt;D xsi:type="xsd:double"&gt;3.63062199425152&lt;/D&gt;&lt;D xsi:type="xsd:double"&gt;3.85337335231932&lt;/D&gt;&lt;D xsi:type="xsd:double"&gt;3.96269707626494&lt;/D&gt;&lt;D xsi:type="xsd:double"&gt;3.87548629672817&lt;/D&gt;&lt;D xsi:type="xsd:double"&gt;4.04417191036633&lt;/D&gt;&lt;D xsi:type="xsd:double"&gt;4.35199345670525&lt;/D&gt;&lt;D xsi:type="xsd:double"&gt;4.39694919424729&lt;/D&gt;&lt;D xsi:type="xsd:double"&gt;4.26380631549808&lt;/D&gt;&lt;D xsi:type="xsd:double"&gt;4.38713719115134&lt;/D&gt;&lt;D xsi:type="xsd:double"&gt;4.75612412835376&lt;/D&gt;&lt;D xsi:type="xsd:double"&gt;4.52251209957321&lt;/D&gt;&lt;D xsi:type="xsd:double"&gt;4.31500957601936&lt;/D&gt;&lt;D xsi:type="xsd:double"&gt;4.33062274106379&lt;/D&gt;&lt;D xsi:type="xsd:double"&gt;4.46088429080162&lt;/D&gt;&lt;D xsi:type="xsd:double"&gt;4.68877427424427&lt;/D&gt;&lt;D xsi:type="xsd:double"&gt;4.34415452774777&lt;/D&gt;&lt;D xsi:type="xsd:double"&gt;4.24400860315216&lt;/D&gt;&lt;D xsi:type="xsd:double"&gt;4.28130521897875&lt;/D&gt;&lt;D xsi:type="xsd:double"&gt;4.11098159435338&lt;/D&gt;&lt;D xsi:type="xsd:double"&gt;4.09544960348978&lt;/D&gt;&lt;D xsi:type="xsd:double"&gt;3.83182065589598&lt;/D&gt;&lt;D xsi:type="xsd:double"&gt;3.88572117946763&lt;/D&gt;&lt;D xsi:type="xsd:double"&gt;3.62712325123956&lt;/D&gt;&lt;D xsi:type="xsd:double"&gt;3.61859308665755&lt;/D&gt;&lt;D xsi:type="xsd:double"&gt;3.6684849386335&lt;/D&gt;&lt;D xsi:type="xsd:double"&gt;3.33799600001001&lt;/D&gt;&lt;D xsi:type="xsd:double"&gt;3.52322416659464&lt;/D&gt;&lt;D xsi:type="xsd:double"&gt;3.5213665862665&lt;/D&gt;&lt;D xsi:type="xsd:double"&gt;3.7448756581351&lt;/D&gt;&lt;D xsi:type="xsd:double"&gt;3.70742694961337&lt;/D&gt;&lt;D xsi:type="xsd:double"&gt;3.5711914963956&lt;/D&gt;&lt;D xsi:type="xsd:double"&gt;3.60619545603438&lt;/D&gt;&lt;D xsi:type="xsd:double"&gt;3.72826470458103&lt;/D&gt;&lt;D xsi:type="xsd:double"&gt;3.65736905901635&lt;/D&gt;&lt;D xsi:type="xsd:double"&gt;3.88809065457878&lt;/D&gt;&lt;D xsi:type="xsd:double"&gt;3.88744848062447&lt;/D&gt;&lt;D xsi:type="xsd:double"&gt;4.12474245196428&lt;/D&gt;&lt;D xsi:type="xsd:double"&gt;3.98448443380344&lt;/D&gt;&lt;D xsi:type="xsd:double"&gt;4.13597263941867&lt;/D&gt;&lt;D xsi:type="xsd:double"&gt;4.16613675523193&lt;/D&gt;&lt;D xsi:type="xsd:double"&gt;4.12457486796276&lt;/D&gt;&lt;D xsi:type="xsd:double"&gt;4.08058916067028&lt;/D&gt;&lt;D xsi:type="xsd:double"&gt;4.27225785647488&lt;/D&gt;&lt;D xsi:type="xsd:double"&gt;4.46993840135065&lt;/D&gt;&lt;D xsi:type="xsd:double"&gt;4.56195796126793&lt;/D&gt;&lt;D xsi:type="xsd:double"&gt;4.48333366055511&lt;/D&gt;&lt;D xsi:type="xsd:double"&gt;4.12241564004056&lt;/D&gt;&lt;D xsi:type="xsd:double"&gt;4.09987547004422&lt;/D&gt;&lt;D xsi:type="xsd:double"&gt;4.01521321193749&lt;/D&gt;&lt;D xsi:type="xsd:double"&gt;4.1681605402506&lt;/D&gt;&lt;D xsi:type="xsd:double"&gt;4.23054525580017&lt;/D&gt;&lt;D xsi:type="xsd:double"&gt;4.13057395842464&lt;/D&gt;&lt;D xsi:type="xsd:double"&gt;4.32396071349103&lt;/D&gt;&lt;D xsi:type="xsd:double"&gt;3.88347516807368&lt;/D&gt;&lt;D xsi:type="xsd:double"&gt;3.848291757537&lt;/D&gt;&lt;D xsi:type="xsd:double"&gt;3.6510214647956&lt;/D&gt;&lt;D xsi:type="xsd:double"&gt;3.58382159016984&lt;/D&gt;&lt;D xsi:type="xsd:double"&gt;3.52448348471785&lt;/D&gt;&lt;D xsi:type="xsd:double"&gt;3.40691658276688&lt;/D&gt;&lt;D xsi:type="xsd:double"&gt;4.80172923857511&lt;/D&gt;&lt;D xsi:type="xsd:double"&gt;3.59467435514668&lt;/D&gt;&lt;D xsi:type="xsd:double"&gt;3.44114784777808&lt;/D&gt;&lt;D xsi:type="xsd:double"&gt;3.03978514821472&lt;/D&gt;&lt;D xsi:type="xsd:double"&gt;2.96482124631794&lt;/D&gt;&lt;D xsi:type="xsd:double"&gt;3.02437649414174&lt;/D&gt;&lt;D xsi:type="xsd:double"&gt;2.94495465439606&lt;/D&gt;&lt;D xsi:type="xsd:double"&gt;3.02064307021978&lt;/D&gt;&lt;D xsi:type="xsd:double"&gt;3.01857724794626&lt;/D&gt;&lt;D xsi:type="xsd:double"&gt;3.07174504326526&lt;/D&gt;&lt;D xsi:type="xsd:double"&gt;3.01254192789329&lt;/D&gt;&lt;D xsi:type="xsd:double"&gt;2.96406905128495&lt;/D&gt;&lt;D xsi:type="xsd:double"&gt;2.76826972544674&lt;/D&gt;&lt;D xsi:type="xsd:double"&gt;2.67739968981314&lt;/D&gt;&lt;D xsi:type="xsd:double"&gt;2.81449833382498&lt;/D&gt;&lt;D xsi:type="xsd:double"&gt;2.65673081921156&lt;/D&gt;&lt;D xsi:type="xsd:double"&gt;2.68391072207193&lt;/D&gt;&lt;D xsi:type="xsd:double"&gt;2.7349104774215&lt;/D&gt;&lt;D xsi:type="xsd:double"&gt;2.74958276793084&lt;/D&gt;&lt;D xsi:type="xsd:double"&gt;2.82169454394045&lt;/D&gt;&lt;D xsi:type="xsd:double"&gt;2.91563612856263&lt;/D&gt;&lt;D xsi:type="xsd:double"&gt;2.95023633927006&lt;/D&gt;&lt;D xsi:type="xsd:double"&gt;2.96672091674767&lt;/D&gt;&lt;D xsi:type="xsd:double"&gt;2.96272588474464&lt;/D&gt;&lt;D xsi:type="xsd:double"&gt;3.04964834285043&lt;/D&gt;&lt;D xsi:type="xsd:double"&gt;3.15881729867966&lt;/D&gt;&lt;D xsi:type="xsd:double"&gt;3.41666244759401&lt;/D&gt;&lt;D xsi:type="xsd:double"&gt;3.61264584357038&lt;/D&gt;&lt;D xsi:type="xsd:double"&gt;3.74099201620915&lt;/D&gt;&lt;D xsi:type="xsd:double"&gt;3.44364124287381&lt;/D&gt;&lt;D xsi:type="xsd:double"&gt;3.77338742318244&lt;/D&gt;&lt;D xsi:type="xsd:double"&gt;3.77548841028323&lt;/D&gt;&lt;D xsi:type="xsd:double"&gt;3.62500102848158&lt;/D&gt;&lt;D xsi:type="xsd:double"&gt;3.72742535226228&lt;/D&gt;&lt;D xsi:type="xsd:double"&gt;3.48897666297969&lt;/D&gt;&lt;D xsi:type="xsd:double"&gt;3.51382470100677&lt;/D&gt;&lt;D xsi:type="xsd:double"&gt;3.75307347421615&lt;/D&gt;&lt;D xsi:type="xsd:double"&gt;3.60996685692862&lt;/D&gt;&lt;D xsi:type="xsd:double"&gt;3.74774105344662&lt;/D&gt;&lt;D xsi:type="xsd:double"&gt;3.67101274777751&lt;/D&gt;&lt;D xsi:type="xsd:double"&gt;3.7699691688875&lt;/D&gt;&lt;D xsi:type="xsd:double"&gt;3.94722135419845&lt;/D&gt;&lt;D xsi:type="xsd:double"&gt;3.94607167437596&lt;/D&gt;&lt;D xsi:type="xsd:double"&gt;3.75874185019509&lt;/D&gt;&lt;D xsi:type="xsd:double"&gt;3.74850371826276&lt;/D&gt;&lt;D xsi:type="xsd:double"&gt;2.93634280019177&lt;/D&gt;&lt;D xsi:type="xsd:double"&gt;3.03947942198134&lt;/D&gt;&lt;D xsi:type="xsd:double"&gt;3.34199163094894&lt;/D&gt;&lt;D xsi:type="xsd:double"&gt;3.18456472968321&lt;/D&gt;&lt;D xsi:type="xsd:double"&gt;3.32818363210491&lt;/D&gt;&lt;D xsi:type="xsd:double"&gt;3.18029821497755&lt;/D&gt;&lt;D xsi:type="xsd:double"&gt;3.26447854954345&lt;/D&gt;&lt;D xsi:type="xsd:double"&gt;3.15683564687322&lt;/D&gt;&lt;D xsi:type="xsd:double"&gt;3.34214539696044&lt;/D&gt;&lt;/FQL&gt;&lt;FQL&gt;&lt;Q&gt;EWQ^FMA_PE(NTMA,-10AY,0,AM,"PORTAGG","MEANR")&lt;/Q&gt;&lt;R&gt;121&lt;/R&gt;&lt;C&gt;1&lt;/C&gt;&lt;D xsi:type="xsd:double"&gt;13.1231148310632&lt;/D&gt;&lt;D xsi:type="xsd:double"&gt;13.6622946405495&lt;/D&gt;&lt;D xsi:type="xsd:double"&gt;12.1989231502553&lt;/D&gt;&lt;D xsi:type="xsd:double"&gt;13.1655248503178&lt;/D&gt;&lt;D xsi:type="xsd:double"&gt;13.2047601796522&lt;/D&gt;&lt;D xsi:type="xsd:double"&gt;14.3101186853963&lt;/D&gt;&lt;D xsi:type="xsd:double"&gt;15.8488584265041&lt;/D&gt;&lt;D xsi:type="xsd:double"&gt;16.6387190934741&lt;/D&gt;&lt;D xsi:type="xsd:double"&gt;16.9418901023765&lt;/D&gt;&lt;D xsi:type="xsd:double"&gt;16.1926892533576&lt;/D&gt;&lt;D xsi:type="xsd:double"&gt;15.4900423804837&lt;/D&gt;&lt;D xsi:type="xsd:double"&gt;16.0786045353927&lt;/D&gt;&lt;D xsi:type="xsd:double"&gt;15.3171938742882&lt;/D&gt;&lt;D xsi:type="xsd:double"&gt;14.3943223117601&lt;/D&gt;&lt;D xsi:type="xsd:double"&gt;14.6125367310741&lt;/D&gt;&lt;D xsi:type="xsd:double"&gt;14.9087876875876&lt;/D&gt;&lt;D xsi:type="xsd:double"&gt;14.5228954504552&lt;/D&gt;&lt;D xsi:type="xsd:double"&gt;13.4651441857621&lt;/D&gt;&lt;D xsi:type="xsd:double"&gt;13.4666092739601&lt;/D&gt;&lt;D xsi:type="xsd:double"&gt;14.5660790943878&lt;/D&gt;&lt;D xsi:type="xsd:double"&gt;14.6977510510707&lt;/D&gt;&lt;D xsi:type="xsd:double"&gt;14.1220275113363&lt;/D&gt;&lt;D xsi:type="xsd:double"&gt;13.32254938499&lt;/D&gt;&lt;D xsi:type="xsd:double"&gt;13.963616843326&lt;/D&gt;&lt;D xsi:type="xsd:double"&gt;14.0740867244139&lt;/D&gt;&lt;D xsi:type="xsd:double"&gt;13.6024941273295&lt;/D&gt;&lt;D xsi:type="xsd:double"&gt;13.8918054533823&lt;/D&gt;&lt;D xsi:type="xsd:double"&gt;13.6893813097589&lt;/D&gt;&lt;D xsi:type="xsd:double"&gt;14.5158717167062&lt;/D&gt;&lt;D xsi:type="xsd:double"&gt;14.7056745434906&lt;/D&gt;&lt;D xsi:type="xsd:double"&gt;14.3919881390647&lt;/D&gt;&lt;D xsi:type="xsd:double"&gt;14.5802535415127&lt;/D&gt;&lt;D xsi:type="xsd:double"&gt;14.7212955994013&lt;/D&gt;&lt;D xsi:type="xsd:double"&gt;15.4724976576134&lt;/D&gt;&lt;D xsi:type="xsd:double"&gt;14.9809724417214&lt;/D&gt;&lt;D xsi:type="xsd:double"&gt;14.9215579661956&lt;/D&gt;&lt;D xsi:type="xsd:double"&gt;14.6780703387949&lt;/D&gt;&lt;D xsi:type="xsd:double"&gt;14.8258607092245&lt;/D&gt;&lt;D xsi:type="xsd:double"&gt;15.1444943832622&lt;/D&gt;&lt;D xsi:type="xsd:double"&gt;14.8647529526101&lt;/D&gt;&lt;D xsi:type="xsd:double"&gt;14.9053094936228&lt;/D&gt;&lt;D xsi:type="xsd:double"&gt;15.2889367222045&lt;/D&gt;&lt;D xsi:type="xsd:double"&gt;14.6009205691885&lt;/D&gt;&lt;D xsi:type="xsd:double"&gt;14.5360915971499&lt;/D&gt;&lt;D xsi:type="xsd:double"&gt;14.4892802957373&lt;/D&gt;&lt;D xsi:type="xsd:double"&gt;14.8054826729583&lt;/D&gt;&lt;D xsi:type="xsd:double"&gt;14.492681269394&lt;/D&gt;&lt;D xsi:type="xsd:double"&gt;14.1000363061185&lt;/D&gt;&lt;D xsi:type="xsd:double"&gt;13.6615395160325&lt;/D&gt;&lt;D xsi:type="xsd:double"&gt;13.6030159786348&lt;/D&gt;&lt;D xsi:type="xsd:double"&gt;12.9577530752956&lt;/D&gt;&lt;D xsi:type="xsd:double"&gt;12.6135588062794&lt;/D&gt;&lt;D xsi:type="xsd:double"&gt;12.2094578569747&lt;/D&gt;&lt;D xsi:type="xsd:double"&gt;12.300019196237&lt;/D&gt;&lt;D xsi:type="xsd:double"&gt;13.1933277057201&lt;/D&gt;&lt;D xsi:type="xsd:double"&gt;13.8089476751275&lt;/D&gt;&lt;D xsi:type="xsd:double"&gt;14.0384220736359&lt;/D&gt;&lt;D xsi:type="xsd:double"&gt;13.790842449006&lt;/D&gt;&lt;D xsi:type="xsd:double"&gt;13.5046128784833&lt;/D&gt;&lt;D xsi:type="xsd:double"&gt;14.1396015900905&lt;/D&gt;&lt;D xsi:type="xsd:double"&gt;13.4067157089686&lt;/D&gt;&lt;D xsi:type="xsd:double"&gt;14.03092259982&lt;/D&gt;&lt;D xsi:type="xsd:double"&gt;14.3315867285766&lt;/D&gt;&lt;D xsi:type="xsd:double"&gt;14.85933258007&lt;/D&gt;&lt;D xsi:type="xsd:double"&gt;14.9457314459783&lt;/D&gt;&lt;D xsi:type="xsd:double"&gt;15.0277837254159&lt;/D&gt;&lt;D xsi:type="xsd:double"&gt;15.2160122536147&lt;/D&gt;&lt;D xsi:type="xsd:double"&gt;10.3648043981781&lt;/D&gt;&lt;D xsi:type="xsd:double"&gt;14.5125333551646&lt;/D&gt;&lt;D xsi:type="xsd:double"&gt;15.9632723905015&lt;/D&gt;&lt;D xsi:type="xsd:double"&gt;18.8112845780277&lt;/D&gt;&lt;D xsi:type="xsd:double"&gt;19.7459975229086&lt;/D&gt;&lt;D xsi:type="xsd:double"&gt;19.7744227250084&lt;/D&gt;&lt;D xsi:type="xsd:double"&gt;19.3063139414276&lt;/D&gt;&lt;D xsi:type="xsd:double"&gt;18.2304530201717&lt;/D&gt;&lt;D xsi:type="xsd:double"&gt;19.1522986123299&lt;/D&gt;&lt;D xsi:type="xsd:double"&gt;18.4162968175247&lt;/D&gt;&lt;D xsi:type="xsd:double"&gt;17.8584574448928&lt;/D&gt;&lt;D xsi:type="xsd:double"&gt;18.0495021848189&lt;/D&gt;&lt;D xsi:type="xsd:double"&gt;18.4745926566395&lt;/D&gt;&lt;D xsi:type="xsd:double"&gt;18.3474332771021&lt;/D&gt;&lt;D xsi:type="xsd:double"&gt;17.8286118095034&lt;/D&gt;&lt;D xsi:type="xsd:double"&gt;18.1058962688065&lt;/D&gt;&lt;D xsi:type="xsd:double"&gt;16.8652475713176&lt;/D&gt;&lt;D xsi:type="xsd:double"&gt;16.7169525631075&lt;/D&gt;&lt;D xsi:type="xsd:double"&gt;16.0096181137537&lt;/D&gt;&lt;D xsi:type="xsd:double"&gt;15.6765104272069&lt;/D&gt;&lt;D xsi:type="xsd:double"&gt;16.0375212865707&lt;/D&gt;&lt;D xsi:type="xsd:double"&gt;15.5488744874687&lt;/D&gt;&lt;D xsi:type="xsd:double"&gt;15.5344581554437&lt;/D&gt;&lt;D xsi:type="xsd:double"&gt;14.5638865575973&lt;/D&gt;&lt;D xsi:type="xsd:double"&gt;13.6261672971699&lt;/D&gt;&lt;D xsi:type="xsd:double"&gt;13.1567937547551&lt;/D&gt;&lt;D xsi:type="xsd:double"&gt;12.2057892918374&lt;/D&gt;&lt;D xsi:type="xsd:double"&gt;11.1657273434372&lt;/D&gt;&lt;D xsi:type="xsd:double"&gt;11.1572016970745&lt;/D&gt;&lt;D xsi:type="xsd:double"&gt;11.8942939255686&lt;/D&gt;&lt;D xsi:type="xsd:double"&gt;10.9691052291913&lt;/D&gt;&lt;D xsi:type="xsd:double"&gt;10.52055459392&lt;/D&gt;&lt;D xsi:type="xsd:double"&gt;11.902567359835&lt;/D&gt;&lt;D xsi:type="xsd:double"&gt;11.7529192775683&lt;/D&gt;&lt;D xsi:type="xsd:double"&gt;12.9479256597958&lt;/D&gt;&lt;D xsi:type="xsd:double"&gt;13.4763264758092&lt;/D&gt;&lt;D xsi:type="xsd:double"&gt;12.7569075584343&lt;/D&gt;&lt;D xsi:type="xsd:double"&gt;13.6442379508169&lt;/D&gt;&lt;D xsi:type="xsd:double"&gt;13.3405462563313&lt;/D&gt;&lt;D xsi:type="xsd:double"&gt;13.3467837550759&lt;/D&gt;&lt;D xsi:type="xsd:double"&gt;13.2838178731432&lt;/D&gt;&lt;D xsi:type="xsd:double"&gt;12.9013480057684&lt;/D&gt;&lt;D xsi:type="xsd:double"&gt;13.0015351224752&lt;/D&gt;&lt;D xsi:type="xsd:double"&gt;12.2758826647795&lt;/D&gt;&lt;D xsi:type="xsd:double"&gt;12.6965246995471&lt;/D&gt;&lt;D xsi:type="xsd:double"&gt;13.4687269953499&lt;/D&gt;&lt;D xsi:type="xsd:double"&gt;13.2316226639887&lt;/D&gt;&lt;D xsi:type="xsd:double"&gt;13.9970138551257&lt;/D&gt;&lt;D xsi:type="xsd:double"&gt;14.6619667923402&lt;/D&gt;&lt;D xsi:type="xsd:double"&gt;14.1844430127615&lt;/D&gt;&lt;D xsi:type="xsd:double"&gt;14.6982399962487&lt;/D&gt;&lt;D xsi:type="xsd:double"&gt;13.4069203400931&lt;/D&gt;&lt;D xsi:type="xsd:double"&gt;13.5840165067432&lt;/D&gt;&lt;D xsi:type="xsd:double"&gt;13.3243137118773&lt;/D&gt;&lt;/FQL&gt;&lt;FQL&gt;&lt;Q&gt;QQQ^FMA_PE(LTMA,-10AY,0,AM,"PORTAGG","MEANR")&lt;/Q&gt;&lt;R&gt;121&lt;/R&gt;&lt;C&gt;1&lt;/C&gt;&lt;D xsi:type="xsd:double"&gt;19.1861699893287&lt;/D&gt;&lt;D xsi:type="xsd:double"&gt;19.3900888552217&lt;/D&gt;&lt;D xsi:type="xsd:double"&gt;18.2445762911601&lt;/D&gt;&lt;D xsi:type="xsd:double"&gt;20.0326641392295&lt;/D&gt;&lt;D xsi:type="xsd:double"&gt;19.4377291116842&lt;/D&gt;&lt;D xsi:type="xsd:double"&gt;19.5352133605673&lt;/D&gt;&lt;D xsi:type="xsd:double"&gt;20.5031059244572&lt;/D&gt;&lt;D xsi:type="xsd:double"&gt;20.6179829083582&lt;/D&gt;&lt;D xsi:type="xsd:double"&gt;20.4758049215094&lt;/D&gt;&lt;D xsi:type="xsd:double"&gt;20.3364625893627&lt;/D&gt;&lt;D xsi:type="xsd:double"&gt;20.0775531299294&lt;/D&gt;&lt;D xsi:type="xsd:double"&gt;20.2604264880208&lt;/D&gt;&lt;D xsi:type="xsd:double"&gt;20.2437480939497&lt;/D&gt;&lt;D xsi:type="xsd:double"&gt;19.6859842949099&lt;/D&gt;&lt;D xsi:type="xsd:double"&gt;19.7522977909972&lt;/D&gt;&lt;D xsi:type="xsd:double"&gt;20.0210820006618&lt;/D&gt;&lt;D xsi:type="xsd:double"&gt;20.4044781024763&lt;/D&gt;&lt;D xsi:type="xsd:double"&gt;18.2634328835928&lt;/D&gt;&lt;D xsi:type="xsd:double"&gt;17.9852345743422&lt;/D&gt;&lt;D xsi:type="xsd:double"&gt;18.2934025539188&lt;/D&gt;&lt;D xsi:type="xsd:double"&gt;18.4763854813404&lt;/D&gt;&lt;D xsi:type="xsd:double"&gt;18.3923637653939&lt;/D&gt;&lt;D xsi:type="xsd:double"&gt;18.4786327785902&lt;/D&gt;&lt;D xsi:type="xsd:double"&gt;19.0232646156013&lt;/D&gt;&lt;D xsi:type="xsd:double"&gt;19.5456363651527&lt;/D&gt;&lt;D xsi:type="xsd:double"&gt;19.6943265831601&lt;/D&gt;&lt;D xsi:type="xsd:double"&gt;19.8251060114457&lt;/D&gt;&lt;D xsi:type="xsd:double"&gt;19.7721727446526&lt;/D&gt;&lt;D xsi:type="xsd:double"&gt;20.3620809062086&lt;/D&gt;&lt;D xsi:type="xsd:double"&gt;21.0330392307996&lt;/D&gt;&lt;D xsi:type="xsd:double"&gt;21.6684240557135&lt;/D&gt;&lt;D xsi:type="xsd:double"&gt;21.6994449712532&lt;/D&gt;&lt;D xsi:type="xsd:double"&gt;21.5288296751513&lt;/D&gt;&lt;D xsi:type="xsd:double"&gt;21.8818747882422&lt;/D&gt;&lt;D xsi:type="xsd:double"&gt;21.7612940494373&lt;/D&gt;&lt;D xsi:type="xsd:double"&gt;22.0800955859887&lt;/D&gt;&lt;D xsi:type="xsd:double"&gt;22.1393229362372&lt;/D&gt;&lt;D xsi:type="xsd:double"&gt;22.3250718471081&lt;/D&gt;&lt;D xsi:type="xsd:double"&gt;22.7158668409259&lt;/D&gt;&lt;D xsi:type="xsd:double"&gt;23.0699458199405&lt;/D&gt;&lt;D xsi:type="xsd:double"&gt;23.5511027597558&lt;/D&gt;&lt;D xsi:type="xsd:double"&gt;24.6801647877974&lt;/D&gt;&lt;D xsi:type="xsd:double"&gt;23.9657419816844&lt;/D&gt;&lt;D xsi:type="xsd:double"&gt;24.0713317525567&lt;/D&gt;&lt;D xsi:type="xsd:double"&gt;23.5161078569691&lt;/D&gt;&lt;D xsi:type="xsd:double"&gt;23.2853869617934&lt;/D&gt;&lt;D xsi:type="xsd:double"&gt;23.390957061603&lt;/D&gt;&lt;D xsi:type="xsd:double"&gt;23.3455985302211&lt;/D&gt;&lt;D xsi:type="xsd:double"&gt;23.0109296613212&lt;/D&gt;&lt;D xsi:type="xsd:double"&gt;23.1419176232441&lt;/D&gt;&lt;D xsi:type="xsd:double"&gt;22.3723248511033&lt;/D&gt;&lt;D xsi:type="xsd:double"&gt;20.7013601011065&lt;/D&gt;&lt;D xsi:type="xsd:double"&gt;19.6038273260475&lt;/D&gt;&lt;D xsi:type="xsd:double"&gt;19.7248252177548&lt;/D&gt;&lt;D xsi:type="xsd:double"&gt;20.7601571034967&lt;/D&gt;&lt;D xsi:type="xsd:double"&gt;20.9834539553982&lt;/D&gt;&lt;D xsi:type="xsd:double"&gt;21.2642849311131&lt;/D&gt;&lt;D xsi:type="xsd:double"&gt;21.2921001137745&lt;/D&gt;&lt;D xsi:type="xsd:double"&gt;21.2593235364343&lt;/D&gt;&lt;D xsi:type="xsd:double"&gt;22.0667818048716&lt;/D&gt;&lt;D xsi:type="xsd:double"&gt;21.6334057228909&lt;/D&gt;&lt;D xsi:type="xsd:double"&gt;22.2251125537985&lt;/D&gt;&lt;D xsi:type="xsd:double"&gt;22.5572126881019&lt;/D&gt;&lt;D xsi:type="xsd:double"&gt;23.6158369095241&lt;/D&gt;&lt;D xsi:type="xsd:double"&gt;24.7732146405429&lt;/D&gt;&lt;D xsi:type="xsd:double"&gt;26.4764250948944&lt;/D&gt;&lt;D xsi:type="xsd:double"&gt;27.2039444144262&lt;/D&gt;&lt;D xsi:type="xsd:double"&gt;22.9747180217934&lt;/D&gt;&lt;D xsi:type="xsd:double"&gt;24.5302110026204&lt;/D&gt;&lt;D xsi:type="xsd:double"&gt;25.6827404299666&lt;/D&gt;&lt;D xsi:type="xsd:double"&gt;27.328527467728&lt;/D&gt;&lt;D xsi:type="xsd:double"&gt;28.6775927384481&lt;/D&gt;&lt;D xsi:type="xsd:double"&gt;29.2795952541007&lt;/D&gt;&lt;D xsi:type="xsd:double"&gt;30.1683941579276&lt;/D&gt;&lt;D xsi:type="xsd:double"&gt;32.1481851713949&lt;/D&gt;&lt;D xsi:type="xsd:double"&gt;32.2456585813804&lt;/D&gt;&lt;D xsi:type="xsd:double"&gt;34.6132062313685&lt;/D&gt;&lt;D xsi:type="xsd:double"&gt;34.7099585577478&lt;/D&gt;&lt;D xsi:type="xsd:double"&gt;35.4489438310676&lt;/D&gt;&lt;D xsi:type="xsd:double"&gt;32.7815013145505&lt;/D&gt;&lt;D xsi:type="xsd:double"&gt;32.9331432762469&lt;/D&gt;&lt;D xsi:type="xsd:double"&gt;31.5634397982124&lt;/D&gt;&lt;D xsi:type="xsd:double"&gt;31.4737338811193&lt;/D&gt;&lt;D xsi:type="xsd:double"&gt;31.8082566217067&lt;/D&gt;&lt;D xsi:type="xsd:double"&gt;31.3082496790274&lt;/D&gt;&lt;D xsi:type="xsd:double"&gt;31.4882497968959&lt;/D&gt;&lt;D xsi:type="xsd:double"&gt;30.6978548416921&lt;/D&gt;&lt;D xsi:type="xsd:double"&gt;32.0779480923245&lt;/D&gt;&lt;D xsi:type="xsd:double"&gt;30.9840391080093&lt;/D&gt;&lt;D xsi:type="xsd:double"&gt;30.390409065356&lt;/D&gt;&lt;D xsi:type="xsd:double"&gt;27.5147213846229&lt;/D&gt;&lt;D xsi:type="xsd:double"&gt;26.5221181371738&lt;/D&gt;&lt;D xsi:type="xsd:double"&gt;26.3372751553002&lt;/D&gt;&lt;D xsi:type="xsd:double"&gt;25.2253635860613&lt;/D&gt;&lt;D xsi:type="xsd:double"&gt;23.9136457376742&lt;/D&gt;&lt;D xsi:type="xsd:double"&gt;24.407655901429&lt;/D&gt;&lt;D xsi:type="xsd:double"&gt;26.5133521791745&lt;/D&gt;&lt;D xsi:type="xsd:double"&gt;24.0252426302021&lt;/D&gt;&lt;D xsi:type="xsd:double"&gt;22.1476503986805&lt;/D&gt;&lt;D xsi:type="xsd:double"&gt;23.6812756196515&lt;/D&gt;&lt;D xsi:type="xsd:double"&gt;22.4861960664067&lt;/D&gt;&lt;D xsi:type="xsd:double"&gt;23.9337093920825&lt;/D&gt;&lt;D xsi:type="xsd:double"&gt;25.9103501306678&lt;/D&gt;&lt;D xsi:type="xsd:double"&gt;25.3823658299883&lt;/D&gt;&lt;D xsi:type="xsd:double"&gt;25.6636063863897&lt;/D&gt;&lt;D xsi:type="xsd:double"&gt;25.8051130031777&lt;/D&gt;&lt;D xsi:type="xsd:double"&gt;27.1852120861184&lt;/D&gt;&lt;D xsi:type="xsd:double"&gt;27.7839061153947&lt;/D&gt;&lt;D xsi:type="xsd:double"&gt;26.1808630801426&lt;/D&gt;&lt;D xsi:type="xsd:double"&gt;26.4903165841618&lt;/D&gt;&lt;D xsi:type="xsd:double"&gt;26.6497976277802&lt;/D&gt;&lt;D xsi:type="xsd:double"&gt;27.5001569484613&lt;/D&gt;&lt;D xsi:type="xsd:double"&gt;28.6983013593333&lt;/D&gt;&lt;D xsi:type="xsd:double"&gt;29.0166636907549&lt;/D&gt;&lt;D xsi:type="xsd:double"&gt;29.9206775601437&lt;/D&gt;&lt;D xsi:type="xsd:double"&gt;30.0743043692628&lt;/D&gt;&lt;D xsi:type="xsd:double"&gt;29.6516958385184&lt;/D&gt;&lt;D xsi:type="xsd:double"&gt;29.7833486826505&lt;/D&gt;&lt;D xsi:type="xsd:double"&gt;30.1519760379909&lt;/D&gt;&lt;D xsi:type="xsd:double"&gt;30.6141479972937&lt;/D&gt;&lt;D xsi:type="xsd:double"&gt;30.2735848703&lt;/D&gt;&lt;/FQL&gt;&lt;FQL&gt;&lt;Q&gt;DDR3512M-FDS^FG_PRICE(0)&lt;/Q&gt;&lt;R&gt;1&lt;/R&gt;&lt;C&gt;1&lt;/C&gt;&lt;D xsi:type="xsd:double"&gt;0.88307&lt;/D&gt;&lt;/FQL&gt;&lt;FQL&gt;&lt;Q&gt;PASP-FDS^FG_PRICE(0)&lt;/Q&gt;&lt;R&gt;1&lt;/R&gt;&lt;C&gt;1&lt;/C&gt;&lt;D xsi:type="xsd:double"&gt;944&lt;/D&gt;&lt;/FQL&gt;&lt;FQL&gt;&lt;Q&gt;PLATI-FDS^FG_PRICE(0)&lt;/Q&gt;&lt;R&gt;1&lt;/R&gt;&lt;C&gt;1&lt;/C&gt;&lt;D xsi:type="xsd:double"&gt;945&lt;/D&gt;&lt;/FQL&gt;&lt;FQL&gt;&lt;Q&gt;W-FDS^FG_PRICE(0)&lt;/Q&gt;&lt;R&gt;1&lt;/R&gt;&lt;C&gt;1&lt;/C&gt;&lt;D xsi:type="xsd:double"&gt;5.3&lt;/D&gt;&lt;/FQL&gt;&lt;FQL&gt;&lt;Q&gt;COPP-FDS^FG_PRICE(0)&lt;/Q&gt;&lt;R&gt;1&lt;/R&gt;&lt;C&gt;1&lt;/C&gt;&lt;D xsi:type="xsd:double"&gt;4.1275&lt;/D&gt;&lt;/FQL&gt;&lt;FQL&gt;&lt;Q&gt;FC0000US^FG_PRICE(0)&lt;/Q&gt;&lt;R&gt;1&lt;/R&gt;&lt;C&gt;1&lt;/C&gt;&lt;D xsi:type="xsd:double"&gt;415.21503&lt;/D&gt;&lt;/FQL&gt;&lt;FQL&gt;&lt;Q&gt;FC0000GR^FG_PRICE(0)&lt;/Q&gt;&lt;R&gt;1&lt;/R&gt;&lt;C&gt;1&lt;/C&gt;&lt;D xsi:type="xsd:double"&gt;9.792417&lt;/D&gt;&lt;/FQL&gt;&lt;FQL&gt;&lt;Q&gt;EWI^FG_PRICE(0)&lt;/Q&gt;&lt;R&gt;1&lt;/R&gt;&lt;C&gt;1&lt;/C&gt;&lt;D xsi:type="xsd:double"&gt;37.21&lt;/D&gt;&lt;/FQL&gt;&lt;FQL&gt;&lt;Q&gt;SPY^FG_PRICE(0)&lt;/Q&gt;&lt;R&gt;1&lt;/R&gt;&lt;C&gt;1&lt;/C&gt;&lt;D xsi:type="xsd:double"&gt;554.31&lt;/D&gt;&lt;/FQL&gt;&lt;FQL&gt;&lt;Q&gt;EWJ^FG_PRICE(0)&lt;/Q&gt;&lt;R&gt;1&lt;/R&gt;&lt;C&gt;1&lt;/C&gt;&lt;D xsi:type="xsd:double"&gt;69.37&lt;/D&gt;&lt;/FQL&gt;&lt;FQL&gt;&lt;Q&gt;ENZL^FG_PRICE(0)&lt;/Q&gt;&lt;R&gt;1&lt;/R&gt;&lt;C&gt;1&lt;/C&gt;&lt;D xsi:type="xsd:double"&gt;48.12&lt;/D&gt;&lt;/FQL&gt;&lt;FQL&gt;&lt;Q&gt;EWA^FG_COMPANY_NAME&lt;/Q&gt;&lt;R&gt;1&lt;/R&gt;&lt;C&gt;1&lt;/C&gt;&lt;D xsi:type="xsd:string"&gt;iShares MSCI Australia ETF&lt;/D&gt;&lt;/FQL&gt;&lt;FQL&gt;&lt;Q&gt;FXI^P_PRICE(0)/P_PRICE_LOW_PR(0,,,,,,"PRICE","INTRA","52W")-1&lt;/Q&gt;&lt;R&gt;1&lt;/R&gt;&lt;C&gt;1&lt;/C&gt;&lt;D xsi:type="xsd:double"&gt;0.26366246&lt;/D&gt;&lt;/FQL&gt;&lt;FQL&gt;&lt;Q&gt;SPY^FMA_PCT_ABOVE_MAVG(200,0,,,,"PORTAGG")&lt;/Q&gt;&lt;R&gt;1&lt;/R&gt;&lt;C&gt;1&lt;/C&gt;&lt;D xsi:type="xsd:double"&gt;70.4590818363273&lt;/D&gt;&lt;/FQL&gt;&lt;FQL&gt;&lt;Q&gt;URTH^PERCENT_CHANGE(FMA_EPS(+1,0,,,,"PORTAGG","MEAN"),FMA_EPS(+1,-3AM,,,,"PORTAGG","MEAN"))&lt;/Q&gt;&lt;R&gt;1&lt;/R&gt;&lt;C&gt;1&lt;/C&gt;&lt;D xsi:type="xsd:double"&gt;-0.39386590477226&lt;/D&gt;&lt;/FQL&gt;&lt;FQL&gt;&lt;Q&gt;VGK^FG_TOTAL_RETURNC(0,-3AM)&lt;/Q&gt;&lt;R&gt;1&lt;/R&gt;&lt;C&gt;1&lt;/C&gt;&lt;D xsi:type="xsd:double"&gt;-0.030356646&lt;/D&gt;&lt;/FQL&gt;&lt;FQL&gt;&lt;Q&gt;EWD^P_PRICE(0)/P_PRICE_HIGH_PR(0,,,,,,"PRICE","INTRA","52W")&lt;/Q&gt;&lt;R&gt;1&lt;/R&gt;&lt;C&gt;1&lt;/C&gt;&lt;D xsi:type="xsd:double"&gt;0.9439624&lt;/D&gt;&lt;/FQL&gt;&lt;FQL&gt;&lt;Q&gt;DUMMY^ECON_EXPR_DATA('FDS_ECON[NTCPMIMFGSA@EME]',,,M)&lt;/Q&gt;&lt;R&gt;1&lt;/R&gt;&lt;C&gt;1&lt;/C&gt;&lt;D xsi:type="xsd:double"&gt;50.6699&lt;/D&gt;&lt;/FQL&gt;&lt;FQL&gt;&lt;Q&gt;EWD^FMA_ROE(NTMA,-20AY,NOW,FY,"PORTAGG","MEANR")&lt;/Q&gt;&lt;R&gt;20&lt;/R&gt;&lt;C&gt;1&lt;/C&gt;&lt;D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xsi:type="xsd:double"&gt;13.4117967495928&lt;/D&gt;&lt;D xsi:type="xsd:double"&gt;11.9085678484881&lt;/D&gt;&lt;D xsi:type="xsd:double"&gt;15.3602779609384&lt;/D&gt;&lt;D xsi:type="xsd:double"&gt;14.6915673510104&lt;/D&gt;&lt;D xsi:type="xsd:double"&gt;15.368050598586&lt;/D&gt;&lt;/FQL&gt;&lt;FQL&gt;&lt;Q&gt;^FG_YIELD(-10AY,0,Y,,"YTM")&lt;/Q&gt;&lt;R&gt;10&lt;/R&gt;&lt;C&gt;1&lt;/C&gt;&lt;D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xsi:type="xsd:double"&gt;2.004&lt;/D&gt;&lt;/FQL&gt;&lt;FQL&gt;&lt;Q&gt;EWD^FMA_COS_UP("EPS","1M",+1,0,,,"PORTAGG","MEANR")&lt;/Q&gt;&lt;R&gt;1&lt;/R&gt;&lt;C&gt;1&lt;/C&gt;&lt;D xsi:type="xsd:double"&gt;13&lt;/D&gt;&lt;/FQL&gt;&lt;FQL&gt;&lt;Q&gt;EWL^SIZE(FG_CONSTITUENTS)&lt;/Q&gt;&lt;R&gt;1&lt;/R&gt;&lt;C&gt;1&lt;/C&gt;&lt;D xsi:type="xsd:long"&gt;46&lt;/D&gt;&lt;/FQL&gt;&lt;FQL&gt;&lt;Q&gt;ENZL^FMA_COS_DOWN("EPS","1M",+1,0,,,"PORTAGG","MEANR")&lt;/Q&gt;&lt;R&gt;1&lt;/R&gt;&lt;C&gt;1&lt;/C&gt;&lt;D xsi:type="xsd:double"&gt;8&lt;/D&gt;&lt;/FQL&gt;&lt;FQL&gt;&lt;Q&gt;EWD^FMA_RBICS_REV_CURRENT(30, LOC, "PORTAGG")&lt;/Q&gt;&lt;R&gt;1&lt;/R&gt;&lt;C&gt;1&lt;/C&gt;&lt;D xsi:type="xsd:double"&gt;27.5589453559563&lt;/D&gt;&lt;/FQL&gt;&lt;FQL&gt;&lt;Q&gt;SPY^FG_ROE(0)&lt;/Q&gt;&lt;R&gt;1&lt;/R&gt;&lt;C&gt;1&lt;/C&gt;&lt;D xsi:type="xsd:double"&gt;18.5998618201091&lt;/D&gt;&lt;/FQL&gt;&lt;FQL&gt;&lt;Q&gt;TRYCH10Y-FDS^FG_YIELD_NAME&lt;/Q&gt;&lt;R&gt;1&lt;/R&gt;&lt;C&gt;1&lt;/C&gt;&lt;D xsi:type="xsd:string"&gt;Treasury - Switzerland Benchmark Bond 10Y&lt;/D&gt;&lt;/FQL&gt;&lt;FQL&gt;&lt;Q&gt;EWC^FG_COMPANY_NAME&lt;/Q&gt;&lt;R&gt;1&lt;/R&gt;&lt;C&gt;1&lt;/C&gt;&lt;D xsi:type="xsd:string"&gt;iShares MSCI Canada ETF&lt;/D&gt;&lt;/FQL&gt;&lt;FQL&gt;&lt;Q&gt;REFFFUND-FDS^FG_YIELD(NOW,,,0)&lt;/Q&gt;&lt;R&gt;1&lt;/R&gt;&lt;C&gt;1&lt;/C&gt;&lt;D xsi:type="xsd:double"&gt;5.5&lt;/D&gt;&lt;/FQL&gt;&lt;FQL&gt;&lt;Q&gt;REFEUREFI-FDS^PROPER_NAME(0,,,"SECURITY","NAME")&lt;/Q&gt;&lt;R&gt;1&lt;/R&gt;&lt;C&gt;1&lt;/C&gt;&lt;D xsi:type="xsd:string"&gt;Eurozone Main Refinancing Operations Minimum Bid Rate&lt;/D&gt;&lt;/FQL&gt;&lt;FQL&gt;&lt;Q&gt;TRYFR10Y-FDS^PCTCHG(FG_YIELD(0,,,,"YTM"),FG_YIELD(-3AM,,,,"YTM"))&lt;/Q&gt;&lt;R&gt;1&lt;/R&gt;&lt;C&gt;1&lt;/C&gt;&lt;D xsi:type="xsd:double"&gt;2.367067&lt;/D&gt;&lt;/FQL&gt;&lt;FQL&gt;&lt;Q&gt;TRYAU10Y-FDS^PCTCHG(FG_YIELD(0,,,,"YTM"),FG_YIELD(-3AM,,,,"YTM"))&lt;/Q&gt;&lt;R&gt;1&lt;/R&gt;&lt;C&gt;1&lt;/C&gt;&lt;D xsi:type="xsd:double"&gt;-6.273855&lt;/D&gt;&lt;/FQL&gt;&lt;FQL&gt;&lt;Q&gt;TRYUS10Y-FDS^FG_YIELD(0,,,,"YTM")&lt;/Q&gt;&lt;R&gt;1&lt;/R&gt;&lt;C&gt;1&lt;/C&gt;&lt;D xsi:type="xsd:double"&gt;3.8878&lt;/D&gt;&lt;/FQL&gt;&lt;FQL&gt;&lt;Q&gt;VWO^FMA_DIV_YLD(NTMA,NOW,NOW,M,"PORTAGG","MEANR")&lt;/Q&gt;&lt;R&gt;1&lt;/R&gt;&lt;C&gt;1</t>
        </r>
      </text>
    </comment>
    <comment ref="A2" authorId="0" shapeId="0" xr:uid="{B2C2607B-83F1-4D63-BDA6-60349C5FFBB2}">
      <text>
        <r>
          <rPr>
            <b/>
            <sz val="9"/>
            <color indexed="81"/>
            <rFont val="Tahoma"/>
            <charset val="1"/>
          </rPr>
          <t>&lt;/C&gt;&lt;D xsi:type="xsd:double"&gt;3.51157077332616&lt;/D&gt;&lt;/FQL&gt;&lt;FQL&gt;&lt;Q&gt;EWI^FMA_PE(LTM,0,,,"PORTAGG","MEANR")&lt;/Q&gt;&lt;R&gt;1&lt;/R&gt;&lt;C&gt;1&lt;/C&gt;&lt;D xsi:type="xsd:double"&gt;10.7793236178518&lt;/D&gt;&lt;/FQL&gt;&lt;FQL&gt;&lt;Q&gt;EWQ^FMA_EVAL_EBIT(LTMA,NOW,NOW,M,"PORTAGG","MEANR")&lt;/Q&gt;&lt;R&gt;1&lt;/R&gt;&lt;C&gt;1&lt;/C&gt;&lt;D xsi:type="xsd:double"&gt;13.1581565790769&lt;/D&gt;&lt;/FQL&gt;&lt;FQL&gt;&lt;Q&gt;QQQ^FG_FCF_YIELD_NTM(0)&lt;/Q&gt;&lt;R&gt;1&lt;/R&gt;&lt;C&gt;1&lt;/C&gt;&lt;D xsi:type="xsd:double"&gt;3.50284119502493&lt;/D&gt;&lt;/FQL&gt;&lt;FQL&gt;&lt;Q&gt;EWL^FMA_PE(NTMA,0,,,"PORTAGG","MEANR")&lt;/Q&gt;&lt;R&gt;1&lt;/R&gt;&lt;C&gt;1&lt;/C&gt;&lt;D xsi:type="xsd:double"&gt;17.1955406458848&lt;/D&gt;&lt;/FQL&gt;&lt;FQL&gt;&lt;Q&gt;ENZL^FMA_EVAL_EBITDA(NTMA,0,,,"PORTAGG","MEANR")&lt;/Q&gt;&lt;R&gt;1&lt;/R&gt;&lt;C&gt;1&lt;/C&gt;&lt;D xsi:type="xsd:double"&gt;12.5443443134988&lt;/D&gt;&lt;/FQL&gt;&lt;FQL&gt;&lt;Q&gt;EWL^FG_COMPANY_NAME&lt;/Q&gt;&lt;R&gt;1&lt;/R&gt;&lt;C&gt;1&lt;/C&gt;&lt;D xsi:type="xsd:string"&gt;iShares MSCI Switzerland ETF&lt;/D&gt;&lt;/FQL&gt;&lt;FQL&gt;&lt;Q&gt;EWN^FG_COMPANY_NAME&lt;/Q&gt;&lt;R&gt;1&lt;/R&gt;&lt;C&gt;1&lt;/C&gt;&lt;D xsi:type="xsd:string"&gt;iShares MSCI Netherlands ETF&lt;/D&gt;&lt;/FQL&gt;&lt;FQL&gt;&lt;Q&gt;CAGDPY@FR^EE_ACTUAL_ANNUAL(MED,0)&lt;/Q&gt;&lt;R&gt;1&lt;/R&gt;&lt;C&gt;1&lt;/C&gt;&lt;D xsi:type="xsd:double"&gt;-1.01988503384344&lt;/D&gt;&lt;/FQL&gt;&lt;FQL&gt;&lt;Q&gt;CAGDPY@AU^EE_ACTUAL_ANNUAL(MED,0)&lt;/Q&gt;&lt;R&gt;1&lt;/R&gt;&lt;C&gt;1&lt;/C&gt;&lt;D xsi:type="xsd:double"&gt;0.275776825503169&lt;/D&gt;&lt;/FQL&gt;&lt;FQL&gt;&lt;Q&gt;USDITL^FG_PRICE_CHANGE(0,-1AM)&lt;/Q&gt;&lt;R&gt;1&lt;/R&gt;&lt;C&gt;1&lt;/C&gt;&lt;D xsi:type="xsd:double"&gt;-1.0190129&lt;/D&gt;&lt;/FQL&gt;&lt;FQL&gt;&lt;Q&gt;USDANG^FG_PRICE_CHANGE(0,-1AM)&lt;/Q&gt;&lt;R&gt;1&lt;/R&gt;&lt;C&gt;1&lt;/C&gt;&lt;D xsi:type="xsd:double"&gt;0&lt;/D&gt;&lt;/FQL&gt;&lt;FQL&gt;&lt;Q&gt;USDUSD^FG_PRICE_CHANGE(0,-1AM)&lt;/Q&gt;&lt;R&gt;1&lt;/R&gt;&lt;C&gt;1&lt;/C&gt;&lt;D xsi:type="xsd:double"&gt;0&lt;/D&gt;&lt;/FQL&gt;&lt;FQL&gt;&lt;Q&gt;USDGBP^FG_PRICE_CHANGE(0,-1AM)&lt;/Q&gt;&lt;R&gt;1&lt;/R&gt;&lt;C&gt;1&lt;/C&gt;&lt;D xsi:type="xsd:double"&gt;0.43438673&lt;/D&gt;&lt;/FQL&gt;&lt;FQL&gt;&lt;Q&gt;USDJPY^FG_PRICE_CHANGE(0,-1AM)&lt;/Q&gt;&lt;R&gt;1&lt;/R&gt;&lt;C&gt;1&lt;/C&gt;&lt;D xsi:type="xsd:double"&gt;-6.6836953&lt;/D&gt;&lt;/FQL&gt;&lt;FQL&gt;&lt;Q&gt;USDCAD^FG_PRICE_CHANGE(0,-1AM)&lt;/Q&gt;&lt;R&gt;1&lt;/R&gt;&lt;C&gt;1&lt;/C&gt;&lt;D xsi:type="xsd:double"&gt;0.13139248&lt;/D&gt;&lt;/FQL&gt;&lt;FQL&gt;&lt;Q&gt;USDNZD^FG_PRICE_CHANGE(0,-1AM)&lt;/Q&gt;&lt;R&gt;1&lt;/R&gt;&lt;C&gt;1&lt;/C&gt;&lt;D xsi:type="xsd:double"&gt;0.31542778&lt;/D&gt;&lt;/FQL&gt;&lt;FQL&gt;&lt;Q&gt;ENZL^FMA_EPS(NTMA,-20AY,0,CY,,"PORTAGG","MEANR")&lt;/Q&gt;&lt;R&gt;20&lt;/R&gt;&lt;C&gt;1&lt;/C&gt;&lt;D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xsi:type="xsd:double"&gt;2.24732564412744&lt;/D&gt;&lt;D xsi:type="xsd:double"&gt;1.98522618259249&lt;/D&gt;&lt;D xsi:type="xsd:double"&gt;1.82093688879477&lt;/D&gt;&lt;D xsi:type="xsd:double"&gt;2.11037846476333&lt;/D&gt;&lt;D xsi:type="xsd:double"&gt;2.11106621771878&lt;/D&gt;&lt;/FQL&gt;&lt;FQL&gt;&lt;Q&gt;EWI^FG_TOTAL_RETURNC(-10AY,0,AM)&lt;/Q&gt;&lt;R&gt;121&lt;/R&gt;&lt;C&gt;1&lt;/C&gt;&lt;D xsi:type="xsd:double"&gt;-9.294117&lt;/D&gt;&lt;D xsi:type="xsd:double"&gt;4.4098616&lt;/D&gt;&lt;D xsi:type="xsd:double"&gt;-14.099383&lt;/D&gt;&lt;D xsi:type="xsd:double"&gt;3.1814933&lt;/D&gt;&lt;D xsi:type="xsd:double"&gt;-3.7841678&lt;/D&gt;&lt;D xsi:type="xsd:double"&gt;-2.3852646&lt;/D&gt;&lt;D xsi:type="xsd:double"&gt;8.489847&lt;/D&gt;&lt;D xsi:type="xsd:double"&gt;-0.06924868&lt;/D&gt;&lt;D xsi:type="xsd:double"&gt;4.781699&lt;/D&gt;&lt;D xsi:type="xsd:double"&gt;6.150794&lt;/D&gt;&lt;D xsi:type="xsd:double"&gt;-5.1713347&lt;/D&gt;&lt;D xsi:type="xsd:double"&gt;3.4332871&lt;/D&gt;&lt;D xsi:type="xsd:double"&gt;0.84034204&lt;/D&gt;&lt;D xsi:type="xsd:double"&gt;-3.9743662&lt;/D&gt;&lt;D xsi:type="xsd:double"&gt;1.9359231&lt;/D&gt;&lt;D xsi:type="xsd:double"&gt;-7.3346496&lt;/D&gt;&lt;D xsi:type="xsd:double"&gt;-0.6360352&lt;/D&gt;&lt;D xsi:type="xsd:double"&gt;-11.2547035&lt;/D&gt;&lt;D xsi:type="xsd:double"&gt;-8.842439&lt;/D&gt;&lt;D xsi:type="xsd:double"&gt;10.493827&lt;/D&gt;&lt;D xsi:type="xsd:double"&gt;-2.8731048&lt;/D&gt;&lt;D xsi:type="xsd:double"&gt;-1.5612185&lt;/D&gt;&lt;D xsi:type="xsd:double"&gt;-5.843073&lt;/D&gt;&lt;D xsi:type="xsd:double"&gt;0.84325075&lt;/D&gt;&lt;D xsi:type="xsd:double"&gt;1.7179012&lt;/D&gt;&lt;D xsi:type="xsd:double"&gt;-3.9999962&lt;/D&gt;&lt;D xsi:type="xsd:double"&gt;0.6481409&lt;/D&gt;&lt;D xsi:type="xsd:double"&gt;-1.4719427&lt;/D&gt;&lt;D xsi:type="xsd:double"&gt;11.577964&lt;/D&gt;&lt;D xsi:type="xsd:double"&gt;3.6674738&lt;/D&gt;&lt;D xsi:type="xsd:double"&gt;-2.4032593&lt;/D&gt;&lt;D xsi:type="xsd:double"&gt;6.510854&lt;/D&gt;&lt;D xsi:type="xsd:double"&gt;-3.0172408&lt;/D&gt;&lt;D xsi:type="xsd:double"&gt;15.191925&lt;/D&gt;&lt;D xsi:type="xsd:double"&gt;-1.017189&lt;/D&gt;&lt;D xsi:type="xsd:double"&gt;4.5983076&lt;/D&gt;&lt;D xsi:type="xsd:double"&gt;3.828907&lt;/D&gt;&lt;D xsi:type="xsd:double"&gt;3.2225847&lt;/D&gt;&lt;D xsi:type="xsd:double"&gt;-0.48277974&lt;/D&gt;&lt;D xsi:type="xsd:double"&gt;-1.3583422&lt;/D&gt;&lt;D xsi:type="xsd:double"&gt;-0.42622685&lt;/D&gt;&lt;D xsi:type="xsd:double"&gt;9.789085&lt;/D&gt;&lt;D xsi:type="xsd:double"&gt;-1.025331&lt;/D&gt;&lt;D xsi:type="xsd:double"&gt;-0.7921934&lt;/D&gt;&lt;D xsi:type="xsd:double"&gt;3.1940937&lt;/D&gt;&lt;D xsi:type="xsd:double"&gt;-2.8868973&lt;/D&gt;&lt;D xsi:type="xsd:double"&gt;-6.9874344&lt;/D&gt;&lt;D xsi:type="xsd:double"&gt;-0.7882774&lt;/D&gt;&lt;D xsi:type="xsd:double"&gt;-8.057362&lt;/D&gt;&lt;D xsi:type="xsd:double"&gt;3.4905314&lt;/D&gt;&lt;D xsi:type="xsd:double"&gt;-4.9156847&lt;/D&gt;&lt;D xsi:type="xsd:double"&gt;-4.792452&lt;/D&gt;&lt;D xsi:type="xsd:double"&gt;-1.2683272&lt;/D&gt;&lt;D xsi:type="xsd:double"&gt;3.9612293&lt;/D&gt;&lt;D xsi:type="xsd:double"&gt;3.5197496&lt;/D&gt;&lt;D xsi:type="xsd:double"&gt;4.0423155&lt;/D&gt;&lt;D xsi:type="xsd:double"&gt;3.086412&lt;/D&gt;&lt;D xsi:type="xsd:double"&gt;-4.1211724&lt;/D&gt;&lt;D xsi:type="xsd:double"&gt;0.11022091&lt;/D&gt;&lt;D xsi:type="xsd:double"&gt;7.695055&lt;/D&gt;&lt;D xsi:type="xsd:double"&gt;-9.520453&lt;/D&gt;&lt;D xsi:type="xsd:double"&gt;7.4434876&lt;/D&gt;&lt;D xsi:type="xsd:double"&gt;2.3939013&lt;/D&gt;&lt;D xsi:type="xsd:double"&gt;4.42791&lt;/D&gt;&lt;D xsi:type="xsd:double"&gt;-0.089389086&lt;/D&gt;&lt;D xsi:type="xsd:double"&gt;1.9487143&lt;/D&gt;&lt;D xsi:type="xsd:double"&gt;0.4024148&lt;/D&gt;&lt;D xsi:type="xsd:double"&gt;-39.57916&lt;/D&gt;&lt;D xsi:type="xsd:double"&gt;10.77944&lt;/D&gt;&lt;D xsi:type="xsd:double"&gt;-0.39920807&lt;/D&gt;&lt;D xsi:type="xsd:double"&gt;22.612179&lt;/D&gt;&lt;D xsi:type="xsd:double"&gt;5.6151986&lt;/D&gt;&lt;D xsi:type="xsd:double"&gt;1.7200947&lt;/D&gt;&lt;D xsi:type="xsd:double"&gt;-1.4604211&lt;/D&gt;&lt;D xsi:type="xsd:double"&gt;-3.4321368&lt;/D&gt;&lt;D xsi:type="xsd:double"&gt;11.389339&lt;/D&gt;&lt;D xsi:type="xsd:double"&gt;6.8579555&lt;/D&gt;&lt;D xsi:type="xsd:double"&gt;0.34211874&lt;/D&gt;&lt;D xsi:type="xsd:double"&gt;4.739177&lt;/D&gt;&lt;D xsi:type="xsd:double"&gt;2.2135377&lt;/D&gt;&lt;D xsi:type="xsd:double"&gt;3.1847239&lt;/D&gt;&lt;D xsi:type="xsd:double"&gt;1.5432119&lt;/D&gt;&lt;D xsi:type="xsd:double"&gt;3.1574965&lt;/D&gt;&lt;D xsi:type="xsd:double"&gt;-6.0244503&lt;/D&gt;&lt;D xsi:type="xsd:double"&gt;6.9819093&lt;/D&gt;&lt;D xsi:type="xsd:double"&gt;-3.1148016&lt;/D&gt;&lt;D xsi:type="xsd:double"&gt;1.0716438&lt;/D&gt;&lt;D xsi:type="xsd:double"&gt;1.8782258&lt;/D&gt;&lt;D xsi:type="xsd:double"&gt;-3.3110201&lt;/D&gt;&lt;D xsi:type="xsd:double"&gt;4.4915795&lt;/D&gt;&lt;D xsi:type="xsd:double"&gt;-1.9701481&lt;/D&gt;&lt;D xsi:type="xsd:double"&gt;-12.393421&lt;/D&gt;&lt;D xsi:type="xsd:double"&gt;1.0427475&lt;/D&gt;&lt;D xsi:type="xsd:double"&gt;-6.39835&lt;/D&gt;&lt;D xsi:type="xsd:double"&gt;-7.536745&lt;/D&gt;&lt;D xsi:type="xsd:double"&gt;-7.98853&lt;/D&gt;&lt;D xsi:type="xsd:double"&gt;11.442577&lt;/D&gt;&lt;D xsi:type="xsd:double"&gt;-5.113864&lt;/D&gt;&lt;D xsi:type="xsd:double"&gt;-8.421051&lt;/D&gt;&lt;D xsi:type="xsd:double"&gt;25.563217&lt;/D&gt;&lt;D xsi:type="xsd:double"&gt;-1.098007&lt;/D&gt;&lt;D xsi:type="xsd:double"&gt;11.3115425&lt;/D&gt;&lt;D xsi:type="xsd:double"&gt;3.7812233&lt;/D&gt;&lt;D xsi:type="xsd:double"&gt;-6.6037774&lt;/D&gt;&lt;D xsi:type="xsd:double"&gt;10.553813&lt;/D&gt;&lt;D xsi:type="xsd:double"&gt;-2.1424055&lt;/D&gt;&lt;D xsi:type="xsd:double"&gt;3.7071824&lt;/D&gt;&lt;D xsi:type="xsd:double"&gt;4.8664093&lt;/D&gt;&lt;D xsi:type="xsd:double"&gt;-4.82257&lt;/D&gt;&lt;D xsi:type="xsd:double"&gt;0.6692171&lt;/D&gt;&lt;D xsi:type="xsd:double"&gt;-3.5770833&lt;/D&gt;&lt;D xsi:type="xsd:double"&gt;5.482602&lt;/D&gt;&lt;D xsi:type="xsd:double"&gt;4.6062827&lt;/D&gt;&lt;D xsi:type="xsd:double"&gt;0.4180193&lt;/D&gt;&lt;D xsi:type="xsd:double"&gt;3.210318&lt;/D&gt;&lt;D xsi:type="xsd:double"&gt;8.22674&lt;/D&gt;&lt;D xsi:type="xsd:double"&gt;-4.1095853&lt;/D&gt;&lt;D xsi:type="xsd:double"&gt;9.831929&lt;/D&gt;&lt;D xsi:type="xsd:double"&gt;-7.768506&lt;/D&gt;&lt;D xsi:type="xsd:double"&gt;7.055819&lt;/D&gt;&lt;D xsi:type="xsd:double"&gt;-1.5087366&lt;/D&gt;&lt;/FQL&gt;&lt;FQL&gt;&lt;Q&gt;EWN^FMA_DIV_YLD(NTMA,-10AY,0,AM,"PORTAGG","MEANR")&lt;/Q&gt;&lt;R&gt;121&lt;/R&gt;&lt;C&gt;1&lt;/C&gt;&lt;D xsi:type="xsd:double"&gt;3.08799291620336&lt;/D&gt;&lt;D xsi:type="xsd:double"&gt;3.0231699584909&lt;/D&gt;&lt;D xsi:type="xsd:double"&gt;3.36760471219128&lt;/D&gt;&lt;D xsi:type="xsd:double"&gt;3.10996616655944&lt;/D&gt;&lt;D xsi:type="xsd:double"&gt;3.17189655201561&lt;/D&gt;&lt;D xsi:type="xsd:double"&gt;3.03387504756435&lt;/D&gt;&lt;D xsi:type="xsd:double"&gt;2.83180979558115&lt;/D&gt;&lt;D xsi:type="xsd:double"&gt;2.59751671863276&lt;/D&gt;&lt;D xsi:type="xsd:double"&gt;2.63207612749244&lt;/D&gt;&lt;D xsi:type="xsd:double"&gt;2.73384191644202&lt;/D&gt;&lt;D xsi:type="xsd:double"&gt;2.94398701069825&lt;/D&gt;&lt;D xsi:type="xsd:double"&gt;2.81533212105504&lt;/D&gt;&lt;D xsi:type="xsd:double"&gt;3.20741110135269&lt;/D&gt;&lt;D xsi:type="xsd:double"&gt;3.43915717658037&lt;/D&gt;&lt;D xsi:type="xsd:double"&gt;3.40588988344419&lt;/D&gt;&lt;D xsi:type="xsd:double"&gt;3.23184867937135&lt;/D&gt;&lt;D xsi:type="xsd:double"&gt;3.32263060621455&lt;/D&gt;&lt;D xsi:type="xsd:double"&gt;3.39180773227307&lt;/D&gt;&lt;D xsi:type="xsd:double"&gt;3.56072109400162&lt;/D&gt;&lt;D xsi:type="xsd:double"&gt;3.30073544219402&lt;/D&gt;&lt;D xsi:type="xsd:double"&gt;3.24978262335556&lt;/D&gt;&lt;D xsi:type="xsd:double"&gt;3.41216779355834&lt;/D&gt;&lt;D xsi:type="xsd:double"&gt;3.39620576483655&lt;/D&gt;&lt;D xsi:type="xsd:double"&gt;3.25134857476169&lt;/D&gt;&lt;D xsi:type="xsd:double"&gt;3.15938502004258&lt;/D&gt;&lt;D xsi:type="xsd:double"&gt;3.23886909330247&lt;/D&gt;&lt;D xsi:type="xsd:double"&gt;3.1309973680063&lt;/D&gt;&lt;D xsi:type="xsd:double"&gt;3.15321960728031&lt;/D&gt;&lt;D xsi:type="xsd:double"&gt;3.00379622822399&lt;/D&gt;&lt;D xsi:type="xsd:double"&gt;2.94438739934246&lt;/D&gt;&lt;D xsi:type="xsd:double"&gt;2.88401549982253&lt;/D&gt;&lt;D xsi:type="xsd:double"&gt;2.7670742716349&lt;/D&gt;&lt;D xsi:type="xsd:double"&gt;2.77082339462495&lt;/D&gt;&lt;D xsi:type="xsd:double"&gt;2.69740412733181&lt;/D&gt;&lt;D xsi:type="xsd:double"&gt;2.74498051575446&lt;/D&gt;&lt;D xsi:type="xsd:double"&gt;2.77064150014811&lt;/D&gt;&lt;D xsi:type="xsd:double"&gt;2.7727316986302&lt;/D&gt;&lt;D xsi:type="xsd:double"&gt;2.822829775736&lt;/D&gt;&lt;D xsi:type="xsd:double"&gt;2.75190916225263&lt;/D&gt;&lt;D xsi:type="xsd:double"&gt;2.82981879494652&lt;/D&gt;&lt;D xsi:type="xsd:double"&gt;2.82393140063983&lt;/D&gt;&lt;D xsi:type="xsd:double"&gt;2.80111488293685&lt;/D&gt;&lt;D xsi:type="xsd:double"&gt;2.94222146873073&lt;/D&gt;&lt;D xsi:type="xsd:double"&gt;2.91776475521495&lt;/D&gt;&lt;D xsi:type="xsd:double"&gt;2.93163001832129&lt;/D&gt;&lt;D xsi:type="xsd:double"&gt;2.88307594791868&lt;/D&gt;&lt;D xsi:type="xsd:double"&gt;2.86037914060345&lt;/D&gt;&lt;D xsi:type="xsd:double"&gt;2.93333594323061&lt;/D&gt;&lt;D xsi:type="xsd:double"&gt;2.93756612820607&lt;/D&gt;&lt;D xsi:type="xsd:double"&gt;3.03393208312088&lt;/D&gt;&lt;D xsi:type="xsd:double"&gt;3.16009312593047&lt;/D&gt;&lt;D xsi:type="xsd:double"&gt;3.20517021151715&lt;/D&gt;&lt;D xsi:type="xsd:double"&gt;3.34084486376781&lt;/D&gt;&lt;D xsi:type="xsd:double"&gt;3.38764664960602&lt;/D&gt;&lt;D xsi:type="xsd:double"&gt;3.11910751355892&lt;/D&gt;&lt;D xsi:type="xsd:double"&gt;3.03363872538778&lt;/D&gt;&lt;D xsi:type="xsd:double"&gt;2.98201533280184&lt;/D&gt;&lt;D xsi:type="xsd:double"&gt;3.01715508029484&lt;/D&gt;&lt;D xsi:type="xsd:double"&gt;3.07516595228479&lt;/D&gt;&lt;D xsi:type="xsd:double"&gt;2.95404588199905&lt;/D&gt;&lt;D xsi:type="xsd:double"&gt;3.02564573843328&lt;/D&gt;&lt;D xsi:type="xsd:double"&gt;2.86956086576142&lt;/D&gt;&lt;D xsi:type="xsd:double"&gt;2.7436918257051&lt;/D&gt;&lt;D xsi:type="xsd:double"&gt;2.64439142739781&lt;/D&gt;&lt;D xsi:type="xsd:double"&gt;2.58410114415821&lt;/D&gt;&lt;D xsi:type="xsd:double"&gt;2.59016659006427&lt;/D&gt;&lt;D xsi:type="xsd:double"&gt;2.46133899498892&lt;/D&gt;&lt;D xsi:type="xsd:double"&gt;3.73182193403208&lt;/D&gt;&lt;D xsi:type="xsd:double"&gt;2.89122061303491&lt;/D&gt;&lt;D xsi:type="xsd:double"&gt;2.69123066074165&lt;/D&gt;&lt;D xsi:type="xsd:double"&gt;2.40265536003588&lt;/D&gt;&lt;D xsi:type="xsd:double"&gt;2.32698031929321&lt;/D&gt;&lt;D xsi:type="xsd:double"&gt;2.3493886413242&lt;/D&gt;&lt;D xsi:type="xsd:double"&gt;2.30265655600882&lt;/D&gt;&lt;D xsi:type="xsd:double"&gt;2.27226683999229&lt;/D&gt;&lt;D xsi:type="xsd:double"&gt;2.17465985255622&lt;/D&gt;&lt;D xsi:type="xsd:double"&gt;2.04794514110662&lt;/D&gt;&lt;D xsi:type="xsd:double"&gt;1.9660691004843&lt;/D&gt;&lt;D xsi:type="xsd:double"&gt;1.87165216899005&lt;/D&gt;&lt;D xsi:type="xsd:double"&gt;2.00144177448861&lt;/D&gt;&lt;D xsi:type="xsd:double"&gt;1.90607267115916&lt;/D&gt;&lt;D xsi:type="xsd:double"&gt;1.99722545595578&lt;/D&gt;&lt;D xsi:type="xsd:double"&gt;1.98137915553804&lt;/D&gt;&lt;D xsi:type="xsd:double"&gt;2.01996788224273&lt;/D&gt;&lt;D xsi:type="xsd:double"&gt;1.95853343561872&lt;/D&gt;&lt;D xsi:type="xsd:double"&gt;1.83266572960165&lt;/D&gt;&lt;D xsi:type="xsd:double"&gt;1.92602842015288&lt;/D&gt;&lt;D xsi:type="xsd:double"&gt;1.83348233180766&lt;/D&gt;&lt;D xsi:type="xsd:double"&gt;1.98689925805914&lt;/D&gt;&lt;D xsi:type="xsd:double"&gt;2.0058294655903&lt;/D&gt;&lt;D xsi:type="xsd:double"&gt;2.20099541515847&lt;/D&gt;&lt;D xsi:type="xsd:double"&gt;2.29067188895979&lt;/D&gt;&lt;D xsi:type="xsd:double"&gt;2.31574786755424&lt;/D&gt;&lt;D xsi:type="xsd:double"&gt;2.56257708428586&lt;/D&gt;&lt;D xsi:type="xsd:double"&gt;3.60557821254363&lt;/D&gt;&lt;D xsi:type="xsd:double"&gt;3.37019979719514&lt;/D&gt;&lt;D xsi:type="xsd:double"&gt;3.03083333978257&lt;/D&gt;&lt;D xsi:type="xsd:double"&gt;3.76103819988329&lt;/D&gt;&lt;D xsi:type="xsd:double"&gt;3.15768878446416&lt;/D&gt;&lt;D xsi:type="xsd:double"&gt;2.70576341236047&lt;/D&gt;&lt;D xsi:type="xsd:double"&gt;2.74083458646793&lt;/D&gt;&lt;D xsi:type="xsd:double"&gt;2.5713686318426&lt;/D&gt;&lt;D xsi:type="xsd:double"&gt;2.53392703762515&lt;/D&gt;&lt;D xsi:type="xsd:double"&gt;2.74110643379979&lt;/D&gt;&lt;D xsi:type="xsd:double"&gt;2.66667998407773&lt;/D&gt;&lt;D xsi:type="xsd:double"&gt;2.70427533854816&lt;/D&gt;&lt;D xsi:type="xsd:double"&gt;2.65179149014381&lt;/D&gt;&lt;D xsi:type="xsd:double"&gt;2.64357431087314&lt;/D&gt;&lt;D xsi:type="xsd:double"&gt;2.81589120452195&lt;/D&gt;&lt;D xsi:type="xsd:double"&gt;2.98644791540618&lt;/D&gt;&lt;D xsi:type="xsd:double"&gt;3.03900577083479&lt;/D&gt;&lt;D xsi:type="xsd:double"&gt;2.83401815724697&lt;/D&gt;&lt;D xsi:type="xsd:double"&gt;2.64805222396655&lt;/D&gt;&lt;D xsi:type="xsd:double"&gt;2.73820055300025&lt;/D&gt;&lt;D xsi:type="xsd:double"&gt;2.46911006797909&lt;/D&gt;&lt;D xsi:type="xsd:double"&gt;2.61681999762179&lt;/D&gt;&lt;D xsi:type="xsd:double"&gt;2.58896485861958&lt;/D&gt;&lt;D xsi:type="xsd:double"&gt;2.4430801828741&lt;/D&gt;&lt;D xsi:type="xsd:double"&gt;2.46721472110064&lt;/D&gt;&lt;D xsi:type="xsd:double"&gt;2.44065141853673&lt;/D&gt;&lt;D xsi:type="xsd:double"&gt;2.66088220914024&lt;/D&gt;&lt;/FQL&gt;&lt;FQL&gt;&lt;Q&gt;SPY^FMA_PE(NTMA,-10AY,0,AM,"PORTAGG","MEANR")&lt;/Q&gt;&lt;R&gt;121&lt;/R&gt;&lt;C&gt;1&lt;/C&gt;&lt;D xsi:type="xsd:double"&gt;15.0470916718712&lt;/D&gt;&lt;D xsi:type="xsd:double"&gt;15.2640979830047&lt;/D&gt;&lt;D xsi:type="xsd:double"&gt;14.223625577791&lt;/D&gt;&lt;D xsi:type="xsd:double"&gt;15.6408499114879&lt;/D&gt;&lt;D xsi:type="xsd:double"&gt;15.2664542129901&lt;/D&gt;&lt;D xsi:type="xsd:double"&gt;15.9384278995937&lt;/D&gt;&lt;D xsi:type="xsd:double"&gt;16.8655024277584&lt;/D&gt;&lt;D xsi:type="xsd:double"&gt;16.6779630916507&lt;/D&gt;&lt;D xsi:type="xsd:double"&gt;16.7554005830817&lt;/D&gt;&lt;D xsi:type="xsd:double"&gt;16.7321049064136&lt;/D&gt;&lt;D xsi:type="xsd:double"&gt;16.3841196768422&lt;/D&gt;&lt;D xsi:type="xsd:double"&gt;16.5597930455185&lt;/D&gt;&lt;D xsi:type="xsd:double"&gt;16.3116711700079&lt;/D&gt;&lt;D xsi:type="xsd:double"&gt;15.5381309293535&lt;/D&gt;&lt;D xsi:type="xsd:double"&gt;15.918646410385&lt;/D&gt;&lt;D xsi:type="xsd:double"&gt;16.0809679439145&lt;/D&gt;&lt;D xsi:type="xsd:double"&gt;16.210071763861&lt;/D&gt;&lt;D xsi:type="xsd:double"&gt;14.8633281655956&lt;/D&gt;&lt;D xsi:type="xsd:double"&gt;15.5099438140132&lt;/D&gt;&lt;D xsi:type="xsd:double"&gt;15.5167363536305&lt;/D&gt;&lt;D xsi:type="xsd:double"&gt;16.5004635460184&lt;/D&gt;&lt;D xsi:type="xsd:double"&gt;16.5226770167304&lt;/D&gt;&lt;D xsi:type="xsd:double"&gt;16.36274200006&lt;/D&gt;&lt;D xsi:type="xsd:double"&gt;16.9559896987878&lt;/D&gt;&lt;D xsi:type="xsd:double"&gt;16.9188260553208&lt;/D&gt;&lt;D xsi:type="xsd:double"&gt;16.4848230909905&lt;/D&gt;&lt;D xsi:type="xsd:double"&gt;16.3374777379563&lt;/D&gt;&lt;D xsi:type="xsd:double"&gt;16.5912234397049&lt;/D&gt;&lt;D xsi:type="xsd:double"&gt;17.019118731154&lt;/D&gt;&lt;D xsi:type="xsd:double"&gt;16.9866013196807&lt;/D&gt;&lt;D xsi:type="xsd:double"&gt;17.5617363994154&lt;/D&gt;&lt;D xsi:type="xsd:double"&gt;17.719217113864&lt;/D&gt;&lt;D xsi:type="xsd:double"&gt;17.1920351489964&lt;/D&gt;&lt;D xsi:type="xsd:double"&gt;17.4779014278586&lt;/D&gt;&lt;D xsi:type="xsd:double"&gt;17.5621413915088&lt;/D&gt;&lt;D xsi:type="xsd:double"&gt;17.6511810503286&lt;/D&gt;&lt;D xsi:type="xsd:double"&gt;17.5451713334929&lt;/D&gt;&lt;D xsi:type="xsd:double"&gt;17.6495901546909&lt;/D&gt;&lt;D xsi:type="xsd:double"&gt;17.9096749703746&lt;/D&gt;&lt;D xsi:type="xsd:double"&gt;17.9096080180601&lt;/D&gt;&lt;D xsi:type="xsd:double"&gt;18.3319676385947&lt;/D&gt;&lt;D xsi:type="xsd:double"&gt;18.2497879694019&lt;/D&gt;&lt;D xsi:type="xsd:double"&gt;17.0679000965126&lt;/D&gt;&lt;D xsi:type="xsd:double"&gt;17.0494543503598&lt;/D&gt;&lt;D xsi:type="xsd:double"&gt;16.4716767495609&lt;/D&gt;&lt;D xsi:type="xsd:double"&gt;16.3820472934884&lt;/D&gt;&lt;D xsi:type="xsd:double"&gt;16.5819779029134&lt;/D&gt;&lt;D xsi:type="xsd:double"&gt;16.5103601195282&lt;/D&gt;&lt;D xsi:type="xsd:double"&gt;16.5184815858437&lt;/D&gt;&lt;D xsi:type="xsd:double"&gt;16.7577243542326&lt;/D&gt;&lt;D xsi:type="xsd:double"&gt;16.1040446056712&lt;/D&gt;&lt;D xsi:type="xsd:double"&gt;15.6334845014148&lt;/D&gt;&lt;D xsi:type="xsd:double"&gt;14.8681503657254&lt;/D&gt;&lt;D xsi:type="xsd:double"&gt;15.179515791277&lt;/D&gt;&lt;D xsi:type="xsd:double"&gt;16.1790743240804&lt;/D&gt;&lt;D xsi:type="xsd:double"&gt;16.3805050615818&lt;/D&gt;&lt;D xsi:type="xsd:double"&gt;16.7869780350726&lt;/D&gt;&lt;D xsi:type="xsd:double"&gt;16.4544545900807&lt;/D&gt;&lt;D xsi:type="xsd:double"&gt;16.4305700558728&lt;/D&gt;&lt;D xsi:type="xsd:double"&gt;17.0801790537282&lt;/D&gt;&lt;D xsi:type="xsd:double"&gt;16.4035626984394&lt;/D&gt;&lt;D xsi:type="xsd:double"&gt;16.9049223636934&lt;/D&gt;&lt;D xsi:type="xsd:double"&gt;16.9127571274072&lt;/D&gt;&lt;D xsi:type="xsd:double"&gt;17.6037761057106&lt;/D&gt;&lt;D xsi:type="xsd:double"&gt;17.9532235022655&lt;/D&gt;&lt;D xsi:type="xsd:double"&gt;18.5753917080759&lt;/D&gt;&lt;D xsi:type="xsd:double"&gt;18.9533239744087&lt;/D&gt;&lt;D xsi:type="xsd:double"&gt;13.6653546787529&lt;/D&gt;&lt;D xsi:type="xsd:double"&gt;18.6832305615386&lt;/D&gt;&lt;D xsi:type="xsd:double"&gt;20.4267853374547&lt;/D&gt;&lt;D xsi:type="xsd:double"&gt;21.9725606157081&lt;/D&gt;&lt;D xsi:type="xsd:double"&gt;22.2425676057804&lt;/D&gt;&lt;D xsi:type="xsd:double"&gt;22.3525206717543&lt;/D&gt;&lt;D xsi:type="xsd:double"&gt;21.8392545189013&lt;/D&gt;&lt;D xsi:type="xsd:double"&gt;21.9712401684022&lt;/D&gt;&lt;D xsi:type="xsd:double"&gt;22.0820191443521&lt;/D&gt;&lt;D xsi:type="xsd:double"&gt;21.9625246012851&lt;/D&gt;&lt;D xsi:type="xsd:double"&gt;22.1716314908759&lt;/D&gt;&lt;D xsi:type="xsd:double"&gt;22.2197171111658&lt;/D&gt;&lt;D xsi:type="xsd:double"&gt;21.9579014320933&lt;/D&gt;&lt;D xsi:type="xsd:double"&gt;22.4559947743006&lt;/D&gt;&lt;D xsi:type="xsd:double"&gt;21.3239020081084&lt;/D&gt;&lt;D xsi:type="xsd:double"&gt;21.1628970620986&lt;/D&gt;&lt;D xsi:type="xsd:double"&gt;21.210775435047&lt;/D&gt;&lt;D xsi:type="xsd:double"&gt;21.1604326558015&lt;/D&gt;&lt;D xsi:type="xsd:double"&gt;20.8960714045323&lt;/D&gt;&lt;D xsi:type="xsd:double"&gt;20.6911116328358&lt;/D&gt;&lt;D xsi:type="xsd:double"&gt;21.4085946548364&lt;/D&gt;&lt;D xsi:type="xsd:double"&gt;20.9681676553122&lt;/D&gt;&lt;D xsi:type="xsd:double"&gt;20.7518254047736&lt;/D&gt;&lt;D xsi:type="xsd:double"&gt;19.6299132019193&lt;/D&gt;&lt;D xsi:type="xsd:double"&gt;18.8204956429414&lt;/D&gt;&lt;D xsi:type="xsd:double"&gt;18.6746147195961&lt;/D&gt;&lt;D xsi:type="xsd:double"&gt;16.9017033392126&lt;/D&gt;&lt;D xsi:type="xsd:double"&gt;15.2985203957105&lt;/D&gt;&lt;D xsi:type="xsd:double"&gt;16.1465438488408&lt;/D&gt;&lt;D xsi:type="xsd:double"&gt;18.1549875730817&lt;/D&gt;&lt;D xsi:type="xsd:double"&gt;16.2715862983583&lt;/D&gt;&lt;D xsi:type="xsd:double"&gt;15.2019322326424&lt;/D&gt;&lt;D xsi:type="xsd:double"&gt;17.1553726576029&lt;/D&gt;&lt;D xsi:type="xsd:double"&gt;16.6779372388107&lt;/D&gt;&lt;D xsi:type="xsd:double"&gt;17.4305504739082&lt;/D&gt;&lt;D xsi:type="xsd:double"&gt;18.0386958698588&lt;/D&gt;&lt;D xsi:type="xsd:double"&gt;17.3751413260786&lt;/D&gt;&lt;D xsi:type="xsd:double"&gt;18.1840894321655&lt;/D&gt;&lt;D xsi:type="xsd:double"&gt;17.8581792151819&lt;/D&gt;&lt;D xsi:type="xsd:double"&gt;18.944008034142&lt;/D&gt;&lt;D xsi:type="xsd:double"&gt;19.3428380964107&lt;/D&gt;&lt;D xsi:type="xsd:double"&gt;18.6125779337896&lt;/D&gt;&lt;D xsi:type="xsd:double"&gt;18.5244417034183&lt;/D&gt;&lt;D xsi:type="xsd:double"&gt;18.1181420331982&lt;/D&gt;&lt;D xsi:type="xsd:double"&gt;18.6126424044099&lt;/D&gt;&lt;D xsi:type="xsd:double"&gt;19.3257802363997&lt;/D&gt;&lt;D xsi:type="xsd:double"&gt;19.4700674705027&lt;/D&gt;&lt;D xsi:type="xsd:double"&gt;20.2510365335708&lt;/D&gt;&lt;D xsi:type="xsd:double"&gt;20.4520611725578&lt;/D&gt;&lt;D xsi:type="xsd:double"&gt;20.0616639318085&lt;/D&gt;&lt;D xsi:type="xsd:double"&gt;20.7129462712691&lt;/D&gt;&lt;D xsi:type="xsd:double"&gt;20.940715335335&lt;/D&gt;&lt;D xsi:type="xsd:double"&gt;21.6869901187641&lt;/D&gt;&lt;D xsi:type="xsd:double"&gt;21.0093189191788&lt;/D&gt;&lt;/FQL&gt;&lt;FQL&gt;&lt;Q&gt;EWU^FMA_PE(LTMA,-10AY,0,AM,"PORTAGG","MEANR")&lt;/Q&gt;&lt;R&gt;121&lt;/R&gt;&lt;C&gt;1&lt;/C&gt;&lt;D xsi:type="xsd:double"&gt;14.158518346815&lt;/D&gt;&lt;D xsi:type="xsd:double"&gt;14.1457013355292&lt;/D&gt;&lt;D xsi:type="xsd:double"&gt;13.1973723136622&lt;/D&gt;&lt;D xsi:type="xsd:double"&gt;13.8915771326427&lt;/D&gt;&lt;D xsi:type="xsd:double"&gt;13.3472413153168&lt;/D&gt;&lt;D xsi:type="xsd:double"&gt;13.6269451519732&lt;/D&gt;&lt;D xsi:type="xsd:double"&gt;14.6601635158196&lt;/D&gt;&lt;D xsi:type="xsd:double"&gt;15.1603267625958&lt;/D&gt;&lt;D xsi:type="xsd:double"&gt;15.5228280600933&lt;/D&gt;&lt;D xsi:type="xsd:double"&gt;15.706076298141&lt;/D&gt;&lt;D xsi:type="xsd:double"&gt;15.58702487653&lt;/D&gt;&lt;D xsi:type="xsd:double"&gt;15.8078708128427&lt;/D&gt;&lt;D xsi:type="xsd:double"&gt;15.6220284400382&lt;/D&gt;&lt;D xsi:type="xsd:double"&gt;15.2762612698647&lt;/D&gt;&lt;D xsi:type="xsd:double"&gt;15.7571704215956&lt;/D&gt;&lt;D xsi:type="xsd:double"&gt;15.469205565971&lt;/D&gt;&lt;D xsi:type="xsd:double"&gt;15.2836827774575&lt;/D&gt;&lt;D xsi:type="xsd:double"&gt;14.521775842277&lt;/D&gt;&lt;D xsi:type="xsd:double"&gt;14.6318530421771&lt;/D&gt;&lt;D xsi:type="xsd:double"&gt;15.668857191313&lt;/D&gt;&lt;D xsi:type="xsd:double"&gt;15.9393670751932&lt;/D&gt;&lt;D xsi:type="xsd:double"&gt;15.8793565388084&lt;/D&gt;&lt;D xsi:type="xsd:double"&gt;15.6649281587461&lt;/D&gt;&lt;D xsi:type="xsd:double"&gt;16.4585341054251&lt;/D&gt;&lt;D xsi:type="xsd:double"&gt;16.9297031892624&lt;/D&gt;&lt;D xsi:type="xsd:double"&gt;16.6543916690216&lt;/D&gt;&lt;D xsi:type="xsd:double"&gt;16.9153118390797&lt;/D&gt;&lt;D xsi:type="xsd:double"&gt;16.2506036311421&lt;/D&gt;&lt;D xsi:type="xsd:double"&gt;16.9360422086708&lt;/D&gt;&lt;D xsi:type="xsd:double"&gt;17.3701048915432&lt;/D&gt;&lt;D xsi:type="xsd:double"&gt;17.2895407317248&lt;/D&gt;&lt;D xsi:type="xsd:double"&gt;17.2685233305612&lt;/D&gt;&lt;D xsi:type="xsd:double"&gt;17.0231368797814&lt;/D&gt;&lt;D xsi:type="xsd:double"&gt;16.9202398381803&lt;/D&gt;&lt;D xsi:type="xsd:double"&gt;16.598412962029&lt;/D&gt;&lt;D xsi:type="xsd:double"&gt;16.458803516706&lt;/D&gt;&lt;D xsi:type="xsd:double"&gt;16.2137113347256&lt;/D&gt;&lt;D xsi:type="xsd:double"&gt;15.8319173596839&lt;/D&gt;&lt;D xsi:type="xsd:double"&gt;15.8555413218229&lt;/D&gt;&lt;D xsi:type="xsd:double"&gt;15.2209302778646&lt;/D&gt;&lt;D xsi:type="xsd:double"&gt;15.2129207186856&lt;/D&gt;&lt;D xsi:type="xsd:double"&gt;15.6746606254511&lt;/D&gt;&lt;D xsi:type="xsd:double"&gt;14.7016709983108&lt;/D&gt;&lt;D xsi:type="xsd:double"&gt;13.9431176558217&lt;/D&gt;&lt;D xsi:type="xsd:double"&gt;13.9419801971904&lt;/D&gt;&lt;D xsi:type="xsd:double"&gt;14.1086953644901&lt;/D&gt;&lt;D xsi:type="xsd:double"&gt;13.898472979084&lt;/D&gt;&lt;D xsi:type="xsd:double"&gt;13.7745696557779&lt;/D&gt;&lt;D xsi:type="xsd:double"&gt;13.6117060548226&lt;/D&gt;&lt;D xsi:type="xsd:double"&gt;13.3854774505723&lt;/D&gt;&lt;D xsi:type="xsd:double"&gt;12.9840856377347&lt;/D&gt;&lt;D xsi:type="xsd:double"&gt;12.7023905463366&lt;/D&gt;&lt;D xsi:type="xsd:double"&gt;12.1910621665007&lt;/D&gt;&lt;D xsi:type="xsd:double"&gt;12.2447025575601&lt;/D&gt;&lt;D xsi:type="xsd:double"&gt;12.8363496045825&lt;/D&gt;&lt;D xsi:type="xsd:double"&gt;12.9637813320408&lt;/D&gt;&lt;D xsi:type="xsd:double"&gt;13.0401274717947&lt;/D&gt;&lt;D xsi:type="xsd:double"&gt;12.9273114060358&lt;/D&gt;&lt;D xsi:type="xsd:double"&gt;12.9374450250517&lt;/D&gt;&lt;D xsi:type="xsd:double"&gt;13.1662995777807&lt;/D&gt;&lt;D xsi:type="xsd:double"&gt;12.6656607264676&lt;/D&gt;&lt;D xsi:type="xsd:double"&gt;13.0558940925508&lt;/D&gt;&lt;D xsi:type="xsd:double"&gt;13.1264427076915&lt;/D&gt;&lt;D xsi:type="xsd:double"&gt;13.368073687985&lt;/D&gt;&lt;D xsi:type="xsd:double"&gt;14.098121656122&lt;/D&gt;&lt;D xsi:type="xsd:double"&gt;14.2185978120371&lt;/D&gt;&lt;D xsi:type="xsd:double"&gt;13.8517379739508&lt;/D&gt;&lt;D xsi:type="xsd:double"&gt;11.8995748641536&lt;/D&gt;&lt;D xsi:type="xsd:double"&gt;12.8344290662129&lt;/D&gt;&lt;D xsi:type="xsd:double"&gt;13.8429156348884&lt;/D&gt;&lt;D xsi:type="xsd:double"&gt;15.0822420825248&lt;/D&gt;&lt;D xsi:type="xsd:double"&gt;15.5940967899953&lt;/D&gt;&lt;D xsi:type="xsd:double"&gt;16.2810936028033&lt;/D&gt;&lt;D xsi:type="xsd:double"&gt;16.9907573494894&lt;/D&gt;&lt;D xsi:type="xsd:double"&gt;16.9924265529083&lt;/D&gt;&lt;D xsi:type="xsd:double"&gt;18.5989338506128&lt;/D&gt;&lt;D xsi:type="xsd:double"&gt;19.5901219478753&lt;/D&gt;&lt;D xsi:type="xsd:double"&gt;20.2047061894819&lt;/D&gt;&lt;D xsi:type="xsd:double"&gt;20.0020019316679&lt;/D&gt;&lt;D xsi:type="xsd:double"&gt;18.6032028277098&lt;/D&gt;&lt;D xsi:type="xsd:double"&gt;18.0267344535656&lt;/D&gt;&lt;D xsi:type="xsd:double"&gt;17.4369715518645&lt;/D&gt;&lt;D xsi:type="xsd:double"&gt;16.9333320423159&lt;/D&gt;&lt;D xsi:type="xsd:double"&gt;15.8730768116259&lt;/D&gt;&lt;D xsi:type="xsd:double"&gt;15.1209006390776&lt;/D&gt;&lt;D xsi:type="xsd:double"&gt;14.2721681353751&lt;/D&gt;&lt;D xsi:type="xsd:double"&gt;13.9507118430422&lt;/D&gt;&lt;D xsi:type="xsd:double"&gt;13.1925459607006&lt;/D&gt;&lt;D xsi:type="xsd:double"&gt;12.4071968281505&lt;/D&gt;&lt;D xsi:type="xsd:double"&gt;12.7048407391176&lt;/D&gt;&lt;D xsi:type="xsd:double"&gt;12.808588292119&lt;/D&gt;&lt;D xsi:type="xsd:double"&gt;12.4194037190727&lt;/D&gt;&lt;D xsi:type="xsd:double"&gt;12.2458605888793&lt;/D&gt;&lt;D xsi:type="xsd:double"&gt;11.7627246837853&lt;/D&gt;&lt;D xsi:type="xsd:double"&gt;11.2608861063018&lt;/D&gt;&lt;D xsi:type="xsd:double"&gt;10.9066420033726&lt;/D&gt;&lt;D xsi:type="xsd:double"&gt;10.8042352971663&lt;/D&gt;&lt;D xsi:type="xsd:double"&gt;10.0367061583245&lt;/D&gt;&lt;D xsi:type="xsd:double"&gt;9.3999338068059&lt;/D&gt;&lt;D xsi:type="xsd:double"&gt;9.74399359784121&lt;/D&gt;&lt;D xsi:type="xsd:double"&gt;9.57589587236408&lt;/D&gt;&lt;D xsi:type="xsd:double"&gt;10.1920989695497&lt;/D&gt;&lt;D xsi:type="xsd:double"&gt;10.3557538172266&lt;/D&gt;&lt;D xsi:type="xsd:double"&gt;10.1377664462064&lt;/D&gt;&lt;D xsi:type="xsd:double"&gt;10.3971349686168&lt;/D&gt;&lt;D xsi:type="xsd:double"&gt;10.3586654809829&lt;/D&gt;&lt;D xsi:type="xsd:double"&gt;10.3984684376936&lt;/D&gt;&lt;D xsi:type="xsd:double"&gt;10.4296450427429&lt;/D&gt;&lt;D xsi:type="xsd:double"&gt;10.4046627833614&lt;/D&gt;&lt;D xsi:type="xsd:double"&gt;10.7154861908912&lt;/D&gt;&lt;D xsi:type="xsd:double"&gt;10.6222833281038&lt;/D&gt;&lt;D xsi:type="xsd:double"&gt;10.5744468060128&lt;/D&gt;&lt;D xsi:type="xsd:double"&gt;11.0254652571899&lt;/D&gt;&lt;D xsi:type="xsd:double"&gt;11.1210088262075&lt;/D&gt;&lt;D xsi:type="xsd:double"&gt;11.3522200726246&lt;/D&gt;&lt;D xsi:type="xsd:double"&gt;11.4654451558111&lt;/D&gt;&lt;D xsi:type="xsd:double"&gt;11.4674382654145&lt;/D&gt;&lt;D xsi:type="xsd:double"&gt;11.7967419599984&lt;/D&gt;&lt;D xsi:type="xsd:double"&gt;11.6188259823663&lt;/D&gt;&lt;D xsi:type="xsd:double"&gt;11.775154774591&lt;/D&gt;&lt;D xsi:type="xsd:double"&gt;11.9271452114463&lt;/D&gt;&lt;/FQL&gt;&lt;FQL&gt;&lt;Q&gt;WL-FDS^MAX(FG_PRICE(0,-5AY))&lt;/Q&gt;&lt;R&gt;1&lt;/R&gt;&lt;C&gt;1&lt;/C&gt;&lt;D xsi:type="xsd:double"&gt;763.4&lt;/D&gt;&lt;/FQL&gt;&lt;FQL&gt;&lt;Q&gt;NI-FDS^MAX(FG_PRICE(0,-5AY))&lt;/Q&gt;&lt;R&gt;1&lt;/R&gt;&lt;C&gt;1&lt;/C&gt;&lt;D xsi:type="xsd:double"&gt;48241&lt;/D&gt;&lt;/FQL&gt;&lt;FQL&gt;&lt;Q&gt;CPALM-FDS^MAX(FG_PRICE(0,-5AY))&lt;/Q&gt;&lt;R&gt;1&lt;/R&gt;&lt;C&gt;1&lt;/C&gt;&lt;D xsi:type="xsd:double"&gt;8163&lt;/D&gt;&lt;/FQL&gt;&lt;FQL&gt;&lt;Q&gt;BRENT-FDS^MAX(FG_PRICE(0,-5AY))&lt;/Q&gt;&lt;R&gt;1&lt;/R&gt;&lt;C&gt;1&lt;/C&gt;&lt;D xsi:type="xsd:double"&gt;140.85&lt;/D&gt;&lt;/FQL&gt;&lt;FQL&gt;&lt;Q&gt;TIOS-FDS^MAX(FG_PRICE(0,-5AY))&lt;/Q&gt;&lt;R&gt;1&lt;/R&gt;&lt;C&gt;1&lt;/C&gt;&lt;D xsi:type="xsd:double"&gt;219.77&lt;/D&gt;&lt;/FQL&gt;&lt;FQL&gt;&lt;Q&gt;FC0000GB^FG_PRICE(0)&lt;/Q&gt;&lt;R&gt;1&lt;/R&gt;&lt;C&gt;1&lt;/C&gt;&lt;D xsi:type="xsd:double"&gt;131.34503&lt;/D&gt;&lt;/FQL&gt;&lt;FQL&gt;&lt;Q&gt;FC0000CA^FG_PRICE(0)&lt;/Q&gt;&lt;R&gt;1&lt;/R&gt;&lt;C&gt;1&lt;/C&gt;&lt;D xsi:type="xsd:double"&gt;301.60876&lt;/D&gt;&lt;/FQL&gt;&lt;FQL&gt;&lt;Q&gt;EWD^FG_PRICE_MAVG(0,,,,200)&lt;/Q&gt;&lt;R&gt;1&lt;/R&gt;&lt;C&gt;1&lt;/C&gt;&lt;D xsi:type="xsd:double"&gt;38.898624&lt;/D&gt;&lt;/FQL&gt;&lt;FQL&gt;&lt;Q&gt;QQQ^FG_PRICE_MAVG(0,,,,200)&lt;/Q&gt;&lt;R&gt;1&lt;/R&gt;&lt;C&gt;1&lt;/C&gt;&lt;D xsi:type="xsd:double"&gt;434.48395&lt;/D&gt;&lt;/FQL&gt;&lt;FQL&gt;&lt;Q&gt;EWG^FG_PRICE_MAVG(0,,,,200)&lt;/Q&gt;&lt;R&gt;1&lt;/R&gt;&lt;C&gt;1&lt;/C&gt;&lt;D xsi:type="xsd:double"&gt;30.1344&lt;/D&gt;&lt;/FQL&gt;&lt;FQL&gt;&lt;Q&gt;EWI^FG_COMPANY_NAME&lt;/Q&gt;&lt;R&gt;1&lt;/R&gt;&lt;C&gt;1&lt;/C&gt;&lt;D xsi:type="xsd:string"&gt;iShares MSCI Italy ETF&lt;/D&gt;&lt;/FQL&gt;&lt;FQL&gt;&lt;Q&gt;ENZL^FG_COMPANY_NAME&lt;/Q&gt;&lt;R&gt;1&lt;/R&gt;&lt;C&gt;1&lt;/C&gt;&lt;D xsi:type="xsd:string"&gt;iShares MSCI New Zealand ETF&lt;/D&gt;&lt;/FQL&gt;&lt;FQL&gt;&lt;Q&gt;FXI^P_PRICE(0)/P_PRICE_HIGH_PR(0,,,,,,"PRICE","INTRA","52W")&lt;/Q&gt;&lt;R&gt;1&lt;/R&gt;&lt;C&gt;1&lt;/C&gt;&lt;D xsi:type="xsd:double"&gt;0.89265156&lt;/D&gt;&lt;/FQL&gt;&lt;FQL&gt;&lt;Q&gt;EWJ^FG_TOTAL_RETURNC(0,-12AM)&lt;/Q&gt;&lt;R&gt;1&lt;/R&gt;&lt;C&gt;1&lt;/C&gt;&lt;D xsi:type="xsd:double"&gt;19.275522&lt;/D&gt;&lt;/FQL&gt;&lt;FQL&gt;&lt;Q&gt;URTH^PERCENT_CHANGE(FMA_EPS(+1,0,,,,"PORTAGG","MEAN"),FMA_EPS(+1,-1AM,,,,"PORTAGG","MEAN"))&lt;/Q&gt;&lt;R&gt;1&lt;/R&gt;&lt;C&gt;1&lt;/C&gt;&lt;D xsi:type="xsd:double"&gt;0.320068023797017&lt;/D&gt;&lt;/FQL&gt;&lt;FQL&gt;&lt;Q&gt;VGK^FG_TOTAL_RETURNC(0,-1AM)&lt;/Q&gt;&lt;R&gt;1&lt;/R&gt;&lt;C&gt;1&lt;/C&gt;&lt;D xsi:type="xsd:double"&gt;-0.27532578&lt;/D&gt;&lt;/FQL&gt;&lt;FQL&gt;&lt;Q&gt;EWD^FG_TOTAL_RETURNC(0,-6AM)&lt;/Q&gt;&lt;R&gt;1&lt;/R&gt;&lt;C&gt;1&lt;/C&gt;&lt;D xsi:type="xsd:double"&gt;6.6720366&lt;/D&gt;&lt;/FQL&gt;&lt;FQL&gt;&lt;Q&gt;EWQ^P_PRICE(0)/P_PRICE_LOW_PR(0,,,,,,"PRICE","INTRA","52W")-1&lt;/Q&gt;&lt;R&gt;1&lt;/R&gt;&lt;C&gt;1&lt;/C&gt;&lt;D xsi:type="xsd:double"&gt;0.15270352&lt;/D&gt;&lt;/FQL&gt;&lt;FQL&gt;&lt;Q&gt;EWU^PERCENT_CHANGE(FMA_EPS(+1,0,,,,"PORTAGG","MEAN"),FMA_EPS(+1,-3AM,,,,"PORTAGG","MEAN"))&lt;/Q&gt;&lt;R&gt;1&lt;/R&gt;&lt;C&gt;1&lt;/C&gt;&lt;D xsi:type="xsd:double"&gt;-0.350322764125294&lt;/D&gt;&lt;/FQL&gt;&lt;FQL&gt;&lt;Q&gt;EWJ^FG_TOTAL_RETURNC(0,-3AM)&lt;/Q&gt;&lt;R&gt;1&lt;/R&gt;&lt;C&gt;1&lt;/C&gt;&lt;D xsi:type="xsd:double"&gt;2.3706555&lt;/D&gt;&lt;/FQL&gt;&lt;FQL&gt;&lt;Q&gt;EWC^P_PRICE(0)/P_PRICE_HIGH_PR(0,,,,,,"PRICE","INTRA","52W")&lt;/Q&gt;&lt;R&gt;1&lt;/R&gt;&lt;C&gt;1&lt;/C&gt;&lt;D xsi:type="xsd:double"&gt;0.99923664&lt;/D&gt;&lt;/FQL&gt;&lt;FQL&gt;&lt;Q&gt;ENZL^FG_TOTAL_RETURNC(0,-12AM)&lt;/Q&gt;&lt;R&gt;1&lt;/R&gt;&lt;C&gt;1&lt;/C&gt;&lt;D xsi:type="xsd:double"&gt;7.4403763&lt;/D&gt;&lt;/FQL&gt;&lt;FQL&gt;&lt;Q&gt;EWJ^FMA_COS_DOWN("EPS","1M",+1,0,,,"PORTAGG","MEANR")&lt;/Q&gt;&lt;R&gt;1&lt;/R&gt;&lt;C&gt;1&lt;/C&gt;&lt;D xsi:type="xsd:double"&gt;67&lt;/D&gt;&lt;/FQL&gt;&lt;FQL&gt;&lt;Q&gt;CC_IT^IMF_IFS_RCPI_Q(0)&lt;/Q&gt;&lt;R&gt;1&lt;/R&gt;&lt;C&gt;1&lt;/C&gt;&lt;D xsi:type="xsd:double"&gt;0.80847347&lt;/D&gt;&lt;/FQL&gt;&lt;FQL&gt;&lt;Q&gt;EWG^JULIAN(FMA_DIV_YLD(NTMA,NOW,NOW,M,"PORTAGG","MEANR").DATES)&lt;/Q&gt;&lt;R&gt;1&lt;/R&gt;&lt;C&gt;1&lt;/C&gt;&lt;D xsi:type="xsd:long"&gt;45504&lt;/D&gt;&lt;/FQL&gt;&lt;FQL&gt;&lt;Q&gt;EWG^FG_COMPANY_NAME&lt;/Q&gt;&lt;R&gt;1&lt;/R&gt;&lt;C&gt;1&lt;/C&gt;&lt;D xsi:type="xsd:string"&gt;iShares MSCI Germany ETF&lt;/D&gt;&lt;/FQL&gt;&lt;FQL&gt;&lt;Q&gt;VGK^FG_TOTAL_RETURNC(0,-6AM)&lt;/Q&gt;&lt;R&gt;1&lt;/R&gt;&lt;C&gt;1&lt;/C&gt;&lt;D xsi:type="xsd:double"&gt;9.211838&lt;/D&gt;&lt;/FQL&gt;&lt;FQL&gt;&lt;Q&gt;QQQ^FG_TOTAL_RETURNC(0,-6AM)&lt;/Q&gt;&lt;R&gt;1&lt;/R&gt;&lt;C&gt;1&lt;/C&gt;&lt;D xsi:type="xsd:double"&gt;10.6479645&lt;/D&gt;&lt;/FQL&gt;&lt;FQL&gt;&lt;Q&gt;VWO^FG_TOTAL_RETURNC(0,-6AM)&lt;/Q&gt;&lt;R&gt;1&lt;/R&gt;&lt;C&gt;1&lt;/C&gt;&lt;D xsi:type="xsd:double"&gt;9.381795&lt;/D&gt;&lt;/FQL&gt;&lt;FQL&gt;&lt;Q&gt;DUMMY^ECON_EXPR_DATA('FDS_ECON[PMIDMMANHE]',,,M)&lt;/Q&gt;&lt;R&gt;1&lt;/R&gt;&lt;C&gt;1&lt;/C&gt;&lt;D xsi:type="xsd:double"&gt;48.78809&lt;/D&gt;&lt;/FQL&gt;&lt;FQL&gt;&lt;Q&gt;EWN^FMA_ROE(NTMA,-20AY,NOW,FY,"PORTAGG","MEANR")&lt;/Q&gt;&lt;R&gt;20&lt;/R&gt;&lt;C&gt;1&lt;/C&gt;&lt;D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xsi:type="xsd:double"&gt;13.0917636337237&lt;/D&gt;&lt;D xsi:type="xsd:double"&gt;9.77856566503728&lt;/D&gt;&lt;D xsi:type="xsd:double"&gt;10.8991459518594&lt;/D&gt;&lt;D xsi:type="xsd:double"&gt;12.0158891532418&lt;/D&gt;&lt;D xsi:type="xsd:double"&gt;12.7459856653411&lt;/D&gt;&lt;/FQL&gt;&lt;FQL&gt;&lt;Q&gt;TRYSA10Y-FDS^FG_YIELD(-10AY,0,Y,,"YTM")&lt;/Q&gt;&lt;R&gt;10&lt;/R&gt;&lt;C&gt;1&lt;/C&gt;&lt;D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xsi:type="xsd:double"&gt;3.1928&lt;/D&gt;&lt;/FQL&gt;&lt;FQL&gt;&lt;Q&gt;EWQ^FMA_DIV_YLD(NTMA,-10AY,0,AM,"PORTAGG","MEANR")&lt;/Q&gt;&lt;R&gt;121&lt;/R&gt;&lt;C&gt;1&lt;/C&gt;&lt;D xsi:type="xsd:double"&gt;3.67671950788908&lt;/D&gt;&lt;D xsi:type="xsd:double"&gt;3.53856543018442&lt;/D&gt;&lt;D xsi:type="xsd:double"&gt;3.98985798979164&lt;/D&gt;&lt;D xsi:type="xsd:double"&gt;3.71816952999506&lt;/D&gt;&lt;D xsi:type="xsd:double"&gt;3.78641513043771&lt;/D&gt;&lt;D xsi:type="xsd:double"&gt;3.5576478375526&lt;/D&gt;&lt;D xsi:type="xsd:double"&gt;3.23508532695014&lt;/D&gt;&lt;D xsi:type="xsd:double"&gt;3.17330395085458&lt;/D&gt;&lt;D xsi:type="xsd:double"&gt;3.09784655362217&lt;/D&gt;&lt;D xsi:type="xsd:double"&gt;3.27653260050906&lt;/D&gt;&lt;D xsi:type="xsd:double"&gt;3.40626581064322&lt;/D&gt;&lt;D xsi:type="xsd:double"&gt;3.25080359408107&lt;/D&gt;&lt;D xsi:type="xsd:double"&gt;3.38424968896145&lt;/D&gt;&lt;D xsi:type="xsd:double"&gt;3.63015782592804&lt;/D&gt;&lt;D xsi:type="xsd:double"&gt;3.55328513884346&lt;/D&gt;&lt;D xsi:type="xsd:double"&gt;3.50804336579297&lt;/D&gt;&lt;D xsi:type="xsd:double"&gt;3.61253244886466&lt;/D&gt;&lt;D xsi:type="xsd:double"&gt;3.97060678912394&lt;/D&gt;&lt;D xsi:type="xsd:double"&gt;4.02243763670037&lt;/D&gt;&lt;D xsi:type="xsd:double"&gt;3.71972930004659&lt;/D&gt;&lt;D xsi:type="xsd:double"&gt;3.6902858702376&lt;/D&gt;&lt;D xsi:type="xsd:double"&gt;3.81911710049073&lt;/D&gt;&lt;D xsi:type="xsd:double"&gt;4.00682906574565&lt;/D&gt;&lt;D xsi:type="xsd:double"&gt;3.79390057966562&lt;/D&gt;&lt;D xsi:type="xsd:double"&gt;3.71209692652937&lt;/D&gt;&lt;D xsi:type="xsd:double"&gt;3.8135661315122&lt;/D&gt;&lt;D xsi:type="xsd:double"&gt;3.73570870454285&lt;/D&gt;&lt;D xsi:type="xsd:double"&gt;3.73182656088867&lt;/D&gt;&lt;D xsi:type="xsd:double"&gt;3.50085564196863&lt;/D&gt;&lt;D xsi:type="xsd:double"&gt;3.42321925511695&lt;/D&gt;&lt;D xsi:type="xsd:double"&gt;3.46459954045942&lt;/D&gt;&lt;D xsi:type="xsd:double"&gt;3.41344989259762&lt;/D&gt;&lt;D xsi:type="xsd:double"&gt;3.39030113551082&lt;/D&gt;&lt;D xsi:type="xsd:double"&gt;3.18930944339762&lt;/D&gt;&lt;D xsi:type="xsd:double"&gt;3.28652961139152&lt;/D&gt;&lt;D xsi:type="xsd:double"&gt;3.32210990274986&lt;/D&gt;&lt;D xsi:type="xsd:double"&gt;3.37194875789544&lt;/D&gt;&lt;D xsi:type="xsd:double"&gt;3.35160086501022&lt;/D&gt;&lt;D xsi:type="xsd:double"&gt;3.287843320381&lt;/D&gt;&lt;D xsi:type="xsd:double"&gt;3.32859946515494&lt;/D&gt;&lt;D xsi:type="xsd:double"&gt;3.29860220024784&lt;/D&gt;&lt;D xsi:type="xsd:double"&gt;3.20901906889891&lt;/D&gt;&lt;D xsi:type="xsd:double"&gt;3.37624098390326&lt;/D&gt;&lt;D xsi:type="xsd:double"&gt;3.38458889508576&lt;/D&gt;&lt;D xsi:type="xsd:double"&gt;3.38761310946638&lt;/D&gt;&lt;D xsi:type="xsd:double"&gt;3.28698637845752&lt;/D&gt;&lt;D xsi:type="xsd:double"&gt;3.34732616668155&lt;/D&gt;&lt;D xsi:type="xsd:double"&gt;3.40571314840105&lt;/D&gt;&lt;D xsi:type="xsd:double"&gt;3.49054485038355&lt;/D&gt;&lt;D xsi:type="xsd:double"&gt;3.49324813213937&lt;/D&gt;&lt;D xsi:type="xsd:double"&gt;3.65008267848727&lt;/D&gt;&lt;D xsi:type="xsd:double"&gt;3.76640097552337&lt;/D&gt;&lt;D xsi:type="xsd:double"&gt;3.90365942878534&lt;/D&gt;&lt;D xsi:type="xsd:double"&gt;3.93217003839472&lt;/D&gt;&lt;D xsi:type="xsd:double"&gt;3.70692515352674&lt;/D&gt;&lt;D xsi:type="xsd:double"&gt;3.54890269637222&lt;/D&gt;&lt;D xsi:type="xsd:double"&gt;3.49618930356882&lt;/D&gt;&lt;D xsi:type="xsd:double"&gt;3.55782203524481&lt;/D&gt;&lt;D xsi:type="xsd:double"&gt;3.6287337692916&lt;/D&gt;&lt;D xsi:type="xsd:double"&gt;3.49524975184112&lt;/D&gt;&lt;D xsi:type="xsd:double"&gt;3.71485512777689&lt;/D&gt;&lt;D xsi:type="xsd:double"&gt;3.53228858725735&lt;/D&gt;&lt;D xsi:type="xsd:double"&gt;3.48544423485858&lt;/D&gt;&lt;D xsi:type="xsd:double"&gt;3.35557802514147&lt;/D&gt;&lt;D xsi:type="xsd:double"&gt;3.34229455454071&lt;/D&gt;&lt;D xsi:type="xsd:double"&gt;3.31937384613174&lt;/D&gt;&lt;D xsi:type="xsd:double"&gt;3.2817316534689&lt;/D&gt;&lt;D xsi:type="xsd:double"&gt;5.06089006003217&lt;/D&gt;&lt;D xsi:type="xsd:double"&gt;3.98825897890834&lt;/D&gt;&lt;D xsi:type="xsd:double"&gt;3.68767612002131&lt;/D&gt;&lt;D xsi:type="xsd:double"&gt;3.144279090715</t>
        </r>
      </text>
    </comment>
    <comment ref="A3" authorId="0" shapeId="0" xr:uid="{F4B81502-CD4D-42FA-8EB0-FC34045CF5A0}">
      <text>
        <r>
          <rPr>
            <b/>
            <sz val="9"/>
            <color indexed="81"/>
            <rFont val="Tahoma"/>
            <charset val="1"/>
          </rPr>
          <t>09&lt;/D&gt;&lt;D xsi:type="xsd:double"&gt;3.04610454436696&lt;/D&gt;&lt;D xsi:type="xsd:double"&gt;3.12580050553117&lt;/D&gt;&lt;D xsi:type="xsd:double"&gt;3.09654805112755&lt;/D&gt;&lt;D xsi:type="xsd:double"&gt;3.20636529569047&lt;/D&gt;&lt;D xsi:type="xsd:double"&gt;2.91995397484172&lt;/D&gt;&lt;D xsi:type="xsd:double"&gt;2.92017680953485&lt;/D&gt;&lt;D xsi:type="xsd:double"&gt;2.92804428846739&lt;/D&gt;&lt;D xsi:type="xsd:double"&gt;2.83467504376084&lt;/D&gt;&lt;D xsi:type="xsd:double"&gt;2.73634866297778&lt;/D&gt;&lt;D xsi:type="xsd:double"&gt;2.6792813059206&lt;/D&gt;&lt;D xsi:type="xsd:double"&gt;2.69743546184786&lt;/D&gt;&lt;D xsi:type="xsd:double"&gt;2.62870594700196&lt;/D&gt;&lt;D xsi:type="xsd:double"&gt;2.73579146280694&lt;/D&gt;&lt;D xsi:type="xsd:double"&gt;2.69100011997241&lt;/D&gt;&lt;D xsi:type="xsd:double"&gt;2.80041404728007&lt;/D&gt;&lt;D xsi:type="xsd:double"&gt;2.81790988622554&lt;/D&gt;&lt;D xsi:type="xsd:double"&gt;2.71332439787929&lt;/D&gt;&lt;D xsi:type="xsd:double"&gt;2.79095273339373&lt;/D&gt;&lt;D xsi:type="xsd:double"&gt;2.76805978093939&lt;/D&gt;&lt;D xsi:type="xsd:double"&gt;2.91663945422191&lt;/D&gt;&lt;D xsi:type="xsd:double"&gt;3.12850496685686&lt;/D&gt;&lt;D xsi:type="xsd:double"&gt;3.1295477202037&lt;/D&gt;&lt;D xsi:type="xsd:double"&gt;3.27780286139654&lt;/D&gt;&lt;D xsi:type="xsd:double"&gt;3.55095852032662&lt;/D&gt;&lt;D xsi:type="xsd:double"&gt;3.48319635814233&lt;/D&gt;&lt;D xsi:type="xsd:double"&gt;3.24132424591977&lt;/D&gt;&lt;D xsi:type="xsd:double"&gt;3.55271848746907&lt;/D&gt;&lt;D xsi:type="xsd:double"&gt;3.68372226997915&lt;/D&gt;&lt;D xsi:type="xsd:double"&gt;3.30831415551325&lt;/D&gt;&lt;D xsi:type="xsd:double"&gt;3.39192899753125&lt;/D&gt;&lt;D xsi:type="xsd:double"&gt;3.11816039961908&lt;/D&gt;&lt;D xsi:type="xsd:double"&gt;3.08214522149073&lt;/D&gt;&lt;D xsi:type="xsd:double"&gt;3.28844562848559&lt;/D&gt;&lt;D xsi:type="xsd:double"&gt;3.09877023088532&lt;/D&gt;&lt;D xsi:type="xsd:double"&gt;3.19575194485233&lt;/D&gt;&lt;D xsi:type="xsd:double"&gt;3.21330851247877&lt;/D&gt;&lt;D xsi:type="xsd:double"&gt;3.24482807129196&lt;/D&gt;&lt;D xsi:type="xsd:double"&gt;3.34442736277533&lt;/D&gt;&lt;D xsi:type="xsd:double"&gt;3.30893496477726&lt;/D&gt;&lt;D xsi:type="xsd:double"&gt;3.48338097352558&lt;/D&gt;&lt;D xsi:type="xsd:double"&gt;3.39483276062385&lt;/D&gt;&lt;D xsi:type="xsd:double"&gt;3.21585268122634&lt;/D&gt;&lt;D xsi:type="xsd:double"&gt;3.2850078573065&lt;/D&gt;&lt;D xsi:type="xsd:double"&gt;3.16762795487272&lt;/D&gt;&lt;D xsi:type="xsd:double"&gt;3.05676632013431&lt;/D&gt;&lt;D xsi:type="xsd:double"&gt;3.17089609887333&lt;/D&gt;&lt;D xsi:type="xsd:double"&gt;3.06774741504909&lt;/D&gt;&lt;D xsi:type="xsd:double"&gt;3.3817562841986&lt;/D&gt;&lt;D xsi:type="xsd:double"&gt;3.34637239219956&lt;/D&gt;&lt;D xsi:type="xsd:double"&gt;3.46454720257218&lt;/D&gt;&lt;/FQL&gt;&lt;FQL&gt;&lt;Q&gt;NI-FDS^FG_PRICE(0)/MAX(FG_PRICE(0,-1AY))&lt;/Q&gt;&lt;R&gt;1&lt;/R&gt;&lt;C&gt;1&lt;/C&gt;&lt;D xsi:type="xsd:double"&gt;0.7475910693302&lt;/D&gt;&lt;/FQL&gt;&lt;FQL&gt;&lt;Q&gt;CPALM-FDS^FG_PRICE(0)/MAX(FG_PRICE(0,-1AY))&lt;/Q&gt;&lt;R&gt;1&lt;/R&gt;&lt;C&gt;1&lt;/C&gt;&lt;D xsi:type="xsd:double"&gt;0.845599475868093&lt;/D&gt;&lt;/FQL&gt;&lt;FQL&gt;&lt;Q&gt;BRENT-FDS^FG_PRICE(0)/MAX(FG_PRICE(0,-1AY))&lt;/Q&gt;&lt;R&gt;1&lt;/R&gt;&lt;C&gt;1&lt;/C&gt;&lt;D xsi:type="xsd:double"&gt;0.870614479821537&lt;/D&gt;&lt;/FQL&gt;&lt;FQL&gt;&lt;Q&gt;TIOS-FDS^FG_PRICE(0)/MAX(FG_PRICE(0,-1AY))&lt;/Q&gt;&lt;R&gt;1&lt;/R&gt;&lt;C&gt;1&lt;/C&gt;&lt;D xsi:type="xsd:double"&gt;0.683615427302997&lt;/D&gt;&lt;/FQL&gt;&lt;FQL&gt;&lt;Q&gt;URTH^FMA_PCT_ABOVE_MAVG(200,0,,,,"PORTAGG")&lt;/Q&gt;&lt;R&gt;1&lt;/R&gt;&lt;C&gt;1&lt;/C&gt;&lt;D xsi:type="xsd:double"&gt;58.9761570827489&lt;/D&gt;&lt;/FQL&gt;&lt;FQL&gt;&lt;Q&gt;VGK^PERCENT_CHANGE(FMA_EPS(+1,0,,,,"PORTAGG","MEAN"),FMA_EPS(+1,-3AM,,,,"PORTAGG","MEAN"))&lt;/Q&gt;&lt;R&gt;1&lt;/R&gt;&lt;C&gt;1&lt;/C&gt;&lt;D xsi:type="xsd:double"&gt;1.06642143542723&lt;/D&gt;&lt;/FQL&gt;&lt;FQL&gt;&lt;Q&gt;EWD^FG_TOTAL_RETURNC(0,-3AM)&lt;/Q&gt;&lt;R&gt;1&lt;/R&gt;&lt;C&gt;1&lt;/C&gt;&lt;D xsi:type="xsd:double"&gt;-0.4653871&lt;/D&gt;&lt;/FQL&gt;&lt;FQL&gt;&lt;Q&gt;CAGDPY@US^EE_ACTUAL_ANNUAL(MED,+1)&lt;/Q&gt;&lt;R&gt;1&lt;/R&gt;&lt;C&gt;1&lt;/C&gt;&lt;D xsi:type="xsd:double"&gt;-3.2&lt;/D&gt;&lt;/FQL&gt;&lt;FQL&gt;&lt;Q&gt;CAGDPY@NZ^EE_ACTUAL_ANNUAL(MED,+1)&lt;/Q&gt;&lt;R&gt;1&lt;/R&gt;&lt;C&gt;1&lt;/C&gt;&lt;D xsi:type="xsd:double"&gt;-6.05&lt;/D&gt;&lt;/FQL&gt;&lt;FQL&gt;&lt;Q&gt;USDITL^FG_PRICE_CHANGE(0,-1AY)&lt;/Q&gt;&lt;R&gt;1&lt;/R&gt;&lt;C&gt;1&lt;/C&gt;&lt;D xsi:type="xsd:double"&gt;-0.7642567&lt;/D&gt;&lt;/FQL&gt;&lt;FQL&gt;&lt;Q&gt;USDANG^FG_PRICE_CHANGE(0,-1AY)&lt;/Q&gt;&lt;R&gt;1&lt;/R&gt;&lt;C&gt;1&lt;/C&gt;&lt;D xsi:type="xsd:double"&gt;0&lt;/D&gt;&lt;/FQL&gt;&lt;FQL&gt;&lt;Q&gt;USDUSD^FG_PRICE_CHANGE(0,-1AY)&lt;/Q&gt;&lt;R&gt;1&lt;/R&gt;&lt;C&gt;1&lt;/C&gt;&lt;D xsi:type="xsd:double"&gt;0&lt;/D&gt;&lt;/FQL&gt;&lt;FQL&gt;&lt;Q&gt;USDGBP^FG_PRICE_CHANGE(0,-1AY)&lt;/Q&gt;&lt;R&gt;1&lt;/R&gt;&lt;C&gt;1&lt;/C&gt;&lt;D xsi:type="xsd:double"&gt;-1.0782301&lt;/D&gt;&lt;/FQL&gt;&lt;FQL&gt;&lt;Q&gt;USDJPY^FG_PRICE_CHANGE(0,-1AY)&lt;/Q&gt;&lt;R&gt;1&lt;/R&gt;&lt;C&gt;1&lt;/C&gt;&lt;D xsi:type="xsd:double"&gt;1.4950395&lt;/D&gt;&lt;/FQL&gt;&lt;FQL&gt;&lt;Q&gt;USDCAD^FG_PRICE_CHANGE(0,-1AY)&lt;/Q&gt;&lt;R&gt;1&lt;/R&gt;&lt;C&gt;1&lt;/C&gt;&lt;D xsi:type="xsd:double"&gt;1.4721632&lt;/D&gt;&lt;/FQL&gt;&lt;FQL&gt;&lt;Q&gt;USDNZD^FG_PRICE_CHANGE(0,-1AY)&lt;/Q&gt;&lt;R&gt;1&lt;/R&gt;&lt;C&gt;1&lt;/C&gt;&lt;D xsi:type="xsd:double"&gt;-1.1123121&lt;/D&gt;&lt;/FQL&gt;&lt;FQL&gt;&lt;Q&gt;EWA^JULIAN(FMA_EPS(NTMA,-20AY,0,CY,,"PORTAGG","MEANR").DATES)&lt;/Q&gt;&lt;R&gt;20&lt;/R&gt;&lt;C&gt;1&lt;/C&gt;&lt;D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xsi:type="xsd:long"&gt;45289&lt;/D&gt;&lt;/FQL&gt;&lt;FQL&gt;&lt;Q&gt;EWD^FG_TOTAL_RETURNC(-10AY,0,AM)&lt;/Q&gt;&lt;R&gt;121&lt;/R&gt;&lt;C&gt;1&lt;/C&gt;&lt;D xsi:type="xsd:double"&gt;-2.3499668&lt;/D&gt;&lt;D xsi:type="xsd:double"&gt;-1.1740565&lt;/D&gt;&lt;D xsi:type="xsd:double"&gt;-10.157406&lt;/D&gt;&lt;D xsi:type="xsd:double"&gt;8.363628&lt;/D&gt;&lt;D xsi:type="xsd:double"&gt;-4.1793766&lt;/D&gt;&lt;D xsi:type="xsd:double"&gt;-0.67679286&lt;/D&gt;&lt;D xsi:type="xsd:double"&gt;8.233774&lt;/D&gt;&lt;D xsi:type="xsd:double"&gt;-0.29833913&lt;/D&gt;&lt;D xsi:type="xsd:double"&gt;3.0520678&lt;/D&gt;&lt;D xsi:type="xsd:double"&gt;0.8130193&lt;/D&gt;&lt;D xsi:type="xsd:double"&gt;-1.2960851&lt;/D&gt;&lt;D xsi:type="xsd:double"&gt;-1.2844384&lt;/D&gt;&lt;D xsi:type="xsd:double"&gt;-1.9889891&lt;/D&gt;&lt;D xsi:type="xsd:double"&gt;-3.684044&lt;/D&gt;&lt;D xsi:type="xsd:double"&gt;-1.6855776&lt;/D&gt;&lt;D xsi:type="xsd:double"&gt;-2.7035952&lt;/D&gt;&lt;D xsi:type="xsd:double"&gt;-0.44053197&lt;/D&gt;&lt;D xsi:type="xsd:double"&gt;-10.914886&lt;/D&gt;&lt;D xsi:type="xsd:double"&gt;3.5946488&lt;/D&gt;&lt;D xsi:type="xsd:double"&gt;8.490217&lt;/D&gt;&lt;D xsi:type="xsd:double"&gt;2.7900696&lt;/D&gt;&lt;D xsi:type="xsd:double"&gt;-3.6742747&lt;/D&gt;&lt;D xsi:type="xsd:double"&gt;-3.9862514&lt;/D&gt;&lt;D xsi:type="xsd:double"&gt;3.3637404&lt;/D&gt;&lt;D xsi:type="xsd:double"&gt;3.8156986&lt;/D&gt;&lt;D xsi:type="xsd:double"&gt;-1.3869584&lt;/D&gt;&lt;D xsi:type="xsd:double"&gt;-0.84388256&lt;/D&gt;&lt;D xsi:type="xsd:double"&gt;-3.5815597&lt;/D&gt;&lt;D xsi:type="xsd:double"&gt;4.6340585&lt;/D&gt;&lt;D xsi:type="xsd:double"&gt;3.7786722&lt;/D&gt;&lt;D xsi:type="xsd:double"&gt;5.2506804&lt;/D&gt;&lt;D xsi:type="xsd:double"&gt;1.5127182&lt;/D&gt;&lt;D xsi:type="xsd:double"&gt;-1.2048244&lt;/D&gt;&lt;D xsi:type="xsd:double"&gt;9.467268&lt;/D&gt;&lt;D xsi:type="xsd:double"&gt;0.26385784&lt;/D&gt;&lt;D xsi:type="xsd:double"&gt;5.5904984&lt;/D&gt;&lt;D xsi:type="xsd:double"&gt;-3.1152725&lt;/D&gt;&lt;D xsi:type="xsd:double"&gt;3.5077453&lt;/D&gt;&lt;D xsi:type="xsd:double"&gt;1.4967442&lt;/D&gt;&lt;D xsi:type="xsd:double"&gt;-3.1441212&lt;/D&gt;&lt;D xsi:type="xsd:double"&gt;-3.6771119&lt;/D&gt;&lt;D xsi:type="xsd:double"&gt;7.627952&lt;/D&gt;&lt;D xsi:type="xsd:double"&gt;-2.3229718&lt;/D&gt;&lt;D xsi:type="xsd:double"&gt;-1.2320936&lt;/D&gt;&lt;D xsi:type="xsd:double"&gt;-3.8874388&lt;/D&gt;&lt;D xsi:type="xsd:double"&gt;2.3543596&lt;/D&gt;&lt;D xsi:type="xsd:double"&gt;-2.683574&lt;/D&gt;&lt;D xsi:type="xsd:double"&gt;-1.492995&lt;/D&gt;&lt;D xsi:type="xsd:double"&gt;-1.3522208&lt;/D&gt;&lt;D xsi:type="xsd:double"&gt;3.524804&lt;/D&gt;&lt;D xsi:type="xsd:double"&gt;-3.18411&lt;/D&gt;&lt;D xsi:type="xsd:double"&gt;-4.4936476&lt;/D&gt;&lt;D xsi:type="xsd:double"&gt;-3.0685306&lt;/D&gt;&lt;D xsi:type="xsd:double"&gt;2.171445&lt;/D&gt;&lt;D xsi:type="xsd:double"&gt;4.4436812&lt;/D&gt;&lt;D xsi:type="xsd:double"&gt;1.550138&lt;/D&gt;&lt;D xsi:type="xsd:double"&gt;4.9366713&lt;/D&gt;&lt;D xsi:type="xsd:double"&gt;-5.168682&lt;/D&gt;&lt;D xsi:type="xsd:double"&gt;0.09791851&lt;/D&gt;&lt;D xsi:type="xsd:double"&gt;3.5716891&lt;/D&gt;&lt;D xsi:type="xsd:double"&gt;-9.974014&lt;/D&gt;&lt;D xsi:type="xsd:double"&gt;9.202456&lt;/D&gt;&lt;D xsi:type="xsd:double"&gt;-0.5617976&lt;/D&gt;&lt;D xsi:type="xsd:double"&gt;6.4805627&lt;/D&gt;&lt;D xsi:type="xsd:double"&gt;4.7929645&lt;/D&gt;&lt;D xsi:type="xsd:double"&gt;0.6031394&lt;/D&gt;&lt;D xsi:type="xsd:double"&gt;1.588726&lt;/D&gt;&lt;D xsi:type="xsd:double"&gt;-32.75302&lt;/D&gt;&lt;D xsi:type="xsd:double"&gt;11.715651&lt;/D&gt;&lt;D xsi:type="xsd:double"&gt;3.5349607&lt;/D&gt;&lt;D xsi:type="xsd:double"&gt;17.325233&lt;/D&gt;&lt;D xsi:type="xsd:double"&gt;9.14694&lt;/D&gt;&lt;D xsi:type="xsd:double"&gt;4.160464&lt;/D&gt;&lt;D xsi:type="xsd:double"&gt;2.8815985&lt;/D&gt;&lt;D xsi:type="xsd:double"&gt;0.30503273&lt;/D&gt;&lt;D xsi:type="xsd:double"&gt;7.2435856&lt;/D&gt;&lt;D xsi:type="xsd:double"&gt;3.2158256&lt;/D&gt;&lt;D xsi:type="xsd:double"&gt;2.9692888&lt;/D&gt;&lt;D xsi:type="xsd:double"&gt;5.376351&lt;/D&gt;&lt;D xsi:type="xsd:double"&gt;4.638219&lt;/D&gt;&lt;D xsi:type="xsd:double"&gt;7.1143627&lt;/D&gt;&lt;D xsi:type="xsd:double"&gt;0.062072277&lt;/D&gt;&lt;D xsi:type="xsd:double"&gt;0.33967495&lt;/D&gt;&lt;D xsi:type="xsd:double"&gt;-1.1387527&lt;/D&gt;&lt;D xsi:type="xsd:double"&gt;2.709043&lt;/D&gt;&lt;D xsi:type="xsd:double"&gt;-0.29076338&lt;/D&gt;&lt;D xsi:type="xsd:double"&gt;-1.3538778&lt;/D&gt;&lt;D xsi:type="xsd:double"&gt;2.4282098&lt;/D&gt;&lt;D xsi:type="xsd:double"&gt;-5.3078356&lt;/D&gt;&lt;D xsi:type="xsd:double"&gt;0.9544611&lt;/D&gt;&lt;D xsi:type="xsd:double"&gt;-7.072955&lt;/D&gt;&lt;D xsi:type="xsd:double"&gt;-4.4040203&lt;/D&gt;&lt;D xsi:type="xsd:double"&gt;-4.3314934&lt;/D&gt;&lt;D xsi:type="xsd:double"&gt;-9.133726&lt;/D&gt;&lt;D xsi:type="xsd:double"&gt;-8.100235&lt;/D&gt;&lt;D xsi:type="xsd:double"&gt;-2.225089&lt;/D&gt;&lt;D xsi:type="xsd:double"&gt;10.65303&lt;/D&gt;&lt;D xsi:type="xsd:double"&gt;-11.982113&lt;/D&gt;&lt;D xsi:type="xsd:double"&gt;-7.8564224&lt;/D&gt;&lt;D xsi:type="xsd:double"&gt;20.911444&lt;/D&gt;&lt;D xsi:type="xsd:double"&gt;-0.52877665&lt;/D&gt;&lt;D xsi:type="xsd:double"&gt;8.696985&lt;/D&gt;&lt;D xsi:type="xsd:double"&gt;1.0178089&lt;/D&gt;&lt;D xsi:type="xsd:double"&gt;-6.0173454&lt;/D&gt;&lt;D xsi:type="xsd:double"&gt;8.784986&lt;/D&gt;&lt;D xsi:type="xsd:double"&gt;-1.998359&lt;/D&gt;&lt;D xsi:type="xsd:double"&gt;0.36313534&lt;/D&gt;&lt;D xsi:type="xsd:double"&gt;0.94628334&lt;/D&gt;&lt;D xsi:type="xsd:double"&gt;-8.298874&lt;/D&gt;&lt;D xsi:type="xsd:double"&gt;-1.202637&lt;/D&gt;&lt;D xsi:type="xsd:double"&gt;2.5867224&lt;/D&gt;&lt;D xsi:type="xsd:double"&gt;3.025806&lt;/D&gt;&lt;D xsi:type="xsd:double"&gt;13.417792&lt;/D&gt;&lt;D xsi:type="xsd:double"&gt;-4.762477&lt;/D&gt;&lt;D xsi:type="xsd:double"&gt;4.752791&lt;/D&gt;&lt;D xsi:type="xsd:double"&gt;6.805742&lt;/D&gt;&lt;D xsi:type="xsd:double"&gt;-6.3476505&lt;/D&gt;&lt;D xsi:type="xsd:double"&gt;7.1428537&lt;/D&gt;&lt;D xsi:type="xsd:double"&gt;-0.5148232&lt;/D&gt;&lt;D xsi:type="xsd:double"&gt;2.410531&lt;/D&gt;&lt;D xsi:type="xsd:double"&gt;-2.3052692&lt;/D&gt;&lt;/FQL&gt;&lt;FQL&gt;&lt;Q&gt;QQQ^FMA_PE(NTMA,-10AY,0,AM,"PORTAGG","MEANR")&lt;/Q&gt;&lt;R&gt;121&lt;/R&gt;&lt;C&gt;1&lt;/C&gt;&lt;D xsi:type="xsd:double"&gt;17.5522553505286&lt;/D&gt;&lt;D xsi:type="xsd:double"&gt;17.6356018849403&lt;/D&gt;&lt;D xsi:type="xsd:double"&gt;16.1203545631418&lt;/D&gt;&lt;D xsi:type="xsd:double"&gt;17.9690043435943&lt;/D&gt;&lt;D xsi:type="xsd:double"&gt;17.1125729569592&lt;/D&gt;&lt;D xsi:type="xsd:double"&gt;16.9330232799213&lt;/D&gt;&lt;D xsi:type="xsd:double"&gt;17.9161326809444&lt;/D&gt;&lt;D xsi:type="xsd:double"&gt;17.7839476424559&lt;/D&gt;&lt;D xsi:type="xsd:double"&gt;17.9703826145012&lt;/D&gt;&lt;D xsi:type="xsd:double"&gt;18.0342417150186&lt;/D&gt;&lt;D xsi:type="xsd:double"&gt;17.7498095186775&lt;/D&gt;&lt;D xsi:type="xsd:double"&gt;18.2320512403522&lt;/D&gt;&lt;D xsi:type="xsd:double"&gt;18.3615253723083&lt;/D&gt;&lt;D xsi:type="xsd:double"&gt;17.641777813643&lt;/D&gt;&lt;D xsi:type="xsd:double"&gt;17.7982614318244&lt;/D&gt;&lt;D xsi:type="xsd:double"&gt;18.2940359250583&lt;/D&gt;&lt;D xsi:type="xsd:double"&gt;18.6187700823236&lt;/D&gt;&lt;D xsi:type="xsd:double"&gt;16.6737264004486&lt;/D&gt;&lt;D xsi:type="xsd:double"&gt;16.5572251190368&lt;/D&gt;&lt;D xsi:type="xsd:double"&gt;17.5584035523776&lt;/D&gt;&lt;D xsi:type="xsd:double"&gt;18.0607152042005&lt;/D&gt;&lt;D xsi:type="xsd:double"&gt;17.5658389892079&lt;/D&gt;&lt;D xsi:type="xsd:double"&gt;17.537255701942&lt;/D&gt;&lt;D xsi:type="xsd:double"&gt;18.2690755934434&lt;/D&gt;&lt;D xsi:type="xsd:double"&gt;18.7445952066306&lt;/D&gt;&lt;D xsi:type="xsd:double"&gt;18.5111857492327&lt;/D&gt;&lt;D xsi:type="xsd:double"&gt;18.3218733537774&lt;/D&gt;&lt;D xsi:type="xsd:double"&gt;18.0624728255788&lt;/D&gt;&lt;D xsi:type="xsd:double"&gt;18.3237547324015&lt;/D&gt;&lt;D xsi:type="xsd:double"&gt;18.7052007770418&lt;/D&gt;&lt;D xsi:type="xsd:double"&gt;19.9947946125617&lt;/D&gt;&lt;D xsi:type="xsd:double"&gt;20.185105834029&lt;/D&gt;&lt;D xsi:type="xsd:double"&gt;19.7520475929053&lt;/D&gt;&lt;D xsi:type="xsd:double"&gt;20.7911890027279&lt;/D&gt;&lt;D xsi:type="xsd:double"&gt;20.3634873398926&lt;/D&gt;&lt;D xsi:type="xsd:double"&gt;20.6994070110152&lt;/D&gt;&lt;D xsi:type="xsd:double"&gt;20.6106479512643&lt;/D&gt;&lt;D xsi:type="xsd:double"&gt;20.5756923235018&lt;/D&gt;&lt;D xsi:type="xsd:double"&gt;20.6982164241615&lt;/D&gt;&lt;D xsi:type="xsd:double"&gt;20.9342533119566&lt;/D&gt;&lt;D xsi:type="xsd:double"&gt;21.0646955933483&lt;/D&gt;&lt;D xsi:type="xsd:double"&gt;21.6571145852943&lt;/D&gt;&lt;D xsi:type="xsd:double"&gt;20.6398029045591&lt;/D&gt;&lt;D xsi:type="xsd:double"&gt;21.1703525274099&lt;/D&gt;&lt;D xsi:type="xsd:double"&gt;19.9575737911135&lt;/D&gt;&lt;D xsi:type="xsd:double"&gt;20.0849430539057&lt;/D&gt;&lt;D xsi:type="xsd:double"&gt;20.7675877891223&lt;/D&gt;&lt;D xsi:type="xsd:double"&gt;20.9003215009121&lt;/D&gt;&lt;D xsi:type="xsd:double"&gt;20.4551356183335&lt;/D&gt;&lt;D xsi:type="xsd:double"&gt;20.7113743374634&lt;/D&gt;&lt;D xsi:type="xsd:double"&gt;19.8456526582956&lt;/D&gt;&lt;D xsi:type="xsd:double"&gt;18.624333458586&lt;/D&gt;&lt;D xsi:type="xsd:double"&gt;17.8324881299539&lt;/D&gt;&lt;D xsi:type="xsd:double"&gt;18.2922407675878&lt;/D&gt;&lt;D xsi:type="xsd:double"&gt;19.5287904397589&lt;/D&gt;&lt;D xsi:type="xsd:double"&gt;20.1694240256922&lt;/D&gt;&lt;D xsi:type="xsd:double"&gt;20.9889001464117&lt;/D&gt;&lt;D xsi:type="xsd:double"&gt;20.6616798343285&lt;/D&gt;&lt;D xsi:type="xsd:double"&gt;20.2867765968932&lt;/D&gt;&lt;D xsi:type="xsd:double"&gt;21.3798040814673&lt;/D&gt;&lt;D xsi:type="xsd:double"&gt;20.3281675470633&lt;/D&gt;&lt;D xsi:type="xsd:double"&gt;20.7666077829856&lt;/D&gt;&lt;D xsi:type="xsd:double"&gt;20.7695784782364&lt;/D&gt;&lt;D xsi:type="xsd:double"&gt;21.6443772940533&lt;/D&gt;&lt;D xsi:type="xsd:double"&gt;22.3082424046524&lt;/D&gt;&lt;D xsi:type="xsd:double"&gt;23.6171305240042&lt;/D&gt;&lt;D xsi:type="xsd:double"&gt;24.3524418837769&lt;/D&gt;&lt;D xsi:type="xsd:double"&gt;17.8479627174155&lt;/D&gt;&lt;D xsi:type="xsd:double"&gt;24.0479059491882&lt;/D&gt;&lt;D xsi:type="xsd:double"&gt;26.2007836886209&lt;/D&gt;&lt;D xsi:type="xsd:double"&gt;28.179411268836&lt;/D&gt;&lt;D xsi:type="xsd:double"&gt;29.2927273519752&lt;/D&gt;&lt;D xsi:type="xsd:double"&gt;29.2731358670832&lt;/D&gt;&lt;D xsi:type="xsd:double"&gt;28.9561631177321&lt;/D&gt;&lt;D xsi:type="xsd:double"&gt;30.0153744319668&lt;/D&gt;&lt;D xsi:type="xsd:double"&gt;29.319650675041&lt;/D&gt;&lt;D xsi:type="xsd:double"&gt;30.2099021556552&lt;/D&gt;&lt;D xsi:type="xsd:double"&gt;29.6062108879878&lt;/D&gt;&lt;D xsi:type="xsd:double"&gt;30.196017668935&lt;/D&gt;&lt;D xsi:type="xsd:double"&gt;28.1700890191607&lt;/D&gt;&lt;D xsi:type="xsd:double"&gt;29.751079499804&lt;/D&gt;&lt;D xsi:type="xsd:double"&gt;26.6188913359525&lt;/D&gt;&lt;D xsi:type="xsd:double"&gt;27.328312040227&lt;/D&gt;&lt;D xsi:type="xsd:double"&gt;28.3574743047676&lt;/D&gt;&lt;D xsi:type="xsd:double"&gt;27.9768494836886&lt;/D&gt;&lt;D xsi:type="xsd:double"&gt;28.3231408680558&lt;/D&gt;&lt;D xsi:type="xsd:double"&gt;27.5836090791132&lt;/D&gt;&lt;D xsi:type="xsd:double"&gt;29.5419489526961&lt;/D&gt;&lt;D xsi:type="xsd:double"&gt;28.3334966603231&lt;/D&gt;&lt;D xsi:type="xsd:double"&gt;27.7465203051154&lt;/D&gt;&lt;D xsi:type="xsd:double"&gt;25.5824751790352&lt;/D&gt;&lt;D xsi:type="xsd:double"&gt;24.1542419450266&lt;/D&gt;&lt;D xsi:type="xsd:double"&gt;23.892941221234&lt;/D&gt;&lt;D xsi:type="xsd:double"&gt;21.2182669467676&lt;/D&gt;&lt;D xsi:type="xsd:double"&gt;19.1274742382058&lt;/D&gt;&lt;D xsi:type="xsd:double"&gt;20.805062565555&lt;/D&gt;&lt;D xsi:type="xsd:double"&gt;24.287719430973&lt;/D&gt;&lt;D xsi:type="xsd:double"&gt;20.9876374369768&lt;/D&gt;&lt;D xsi:type="xsd:double"&gt;19.1199622976239&lt;/D&gt;&lt;D xsi:type="xsd:double"&gt;21.7853371632005&lt;/D&gt;&lt;D xsi:type="xsd:double"&gt;20.8801568624971&lt;/D&gt;&lt;D xsi:type="xsd:double"&gt;22.0460347216955&lt;/D&gt;&lt;D xsi:type="xsd:double"&gt;23.9604426180014&lt;/D&gt;&lt;D xsi:type="xsd:double"&gt;23.9646164616471&lt;/D&gt;&lt;D xsi:type="xsd:double"&gt;24.7640317989987&lt;/D&gt;&lt;D xsi:type="xsd:double"&gt;24.7046472861628&lt;/D&gt;&lt;D xsi:type="xsd:double"&gt;26.9901385659271&lt;/D&gt;&lt;D xsi:type="xsd:double"&gt;27.214784662849&lt;/D&gt;&lt;D xsi:type="xsd:double"&gt;24.1412772568457&lt;/D&gt;&lt;D xsi:type="xsd:double"&gt;24.0271527181792&lt;/D&gt;&lt;D xsi:type="xsd:double"&gt;23.741695765415&lt;/D&gt;&lt;D xsi:type="xsd:double"&gt;24.4009448699208&lt;/D&gt;&lt;D xsi:type="xsd:double"&gt;24.9407300168327&lt;/D&gt;&lt;D xsi:type="xsd:double"&gt;24.9383324743832&lt;/D&gt;&lt;D xsi:type="xsd:double"&gt;25.9134441825368&lt;/D&gt;&lt;D xsi:type="xsd:double"&gt;25.6801890144076&lt;/D&gt;&lt;D xsi:type="xsd:double"&gt;25.2421952179505&lt;/D&gt;&lt;D xsi:type="xsd:double"&gt;26.1511253858869&lt;/D&gt;&lt;D xsi:type="xsd:double"&gt;27.0549580483565&lt;/D&gt;&lt;D xsi:type="xsd:double"&gt;27.6817575815318&lt;/D&gt;&lt;D xsi:type="xsd:double"&gt;26.4615144898674&lt;/D&gt;&lt;/FQL&gt;&lt;FQL&gt;&lt;Q&gt;EWL^FMA_PE(LTMA,-10AY,0,AM,"PORTAGG","MEANR")&lt;/Q&gt;&lt;R&gt;121&lt;/R&gt;&lt;C&gt;1&lt;/C&gt;&lt;D xsi:type="xsd:double"&gt;17.0882868020366&lt;/D&gt;&lt;D xsi:type="xsd:double"&gt;17.4068840763413&lt;/D&gt;&lt;D xsi:type="xsd:double"&gt;16.2035021232996&lt;/D&gt;&lt;D xsi:type="xsd:double"&gt;17.4709973983293&lt;/D&gt;&lt;D xsi:type="xsd:double"&gt;16.9967853304744&lt;/D&gt;&lt;D xsi:type="xsd:double"&gt;16.0147467139515&lt;/D&gt;&lt;D xsi:type="xsd:double"&gt;17.3349180242138&lt;/D&gt;&lt;D xsi:type="xsd:double"&gt;17.999217545531&lt;/D&gt;&lt;D xsi:type="xsd:double"&gt;18.2192925407691&lt;/D&gt;&lt;D xsi:type="xsd:double"&gt;18.0596897370386&lt;/D&gt;&lt;D xsi:type="xsd:double"&gt;17.8807004496018&lt;/D&gt;&lt;D xsi:type="xsd:double"&gt;18.2803900184392&lt;/D&gt;&lt;D xsi:type="xsd:double"&gt;17.9847158056531&lt;/D&gt;&lt;D xsi:type="xsd:double"&gt;17.4585806294232&lt;/D&gt;&lt;D xsi:type="xsd:double"&gt;17.527806045658&lt;/D&gt;&lt;D xsi:type="xsd:double"&gt;17.2518684280131&lt;/D&gt;&lt;D xsi:type="xsd:double"&gt;17.1850136922794&lt;/D&gt;&lt;D xsi:type="xsd:double"&gt;16.0796320553105&lt;/D&gt;&lt;D xsi:type="xsd:double"&gt;16.3993136518842&lt;/D&gt;&lt;D xsi:type="xsd:double"&gt;16.6348404438483&lt;/D&gt;&lt;D xsi:type="xsd:double"&gt;16.8065920963905&lt;/D&gt;&lt;D xsi:type="xsd:double"&gt;16.8417251235588&lt;/D&gt;&lt;D xsi:type="xsd:double"&gt;16.6874821584834&lt;/D&gt;&lt;D xsi:type="xsd:double"&gt;17.3242519198926&lt;/D&gt;&lt;D xsi:type="xsd:double"&gt;17.8977042685715&lt;/D&gt;&lt;D xsi:type="xsd:double"&gt;17.834477350752&lt;/D&gt;&lt;D xsi:type="xsd:double"&gt;17.9042062599483&lt;/D&gt;&lt;D xsi:type="xsd:double"&gt;17.6213311929522&lt;/D&gt;&lt;D xsi:type="xsd:double"&gt;18.0667534293573&lt;/D&gt;&lt;D xsi:type="xsd:double"&gt;18.7173341123518&lt;/D&gt;&lt;D xsi:type="xsd:double"&gt;19.5541419977943&lt;/D&gt;&lt;D xsi:type="xsd:double"&gt;19.6332294307746&lt;/D&gt;&lt;D xsi:type="xsd:double"&gt;19.4216073651036&lt;/D&gt;&lt;D xsi:type="xsd:double"&gt;19.5985667965988&lt;/D&gt;&lt;D xsi:type="xsd:double"&gt;19.5015116689712&lt;/D&gt;&lt;D xsi:type="xsd:double"&gt;19.4379880252634&lt;/D&gt;&lt;D xsi:type="xsd:double"&gt;19.2468941368554&lt;/D&gt;&lt;D xsi:type="xsd:double"&gt;19.290425718539&lt;/D&gt;&lt;D xsi:type="xsd:double"&gt;19.7558394816679&lt;/D&gt;&lt;D xsi:type="xsd:double"&gt;20.1354640268493&lt;/D&gt;&lt;D xsi:type="xsd:double"&gt;20.5841943457321&lt;/D&gt;&lt;D xsi:type="xsd:double"&gt;20.9877672732329&lt;/D&gt;&lt;D xsi:type="xsd:double"&gt;21.802982471816&lt;/D&gt;&lt;D xsi:type="xsd:double"&gt;20.9690547696546&lt;/D&gt;&lt;D xsi:type="xsd:double"&gt;20.4404360350413&lt;/D&gt;&lt;D xsi:type="xsd:double"&gt;20.1424170398869&lt;/D&gt;&lt;D xsi:type="xsd:double"&gt;19.5135862262678&lt;/D&gt;&lt;D xsi:type="xsd:double"&gt;19.2886541882088&lt;/D&gt;&lt;D xsi:type="xsd:double"&gt;18.876314097956&lt;/D&gt;&lt;D xsi:type="xsd:double"&gt;18.6590302815512&lt;/D&gt;&lt;D xsi:type="xsd:double"&gt;17.812729267128&lt;/D&gt;&lt;D xsi:type="xsd:double"&gt;17.6385673064002&lt;/D&gt;&lt;D xsi:type="xsd:double"&gt;16.9757461007628&lt;/D&gt;&lt;D xsi:type="xsd:double"&gt;17.0696180916569&lt;/D&gt;&lt;D xsi:type="xsd:double"&gt;17.9059655420583&lt;/D&gt;&lt;D xsi:type="xsd:double"&gt;18.3217764710399&lt;/D&gt;&lt;D xsi:type="xsd:double"&gt;18.306203041975&lt;/D&gt;&lt;D xsi:type="xsd:double"&gt;18.1928894950579&lt;/D&gt;&lt;D xsi:type="xsd:double"&gt;18.2649458859688&lt;/D&gt;&lt;D xsi:type="xsd:double"&gt;18.308205506001&lt;/D&gt;&lt;D xsi:type="xsd:double"&gt;18.1158404315763&lt;/D&gt;&lt;D xsi:type="xsd:double"&gt;18.3369166934446&lt;/D&gt;&lt;D xsi:type="xsd:double"&gt;18.42229049868&lt;/D&gt;&lt;D xsi:type="xsd:double"&gt;18.8875719225669&lt;/D&gt;&lt;D xsi:type="xsd:double"&gt;19.3769069592046&lt;/D&gt;&lt;D xsi:type="xsd:double"&gt;19.7799076235185&lt;/D&gt;&lt;D xsi:type="xsd:double"&gt;20.0781761046872&lt;/D&gt;&lt;D xsi:type="xsd:double"&gt;17.4090744063123&lt;/D&gt;&lt;D xsi:type="xsd:double"&gt;18.212240847601&lt;/D&gt;&lt;D xsi:type="xsd:double"&gt;18.7266479224091&lt;/D&gt;&lt;D xsi:type="xsd:double"&gt;19.3174239155145&lt;/D&gt;&lt;D xsi:type="xsd:double"&gt;20.1818772249484&lt;/D&gt;&lt;D xsi:type="xsd:double"&gt;20.3564382882023&lt;/D&gt;&lt;D xsi:type="xsd:double"&gt;21.1032835026455&lt;/D&gt;&lt;D xsi:type="xsd:double"&gt;20.9094031579738&lt;/D&gt;&lt;D xsi:type="xsd:double"&gt;21.4007230445276&lt;/D&gt;&lt;D xsi:type="xsd:double"&gt;21.3296407861815&lt;/D&gt;&lt;D xsi:type="xsd:double"&gt;21.9739840268714&lt;/D&gt;&lt;D xsi:type="xsd:double"&gt;21.3186513541491&lt;/D&gt;&lt;D xsi:type="xsd:double"&gt;20.4787310319916&lt;/D&gt;&lt;D xsi:type="xsd:double"&gt;20.6496100222041&lt;/D&gt;&lt;D xsi:type="xsd:double"&gt;20.4377771470938&lt;/D&gt;&lt;D xsi:type="xsd:double"&gt;20.9641529752954&lt;/D&gt;&lt;D xsi:type="xsd:double"&gt;20.9527683175109&lt;/D&gt;&lt;D xsi:type="xsd:double"&gt;21.1992951302938&lt;/D&gt;&lt;D xsi:type="xsd:double"&gt;20.6971371410375&lt;/D&gt;&lt;D xsi:type="xsd:double"&gt;20.4932502600136&lt;/D&gt;&lt;D xsi:type="xsd:double"&gt;21.0336706925076&lt;/D&gt;&lt;D xsi:type="xsd:double"&gt;21.3713904989815&lt;/D&gt;&lt;D xsi:type="xsd:double"&gt;20.8293094697787&lt;/D&gt;&lt;D xsi:type="xsd:double"&gt;18.6121704858303&lt;/D&gt;&lt;D xsi:type="xsd:double"&gt;18.4563942645293&lt;/D&gt;&lt;D xsi:type="xsd:double"&gt;18.6824282663476&lt;/D&gt;&lt;D xsi:type="xsd:double"&gt;18.1473763038254&lt;/D&gt;&lt;D xsi:type="xsd:double"&gt;17.3744130384502&lt;/D&gt;&lt;D xsi:type="xsd:double"&gt;17.7262674826216&lt;/D&gt;&lt;D xsi:type="xsd:double"&gt;18.3124253664685&lt;/D&gt;&lt;D xsi:type="xsd:double"&gt;17.5624428838475&lt;/D&gt;&lt;D xsi:type="xsd:double"&gt;17.0184135519917&lt;/D&gt;&lt;D xsi:type="xsd:double"&gt;19.4455037564749&lt;/D&gt;&lt;D xsi:type="xsd:double"&gt;20.0034162188729&lt;/D&gt;&lt;D xsi:type="xsd:double"&gt;21.3842478550433&lt;/D&gt;&lt;D xsi:type="xsd:double"&gt;21.2476462152739&lt;/D&gt;&lt;D xsi:type="xsd:double"&gt;20.4341639060226&lt;/D&gt;&lt;D xsi:type="xsd:double"&gt;20.4090133779618&lt;/D&gt;&lt;D xsi:type="xsd:double"&gt;20.1338381405608&lt;/D&gt;&lt;D xsi:type="xsd:double"&gt;19.5036825296999&lt;/D&gt;&lt;D xsi:type="xsd:double"&gt;19.2342469080082&lt;/D&gt;&lt;D xsi:type="xsd:double"&gt;18.8122495233555&lt;/D&gt;&lt;D xsi:type="xsd:double"&gt;18.8701152022807&lt;/D&gt;&lt;D xsi:type="xsd:double"&gt;18.3310970573146&lt;/D&gt;&lt;D xsi:type="xsd:double"&gt;17.7711558289883&lt;/D&gt;&lt;D xsi:type="xsd:double"&gt;18.4520363813571&lt;/D&gt;&lt;D xsi:type="xsd:double"&gt;18.3777869466339&lt;/D&gt;&lt;D xsi:type="xsd:double"&gt;19.0079391164452&lt;/D&gt;&lt;D xsi:type="xsd:double"&gt;19.1993354239204&lt;/D&gt;&lt;D xsi:type="xsd:double"&gt;18.8385651281541&lt;/D&gt;&lt;D xsi:type="xsd:double"&gt;18.943102786662&lt;/D&gt;&lt;D xsi:type="xsd:double"&gt;18.8770717066008&lt;/D&gt;&lt;D xsi:type="xsd:double"&gt;18.936628553194&lt;/D&gt;&lt;D xsi:type="xsd:double"&gt;18.7143750985697&lt;/D&gt;&lt;/FQL&gt;&lt;FQL&gt;&lt;Q&gt;WL-FDS^FG_PRICE(0)/MAX(FG_PRICE(0,-1AY))&lt;/Q&gt;&lt;R&gt;1&lt;/R&gt;&lt;C&gt;1&lt;/C&gt;&lt;D xsi:type="xsd:double"&gt;0.676840450615667&lt;/D&gt;&lt;/FQL&gt;&lt;FQL&gt;&lt;Q&gt;EWD^FG_PRICE_MAVG(0,,,,60)&lt;/Q&gt;&lt;R&gt;1&lt;/R&gt;&lt;C&gt;1&lt;/C&gt;&lt;D xsi:type="xsd:double"&gt;40.44&lt;/D&gt;&lt;/FQL&gt;&lt;FQL&gt;&lt;Q&gt;QQQ^FG_PRICE_MAVG(0,,,,60)&lt;/Q&gt;&lt;R&gt;1&lt;/R&gt;&lt;C&gt;1&lt;/C&gt;&lt;D xsi:type="xsd:double"&gt;470.4165&lt;/D&gt;&lt;/FQL&gt;&lt;FQL&gt;&lt;Q&gt;EWG^FG_PRICE_MAVG(0,,,,60)&lt;/Q&gt;&lt;R&gt;1&lt;/R&gt;&lt;C&gt;1&lt;/C&gt;&lt;D xsi:type="xsd:double"&gt;31.034834&lt;/D&gt;&lt;/FQL&gt;&lt;FQL&gt;&lt;Q&gt;EWD^FG_COMPANY_NAME&lt;/Q&gt;&lt;R&gt;1&lt;/R&gt;&lt;C&gt;1&lt;/C&gt;&lt;D xsi:type="xsd:string"&gt;iShares MSCI Sweden ETF&lt;/D&gt;&lt;/FQL&gt;&lt;FQL&gt;&lt;Q&gt;FXI^FG_TOTAL_RETURNC(0,-6AM)&lt;/Q&gt;&lt;R&gt;1&lt;/R&gt;&lt;C&gt;1&lt;/C&gt;&lt;D xsi:type="xsd:double"&gt;14.626991&lt;/D&gt;&lt;/FQL&gt;&lt;FQL&gt;&lt;Q&gt;EWJ^P_PRICE(0)/P_PRICE_LOW_PR(0,,,,,,"PRICE","INTRA","52W")-1&lt;/Q&gt;&lt;R&gt;1&lt;/R&gt;&lt;C&gt;1&lt;/C&gt;&lt;D xsi:type="xsd:double"&gt;0.21276224&lt;/D&gt;&lt;/FQL&gt;&lt;FQL&gt;&lt;Q&gt;EWQ^P_PRICE(0)/P_PRICE_HIGH_PR(0,,,,,,"PRICE","INTRA","52W")&lt;/Q&gt;&lt;R&gt;1&lt;/R&gt;&lt;C&gt;1&lt;/C&gt;&lt;D xsi:type="xsd:double"&gt;0.91079813&lt;/D&gt;&lt;/FQL&gt;&lt;FQL&gt;&lt;Q&gt;QQQ^FG_TOTAL_RETURNC(0,-12AM)&lt;/Q&gt;&lt;R&gt;1&lt;/R&gt;&lt;C&gt;1&lt;/C&gt;&lt;D xsi:type="xsd:double"&gt;31.931173&lt;/D&gt;&lt;/FQL&gt;&lt;FQL&gt;&lt;Q&gt;EWU^PERCENT_CHANGE(FMA_EPS(+1,0,,,,"PORTAGG","MEAN"),FMA_EPS(+1,-1AM,,,,"PORTAGG","MEAN"))&lt;/Q&gt;&lt;R&gt;1&lt;/R&gt;&lt;C&gt;1&lt;/C&gt;&lt;D xsi:type="xsd:double"&gt;-0.606219442239148&lt;/D&gt;&lt;/FQL&gt;&lt;FQL&gt;&lt;Q&gt;EWJ^FG_TOTAL_RETURNC(0,-1AM)&lt;/Q&gt;&lt;R&gt;1&lt;/R&gt;&lt;C&gt;1&lt;/C&gt;&lt;D xsi:type="xsd:double"&gt;-3.5187721&lt;/D&gt;&lt;/FQL&gt;&lt;FQL&gt;&lt;Q&gt;EWC^FG_TOTAL_RETURNC(0,-6AM)&lt;/Q&gt;&lt;R&gt;1&lt;/R&gt;&lt;C&gt;1&lt;/C&gt;&lt;D xsi:type="xsd:double"&gt;8.07476&lt;/D&gt;&lt;/FQL&gt;&lt;FQL&gt;&lt;Q&gt;ENZL^P_PRICE(0)/P_PRICE_LOW_PR(0,,,,,,"PRICE","INTRA","52W")-1&lt;/Q&gt;&lt;R&gt;1&lt;/R&gt;&lt;C&gt;1&lt;/C&gt;&lt;D xsi:type="xsd:double"&gt;0.17279744&lt;/D&gt;&lt;/FQL&gt;&lt;FQL&gt;&lt;Q&gt;EWJ^FMA_COS_UP("EPS","1M",+1,0,,,"PORTAGG","MEANR")&lt;/Q&gt;&lt;R&gt;1&lt;/R&gt;&lt;C&gt;1&lt;/C&gt;&lt;D xsi:type="xsd:double"&gt;100&lt;/D&gt;&lt;/FQL&gt;&lt;FQL&gt;&lt;Q&gt;EWN^SIZE(FG_CONSTITUENTS)&lt;/Q&gt;&lt;R&gt;1&lt;/R&gt;&lt;C&gt;1&lt;/C&gt;&lt;D xsi:type="xsd:long"&gt;53&lt;/D&gt;&lt;/FQL&gt;&lt;FQL&gt;&lt;Q&gt;EWL^FMA_COS_DOWN("EPS","1M",+1,0,,,"PORTAGG","MEANR")&lt;/Q&gt;&lt;R&gt;1&lt;/R&gt;&lt;C&gt;1&lt;/C&gt;&lt;D xsi:type="xsd:double"&gt;15&lt;/D&gt;&lt;/FQL&gt;&lt;FQL&gt;&lt;Q&gt;EWQ^FMA_ROE(NTMA,-20AY,NOW,FY,"PORTAGG","MEANR")&lt;/Q&gt;&lt;R&gt;20&lt;/R&gt;&lt;C&gt;1&lt;/C&gt;&lt;D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xsi:type="xsd:double"&gt;10.9140096452361&lt;/D&gt;&lt;D xsi:type="xsd:double"&gt;8.94223448408443&lt;/D&gt;&lt;D xsi:type="xsd:double"&gt;12.2539555485597&lt;/D&gt;&lt;D xsi:type="xsd:double"&gt;13.1476341706421&lt;/D&gt;&lt;D xsi:type="xsd:double"&gt;13.2212508616692&lt;/D&gt;&lt;/FQL&gt;&lt;FQL&gt;&lt;Q&gt;TRYID10Y-FDS^FG_YIELD(-10AY,0,Y,,"YTM")&lt;/Q&gt;&lt;R&gt;10&lt;/R&gt;&lt;C&gt;1&lt;/C&gt;&lt;D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xsi:type="xsd:double"&gt;5.1912&lt;/D&gt;&lt;/FQL&gt;&lt;FQL&gt;&lt;Q&gt;CAGDPY@US^EE_ACTUAL_ANNUAL(MED,0)&lt;/Q&gt;&lt;R&gt;1&lt;/R&gt;&lt;C&gt;1&lt;/C&gt;&lt;D xsi:type="xsd:double"&gt;-3.31108668288718&lt;/D&gt;&lt;/FQL&gt;&lt;FQL&gt;&lt;Q&gt;CAGDPY@NZ^EE_ACTUAL_ANNUAL(MED,0)&lt;/Q&gt;&lt;R&gt;1&lt;/R&gt;&lt;C&gt;1&lt;/C&gt;&lt;D xsi:type="xsd:double"&gt;-6.9&lt;/D&gt;&lt;/FQL&gt;&lt;FQL&gt;&lt;Q&gt;USDITL^FG_PRICE(0)&lt;/Q&gt;&lt;R&gt;1&lt;/R&gt;&lt;C&gt;1&lt;/C&gt;&lt;D xsi:type="xsd:double"&gt;1761.6869&lt;/D&gt;&lt;/FQL&gt;&lt;FQL&gt;&lt;Q&gt;USDANG^FG_PRICE(0)&lt;/Q&gt;&lt;R&gt;1&lt;/R&gt;&lt;C&gt;1&lt;/C&gt;&lt;D xsi:type="xsd:double"&gt;1.79&lt;/D&gt;&lt;/FQL&gt;&lt;FQL&gt;&lt;Q&gt;USDUSD^FG_PRICE(0)&lt;/Q&gt;&lt;R&gt;1&lt;/R&gt;&lt;C&gt;1&lt;/C&gt;&lt;D xsi:type="xsd:double"&gt;1&lt;/D&gt;&lt;/FQL&gt;&lt;FQL&gt;&lt;Q&gt;USDGBP^FG_PRICE(0)&lt;/Q&gt;&lt;R&gt;1&lt;/R&gt;&lt;C&gt;1&lt;/C&gt;&lt;D xsi:type="xsd:double"&gt;0.7757049&lt;/D&gt;&lt;/FQL&gt;&lt;FQL&gt;&lt;Q&gt;USDJPY^FG_PRICE(0)&lt;/Q&gt;&lt;R&gt;1&lt;/R&gt;&lt;C&gt;1&lt;/C&gt;&lt;D xsi:type="xsd:double"&gt;147.995&lt;/D&gt;&lt;/FQL&gt;&lt;FQL&gt;&lt;Q&gt;USDCAD^FG_PRICE(0)&lt;/Q&gt;&lt;R&gt;1&lt;/R&gt;&lt;C&gt;1&lt;/C&gt;&lt;D xsi:type="xsd:double"&gt;1.37165&lt;/D&gt;&lt;/FQL&gt;&lt;FQL&gt;&lt;Q&gt;USDNZD^FG_PRICE(0)&lt;/Q&gt;&lt;R&gt;1&lt;/R&gt;&lt;C&gt;1&lt;/C&gt;&lt;D xsi:type="xsd:double"&gt;1.6601644&lt;/D&gt;&lt;/FQL&gt;&lt;FQL&gt;&lt;Q&gt;EWI^P_PRICE_RETURNS_PR('52W',2,-10AY,0,AM)&lt;/Q&gt;&lt;R&gt;121&lt;/R&gt;&lt;C&gt;1&lt;/C&gt;&lt;D xsi:type="xsd:double"&gt;14.121819&lt;/D&gt;&lt;D xsi:type="xsd:double"&gt;17.956913&lt;/D&gt;&lt;D xsi:type="xsd:double"&gt;-8.849394&lt;/D&gt;&lt;D xsi:type="xsd:double"&gt;-3.4235537&lt;/D&gt;&lt;D xsi:type="xsd:double"&gt;-5.7024717&lt;/D&gt;&lt;D xsi:type="xsd:double"&gt;-15.6409855&lt;/D&gt;&lt;D xsi:type="xsd:double"&gt;-10.152167&lt;/D&gt;&lt;D xsi:type="xsd:double"&gt;-11.826343&lt;/D&gt;&lt;D xsi:type="xsd:double"&gt;-13.121301&lt;/D&gt;&lt;D xsi:type="xsd:double"&gt;-1.4556348&lt;/D&gt;&lt;D xsi:type="xsd:double"&gt;-13.42367&lt;/D&gt;&lt;D xsi:type="xsd:double"&gt;-6.7532063&lt;/D&gt;&lt;D xsi:type="xsd:double"&gt;3.3969283&lt;/D&gt;&lt;D xsi:type="xsd:double"&gt;-4.659277&lt;/D&gt;&lt;D xsi:type="xsd:double"&gt;13.138235&lt;/D&gt;&lt;D xsi:type="xsd:double"&gt;1.6073108&lt;/D&gt;&lt;D xsi:type="xsd:double"&gt;4.9318433&lt;/D&gt;&lt;D xsi:type="xsd:double"&gt;-2.026105&lt;/D&gt;&lt;D xsi:type="xsd:double"&gt;-19.843102&lt;/D&gt;&lt;D xsi:type="xsd:double"&gt;-11.370206&lt;/D&gt;&lt;D xsi:type="xsd:double"&gt;-18.545372&lt;/D&gt;&lt;D xsi:type="xsd:double"&gt;-23.813713&lt;/D&gt;&lt;D xsi:type="xsd:double"&gt;-24.353392&lt;/D&gt;&lt;D xsi:type="xsd:double"&gt;-25.23269&lt;/D&gt;&lt;D xsi:type="xsd:double"&gt;-25.605804&lt;/D&gt;&lt;D xsi:type="xsd:double"&gt;-25.625664&lt;/D&gt;&lt;D xsi:type="xsd:double"&gt;-25.738495&lt;/D&gt;&lt;D xsi:type="xsd:double"&gt;-21.919209&lt;/D&gt;&lt;D xsi:type="xsd:double"&gt;-12.321388&lt;/D&gt;&lt;D xsi:type="xsd:double"&gt;-0.61445236&lt;/D&gt;&lt;D xsi:type="xsd:double"&gt;9.656275&lt;/D&gt;&lt;D xsi:type="xsd:double"&gt;5.703509&lt;/D&gt;&lt;D xsi:type="xsd:double"&gt;6.0695767&lt;/D&gt;&lt;D xsi:type="xsd:double"&gt;23.509455&lt;/D&gt;&lt;D xsi:type="xsd:double"&gt;29.839754&lt;/D&gt;&lt;D xsi:type="xsd:double"&gt;34.431435&lt;/D&gt;&lt;D xsi:type="xsd:double"&gt;37.469494&lt;/D&gt;&lt;D xsi:type="xsd:double"&gt;43.043934&lt;/D&gt;&lt;D xsi:type="xsd:double"&gt;46.151173&lt;/D&gt;&lt;D xsi:type="xsd:double"&gt;46.319675&lt;/D&gt;&lt;D xsi:type="xsd:double"&gt;30.741882&lt;/D&gt;&lt;D xsi:type="xsd:double"&gt;38.288464&lt;/D&gt;&lt;D xsi:type="xsd:double"&gt;40.240894&lt;/D&gt;&lt;D xsi:type="xsd:double"&gt;30.625105&lt;/D&gt;&lt;D xsi:type="xsd:double"&gt;38.99108&lt;/D&gt;&lt;D xsi:type="xsd:double"&gt;17.177105&lt;/D&gt;&lt;D xsi:type="xsd:double"&gt;11.173117&lt;/D&gt;&lt;D xsi:type="xsd:double"&gt;4.439056&lt;/D&gt;&lt;D xsi:type="xsd:double"&gt;-7.5170574&lt;/D&gt;&lt;D xsi:type="xsd:double"&gt;-7.0376277&lt;/D&gt;&lt;D xsi:type="xsd:double"&gt;-11.40725&lt;/D&gt;&lt;D xsi:type="xsd:double"&gt;-14.491522&lt;/D&gt;&lt;D xsi:type="xsd:double"&gt;-15.548361&lt;/D&gt;&lt;D xsi:type="xsd:double"&gt;-19.715267&lt;/D&gt;&lt;D xsi:type="xsd:double"&gt;-15.668732&lt;/D&gt;&lt;D xsi:type="xsd:double"&gt;-11.610657&lt;/D&gt;&lt;D xsi:type="xsd:double"&gt;-12.028318&lt;/D&gt;&lt;D xsi:type="xsd:double"&gt;-13.146406&lt;/D&gt;&lt;D xsi:type="xsd:double"&gt;-7.2824774&lt;/D&gt;&lt;D xsi:type="xsd:double"&gt;1.4745951&lt;/D&gt;&lt;D xsi:type="xsd:double"&gt;-0.1401782&lt;/D&gt;&lt;D xsi:type="xsd:double"&gt;3.6741018&lt;/D&gt;&lt;D xsi:type="xsd:double"&gt;11.64403&lt;/D&gt;&lt;D xsi:type="xsd:double"&gt;22.504734&lt;/D&gt;&lt;D xsi:type="xsd:double"&gt;23.918415&lt;/D&gt;&lt;D xsi:type="xsd:double"&gt;21.519554&lt;/D&gt;&lt;D xsi:type="xsd:double"&gt;20.175625&lt;/D&gt;&lt;D xsi:type="xsd:double"&gt;-31.554663&lt;/D&gt;&lt;D xsi:type="xsd:double"&gt;-26.446796&lt;/D&gt;&lt;D xsi:type="xsd:double"&gt;-22.968912&lt;/D&gt;&lt;D xsi:type="xsd:double"&gt;-6.417018&lt;/D&gt;&lt;D xsi:type="xsd:double"&gt;-8.22435&lt;/D&gt;&lt;D xsi:type="xsd:double"&gt;4.7695875&lt;/D&gt;&lt;D xsi:type="xsd:double"&gt;-5.373132&lt;/D&gt;&lt;D xsi:type="xsd:double"&gt;-10.75725&lt;/D&gt;&lt;D xsi:type="xsd:double"&gt;-4.80811&lt;/D&gt;&lt;D xsi:type="xsd:double"&gt;1.8111229&lt;/D&gt;&lt;D xsi:type="xsd:double"&gt;1.4656425&lt;/D&gt;&lt;D xsi:type="xsd:double"&gt;4.5349836&lt;/D&gt;&lt;D xsi:type="xsd:double"&gt;76.84115&lt;/D&gt;&lt;D xsi:type="xsd:double"&gt;64.71742&lt;/D&gt;&lt;D xsi:type="xsd:double"&gt;67.51014&lt;/D&gt;&lt;D xsi:type="xsd:double"&gt;41.284634&lt;/D&gt;&lt;D xsi:type="xsd:double"&gt;25.71392&lt;/D&gt;&lt;D xsi:type="xsd:double"&gt;32.216896&lt;/D&gt;&lt;D xsi:type="xsd:double"&gt;29.99711&lt;/D&gt;&lt;D xsi:type="xsd:double"&gt;37.67246&lt;/D&gt;&lt;D xsi:type="xsd:double"&gt;24.442339&lt;/D&gt;&lt;D xsi:type="xsd:double"&gt;12.5999565&lt;/D&gt;&lt;D xsi:type="xsd:double"&gt;14.752352&lt;/D&gt;&lt;D xsi:type="xsd:double"&gt;9.74518&lt;/D&gt;&lt;D xsi:type="xsd:double"&gt;-5.938101&lt;/D&gt;&lt;D xsi:type="xsd:double"&gt;-6.5641284&lt;/D&gt;&lt;D xsi:type="xsd:double"&gt;-15.094441&lt;/D&gt;&lt;D xsi:type="xsd:double"&gt;-23.896515&lt;/D&gt;&lt;D xsi:type="xsd:double"&gt;-26.003706&lt;/D&gt;&lt;D xsi:type="xsd:double"&gt;-22.38022&lt;/D&gt;&lt;D xsi:type="xsd:double"&gt;-23.981773&lt;/D&gt;&lt;D xsi:type="xsd:double"&gt;-30.722696&lt;/D&gt;&lt;D xsi:type="xsd:double"&gt;-15.108329&lt;/D&gt;&lt;D xsi:type="xsd:double"&gt;-13.165337&lt;/D&gt;&lt;D xsi:type="xsd:double"&gt;-7.8005433&lt;/D&gt;&lt;D xsi:type="xsd:double"&gt;-2.070737&lt;/D&gt;&lt;D xsi:type="xsd:double"&gt;4.4011116&lt;/D&gt;&lt;D xsi:type="xsd:double"&gt;14.228296&lt;/D&gt;&lt;D xsi:type="xsd:double"&gt;19.422102&lt;/D&gt;&lt;D xsi:type="xsd:double"&gt;33.944332&lt;/D&gt;&lt;D xsi:type="xsd:double"&gt;55.708122&lt;/D&gt;&lt;D xsi:type="xsd:double"&gt;30.377209&lt;/D&gt;&lt;D xsi:type="xsd:double"&gt;37.68568&lt;/D&gt;&lt;D xsi:type="xsd:double"&gt;45.639847&lt;/D&gt;&lt;D xsi:type="xsd:double"&gt;22.34851&lt;/D&gt;&lt;D xsi:type="xsd:double"&gt;28.583633&lt;/D&gt;&lt;D xsi:type="xsd:double"&gt;16.740835&lt;/D&gt;&lt;D xsi:type="xsd:double"&gt;16.098642&lt;/D&gt;&lt;D xsi:type="xsd:double"&gt;35.9069&lt;/D&gt;&lt;D xsi:type="xsd:double"&gt;16.690063&lt;/D&gt;&lt;D xsi:type="xsd:double"&gt;30.96882&lt;/D&gt;&lt;D xsi:type="xsd:double"&gt;18.24416&lt;/D&gt;&lt;D xsi:type="xsd:double"&gt;18.90831&lt;/D&gt;&lt;D xsi:type="xsd:double"&gt;23.0484&lt;/D&gt;&lt;/FQL&gt;&lt;FQL&gt;&lt;Q&gt;EWN^FG_TOTAL_RETURNC(-10AY,0,AM)&lt;/Q&gt;&lt;R&gt;121&lt;/R&gt;&lt;C&gt;1&lt;/C&gt;&lt;D xsi:type="xsd:double"&gt;-3.335625&lt;/D&gt;&lt;D xsi:type="xsd:double"&gt;2.7858615&lt;/D&gt;&lt;D xsi:type="xsd:double"&gt;-10.517794&lt;/D&gt;&lt;D xsi:type="xsd:double"&gt;8.544302&lt;/D&gt;&lt;D xsi:type="xsd:double"&gt;-1.7076194&lt;/D&gt;&lt;D xsi:type="xsd:double"&gt;0.21452904&lt;/D&gt;&lt;D xsi:type="xsd:double"&gt;5.6851983&lt;/D&gt;&lt;D xsi:type="xsd:double"&gt;2.328384&lt;/D&gt;&lt;D xsi:type="xsd:double"&gt;2.2754073&lt;/D&gt;&lt;D xsi:type="xsd:double"&gt;4.6988845&lt;/D&gt;&lt;D xsi:type="xsd:double"&gt;-4.0483594&lt;/D&gt;&lt;D xsi:type="xsd:double"&gt;2.6073337&lt;/D&gt;&lt;D xsi:type="xsd:double"&gt;-2.974391&lt;/D&gt;&lt;D xsi:type="xsd:double"&gt;-5.277455&lt;/D&gt;&lt;D xsi:type="xsd:double"&gt;1.9254327&lt;/D&gt;&lt;D xsi:type="xsd:double"&gt;-1.5876174&lt;/D&gt;&lt;D xsi:type="xsd:double"&gt;-1.0006189&lt;/D&gt;&lt;D xsi:type="xsd:double"&gt;-8.682757&lt;/D&gt;&lt;D xsi:type="xsd:double"&gt;1.181817&lt;/D&gt;&lt;D xsi:type="xsd:double"&gt;9.883189&lt;/D&gt;&lt;D xsi:type="xsd:double"&gt;1.3491511&lt;/D&gt;&lt;D xsi:type="xsd:double"&gt;-1.9362688&lt;/D&gt;&lt;D xsi:type="xsd:double"&gt;-3.7844539&lt;/D&gt;&lt;D xsi:type="xsd:double"&gt;1.7494798&lt;/D&gt;&lt;D xsi:type="xsd:double"&gt;5.029845&lt;/D&gt;&lt;D xsi:type="xsd:double"&gt;-1.9886374&lt;/D&gt;&lt;D xsi:type="xsd:double"&gt;0.62111616&lt;/D&gt;&lt;D xsi:type="xsd:double"&gt;-3.16872&lt;/D&gt;&lt;D xsi:type="xsd:double"&gt;1.9124508&lt;/D&gt;&lt;D xsi:type="xsd:double"&gt;3.9496064&lt;/D&gt;&lt;D xsi:type="xsd:double"&gt;3.0881763&lt;/D&gt;&lt;D xsi:type="xsd:double"&gt;5.9124947&lt;/D&gt;&lt;D xsi:type="xsd:double"&gt;-0.521034&lt;/D&gt;&lt;D xsi:type="xsd:double"&gt;9.913958&lt;/D&gt;&lt;D xsi:type="xsd:double"&gt;-0.13614297&lt;/D&gt;&lt;D xsi:type="xsd:double"&gt;2.8130293&lt;/D&gt;&lt;D xsi:type="xsd:double"&gt;3.171146&lt;/D&gt;&lt;D xsi:type="xsd:double"&gt;1.7075896&lt;/D&gt;&lt;D xsi:type="xsd:double"&gt;1.8548131&lt;/D&gt;&lt;D xsi:type="xsd:double"&gt;-1.6326547&lt;/D&gt;&lt;D xsi:type="xsd:double"&gt;0.82987547&lt;/D&gt;&lt;D xsi:type="xsd:double"&gt;4.911387&lt;/D&gt;&lt;D xsi:type="xsd:double"&gt;-2.0179033&lt;/D&gt;&lt;D xsi:type="xsd:double"&gt;0.3406644&lt;/D&gt;&lt;D xsi:type="xsd:double"&gt;1.2654305&lt;/D&gt;&lt;D xsi:type="xsd:double"&gt;-2.1944582&lt;/D&gt;&lt;D xsi:type="xsd:double"&gt;-0.6544113&lt;/D&gt;&lt;D xsi:type="xsd:double"&gt;-0.50949454&lt;/D&gt;&lt;D xsi:type="xsd:double"&gt;-2.979809&lt;/D&gt;&lt;D xsi:type="xsd:double"&gt;-0.23118258&lt;/D&gt;&lt;D xsi:type="xsd:double"&gt;-4.2370024&lt;/D&gt;&lt;D xsi:type="xsd:double"&gt;-1.1406839&lt;/D&gt;&lt;D xsi:type="xsd:double"&gt;-4.7902107&lt;/D&gt;&lt;D xsi:type="xsd:double"&gt;-0.3671348&lt;/D&gt;&lt;D xsi:type="xsd:double"&gt;8.8518505&lt;/D&gt;&lt;D xsi:type="xsd:double"&gt;3.1983733&lt;/D&gt;&lt;D xsi:type="xsd:double"&gt;2.7695298&lt;/D&gt;&lt;D xsi:type="xsd:double"&gt;-1.1389136&lt;/D&gt;&lt;D xsi:type="xsd:double"&gt;-0.6977141&lt;/D&gt;&lt;D xsi:type="xsd:double"&gt;3.733337&lt;/D&gt;&lt;D xsi:type="xsd:double"&gt;-3.4861207&lt;/D&gt;&lt;D xsi:type="xsd:double"&gt;5.4849505&lt;/D&gt;&lt;D xsi:type="xsd:double"&gt;0.82434416&lt;/D&gt;&lt;D xsi:type="xsd:double"&gt;3.3647776&lt;/D&gt;&lt;D xsi:type="xsd:double"&gt;3.0379534&lt;/D&gt;&lt;D xsi:type="xsd:double"&gt;1.0080099&lt;/D&gt;&lt;D xsi:type="xsd:double"&gt;1.4382243&lt;/D&gt;&lt;D xsi:type="xsd:double"&gt;-33.072926&lt;/D&gt;&lt;D xsi:type="xsd:double"&gt;17.4</t>
        </r>
      </text>
    </comment>
    <comment ref="A4" authorId="0" shapeId="0" xr:uid="{B1913E2C-999C-4616-A736-30F4CA93DC43}">
      <text>
        <r>
          <rPr>
            <b/>
            <sz val="9"/>
            <color indexed="81"/>
            <rFont val="Tahoma"/>
            <charset val="1"/>
          </rPr>
          <t>66497&lt;/D&gt;&lt;D xsi:type="xsd:double"&gt;2.4659514&lt;/D&gt;&lt;D xsi:type="xsd:double"&gt;16.427814&lt;/D&gt;&lt;D xsi:type="xsd:double"&gt;6.207323&lt;/D&gt;&lt;D xsi:type="xsd:double"&gt;2.7177094999999998&lt;/D&gt;&lt;D xsi:type="xsd:double"&gt;0.82502365&lt;/D&gt;&lt;D xsi:type="xsd:double"&gt;2.7370214&lt;/D&gt;&lt;D xsi:type="xsd:double"&gt;5.7127237&lt;/D&gt;&lt;D xsi:type="xsd:double"&gt;6.243849&lt;/D&gt;&lt;D xsi:type="xsd:double"&gt;4.95584&lt;/D&gt;&lt;D xsi:type="xsd:double"&gt;8.69565&lt;/D&gt;&lt;D xsi:type="xsd:double"&gt;-3.2258093&lt;/D&gt;&lt;D xsi:type="xsd:double"&gt;7.8888893&lt;/D&gt;&lt;D xsi:type="xsd:double"&gt;-0.6591141&lt;/D&gt;&lt;D xsi:type="xsd:double"&gt;2.6867747&lt;/D&gt;&lt;D xsi:type="xsd:double"&gt;-2.7235746&lt;/D&gt;&lt;D xsi:type="xsd:double"&gt;6.539905&lt;/D&gt;&lt;D xsi:type="xsd:double"&gt;5.0009847&lt;/D&gt;&lt;D xsi:type="xsd:double"&gt;-4.05305&lt;/D&gt;&lt;D xsi:type="xsd:double"&gt;2.6669264&lt;/D&gt;&lt;D xsi:type="xsd:double"&gt;-7.9064426&lt;/D&gt;&lt;D xsi:type="xsd:double"&gt;1.983881&lt;/D&gt;&lt;D xsi:type="xsd:double"&gt;-6.09929&lt;/D&gt;&lt;D xsi:type="xsd:double"&gt;-8.95555&lt;/D&gt;&lt;D xsi:type="xsd:double"&gt;-4.598242&lt;/D&gt;&lt;D xsi:type="xsd:double"&gt;-7.8757706&lt;/D&gt;&lt;D xsi:type="xsd:double"&gt;-7.816333&lt;/D&gt;&lt;D xsi:type="xsd:double"&gt;1.659739&lt;/D&gt;&lt;D xsi:type="xsd:double"&gt;11.020411&lt;/D&gt;&lt;D xsi:type="xsd:double"&gt;-12.053574&lt;/D&gt;&lt;D xsi:type="xsd:double"&gt;-10.839057&lt;/D&gt;&lt;D xsi:type="xsd:double"&gt;26.021433&lt;/D&gt;&lt;D xsi:type="xsd:double"&gt;0.86165667&lt;/D&gt;&lt;D xsi:type="xsd:double"&gt;11.214209&lt;/D&gt;&lt;D xsi:type="xsd:double"&gt;0.7628083&lt;/D&gt;&lt;D xsi:type="xsd:double"&gt;-5.3465843&lt;/D&gt;&lt;D xsi:type="xsd:double"&gt;6.2484384&lt;/D&gt;&lt;D xsi:type="xsd:double"&gt;-0.96448064&lt;/D&gt;&lt;D xsi:type="xsd:double"&gt;3.4502149&lt;/D&gt;&lt;D xsi:type="xsd:double"&gt;4.736483&lt;/D&gt;&lt;D xsi:type="xsd:double"&gt;-7.20461&lt;/D&gt;&lt;D xsi:type="xsd:double"&gt;-6.2350693&lt;/D&gt;&lt;D xsi:type="xsd:double"&gt;-3.4267545&lt;/D&gt;&lt;D xsi:type="xsd:double"&gt;9.840393&lt;/D&gt;&lt;D xsi:type="xsd:double"&gt;7.234299&lt;/D&gt;&lt;D xsi:type="xsd:double"&gt;-3.1879663&lt;/D&gt;&lt;D xsi:type="xsd:double"&gt;10.186481&lt;/D&gt;&lt;D xsi:type="xsd:double"&gt;1.8616438&lt;/D&gt;&lt;D xsi:type="xsd:double"&gt;0.22844076&lt;/D&gt;&lt;D xsi:type="xsd:double"&gt;6.6721916&lt;/D&gt;&lt;D xsi:type="xsd:double"&gt;-0.99344254&lt;/D&gt;&lt;D xsi:type="xsd:double"&gt;3.7500024&lt;/D&gt;&lt;D xsi:type="xsd:double"&gt;-4.7427773&lt;/D&gt;&lt;/FQL&gt;&lt;FQL&gt;&lt;Q&gt;SPY^FMA_DIV_YLD(NTMA,-10AY,0,AM,"PORTAGG","MEANR")&lt;/Q&gt;&lt;R&gt;121&lt;/R&gt;&lt;C&gt;1&lt;/C&gt;&lt;D xsi:type="xsd:double"&gt;2.13136459463603&lt;/D&gt;&lt;D xsi:type="xsd:double"&gt;2.10049106097684&lt;/D&gt;&lt;D xsi:type="xsd:double"&gt;2.26515013292416&lt;/D&gt;&lt;D xsi:type="xsd:double"&gt;2.08981761912827&lt;/D&gt;&lt;D xsi:type="xsd:double"&gt;2.18460816672725&lt;/D&gt;&lt;D xsi:type="xsd:double"&gt;2.15191508541109&lt;/D&gt;&lt;D xsi:type="xsd:double"&gt;2.10604062913922&lt;/D&gt;&lt;D xsi:type="xsd:double"&gt;2.16485873138944&lt;/D&gt;&lt;D xsi:type="xsd:double"&gt;2.14659733903571&lt;/D&gt;&lt;D xsi:type="xsd:double"&gt;2.14130476720364&lt;/D&gt;&lt;D xsi:type="xsd:double"&gt;2.1749516871567&lt;/D&gt;&lt;D xsi:type="xsd:double"&gt;2.14949469554021&lt;/D&gt;&lt;D xsi:type="xsd:double"&gt;2.21045830907253&lt;/D&gt;&lt;D xsi:type="xsd:double"&gt;2.32971630241325&lt;/D&gt;&lt;D xsi:type="xsd:double"&gt;2.29143583581959&lt;/D&gt;&lt;D xsi:type="xsd:double"&gt;2.3018289534857&lt;/D&gt;&lt;D xsi:type="xsd:double"&gt;2.27630441059823&lt;/D&gt;&lt;D xsi:type="xsd:double"&gt;2.52577322652888&lt;/D&gt;&lt;D xsi:type="xsd:double"&gt;2.45182025901469&lt;/D&gt;&lt;D xsi:type="xsd:double"&gt;2.47519773454617&lt;/D&gt;&lt;D xsi:type="xsd:double"&gt;2.29179874134034&lt;/D&gt;&lt;D xsi:type="xsd:double"&gt;2.29270141173246&lt;/D&gt;&lt;D xsi:type="xsd:double"&gt;2.29870510074236&lt;/D&gt;&lt;D xsi:type="xsd:double"&gt;2.21862376707666&lt;/D&gt;&lt;D xsi:type="xsd:double"&gt;2.20973600510865&lt;/D&gt;&lt;D xsi:type="xsd:double"&gt;2.25397209924511&lt;/D&gt;&lt;D xsi:type="xsd:double"&gt;2.25893253253315&lt;/D&gt;&lt;D xsi:type="xsd:double"&gt;2.23111977132151&lt;/D&gt;&lt;D xsi:type="xsd:double"&gt;2.16622740508032&lt;/D&gt;&lt;D xsi:type="xsd:double"&gt;2.1612069884052&lt;/D&gt;&lt;D xsi:type="xsd:double"&gt;2.11591318536797&lt;/D&gt;&lt;D xsi:type="xsd:double"&gt;2.09555923684116&lt;/D&gt;&lt;D xsi:type="xsd:double"&gt;2.15093950389525&lt;/D&gt;&lt;D xsi:type="xsd:double"&gt;2.1030063219892&lt;/D&gt;&lt;D xsi:type="xsd:double"&gt;2.08657704583377&lt;/D&gt;&lt;D xsi:type="xsd:double"&gt;2.08852115986716&lt;/D&gt;&lt;D xsi:type="xsd:double"&gt;2.09439642343126&lt;/D&gt;&lt;D xsi:type="xsd:double"&gt;2.07624463005682&lt;/D&gt;&lt;D xsi:type="xsd:double"&gt;2.03626003684428&lt;/D&gt;&lt;D xsi:type="xsd:double"&gt;2.01591495407764&lt;/D&gt;&lt;D xsi:type="xsd:double"&gt;1.95603580738629&lt;/D&gt;&lt;D xsi:type="xsd:double"&gt;1.89948996704426&lt;/D&gt;&lt;D xsi:type="xsd:double"&gt;1.96390334886112&lt;/D&gt;&lt;D xsi:type="xsd:double"&gt;1.96977148500469&lt;/D&gt;&lt;D xsi:type="xsd:double"&gt;2.04032808651714&lt;/D&gt;&lt;D xsi:type="xsd:double"&gt;2.02763844181935&lt;/D&gt;&lt;D xsi:type="xsd:double"&gt;1.99631000648542&lt;/D&gt;&lt;D xsi:type="xsd:double"&gt;2.00733265014852&lt;/D&gt;&lt;D xsi:type="xsd:double"&gt;1.99409545874422&lt;/D&gt;&lt;D xsi:type="xsd:double"&gt;1.95855025211312&lt;/D&gt;&lt;D xsi:type="xsd:double"&gt;2.03741055462061&lt;/D&gt;&lt;D xsi:type="xsd:double"&gt;2.09826917852094&lt;/D&gt;&lt;D xsi:type="xsd:double"&gt;2.22468361929695&lt;/D&gt;&lt;D xsi:type="xsd:double"&gt;2.22647483711775&lt;/D&gt;&lt;D xsi:type="xsd:double"&gt;2.10816995418462&lt;/D&gt;&lt;D xsi:type="xsd:double"&gt;2.08796241289004&lt;/D&gt;&lt;D xsi:type="xsd:double"&gt;2.04617355703626&lt;/D&gt;&lt;D xsi:type="xsd:double"&gt;2.07810776333145&lt;/D&gt;&lt;D xsi:type="xsd:double"&gt;2.08347783361545&lt;/D&gt;&lt;D xsi:type="xsd:double"&gt;2.0125872514471&lt;/D&gt;&lt;D xsi:type="xsd:double"&gt;2.10223589044411&lt;/D&gt;&lt;D xsi:type="xsd:double"&gt;2.03704385475072&lt;/D&gt;&lt;D xsi:type="xsd:double"&gt;2.05200735164575&lt;/D&gt;&lt;D xsi:type="xsd:double"&gt;1.98048412665362&lt;/D&gt;&lt;D xsi:type="xsd:double"&gt;1.95405146802254&lt;/D&gt;&lt;D xsi:type="xsd:double"&gt;1.89155392105798&lt;/D&gt;&lt;D xsi:type="xsd:double"&gt;1.86880880341935&lt;/D&gt;&lt;D xsi:type="xsd:double"&gt;2.65268542808872&lt;/D&gt;&lt;D xsi:type="xsd:double"&gt;2.20908740226298&lt;/D&gt;&lt;D xsi:type="xsd:double"&gt;2.11694031426935&lt;/D&gt;&lt;D xsi:type="xsd:double"&gt;1.92870320168378&lt;/D&gt;&lt;D xsi:type="xsd:double"&gt;1.84985053877432&lt;/D&gt;&lt;D xsi:type="xsd:double"&gt;1.76604733669597&lt;/D&gt;&lt;D xsi:type="xsd:double"&gt;1.7638602354804&lt;/D&gt;&lt;D xsi:type="xsd:double"&gt;1.71781403188247&lt;/D&gt;&lt;D xsi:type="xsd:double"&gt;1.65077279698707&lt;/D&gt;&lt;D xsi:type="xsd:double"&gt;1.62475218698297&lt;/D&gt;&lt;D xsi:type="xsd:double"&gt;1.5775018427107&lt;/D&gt;&lt;D xsi:type="xsd:double"&gt;1.5259914164014&lt;/D&gt;&lt;D xsi:type="xsd:double"&gt;1.52477243991825&lt;/D&gt;&lt;D xsi:type="xsd:double"&gt;1.45404538058657&lt;/D&gt;&lt;D xsi:type="xsd:double"&gt;1.46399396038855&lt;/D&gt;&lt;D xsi:type="xsd:double"&gt;1.46114918268773&lt;/D&gt;&lt;D xsi:type="xsd:double"&gt;1.44720079678292&lt;/D&gt;&lt;D xsi:type="xsd:double"&gt;1.40772997627007&lt;/D&gt;&lt;D xsi:type="xsd:double"&gt;1.4184948706741&lt;/D&gt;&lt;D xsi:type="xsd:double"&gt;1.42808819406719&lt;/D&gt;&lt;D xsi:type="xsd:double"&gt;1.36550659413435&lt;/D&gt;&lt;D xsi:type="xsd:double"&gt;1.38403985052654&lt;/D&gt;&lt;D xsi:type="xsd:double"&gt;1.3889646343913&lt;/D&gt;&lt;D xsi:type="xsd:double"&gt;1.46961335012318&lt;/D&gt;&lt;D xsi:type="xsd:double"&gt;1.51170261321716&lt;/D&gt;&lt;D xsi:type="xsd:double"&gt;1.50092306664373&lt;/D&gt;&lt;D xsi:type="xsd:double"&gt;1.65578679598593&lt;/D&gt;&lt;D xsi:type="xsd:double"&gt;1.82312613810924&lt;/D&gt;&lt;D xsi:type="xsd:double"&gt;1.74251139986071&lt;/D&gt;&lt;D xsi:type="xsd:double"&gt;1.57896901257713&lt;/D&gt;&lt;D xsi:type="xsd:double"&gt;1.76811468423436&lt;/D&gt;&lt;D xsi:type="xsd:double"&gt;1.91812858833878&lt;/D&gt;&lt;D xsi:type="xsd:double"&gt;1.74826013383651&lt;/D&gt;&lt;D xsi:type="xsd:double"&gt;1.80075888721467&lt;/D&gt;&lt;D xsi:type="xsd:double"&gt;1.73961899362625&lt;/D&gt;&lt;D xsi:type="xsd:double"&gt;1.71358064323107&lt;/D&gt;&lt;D xsi:type="xsd:double"&gt;1.77420086254479&lt;/D&gt;&lt;D xsi:type="xsd:double"&gt;1.70731728780856&lt;/D&gt;&lt;D xsi:type="xsd:double"&gt;1.71653664686665&lt;/D&gt;&lt;D xsi:type="xsd:double"&gt;1.61157747666026&lt;/D&gt;&lt;D xsi:type="xsd:double"&gt;1.58004168013691&lt;/D&gt;&lt;D xsi:type="xsd:double"&gt;1.62929489735498&lt;/D&gt;&lt;D xsi:type="xsd:double"&gt;1.61919387486331&lt;/D&gt;&lt;D xsi:type="xsd:double"&gt;1.66155989026387&lt;/D&gt;&lt;D xsi:type="xsd:double"&gt;1.61725259076869&lt;/D&gt;&lt;D xsi:type="xsd:double"&gt;1.56190930526095&lt;/D&gt;&lt;D xsi:type="xsd:double"&gt;1.54852122648776&lt;/D&gt;&lt;D xsi:type="xsd:double"&gt;1.49617722577808&lt;/D&gt;&lt;D xsi:type="xsd:double"&gt;1.47028211383946&lt;/D&gt;&lt;D xsi:type="xsd:double"&gt;1.49326659425746&lt;/D&gt;&lt;D xsi:type="xsd:double"&gt;1.44270209504736&lt;/D&gt;&lt;D xsi:type="xsd:double"&gt;1.4160772397766&lt;/D&gt;&lt;D xsi:type="xsd:double"&gt;1.36126080325768&lt;/D&gt;&lt;D xsi:type="xsd:double"&gt;1.39717492778089&lt;/D&gt;&lt;/FQL&gt;&lt;FQL&gt;&lt;Q&gt;EWU^FMA_PE(NTMA,-10AY,0,AM,"PORTAGG","MEANR")&lt;/Q&gt;&lt;R&gt;121&lt;/R&gt;&lt;C&gt;1&lt;/C&gt;&lt;D xsi:type="xsd:double"&gt;13.3444614365721&lt;/D&gt;&lt;D xsi:type="xsd:double"&gt;13.332448210597&lt;/D&gt;&lt;D xsi:type="xsd:double"&gt;12.267113013665&lt;/D&gt;&lt;D xsi:type="xsd:double"&gt;13.359123205152&lt;/D&gt;&lt;D xsi:type="xsd:double"&gt;13.315792924425&lt;/D&gt;&lt;D xsi:type="xsd:double"&gt;14.2009914453255&lt;/D&gt;&lt;D xsi:type="xsd:double"&gt;15.5036702680426&lt;/D&gt;&lt;D xsi:type="xsd:double"&gt;15.3190241073252&lt;/D&gt;&lt;D xsi:type="xsd:double"&gt;16.1449750252475&lt;/D&gt;&lt;D xsi:type="xsd:double"&gt;16.1600649341813&lt;/D&gt;&lt;D xsi:type="xsd:double"&gt;15.4122699758374&lt;/D&gt;&lt;D xsi:type="xsd:double"&gt;15.6207915823302&lt;/D&gt;&lt;D xsi:type="xsd:double"&gt;15.1121240671255&lt;/D&gt;&lt;D xsi:type="xsd:double"&gt;14.6584758735676&lt;/D&gt;&lt;D xsi:type="xsd:double"&gt;15.2865242054251&lt;/D&gt;&lt;D xsi:type="xsd:double"&gt;14.9319701768016&lt;/D&gt;&lt;D xsi:type="xsd:double"&gt;14.7986659572759&lt;/D&gt;&lt;D xsi:type="xsd:double"&gt;14.588535689747&lt;/D&gt;&lt;D xsi:type="xsd:double"&gt;14.9591675640227&lt;/D&gt;&lt;D xsi:type="xsd:double"&gt;16.1090028488745&lt;/D&gt;&lt;D xsi:type="xsd:double"&gt;16.4650163840602&lt;/D&gt;&lt;D xsi:type="xsd:double"&gt;15.7458663751402&lt;/D&gt;&lt;D xsi:type="xsd:double"&gt;14.9133799567984&lt;/D&gt;&lt;D xsi:type="xsd:double"&gt;16.0757875614766&lt;/D&gt;&lt;D xsi:type="xsd:double"&gt;16.2311704386748&lt;/D&gt;&lt;D xsi:type="xsd:double"&gt;15.4392493465808&lt;/D&gt;&lt;D xsi:type="xsd:double"&gt;15.2921689664295&lt;/D&gt;&lt;D xsi:type="xsd:double"&gt;14.2819957302112&lt;/D&gt;&lt;D xsi:type="xsd:double"&gt;14.3474304248576&lt;/D&gt;&lt;D xsi:type="xsd:double"&gt;14.4966975516942&lt;/D&gt;&lt;D xsi:type="xsd:double"&gt;14.5038622224306&lt;/D&gt;&lt;D xsi:type="xsd:double"&gt;14.5396167948266&lt;/D&gt;&lt;D xsi:type="xsd:double"&gt;14.4367506231128&lt;/D&gt;&lt;D xsi:type="xsd:double"&gt;14.8568791942062&lt;/D&gt;&lt;D xsi:type="xsd:double"&gt;14.6005985663932&lt;/D&gt;&lt;D xsi:type="xsd:double"&gt;14.6428872665172&lt;/D&gt;&lt;D xsi:type="xsd:double"&gt;14.5950374984314&lt;/D&gt;&lt;D xsi:type="xsd:double"&gt;14.4170380507208&lt;/D&gt;&lt;D xsi:type="xsd:double"&gt;14.6401650337828&lt;/D&gt;&lt;D xsi:type="xsd:double"&gt;14.2416734169839&lt;/D&gt;&lt;D xsi:type="xsd:double"&gt;14.4019127183173&lt;/D&gt;&lt;D xsi:type="xsd:double"&gt;14.7636625850495&lt;/D&gt;&lt;D xsi:type="xsd:double"&gt;13.7878042820511&lt;/D&gt;&lt;D xsi:type="xsd:double"&gt;13.3941611708345&lt;/D&gt;&lt;D xsi:type="xsd:double"&gt;13.4730527474874&lt;/D&gt;&lt;D xsi:type="xsd:double"&gt;13.924082859252&lt;/D&gt;&lt;D xsi:type="xsd:double"&gt;13.3985313166073&lt;/D&gt;&lt;D xsi:type="xsd:double"&gt;13.1177515617698&lt;/D&gt;&lt;D xsi:type="xsd:double"&gt;12.7859704950686&lt;/D&gt;&lt;D xsi:type="xsd:double"&gt;12.4504938608424&lt;/D&gt;&lt;D xsi:type="xsd:double"&gt;11.9416392831034&lt;/D&gt;&lt;D xsi:type="xsd:double"&gt;11.7389457056459&lt;/D&gt;&lt;D xsi:type="xsd:double"&gt;11.5319316797168&lt;/D&gt;&lt;D xsi:type="xsd:double"&gt;11.7978186730667&lt;/D&gt;&lt;D xsi:type="xsd:double"&gt;12.4858689884881&lt;/D&gt;&lt;D xsi:type="xsd:double"&gt;12.5998477189738&lt;/D&gt;&lt;D xsi:type="xsd:double"&gt;12.8250625697515&lt;/D&gt;&lt;D xsi:type="xsd:double"&gt;12.4075844990438&lt;/D&gt;&lt;D xsi:type="xsd:double"&gt;12.3915818170832&lt;/D&gt;&lt;D xsi:type="xsd:double"&gt;12.7216613054414&lt;/D&gt;&lt;D xsi:type="xsd:double"&gt;11.8193339124949&lt;/D&gt;&lt;D xsi:type="xsd:double"&gt;12.3328378149318&lt;/D&gt;&lt;D xsi:type="xsd:double"&gt;12.3823482531337&lt;/D&gt;&lt;D xsi:type="xsd:double"&gt;12.8093557297984&lt;/D&gt;&lt;D xsi:type="xsd:double"&gt;13.5018524980783&lt;/D&gt;&lt;D xsi:type="xsd:double"&gt;13.5285787661328&lt;/D&gt;&lt;D xsi:type="xsd:double"&gt;13.3222757348879&lt;/D&gt;&lt;D xsi:type="xsd:double"&gt;9.82550177462617&lt;/D&gt;&lt;D xsi:type="xsd:double"&gt;13.1505023719581&lt;/D&gt;&lt;D xsi:type="xsd:double"&gt;14.8021039322617&lt;/D&gt;&lt;D xsi:type="xsd:double"&gt;16.2300983473111&lt;/D&gt;&lt;D xsi:type="xsd:double"&gt;15.9524987441654&lt;/D&gt;&lt;D xsi:type="xsd:double"&gt;15.6042544400547&lt;/D&gt;&lt;D xsi:type="xsd:double"&gt;15.1432472722823&lt;/D&gt;&lt;D xsi:type="xsd:double"&gt;14.1626001383064&lt;/D&gt;&lt;D xsi:type="xsd:double"&gt;14.8917310834951&lt;/D&gt;&lt;D xsi:type="xsd:double"&gt;14.8225027464888&lt;/D&gt;&lt;D xsi:type="xsd:double"&gt;14.4658410277029&lt;/D&gt;&lt;D xsi:type="xsd:double"&gt;14.4386023172285&lt;/D&gt;&lt;D xsi:type="xsd:double"&gt;14.0597898092239&lt;/D&gt;&lt;D xsi:type="xsd:double"&gt;13.6239907653747&lt;/D&gt;&lt;D xsi:type="xsd:double"&gt;13.2932794935941&lt;/D&gt;&lt;D xsi:type="xsd:double"&gt;13.3411078762105&lt;/D&gt;&lt;D xsi:type="xsd:double"&gt;12.3717236570517&lt;/D&gt;&lt;D xsi:type="xsd:double"&gt;12.3169168899675&lt;/D&gt;&lt;D xsi:type="xsd:double"&gt;11.9112347264354&lt;/D&gt;&lt;D xsi:type="xsd:double"&gt;12.3312080296527&lt;/D&gt;&lt;D xsi:type="xsd:double"&gt;12.1240376577019&lt;/D&gt;&lt;D xsi:type="xsd:double"&gt;11.9557285132214&lt;/D&gt;&lt;D xsi:type="xsd:double"&gt;12.4176897680866&lt;/D&gt;&lt;D xsi:type="xsd:double"&gt;12.2969620496214&lt;/D&gt;&lt;D xsi:type="xsd:double"&gt;11.4385214547711&lt;/D&gt;&lt;D xsi:type="xsd:double"&gt;11.200315076168&lt;/D&gt;&lt;D xsi:type="xsd:double"&gt;10.2927151858982&lt;/D&gt;&lt;D xsi:type="xsd:double"&gt;9.60761006375976&lt;/D&gt;&lt;D xsi:type="xsd:double"&gt;9.46011955386771&lt;/D&gt;&lt;D xsi:type="xsd:double"&gt;9.84534544627731&lt;/D&gt;&lt;D xsi:type="xsd:double"&gt;9.09164987032647&lt;/D&gt;&lt;D xsi:type="xsd:double"&gt;8.59433106402894&lt;/D&gt;&lt;D xsi:type="xsd:double"&gt;9.50885490054345&lt;/D&gt;&lt;D xsi:type="xsd:double"&gt;9.65535588189498&lt;/D&gt;&lt;D xsi:type="xsd:double"&gt;10.4368937580466&lt;/D&gt;&lt;D xsi:type="xsd:double"&gt;10.6840512796409&lt;/D&gt;&lt;D xsi:type="xsd:double"&gt;9.84738782387243&lt;/D&gt;&lt;D xsi:type="xsd:double"&gt;10.7947377399375&lt;/D&gt;&lt;D xsi:type="xsd:double"&gt;10.514034128601&lt;/D&gt;&lt;D xsi:type="xsd:double"&gt;10.501131766694&lt;/D&gt;&lt;D xsi:type="xsd:double"&gt;10.4534688103248&lt;/D&gt;&lt;D xsi:type="xsd:double"&gt;10.278271487339&lt;/D&gt;&lt;D xsi:type="xsd:double"&gt;10.6280803955166&lt;/D&gt;&lt;D xsi:type="xsd:double"&gt;10.4092208427928&lt;/D&gt;&lt;D xsi:type="xsd:double"&gt;10.2359533155736&lt;/D&gt;&lt;D xsi:type="xsd:double"&gt;10.7231849013422&lt;/D&gt;&lt;D xsi:type="xsd:double"&gt;10.8547136578201&lt;/D&gt;&lt;D xsi:type="xsd:double"&gt;11.200519506706&lt;/D&gt;&lt;D xsi:type="xsd:double"&gt;11.2977686473104&lt;/D&gt;&lt;D xsi:type="xsd:double"&gt;11.2104978447862&lt;/D&gt;&lt;D xsi:type="xsd:double"&gt;11.9651771539681&lt;/D&gt;&lt;D xsi:type="xsd:double"&gt;11.3962732452463&lt;/D&gt;&lt;D xsi:type="xsd:double"&gt;11.5128040638974&lt;/D&gt;&lt;D xsi:type="xsd:double"&gt;11.5414386627185&lt;/D&gt;&lt;/FQL&gt;&lt;FQL&gt;&lt;Q&gt;EWJ^FMA_PE(LTMA,-10AY,0,AM,"PORTAGG","MEANR")&lt;/Q&gt;&lt;R&gt;121&lt;/R&gt;&lt;C&gt;1&lt;/C&gt;&lt;D xsi:type="xsd:double"&gt;15.0610325712805&lt;/D&gt;&lt;D xsi:type="xsd:double"&gt;15.21820114666&lt;/D&gt;&lt;D xsi:type="xsd:double"&gt;14.2081279245576&lt;/D&gt;&lt;D xsi:type="xsd:double"&gt;15.9825767546697&lt;/D&gt;&lt;D xsi:type="xsd:double"&gt;15.1389187737593&lt;/D&gt;&lt;D xsi:type="xsd:double"&gt;15.3457663960416&lt;/D&gt;&lt;D xsi:type="xsd:double"&gt;16.0616306388166&lt;/D&gt;&lt;D xsi:type="xsd:double"&gt;16.9166563213403&lt;/D&gt;&lt;D xsi:type="xsd:double"&gt;16.9301573254941&lt;/D&gt;&lt;D xsi:type="xsd:double"&gt;16.9673189602694&lt;/D&gt;&lt;D xsi:type="xsd:double"&gt;16.9474837296666&lt;/D&gt;&lt;D xsi:type="xsd:double"&gt;16.8687928445974&lt;/D&gt;&lt;D xsi:type="xsd:double"&gt;16.7898805113723&lt;/D&gt;&lt;D xsi:type="xsd:double"&gt;15.3845871301627&lt;/D&gt;&lt;D xsi:type="xsd:double"&gt;15.4915291469703&lt;/D&gt;&lt;D xsi:type="xsd:double"&gt;16.018040461289&lt;/D&gt;&lt;D xsi:type="xsd:double"&gt;15.6169226650516&lt;/D&gt;&lt;D xsi:type="xsd:double"&gt;14.3185797866969&lt;/D&gt;&lt;D xsi:type="xsd:double"&gt;13.5964191542678&lt;/D&gt;&lt;D xsi:type="xsd:double"&gt;13.8870820654403&lt;/D&gt;&lt;D xsi:type="xsd:double"&gt;13.8661892851473&lt;/D&gt;&lt;D xsi:type="xsd:double"&gt;13.8446212613597&lt;/D&gt;&lt;D xsi:type="xsd:double"&gt;13.620921066455&lt;/D&gt;&lt;D xsi:type="xsd:double"&gt;14.1554741515511&lt;/D&gt;&lt;D xsi:type="xsd:double"&gt;13.9958918722082&lt;/D&gt;&lt;D xsi:type="xsd:double"&gt;14.1347798618028&lt;/D&gt;&lt;D xsi:type="xsd:double"&gt;14.3625418902155&lt;/D&gt;&lt;D xsi:type="xsd:double"&gt;15.1260714621436&lt;/D&gt;&lt;D xsi:type="xsd:double"&gt;16.6375511216123&lt;/D&gt;&lt;D xsi:type="xsd:double"&gt;16.6314603625066&lt;/D&gt;&lt;D xsi:type="xsd:double"&gt;16.2948787858509&lt;/D&gt;&lt;D xsi:type="xsd:double"&gt;15.9219599290247&lt;/D&gt;&lt;D xsi:type="xsd:double"&gt;15.5214720725998&lt;/D&gt;&lt;D xsi:type="xsd:double"&gt;15.7317324587191&lt;/D&gt;&lt;D xsi:type="xsd:double"&gt;15.6225392401355&lt;/D&gt;&lt;D xsi:type="xsd:double"&gt;15.5096257915626&lt;/D&gt;&lt;D xsi:type="xsd:double"&gt;15.1208385608699&lt;/D&gt;&lt;D xsi:type="xsd:double"&gt;14.8375425128559&lt;/D&gt;&lt;D xsi:type="xsd:double"&gt;15.1915829336664&lt;/D&gt;&lt;D xsi:type="xsd:double"&gt;15.5561215758204&lt;/D&gt;&lt;D xsi:type="xsd:double"&gt;16.0437526856346&lt;/D&gt;&lt;D xsi:type="xsd:double"&gt;17.0077464648049&lt;/D&gt;&lt;D xsi:type="xsd:double"&gt;15.0221899402473&lt;/D&gt;&lt;D xsi:type="xsd:double"&gt;14.3822592309669&lt;/D&gt;&lt;D xsi:type="xsd:double"&gt;14.238339132067&lt;/D&gt;&lt;D xsi:type="xsd:double"&gt;14.2922238149819&lt;/D&gt;&lt;D xsi:type="xsd:double"&gt;14.167236305793&lt;/D&gt;&lt;D xsi:type="xsd:double"&gt;13.867163444857&lt;/D&gt;&lt;D xsi:type="xsd:double"&gt;13.5245951063148&lt;/D&gt;&lt;D xsi:type="xsd:double"&gt;13.5555643097804&lt;/D&gt;&lt;D xsi:type="xsd:double"&gt;13.158523105799&lt;/D&gt;&lt;D xsi:type="xsd:double"&gt;12.6288741947664&lt;/D&gt;&lt;D xsi:type="xsd:double"&gt;12.2795198837491&lt;/D&gt;&lt;D xsi:type="xsd:double"&gt;11.8533307542213&lt;/D&gt;&lt;D xsi:type="xsd:double"&gt;12.4088731088842&lt;/D&gt;&lt;D xsi:type="xsd:double"&gt;12.7014294929199&lt;/D&gt;&lt;D xsi:type="xsd:double"&gt;12.7759205653146&lt;/D&gt;&lt;D xsi:type="xsd:double"&gt;12.6181753258649&lt;/D&gt;&lt;D xsi:type="xsd:double"&gt;12.7774067156476&lt;/D&gt;&lt;D xsi:type="xsd:double"&gt;12.9527547394936&lt;/D&gt;&lt;D xsi:type="xsd:double"&gt;12.6469793050229&lt;/D&gt;&lt;D xsi:type="xsd:double"&gt;13.5201338810139&lt;/D&gt;&lt;D xsi:type="xsd:double"&gt;13.7965873239593&lt;/D&gt;&lt;D xsi:type="xsd:double"&gt;14.4505060974383&lt;/D&gt;&lt;D xsi:type="xsd:double"&gt;15.2926664119138&lt;/D&gt;&lt;D xsi:type="xsd:double"&gt;15.4076029411507&lt;/D&gt;&lt;D xsi:type="xsd:double"&gt;15.3906448758942&lt;/D&gt;&lt;D xsi:type="xsd:double"&gt;13.4668960388109&lt;/D&gt;&lt;D xsi:type="xsd:double"&gt;13.9890304139272&lt;/D&gt;&lt;D xsi:type="xsd:double"&gt;14.5358586027846&lt;/D&gt;&lt;D xsi:type="xsd:double"&gt;16.6545795156631&lt;/D&gt;&lt;D xsi:type="xsd:double"&gt;17.52375122065&lt;/D&gt;&lt;D xsi:type="xsd:double"&gt;18.1584822140202&lt;/D&gt;&lt;D xsi:type="xsd:double"&gt;19.8478506678122&lt;/D&gt;&lt;D xsi:type="xsd:double"&gt;20.3616856756609&lt;/D&gt;&lt;D xsi:type="xsd:double"&gt;22.136922619634&lt;/D&gt;&lt;D xsi:type="xsd:double"&gt;22.8932404998394&lt;/D&gt;&lt;D xsi:type="xsd:double"&gt;23.9745369787703&lt;/D&gt;&lt;D xsi:type="xsd:double"&gt;24.1345665635575&lt;/D&gt;&lt;D xsi:type="xsd:double"&gt;21.5864520906773&lt;/D&gt;&lt;D xsi:type="xsd:double"&gt;21.1151100567754&lt;/D&gt;&lt;D xsi:type="xsd:double"&gt;20.3508293220216&lt;/D&gt;&lt;D xsi:type="xsd:double"&gt;20.1186274979629&lt;/D&gt;&lt;D xsi:type="xsd:double"&gt;19.4278845065702&lt;/D&gt;&lt;D xsi:type="xsd:double"&gt;18.6562351928119&lt;/D&gt;&lt;D xsi:type="xsd:double"&gt;18.7081157961325&lt;/D&gt;&lt;D xsi:type="xsd:double"&gt;17.8676526548818&lt;/D&gt;&lt;D xsi:type="xsd:double"&gt;17.5888806801894&lt;/D&gt;&lt;D xsi:type="xsd:double"&gt;16.5650821123634&lt;/D&gt;&lt;D xsi:type="xsd:double"&gt;15.8660226920936&lt;/D&gt;&lt;D xsi:type="xsd:double"&gt;15.2172323869607&lt;/D&gt;&lt;D xsi:type="xsd:double"&gt;14.543568599867&lt;/D&gt;&lt;D xsi:type="xsd:double"&gt;14.4809119780486&lt;/D&gt;&lt;D xsi:type="xsd:double"&gt;14.1895566445409&lt;/D&gt;&lt;D xsi:type="xsd:double"&gt;13.9480760013636&lt;/D&gt;&lt;D xsi:type="xsd:double"&gt;13.8332693753648&lt;/D&gt;&lt;D xsi:type="xsd:double"&gt;14.0553213806187&lt;/D&gt;&lt;D xsi:type="xsd:double"&gt;13.5805907936186&lt;/D&gt;&lt;D xsi:type="xsd:double"&gt;13.1761374792508&lt;/D&gt;&lt;D xsi:type="xsd:double"&gt;13.5431161951114&lt;/D&gt;&lt;D xsi:type="xsd:double"&gt;13.2699029886749&lt;/D&gt;&lt;D xsi:type="xsd:double"&gt;12.8891005348232&lt;/D&gt;&lt;D xsi:type="xsd:double"&gt;13.6429841438323&lt;/D&gt;&lt;D xsi:type="xsd:double"&gt;13.5628748511794&lt;/D&gt;&lt;D xsi:type="xsd:double"&gt;13.6875539287658&lt;/D&gt;&lt;D xsi:type="xsd:double"&gt;13.9712863461814&lt;/D&gt;&lt;D xsi:type="xsd:double"&gt;14.560549913555&lt;/D&gt;&lt;D xsi:type="xsd:double"&gt;14.4503581370162&lt;/D&gt;&lt;D xsi:type="xsd:double"&gt;14.4491338372346&lt;/D&gt;&lt;D xsi:type="xsd:double"&gt;15.2717410184234&lt;/D&gt;&lt;D xsi:type="xsd:double"&gt;14.6303883408827&lt;/D&gt;&lt;D xsi:type="xsd:double"&gt;15.2480182215106&lt;/D&gt;&lt;D xsi:type="xsd:double"&gt;15.0516509656003&lt;/D&gt;&lt;D xsi:type="xsd:double"&gt;16.2693978905024&lt;/D&gt;&lt;D xsi:type="xsd:double"&gt;16.8009615386582&lt;/D&gt;&lt;D xsi:type="xsd:double"&gt;16.9466735632027&lt;/D&gt;&lt;D xsi:type="xsd:double"&gt;16.8341326520365&lt;/D&gt;&lt;D xsi:type="xsd:double"&gt;16.7668024322417&lt;/D&gt;&lt;D xsi:type="xsd:double"&gt;16.6473740046401&lt;/D&gt;&lt;D xsi:type="xsd:double"&gt;17.0393418373567&lt;/D&gt;&lt;D xsi:type="xsd:double"&gt;15.7125253874737&lt;/D&gt;&lt;/FQL&gt;&lt;FQL&gt;&lt;Q&gt;WL-FDS^FG_PRICE_CHANGE(0,-1AY)&lt;/Q&gt;&lt;R&gt;1&lt;/R&gt;&lt;C&gt;1&lt;/C&gt;&lt;D xsi:type="xsd:double"&gt;-26.3540478905359&lt;/D&gt;&lt;/FQL&gt;&lt;FQL&gt;&lt;Q&gt;NI-FDS^FG_PRICE_CHANGE(0,-1AY)&lt;/Q&gt;&lt;R&gt;1&lt;/R&gt;&lt;C&gt;1&lt;/C&gt;&lt;D xsi:type="xsd:double"&gt;-19.8740554156171&lt;/D&gt;&lt;/FQL&gt;&lt;FQL&gt;&lt;Q&gt;CPALM-FDS^FG_PRICE_CHANGE(0,-1AY)&lt;/Q&gt;&lt;R&gt;1&lt;/R&gt;&lt;C&gt;1&lt;/C&gt;&lt;D xsi:type="xsd:double"&gt;1.49410222804718&lt;/D&gt;&lt;/FQL&gt;&lt;FQL&gt;&lt;Q&gt;BRENT-FDS^FG_PRICE_CHANGE(0,-1AY)&lt;/Q&gt;&lt;R&gt;1&lt;/R&gt;&lt;C&gt;1&lt;/C&gt;&lt;D xsi:type="xsd:double"&gt;-1.20814635830169&lt;/D&gt;&lt;/FQL&gt;&lt;FQL&gt;&lt;Q&gt;TIOS-FDS^FG_PRICE_CHANGE(0,-1AY)&lt;/Q&gt;&lt;R&gt;1&lt;/R&gt;&lt;C&gt;1&lt;/C&gt;&lt;D xsi:type="xsd:double"&gt;-5.97271252743059&lt;/D&gt;&lt;/FQL&gt;&lt;FQL&gt;&lt;Q&gt;EWD^FG_PRICE_MAVG(0,,,,30)&lt;/Q&gt;&lt;R&gt;1&lt;/R&gt;&lt;C&gt;1&lt;/C&gt;&lt;D xsi:type="xsd:double"&gt;39.789333&lt;/D&gt;&lt;/FQL&gt;&lt;FQL&gt;&lt;Q&gt;QQQ^FG_PRICE_MAVG(0,,,,30)&lt;/Q&gt;&lt;R&gt;1&lt;/R&gt;&lt;C&gt;1&lt;/C&gt;&lt;D xsi:type="xsd:double"&gt;469.88568&lt;/D&gt;&lt;/FQL&gt;&lt;FQL&gt;&lt;Q&gt;EWG^FG_PRICE_MAVG(0,,,,30)&lt;/Q&gt;&lt;R&gt;1&lt;/R&gt;&lt;C&gt;1&lt;/C&gt;&lt;D xsi:type="xsd:double"&gt;30.852333&lt;/D&gt;&lt;/FQL&gt;&lt;FQL&gt;&lt;Q&gt;FXI^FG_TOTAL_RETURNC(0,-3AM)&lt;/Q&gt;&lt;R&gt;1&lt;/R&gt;&lt;C&gt;1&lt;/C&gt;&lt;D xsi:type="xsd:double"&gt;-9.312588&lt;/D&gt;&lt;/FQL&gt;&lt;FQL&gt;&lt;Q&gt;EWJ^P_PRICE(0)/P_PRICE_HIGH_PR(0,,,,,,"PRICE","INTRA","52W")&lt;/Q&gt;&lt;R&gt;1&lt;/R&gt;&lt;C&gt;1&lt;/C&gt;&lt;D xsi:type="xsd:double"&gt;0.9626032&lt;/D&gt;&lt;/FQL&gt;&lt;FQL&gt;&lt;Q&gt;VWO^FG_TOTAL_RETURNC(0,-12AM)&lt;/Q&gt;&lt;R&gt;1&lt;/R&gt;&lt;C&gt;1&lt;/C&gt;&lt;D xsi:type="xsd:double"&gt;15.890002&lt;/D&gt;&lt;/FQL&gt;&lt;FQL&gt;&lt;Q&gt;VGK^PERCENT_CHANGE(FMA_EPS(+1,0,,,,"PORTAGG","MEAN"),FMA_EPS(+1,-1AM,,,,"PORTAGG","MEAN"))&lt;/Q&gt;&lt;R&gt;1&lt;/R&gt;&lt;C&gt;1&lt;/C&gt;&lt;D xsi:type="xsd:double"&gt;0&lt;/D&gt;&lt;/FQL&gt;&lt;FQL&gt;&lt;Q&gt;EWD^FG_TOTAL_RETURNC(0,-1AM)&lt;/Q&gt;&lt;R&gt;1&lt;/R&gt;&lt;C&gt;1&lt;/C&gt;&lt;D xsi:type="xsd:double"&gt;-2.3052692&lt;/D&gt;&lt;/FQL&gt;&lt;FQL&gt;&lt;Q&gt;EWQ^FG_TOTAL_RETURNC(0,-6AM)&lt;/Q&gt;&lt;R&gt;1&lt;/R&gt;&lt;C&gt;1&lt;/C&gt;&lt;D xsi:type="xsd:double"&gt;1.5639782&lt;/D&gt;&lt;/FQL&gt;&lt;FQL&gt;&lt;Q&gt;QQQ^P_PRICE(0)/P_PRICE_LOW_PR(0,,,,,,"PRICE","INTRA","52W")-1&lt;/Q&gt;&lt;R&gt;1&lt;/R&gt;&lt;C&gt;1&lt;/C&gt;&lt;D xsi:type="xsd:double"&gt;0.38755655&lt;/D&gt;&lt;/FQL&gt;&lt;FQL&gt;&lt;Q&gt;EWU^FMA_PCT_ABOVE_MAVG(200,0,,,,"PORTAGG")&lt;/Q&gt;&lt;R&gt;1&lt;/R&gt;&lt;C&gt;1&lt;/C&gt;&lt;D xsi:type="xsd:double"&gt;63.75&lt;/D&gt;&lt;/FQL&gt;&lt;FQL&gt;&lt;Q&gt;EWJ^PERCENT_CHANGE(FMA_EPS(+1,0,,,,"PORTAGG","MEAN"),FMA_EPS(+1,-3AM,,,,"PORTAGG","MEAN"))&lt;/Q&gt;&lt;R&gt;1&lt;/R&gt;&lt;C&gt;1&lt;/C&gt;&lt;D xsi:type="xsd:double"&gt;6.79783493838384&lt;/D&gt;&lt;/FQL&gt;&lt;FQL&gt;&lt;Q&gt;EWC^FG_TOTAL_RETURNC(0,-3AM)&lt;/Q&gt;&lt;R&gt;1&lt;/R&gt;&lt;C&gt;1&lt;/C&gt;&lt;D xsi:type="xsd:double"&gt;3.5034537&lt;/D&gt;&lt;/FQL&gt;&lt;FQL&gt;&lt;Q&gt;ENZL^P_PRICE(0)/P_PRICE_HIGH_PR(0,,,,,,"PRICE","INTRA","52W")&lt;/Q&gt;&lt;R&gt;1&lt;/R&gt;&lt;C&gt;1&lt;/C&gt;&lt;D xsi:type="xsd:double"&gt;0.9850563&lt;/D&gt;&lt;/FQL&gt;&lt;FQL&gt;&lt;Q&gt;URTH^SIZE(FG_CONSTITUENTS)&lt;/Q&gt;&lt;R&gt;1&lt;/R&gt;&lt;C&gt;1&lt;/C&gt;&lt;D xsi:type="xsd:long"&gt;1429&lt;/D&gt;&lt;/FQL&gt;&lt;FQL&gt;&lt;Q&gt;EWN^FMA_COS_DOWN("EPS","1M",+1,0,,,"PORTAGG","MEANR")&lt;/Q&gt;&lt;R&gt;1&lt;/R&gt;&lt;C&gt;1&lt;/C&gt;&lt;D xsi:type="xsd:double"&gt;20&lt;/D&gt;&lt;/FQL&gt;&lt;FQL&gt;&lt;Q&gt;EWL^FMA_COS_UP("EPS","1M",+1,0,,,"PORTAGG","MEANR")&lt;/Q&gt;&lt;R&gt;1&lt;/R&gt;&lt;C&gt;1&lt;/C&gt;&lt;D xsi:type="xsd:double"&gt;26&lt;/D&gt;&lt;/FQL&gt;&lt;FQL&gt;&lt;Q&gt;EWQ^FMA_RBICS_REV_CURRENT(30, LOC, "PORTAGG")&lt;/Q&gt;&lt;R&gt;1&lt;/R&gt;&lt;C&gt;1&lt;/C&gt;&lt;D xsi:type="xsd:double"&gt;11.6524471452004&lt;/D&gt;&lt;/FQL&gt;&lt;FQL&gt;&lt;Q&gt;EWU^FG_ROE(0)&lt;/Q&gt;&lt;R&gt;1&lt;/R&gt;&lt;C&gt;1&lt;/C&gt;&lt;D xsi:type="xsd:double"&gt;13.9516415071905&lt;/D&gt;&lt;/FQL&gt;&lt;FQL&gt;&lt;Q&gt;TRYDE10Y-FDS^FG_YIELD_NAME&lt;/Q&gt;&lt;R&gt;1&lt;/R&gt;&lt;C&gt;1&lt;/C&gt;&lt;D xsi:type="xsd:string"&gt;Germany Benchmark Bond - 10 Year&lt;/D&gt;&lt;/FQL&gt;&lt;FQL&gt;&lt;Q&gt;REFFFUND-FDS^(SUBARRAY(NOT_NA(NO_REPEAT_F(FG_YIELD(NOW,-10AY,D))),0,1)-SUBARRAY(NOT_NA(NO_REPEAT_F(FG_YIELD(NOW,-10AY,D))),1,1))*100&lt;/Q&gt;&lt;R&gt;1&lt;/R&gt;&lt;C&gt;1&lt;/C&gt;&lt;D xsi:type="xsd:double"&gt;25&lt;/D&gt;&lt;/FQL&gt;&lt;FQL&gt;&lt;Q&gt;REFCATARG-FDS^FG_YIELD(NOW,,,0)&lt;/Q&gt;&lt;R&gt;1&lt;/R&gt;&lt;C&gt;1&lt;/C&gt;&lt;D xsi:type="xsd:double"&gt;4.5&lt;/D&gt;&lt;/FQL&gt;&lt;FQL&gt;&lt;Q&gt;TRYUS10Y-FDS^PCTCHG(FG_YIELD(0,,,,"YTM"),FG_YIELD(-3AM,,,,"YTM"))&lt;/Q&gt;&lt;R&gt;1&lt;/R&gt;&lt;C&gt;1&lt;/C&gt;&lt;D xsi:type="xsd:double"&gt;-11.194868&lt;/D&gt;&lt;/FQL&gt;&lt;FQL&gt;&lt;Q&gt;TRYNZ10Y-FDS^PCTCHG(FG_YIELD(0,,,,"YTM"),FG_YIELD(-3AM,,,,"YTM"))&lt;/Q&gt;&lt;R&gt;1&lt;/R&gt;&lt;C&gt;1&lt;/C&gt;&lt;D xsi:type="xsd:double"&gt;-9.761163&lt;/D&gt;&lt;/FQL&gt;&lt;FQL&gt;&lt;Q&gt;TRYGB10Y-FDS^FG_YIELD(0,,,,"YTM")&lt;/Q&gt;&lt;R&gt;1&lt;/R&gt;&lt;C&gt;1&lt;/C&gt;&lt;D xsi:type="xsd:double"&gt;3.923&lt;/D&gt;&lt;/FQL&gt;&lt;FQL&gt;&lt;Q&gt;CC_NL^IMF_IFS_RCPI_Q(0)&lt;/Q&gt;&lt;R&gt;1&lt;/R&gt;&lt;C&gt;1&lt;/C&gt;&lt;D xsi:type="xsd:double"&gt;2.888117&lt;/D&gt;&lt;/FQL&gt;&lt;FQL&gt;&lt;Q&gt;VWO^FG_PE(0)&lt;/Q&gt;&lt;R&gt;1&lt;/R&gt;&lt;C&gt;1&lt;/C&gt;&lt;D xsi:type="xsd:double"&gt;15.0645995254156&lt;/D&gt;&lt;/FQL&gt;&lt;FQL&gt;&lt;Q&gt;EWD^FMA_EVAL_EBIT(LTMA,NOW,NOW,M,"PORTAGG","MEANR")&lt;/Q&gt;&lt;R&gt;1&lt;/R&gt;&lt;C&gt;1&lt;/C&gt;&lt;D xsi:type="xsd:double"&gt;16.23306246457&lt;/D&gt;&lt;/FQL&gt;&lt;FQL&gt;&lt;Q&gt;EWQ^FG_FCF_YIELD_NTM(0)&lt;/Q&gt;&lt;R&gt;1&lt;/R&gt;&lt;C&gt;1&lt;/C&gt;&lt;D xsi:type="xsd:double"&gt;6.10304704385857&lt;/D&gt;&lt;/FQL&gt;&lt;FQL&gt;&lt;Q&gt;SPY^FMA_ROE(NTMA,-20AY,NOW,FY,"PORTAGG","MEANR")&lt;/Q&gt;&lt;R&gt;20&lt;/R&gt;&lt;C&gt;1&lt;/C&gt;&lt;D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xsi:type="xsd:double"&gt;18.2929292712369&lt;/D&gt;&lt;D xsi:type="xsd:double"&gt;17.2298191407891&lt;/D&gt;&lt;D xsi:type="xsd:double"&gt;20.6862902757634&lt;/D&gt;&lt;D xsi:type="xsd:double"&gt;20.5983105880676&lt;/D&gt;&lt;D xsi:type="xsd:double"&gt;20.344034080875&lt;/D&gt;&lt;/FQL&gt;&lt;FQL&gt;&lt;Q&gt;TRYAE10Y-FDS^FG_YIELD(-10AY,0,Y,,"YTM")&lt;/Q&gt;&lt;R&gt;10&lt;/R&gt;&lt;C&gt;1&lt;/C&gt;&lt;D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xsi:type="xsd:double"&gt;11.358896&lt;/D&gt;&lt;/FQL&gt;&lt;FQL&gt;&lt;Q&gt;NI-FDS^FG_PRICE_CHANGE(0,-6AM)&lt;/Q&gt;&lt;R&gt;1&lt;/R&gt;&lt;C&gt;1&lt;/C&gt;&lt;D xsi:type="xsd:double"&gt;-1.14978247358608&lt;/D&gt;&lt;/FQL&gt;&lt;FQL&gt;&lt;Q&gt;CPALM-FDS^FG_PRICE_CHANGE(0,-6AM)&lt;/Q&gt;&lt;R&gt;1&lt;/R&gt;&lt;C&gt;1&lt;/C&gt;&lt;D xsi:type="xsd:double"&gt;-0.971867007672633&lt;/D&gt;&lt;/FQL&gt;&lt;FQL&gt;&lt;Q&gt;BRENT-FDS^FG_PRICE_CHANGE(0,-6AM)&lt;/Q&gt;&lt;R&gt;1&lt;/R&gt;&lt;C&gt;1&lt;/C&gt;&lt;D xsi:type="xsd:double"&gt;0&lt;/D&gt;&lt;/FQL&gt;&lt;FQL&gt;&lt;Q&gt;CC_US^FG_COMPANY_NAME&lt;/Q&gt;&lt;R&gt;1&lt;/R&gt;&lt;C&gt;1&lt;/C&gt;&lt;D xsi:type="xsd:string"&gt;United States&lt;/D&gt;&lt;/FQL&gt;&lt;FQL&gt;&lt;Q&gt;USDITL^FG_COMPANY_NAME&lt;/Q&gt;&lt;R&gt;1&lt;/R&gt;&lt;C&gt;1&lt;/C&gt;&lt;D xsi:type="xsd:string"&gt;Italian Lira per U.S. Dollar&lt;/D&gt;&lt;/FQL&gt;&lt;FQL&gt;&lt;Q&gt;USDANG^FG_COMPANY_NAME&lt;/Q&gt;&lt;R&gt;1&lt;/R&gt;&lt;C&gt;1&lt;/C&gt;&lt;D xsi:type="xsd:string"&gt;Netherlands Antilles Guilder per U.S. Dollar&lt;/D&gt;&lt;/FQL&gt;&lt;FQL&gt;&lt;Q&gt;USDUSD^FG_COMPANY_NAME&lt;/Q&gt;&lt;R&gt;1&lt;/R&gt;&lt;C&gt;1&lt;/C&gt;&lt;D xsi:type="xsd:string"&gt;U.S. Dollar per U.S. Dollar&lt;/D&gt;&lt;/FQL&gt;&lt;FQL&gt;&lt;Q&gt;USDGBP^FG_COMPANY_NAME&lt;/Q&gt;&lt;R&gt;1&lt;/R&gt;&lt;C&gt;1&lt;/C&gt;&lt;D xsi:type="xsd:string"&gt;British Pounds per U.S. Dollar&lt;/D&gt;&lt;/FQL&gt;&lt;FQL&gt;&lt;Q&gt;USDJPY^FG_COMPANY_NAME&lt;/Q&gt;&lt;R&gt;1&lt;/R&gt;&lt;C&gt;1&lt;/C&gt;&lt;D xsi:type="xsd:string"&gt;Japanese Yen per U.S. Dollar&lt;/D&gt;&lt;/FQL&gt;&lt;FQL&gt;&lt;Q&gt;USDCAD^FG_COMPANY_NAME&lt;/Q&gt;&lt;R&gt;1&lt;/R&gt;&lt;C&gt;1&lt;/C&gt;&lt;D xsi:type="xsd:string"&gt;Canadian Dollar per U.S. Dollar&lt;/D&gt;&lt;/FQL&gt;&lt;FQL&gt;&lt;Q&gt;USDNZD^FG_COMPANY_NAME&lt;/Q&gt;&lt;R&gt;1&lt;/R&gt;&lt;C&gt;1&lt;/C&gt;&lt;D xsi:type="xsd:string"&gt;New Zealand Dollar per U.S. Dollar&lt;/D&gt;&lt;/FQL&gt;&lt;FQL&gt;&lt;Q&gt;EWD^P_PRICE_RETURNS_PR('52W',2,-10AY,0,AM)&lt;/Q&gt;&lt;R&gt;121&lt;/R&gt;&lt;C&gt;1&lt;/C&gt;&lt;D xsi:type="xsd:double"&gt;5.2990794&lt;/D&gt;&lt;D xsi:type="xsd:double"&gt;1.222527&lt;/D&gt;&lt;D xsi:type="xsd:double"&gt;-7.692128&lt;/D&gt;&lt;D xsi:type="xsd:double"&gt;1.2818813&lt;/D&gt;&lt;D xsi:type="xsd:double"&gt;-2.456224&lt;/D&gt;&lt;D xsi:type="xsd:double"&gt;-10.660702&lt;/D&gt;&lt;D xsi:type="xsd:double"&gt;-2.353245&lt;/D&gt;&lt;D xsi:type="xsd:double"&gt;-2.5623798&lt;/D&gt;&lt;D xsi:type="xsd:double"&gt;-0.066536665&lt;/D&gt;&lt;D xsi:type="xsd:double"&gt;-3.289318&lt;/D&gt;&lt;D xsi:type="xsd:double"&gt;-3.5314143&lt;/D&gt;&lt;D xsi:type="xsd:double"&gt;-2.3263335&lt;/D&gt;&lt;D xsi:type="xsd:double"&gt;-1.5897632&lt;/D&gt;&lt;D xsi:type="xsd:double"&gt;-4.455161&lt;/D&gt;&lt;D xsi:type="xsd:double"&gt;4.554367&lt;/D&gt;&lt;D xsi:type="xsd:double"&gt;-6.123811&lt;/D&gt;&lt;D xsi:type="xsd:double"&gt;-2.4608374&lt;/D&gt;&lt;D xsi:type="xsd:double"&gt;-11.108625&lt;/D&gt;&lt;D xsi:type="xsd:double"&gt;-16.264826&lt;/D&gt;&lt;D xsi:type="xsd:double"&gt;-8.883697&lt;/D&gt;&lt;D xsi:type="xsd:double"&gt;-8.289856&lt;/D&gt;&lt;D xsi:type="xsd:double"&gt;-13.160729&lt;/D&gt;&lt;D xsi:type="xsd:double"&gt;-15.527523&lt;/D&gt;&lt;D xsi:type="xsd:double"&gt;-9.95183&lt;/D&gt;&lt;D xsi:type="xsd:double"&gt;-6.3115654&lt;/D&gt;&lt;D xsi:type="xsd:double"&gt;-4.077154&lt;/D&gt;&lt;D xsi:type="xsd:double"&gt;-3.8896918&lt;/D&gt;&lt;D xsi:type="xsd:double"&gt;-4.128915&lt;/D&gt;&lt;D xsi:type="xsd:double"&gt;0.7576823&lt;/D&gt;&lt;D xsi:type="xsd:double"&gt;13.513124&lt;/D&gt;&lt;D xsi:type="xsd:double"&gt;19.252825&lt;/D&gt;&lt;D xsi:type="xsd:double"&gt;11.5831375&lt;/D&gt;&lt;D xsi:type="xsd:double"&gt;6.8221807&lt;/D&gt;&lt;D xsi:type="xsd:double"&gt;21.877968&lt;/D&gt;&lt;D xsi:type="xsd:double"&gt;27.272964&lt;/D&gt;&lt;D xsi:type="xsd:double"&gt;29.921257&lt;/D&gt;&lt;D xsi:type="xsd:double"&gt;21.334707&lt;/D&gt;&lt;D xsi:type="xsd:double"&gt;25.243425&lt;/D&gt;&lt;D xsi:type="xsd:double"&gt;30.36356&lt;/D&gt;&lt;D xsi:type="xsd:double"&gt;30.955006&lt;/D&gt;&lt;D xsi:type="xsd:double"&gt;21.149313&lt;/D&gt;&lt;D xsi:type="xsd:double"&gt;25.024616&lt;/D&gt;&lt;D xsi:type="xsd:double"&gt;16.028059&lt;/D&gt;&lt;D xsi:type="xsd:double"&gt;12.890768&lt;/D&gt;&lt;D xsi:type="xsd:double"&gt;9.825409&lt;/D&gt;&lt;D xsi:type="xsd:double"&gt;2.6892304&lt;/D&gt;&lt;D xsi:type="xsd:double"&gt;1.2093663&lt;/D&gt;&lt;D xsi:type="xsd:double"&gt;-7.015854&lt;/D&gt;&lt;D xsi:type="xsd:double"&gt;-5.323786&lt;/D&gt;&lt;D xsi:type="xsd:double"&gt;-5.147457&lt;/D&gt;&lt;D xsi:type="xsd:double"&gt;-9.675211&lt;/D&gt;&lt;D xsi:type="xsd:double"&gt;-10.933739&lt;/D&gt;&lt;D xsi:type="xsd:double"&gt;-11.244535&lt;/D&gt;&lt;D xsi:type="xsd:double"&gt;-14.915008&lt;/D&gt;&lt;D xsi:type="xsd:double"&gt;-8.968502&lt;/D&gt;&lt;D xsi:type="xsd:double"&gt;-7.1313915&lt;/D&gt;&lt;D xsi:type="xsd:double"&gt;2.13027&lt;/D&gt;&lt;D xsi:type="xsd:double"&gt;-5.376303&lt;/D&gt;&lt;D xsi:type="xsd:double"&gt;-4.0671644&lt;/D&gt;&lt;D xsi:type="xsd:double"&gt;2.332306&lt;/D&gt;&lt;D xsi:type="xsd:double"&gt;-6.611514&lt;/D&gt;&lt;D xsi:type="xsd:double"&gt;-1.4897704&lt;/D&gt;&lt;D xsi:type="xsd:double"&gt;1.1784434&lt;/D&gt;&lt;D xsi:type="xsd:double"&gt;13.53991&lt;/D&gt;&lt;D xsi:type="xsd:double"&gt;21.953249&lt;/D&gt;&lt;D xsi:type="xsd:double"&gt;20.081293&lt;/D&gt;&lt;D xsi:type="xsd:double"&gt;18.558502&lt;/D&gt;&lt;D xsi:type="xsd:double"&gt;-22.655218&lt;/D&gt;&lt;D xsi:type="xsd:double"&gt;-17.658688&lt;/D&gt;&lt;D xsi:type="xsd:double"&gt;-9.42145&lt;/D&gt;&lt;D xsi:type="xsd:double"&gt;5.370593&lt;/D&gt;&lt;D xsi:type="xsd:double"&gt;11.04269&lt;/D&gt;&lt;D xsi:type="xsd:double"&gt;30.263233&lt;/D&gt;&lt;D xsi:type="xsd:double"&gt;21.04038&lt;/D&gt;&lt;D xsi:type="xsd:double"&gt;22.095537&lt;/D&gt;&lt;D xsi:type="xsd:double"&gt;22.970438&lt;/D&gt;&lt;D xsi:type="xsd:double"&gt;21.119726&lt;/D&gt;&lt;D xsi:type="xsd:double"&gt;25.66353&lt;/D&gt;&lt;D xsi:type="xsd:double"&gt;28.590452&lt;/D&gt;&lt;D xsi:type="xsd:double"&gt;100.09041&lt;/D&gt;&lt;D xsi:type="xsd:double"&gt;91.84918&lt;/D&gt;&lt;D xsi:type="xsd:double"&gt;86.049164&lt;/D&gt;&lt;D xsi:type="xsd:double"&gt;58.57097&lt;/D&gt;&lt;D xsi:type="xsd:double"&gt;43.627693&lt;/D&gt;&lt;D xsi:type="xsd:double"&gt;41.626312&lt;/D&gt;&lt;D xsi:type="xsd:double"&gt;37.259247&lt;/D&gt;&lt;D xsi:type="xsd:double"&gt;36.65148&lt;/D&gt;&lt;D xsi:type="xsd:double"&gt;28.92797&lt;/D&gt;&lt;D xsi:type="xsd:double"&gt;18.280972&lt;/D&gt;&lt;D xsi:type="xsd:double"&gt;13.879311&lt;/D&gt;&lt;D xsi:type="xsd:double"&gt;2.266097&lt;/D&gt;&lt;D xsi:type="xsd:double"&gt;-6.5711617&lt;/D&gt;&lt;D xsi:type="xsd:double"&gt;-13.973671&lt;/D&gt;&lt;D xsi:type="xsd:double"&gt;-24.22335&lt;/D&gt;&lt;D xsi:type="xsd:double"&gt;-30.597187&lt;/D&gt;&lt;D xsi:type="xsd:double"&gt;-32.041145&lt;/D&gt;&lt;D xsi:type="xsd:double"&gt;-26.05087&lt;/D&gt;&lt;D xsi:type="xsd:double"&gt;-34.721733&lt;/D&gt;&lt;D xsi:type="xsd:double"&gt;-38.413555&lt;/D&gt;&lt;D xsi:type="xsd:double"&gt;-28.021711&lt;/D&gt;&lt;D xsi:type="xsd:double"&gt;-24.389011&lt;/D&gt;&lt;D xsi:type="xsd:double"&gt;-20.239998&lt;/D&gt;&lt;D xsi:type="xsd:double"&gt;-11.502147&lt;/D&gt;&lt;D xsi:type="xsd:double"&gt;-12.995678&lt;/D&gt;&lt;D xsi:type="xsd:double"&gt;-1.06709&lt;/D&gt;&lt;D xsi:type="xsd:double"&gt;6.7017317&lt;/D&gt;&lt;D xsi:type="xsd:double"&gt;16.528261&lt;/D&gt;&lt;D xsi:type="xsd:double"&gt;21.267796&lt;/D&gt;&lt;D xsi:type="xsd:double"&gt;-0.29762983&lt;/D&gt;&lt;D xsi:type="xsd:double"&gt;10.7131&lt;/D&gt;&lt;D xsi:type="xsd:double"&gt;24.596548&lt;/D&gt;&lt;D xsi:type="xsd:double"&gt;6.1658144&lt;/D&gt;&lt;D xsi:type="xsd:double"&gt;18.323814&lt;/D&gt;&lt;D xsi:type="xsd:double"&gt;6.0618043&lt;/D&gt;&lt;D xsi:type="xsd:double"&gt;9.983277&lt;/D&gt;&lt;D xsi:type="xsd:double"&gt;26.763748&lt;/D&gt;&lt;D xsi:type="xsd:double"&gt;7.6027274&lt;/D&gt;&lt;D xsi:type="xsd:double"&gt;17.639482&lt;/D&gt;&lt;D xsi:type="xsd:double"&gt;17.427456&lt;/D&gt;&lt;D xsi:type="xsd:double"&gt;18.301857&lt;/D&gt;&lt;D xsi:type="xsd:double"&gt;26.034092&lt;/D&gt;&lt;/FQL&gt;&lt;FQL&gt;&lt;Q&gt;EWQ^FG_TOTAL_RETURNC(-10AY,0,AM)&lt;/Q&gt;&lt;R&gt;121&lt;/R&gt;&lt;C&gt;1&lt;/C&gt;&lt;D xsi:type="xsd:double"&gt;-5.0017595&lt;/D&gt;&lt;D xsi:type="xsd:double"&gt;1.9651532&lt;/D&gt;&lt;D xsi:type="xsd:double"&gt;-12.618178&lt;/D&gt;&lt;D xsi:type="xsd:double"&gt;5.4515123&lt;/D&gt;&lt;D xsi:type="xsd:double"&gt;-3.6700904&lt;/D&gt;&lt;D xsi:type="xsd:double"&gt;1.3429403&lt;/D&gt;&lt;D xsi:type="xsd:double"&gt;6.769979&lt;/D&gt;&lt;D xsi:type="xsd:double"&gt;-1.5278816&lt;/D&gt;&lt;D xsi:type="xsd:double"&gt;4.7323465&lt;/D&gt;&lt;D xsi:type="xsd:double"&gt;3.222227&lt;/D&gt;&lt;D xsi:type="xsd:double"&gt;-4.4851065&lt;/D&gt;&lt;D xsi:type="xsd:double"&gt;2.1120548&lt;/D&gt;&lt;D xsi:type="xsd:double"&gt;-0.41151643&lt;/D&gt;&lt;D xsi:type="xsd:double"&gt;-5.409467&lt;/D&gt;&lt;D xsi:type="xsd:double"&gt;2.4225593&lt;/D&gt;&lt;D xsi:type="xsd:double"&gt;-2.9856563&lt;/D&gt;&lt;D xsi:type="xsd:double"&gt;-0.95922947&lt;/D&gt;&lt;D xsi:type="xsd:double"&gt;-10.450721&lt;/D&gt;&lt;D xsi:type="xsd:double"&gt;1.40208&lt;/D&gt;&lt;D xsi:type="xsd:double"&gt;8.652985&lt;/D&gt;&lt;D xsi:type="xsd:double"&gt;0.49260855&lt;/D&gt;&lt;D xsi:type="xsd:double"&gt;-1.2663364&lt;/D&gt;&lt;D xsi:type="xsd:double"&gt;-3.475386&lt;/D&gt;&lt;D xsi:type="xsd:double"&gt;2.3584723&lt;/D&gt;&lt;D xsi:type="xsd:double"&gt;4.1666627&lt;/D&gt;&lt;D xsi:type="xsd:double"&gt;-3.3402026&lt;/D&gt;&lt;D xsi:type="xsd:double"&gt;1.2372017&lt;/D&gt;&lt;D xsi:type="xsd:double"&gt;-1.7277718&lt;/D&gt;&lt;D xsi:type="xsd:double"&gt;4.459691&lt;/D&gt;&lt;D xsi:type="xsd:double"&gt;3.9848685&lt;/D&gt;&lt;D xsi:type="xsd:double"&gt;0.31695366&lt;/D&gt;&lt;D xsi:type="xsd:double"&gt;3.1990528&lt;/D&gt;&lt;D xsi:type="xsd:double"&gt;-0.076532364&lt;/D&gt;&lt;D xsi:type="xsd:double"&gt;12.945223&lt;/D&gt;&lt;D xsi:type="xsd:double"&gt;-0.44082403&lt;/D&gt;&lt;D xsi:type="xsd:double"&gt;1.902163&lt;/D&gt;&lt;D xsi:type="xsd:double"&gt;1.020062&lt;/D&gt;&lt;D xsi:type="xsd:double"&gt;2.7936816&lt;/D&gt;&lt;D xsi:type="xsd:double"&gt;1.6371965&lt;/D&gt;&lt;D xsi:type="xsd:double"&gt;-0.61211586&lt;/D&gt;&lt;D xsi:type="xsd:double"&gt;0.29172897&lt;/D&gt;&lt;D xsi:type="xsd:double"&gt;6.5932393&lt;/D&gt;&lt;D xsi:type="xsd:double"&gt;-2.2201955&lt;/D&gt;&lt;D xsi:type="xsd:double"&gt;-0.8398235&lt;/D&gt;&lt;D xsi:type="xsd:double"&gt;1.9134283&lt;/D&gt;&lt;D xsi:type="xsd:double"&gt;0.36934614&lt;/D&gt;&lt;D xsi:type="xsd:double"&gt;-1.0426283&lt;/D&gt;&lt;D xsi:type="xsd:double"&gt;-0.6316662&lt;/D&gt;&lt;D xsi:type="xsd:double"&gt;-4.4571757&lt;/D&gt;&lt;D xsi:type="xsd:double"&gt;2.565813&lt;/D&gt;&lt;D xsi:type="xsd:double"&gt;-3.801167&lt;/D&gt;&lt;D xsi:type="xsd:double"&gt;-3.9513707&lt;/D&gt;&lt;D xsi:type="xsd:double"&gt;-</t>
        </r>
      </text>
    </comment>
    <comment ref="A5" authorId="0" shapeId="0" xr:uid="{5A78FB84-4E41-4751-8C96-801ECB1E5D21}">
      <text>
        <r>
          <rPr>
            <b/>
            <sz val="9"/>
            <color indexed="81"/>
            <rFont val="Tahoma"/>
            <charset val="1"/>
          </rPr>
          <t>5.1687775&lt;/D&gt;&lt;D xsi:type="xsd:double"&gt;0.4598856&lt;/D&gt;&lt;D xsi:type="xsd:double"&gt;6.2291503&lt;/D&gt;&lt;D xsi:type="xsd:double"&gt;4.991281&lt;/D&gt;&lt;D xsi:type="xsd:double"&gt;1.8617034&lt;/D&gt;&lt;D xsi:type="xsd:double"&gt;-1.8603146&lt;/D&gt;&lt;D xsi:type="xsd:double"&gt;-0.06651282&lt;/D&gt;&lt;D xsi:type="xsd:double"&gt;4.4234514&lt;/D&gt;&lt;D xsi:type="xsd:double"&gt;-6.1724424&lt;/D&gt;&lt;D xsi:type="xsd:double"&gt;4.7337294&lt;/D&gt;&lt;D xsi:type="xsd:double"&gt;1.9275546&lt;/D&gt;&lt;D xsi:type="xsd:double"&gt;4.10825&lt;/D&gt;&lt;D xsi:type="xsd:double"&gt;1.7822146&lt;/D&gt;&lt;D xsi:type="xsd:double"&gt;1.2334347&lt;/D&gt;&lt;D xsi:type="xsd:double"&gt;-1.6448379&lt;/D&gt;&lt;D xsi:type="xsd:double"&gt;-36.07929&lt;/D&gt;&lt;D xsi:type="xsd:double"&gt;12.01551&lt;/D&gt;&lt;D xsi:type="xsd:double"&gt;-0.2162695&lt;/D&gt;&lt;D xsi:type="xsd:double"&gt;19.457685&lt;/D&gt;&lt;D xsi:type="xsd:double"&gt;4.7479987&lt;/D&gt;&lt;D xsi:type="xsd:double"&gt;1.5690327&lt;/D&gt;&lt;D xsi:type="xsd:double"&gt;1.1328578&lt;/D&gt;&lt;D xsi:type="xsd:double"&gt;-2.4100423&lt;/D&gt;&lt;D xsi:type="xsd:double"&gt;12.069571&lt;/D&gt;&lt;D xsi:type="xsd:double"&gt;4.019487&lt;/D&gt;&lt;D xsi:type="xsd:double"&gt;0.35983324&lt;/D&gt;&lt;D xsi:type="xsd:double"&gt;3.226769&lt;/D&gt;&lt;D xsi:type="xsd:double"&gt;2.1128774&lt;/D&gt;&lt;D xsi:type="xsd:double"&gt;5.0453544&lt;/D&gt;&lt;D xsi:type="xsd:double"&gt;3.5078287&lt;/D&gt;&lt;D xsi:type="xsd:double"&gt;2.698636&lt;/D&gt;&lt;D xsi:type="xsd:double"&gt;-4.517448&lt;/D&gt;&lt;D xsi:type="xsd:double"&gt;5.645156&lt;/D&gt;&lt;D xsi:type="xsd:double"&gt;-1.9847274&lt;/D&gt;&lt;D xsi:type="xsd:double"&gt;0.62304735&lt;/D&gt;&lt;D xsi:type="xsd:double"&gt;3.0443788&lt;/D&gt;&lt;D xsi:type="xsd:double"&gt;-2.6884317&lt;/D&gt;&lt;D xsi:type="xsd:double"&gt;3.7546277&lt;/D&gt;&lt;D xsi:type="xsd:double"&gt;-2.9052079&lt;/D&gt;&lt;D xsi:type="xsd:double"&gt;-8.031487&lt;/D&gt;&lt;D xsi:type="xsd:double"&gt;-2.1404088&lt;/D&gt;&lt;D xsi:type="xsd:double"&gt;-5.016041&lt;/D&gt;&lt;D xsi:type="xsd:double"&gt;-5.964017&lt;/D&gt;&lt;D xsi:type="xsd:double"&gt;-1.1428595&lt;/D&gt;&lt;D xsi:type="xsd:double"&gt;10.404634&lt;/D&gt;&lt;D xsi:type="xsd:double"&gt;-9.547276&lt;/D&gt;&lt;D xsi:type="xsd:double"&gt;-6.2989473&lt;/D&gt;&lt;D xsi:type="xsd:double"&gt;19.331396&lt;/D&gt;&lt;D xsi:type="xsd:double"&gt;0.29956102&lt;/D&gt;&lt;D xsi:type="xsd:double"&gt;11.090792&lt;/D&gt;&lt;D xsi:type="xsd:double"&gt;2.4684668&lt;/D&gt;&lt;D xsi:type="xsd:double"&gt;-4.2826595&lt;/D&gt;&lt;D xsi:type="xsd:double"&gt;9.955263&lt;/D&gt;&lt;D xsi:type="xsd:double"&gt;-1.6276717&lt;/D&gt;&lt;D xsi:type="xsd:double"&gt;1.2048244&lt;/D&gt;&lt;D xsi:type="xsd:double"&gt;2.951157&lt;/D&gt;&lt;D xsi:type="xsd:double"&gt;-5.200404&lt;/D&gt;&lt;D xsi:type="xsd:double"&gt;-0.58870316&lt;/D&gt;&lt;D xsi:type="xsd:double"&gt;-5.625844&lt;/D&gt;&lt;D xsi:type="xsd:double"&gt;5.0770044&lt;/D&gt;&lt;D xsi:type="xsd:double"&gt;5.754614&lt;/D&gt;&lt;D xsi:type="xsd:double"&gt;-2.655512&lt;/D&gt;&lt;D xsi:type="xsd:double"&gt;3.7420392&lt;/D&gt;&lt;D xsi:type="xsd:double"&gt;6.3443303&lt;/D&gt;&lt;D xsi:type="xsd:double"&gt;-5.051714&lt;/D&gt;&lt;D xsi:type="xsd:double"&gt;6.941974&lt;/D&gt;&lt;D xsi:type="xsd:double"&gt;-8.730995&lt;/D&gt;&lt;D xsi:type="xsd:double"&gt;3.63878&lt;/D&gt;&lt;D xsi:type="xsd:double"&gt;-0.5638182&lt;/D&gt;&lt;/FQL&gt;&lt;FQL&gt;&lt;Q&gt;QQQ^FMA_DIV_YLD(NTMA,-10AY,0,AM,"PORTAGG","MEANR")&lt;/Q&gt;&lt;R&gt;121&lt;/R&gt;&lt;C&gt;1&lt;/C&gt;&lt;D xsi:type="xsd:double"&gt;1.23736415324595&lt;/D&gt;&lt;D xsi:type="xsd:double"&gt;1.23354194437769&lt;/D&gt;&lt;D xsi:type="xsd:double"&gt;1.33770901524981&lt;/D&gt;&lt;D xsi:type="xsd:double"&gt;1.21142839046464&lt;/D&gt;&lt;D xsi:type="xsd:double"&gt;1.26860772079663&lt;/D&gt;&lt;D xsi:type="xsd:double"&gt;1.2356419380417&lt;/D&gt;&lt;D xsi:type="xsd:double"&gt;1.22393974869272&lt;/D&gt;&lt;D xsi:type="xsd:double"&gt;1.26174371551738&lt;/D&gt;&lt;D xsi:type="xsd:double"&gt;1.25588410414317&lt;/D&gt;&lt;D xsi:type="xsd:double"&gt;1.23822664266552&lt;/D&gt;&lt;D xsi:type="xsd:double"&gt;1.25556235391872&lt;/D&gt;&lt;D xsi:type="xsd:double"&gt;1.22238043903271&lt;/D&gt;&lt;D xsi:type="xsd:double"&gt;1.2810129803344&lt;/D&gt;&lt;D xsi:type="xsd:double"&gt;1.33200529905913&lt;/D&gt;&lt;D xsi:type="xsd:double"&gt;1.31890351116958&lt;/D&gt;&lt;D xsi:type="xsd:double"&gt;1.29955428376438&lt;/D&gt;&lt;D xsi:type="xsd:double"&gt;1.27336570800672&lt;/D&gt;&lt;D xsi:type="xsd:double"&gt;1.39902408568162&lt;/D&gt;&lt;D xsi:type="xsd:double"&gt;1.44044839738925&lt;/D&gt;&lt;D xsi:type="xsd:double"&gt;1.3580997205904&lt;/D&gt;&lt;D xsi:type="xsd:double"&gt;1.31990488823408&lt;/D&gt;&lt;D xsi:type="xsd:double"&gt;1.38235922234664&lt;/D&gt;&lt;D xsi:type="xsd:double"&gt;1.3748265620594&lt;/D&gt;&lt;D xsi:type="xsd:double"&gt;1.3183906793303&lt;/D&gt;&lt;D xsi:type="xsd:double"&gt;1.27768752254272&lt;/D&gt;&lt;D xsi:type="xsd:double"&gt;1.2805825751655&lt;/D&gt;&lt;D xsi:type="xsd:double"&gt;1.28040101312223&lt;/D&gt;&lt;D xsi:type="xsd:double"&gt;1.29802870266257&lt;/D&gt;&lt;D xsi:type="xsd:double"&gt;1.28330983663402&lt;/D&gt;&lt;D xsi:type="xsd:double"&gt;1.25394655088973&lt;/D&gt;&lt;D xsi:type="xsd:double"&gt;1.22757343515144&lt;/D&gt;&lt;D xsi:type="xsd:double"&gt;1.21055628037657&lt;/D&gt;&lt;D xsi:type="xsd:double"&gt;1.23117429046041&lt;/D&gt;&lt;D xsi:type="xsd:double"&gt;1.16702256719545&lt;/D&gt;&lt;D xsi:type="xsd:double"&gt;1.18417111945239&lt;/D&gt;&lt;D xsi:type="xsd:double"&gt;1.17828338641177&lt;/D&gt;&lt;D xsi:type="xsd:double"&gt;1.1724287801994&lt;/D&gt;&lt;D xsi:type="xsd:double"&gt;1.16213959833341&lt;/D&gt;&lt;D xsi:type="xsd:double"&gt;1.14037599028087&lt;/D&gt;&lt;D xsi:type="xsd:double"&gt;1.1098588027485&lt;/D&gt;&lt;D xsi:type="xsd:double"&gt;1.09567214236711&lt;/D&gt;&lt;D xsi:type="xsd:double"&gt;1.04996643366731&lt;/D&gt;&lt;D xsi:type="xsd:double"&gt;1.07551022921951&lt;/D&gt;&lt;D xsi:type="xsd:double"&gt;1.04764985965845&lt;/D&gt;&lt;D xsi:type="xsd:double"&gt;1.11146242486468&lt;/D&gt;&lt;D xsi:type="xsd:double"&gt;1.08756543593749&lt;/D&gt;&lt;D xsi:type="xsd:double"&gt;1.0450206961729&lt;/D&gt;&lt;D xsi:type="xsd:double"&gt;1.0352783791064&lt;/D&gt;&lt;D xsi:type="xsd:double"&gt;1.08345585529989&lt;/D&gt;&lt;D xsi:type="xsd:double"&gt;1.07000615593036&lt;/D&gt;&lt;D xsi:type="xsd:double"&gt;1.1182277220658&lt;/D&gt;&lt;D xsi:type="xsd:double"&gt;1.19460079800683&lt;/D&gt;&lt;D xsi:type="xsd:double"&gt;1.26850797440335&lt;/D&gt;&lt;D xsi:type="xsd:double"&gt;1.25688550808897&lt;/D&gt;&lt;D xsi:type="xsd:double"&gt;1.19597581977355&lt;/D&gt;&lt;D xsi:type="xsd:double"&gt;1.14862670736903&lt;/D&gt;&lt;D xsi:type="xsd:double"&gt;1.10192161881288&lt;/D&gt;&lt;D xsi:type="xsd:double"&gt;1.12292094273664&lt;/D&gt;&lt;D xsi:type="xsd:double"&gt;1.14515142345375&lt;/D&gt;&lt;D xsi:type="xsd:double"&gt;1.08180308830891&lt;/D&gt;&lt;D xsi:type="xsd:double"&gt;1.12853164751718&lt;/D&gt;&lt;D xsi:type="xsd:double"&gt;1.09842926635236&lt;/D&gt;&lt;D xsi:type="xsd:double"&gt;1.09611789432317&lt;/D&gt;&lt;D xsi:type="xsd:double"&gt;1.05782630516739&lt;/D&gt;&lt;D xsi:type="xsd:double"&gt;1.05954588891526&lt;/D&gt;&lt;D xsi:type="xsd:double"&gt;1.00576439424877&lt;/D&gt;&lt;D xsi:type="xsd:double"&gt;0.958465334659983&lt;/D&gt;&lt;D xsi:type="xsd:double"&gt;1.32262049953083&lt;/D&gt;&lt;D xsi:type="xsd:double"&gt;1.05942351472532&lt;/D&gt;&lt;D xsi:type="xsd:double"&gt;0.998002438627299&lt;/D&gt;&lt;D xsi:type="xsd:double"&gt;0.913486069208583&lt;/D&gt;&lt;D xsi:type="xsd:double"&gt;0.857830136340276&lt;/D&gt;&lt;D xsi:type="xsd:double"&gt;0.818504509281199&lt;/D&gt;&lt;D xsi:type="xsd:double"&gt;0.813563923165504&lt;/D&gt;&lt;D xsi:type="xsd:double"&gt;0.776618247236697&lt;/D&gt;&lt;D xsi:type="xsd:double"&gt;0.771051124641008&lt;/D&gt;&lt;D xsi:type="xsd:double"&gt;0.736314462409459&lt;/D&gt;&lt;D xsi:type="xsd:double"&gt;0.771151756252072&lt;/D&gt;&lt;D xsi:type="xsd:double"&gt;0.723334836759442&lt;/D&gt;&lt;D xsi:type="xsd:double"&gt;0.762786703170001&lt;/D&gt;&lt;D xsi:type="xsd:double"&gt;0.717547951864158&lt;/D&gt;&lt;D xsi:type="xsd:double"&gt;0.754915967709549&lt;/D&gt;&lt;D xsi:type="xsd:double"&gt;0.730726955339189&lt;/D&gt;&lt;D xsi:type="xsd:double"&gt;0.699884281380015&lt;/D&gt;&lt;D xsi:type="xsd:double"&gt;0.698694042220946&lt;/D&gt;&lt;D xsi:type="xsd:double"&gt;0.685518141731982&lt;/D&gt;&lt;D xsi:type="xsd:double"&gt;0.707868108215673&lt;/D&gt;&lt;D xsi:type="xsd:double"&gt;0.661649239270445&lt;/D&gt;&lt;D xsi:type="xsd:double"&gt;0.686266248597642&lt;/D&gt;&lt;D xsi:type="xsd:double"&gt;0.700406982845753&lt;/D&gt;&lt;D xsi:type="xsd:double"&gt;0.761083238834203&lt;/D&gt;&lt;D xsi:type="xsd:double"&gt;0.806026399580869&lt;/D&gt;&lt;D xsi:type="xsd:double"&gt;0.812428980434852&lt;/D&gt;&lt;D xsi:type="xsd:double"&gt;0.927127748387208&lt;/D&gt;&lt;D xsi:type="xsd:double"&gt;1.02757080362655&lt;/D&gt;&lt;D xsi:type="xsd:double"&gt;0.962045191444011&lt;/D&gt;&lt;D xsi:type="xsd:double"&gt;0.849587386570988&lt;/D&gt;&lt;D xsi:type="xsd:double"&gt;0.98394542738987&lt;/D&gt;&lt;D xsi:type="xsd:double"&gt;1.10144420546838&lt;/D&gt;&lt;D xsi:type="xsd:double"&gt;1.01584973461138&lt;/D&gt;&lt;D xsi:type="xsd:double"&gt;1.05213877630357&lt;/D&gt;&lt;D xsi:type="xsd:double"&gt;0.987446697991284&lt;/D&gt;&lt;D xsi:type="xsd:double"&gt;0.928268135915117&lt;/D&gt;&lt;D xsi:type="xsd:double"&gt;0.922749301167094&lt;/D&gt;&lt;D xsi:type="xsd:double"&gt;0.890635606210515&lt;/D&gt;&lt;D xsi:type="xsd:double"&gt;0.853290187186534&lt;/D&gt;&lt;D xsi:type="xsd:double"&gt;0.767372577477324&lt;/D&gt;&lt;D xsi:type="xsd:double"&gt;0.747195298723767&lt;/D&gt;&lt;D xsi:type="xsd:double"&gt;0.907981862954108&lt;/D&gt;&lt;D xsi:type="xsd:double"&gt;0.893037712174982&lt;/D&gt;&lt;D xsi:type="xsd:double"&gt;0.921281494771062&lt;/D&gt;&lt;D xsi:type="xsd:double"&gt;0.893471444064649&lt;/D&gt;&lt;D xsi:type="xsd:double"&gt;0.895884028706705&lt;/D&gt;&lt;D xsi:type="xsd:double"&gt;0.91576455120158&lt;/D&gt;&lt;D xsi:type="xsd:double"&gt;0.894317343166678&lt;/D&gt;&lt;D xsi:type="xsd:double"&gt;0.898338512006632&lt;/D&gt;&lt;D xsi:type="xsd:double"&gt;0.914301229274362&lt;/D&gt;&lt;D xsi:type="xsd:double"&gt;0.893211786988656&lt;/D&gt;&lt;D xsi:type="xsd:double"&gt;0.84632076435746&lt;/D&gt;&lt;D xsi:type="xsd:double"&gt;0.815039293990324&lt;/D&gt;&lt;D xsi:type="xsd:double"&gt;0.836712143527397&lt;/D&gt;&lt;/FQL&gt;&lt;FQL&gt;&lt;Q&gt;EWL^FMA_PE(NTMA,-10AY,0,AM,"PORTAGG","MEANR")&lt;/Q&gt;&lt;R&gt;121&lt;/R&gt;&lt;C&gt;1&lt;/C&gt;&lt;D xsi:type="xsd:double"&gt;15.773685737102&lt;/D&gt;&lt;D xsi:type="xsd:double"&gt;16.1394383245991&lt;/D&gt;&lt;D xsi:type="xsd:double"&gt;14.6286135366971&lt;/D&gt;&lt;D xsi:type="xsd:double"&gt;16.014286017292&lt;/D&gt;&lt;D xsi:type="xsd:double"&gt;15.5336012878818&lt;/D&gt;&lt;D xsi:type="xsd:double"&gt;15.0684969938974&lt;/D&gt;&lt;D xsi:type="xsd:double"&gt;17.0092735242894&lt;/D&gt;&lt;D xsi:type="xsd:double"&gt;17.6322951913506&lt;/D&gt;&lt;D xsi:type="xsd:double"&gt;18.2839099828928&lt;/D&gt;&lt;D xsi:type="xsd:double"&gt;17.6683527102667&lt;/D&gt;&lt;D xsi:type="xsd:double"&gt;17.1651976133523&lt;/D&gt;&lt;D xsi:type="xsd:double"&gt;17.8459590652481&lt;/D&gt;&lt;D xsi:type="xsd:double"&gt;17.3889131770669&lt;/D&gt;&lt;D xsi:type="xsd:double"&gt;16.6483396074271&lt;/D&gt;&lt;D xsi:type="xsd:double"&gt;16.6347215803529&lt;/D&gt;&lt;D xsi:type="xsd:double"&gt;16.5815305075656&lt;/D&gt;&lt;D xsi:type="xsd:double"&gt;16.6449321075327&lt;/D&gt;&lt;D xsi:type="xsd:double"&gt;15.6865596623357&lt;/D&gt;&lt;D xsi:type="xsd:double"&gt;15.9868720672802&lt;/D&gt;&lt;D xsi:type="xsd:double"&gt;16.4888650887568&lt;/D&gt;&lt;D xsi:type="xsd:double"&gt;16.842706697084&lt;/D&gt;&lt;D xsi:type="xsd:double"&gt;16.6102301299913&lt;/D&gt;&lt;D xsi:type="xsd:double"&gt;16.0214923393747&lt;/D&gt;&lt;D xsi:type="xsd:double"&gt;16.9775403745249&lt;/D&gt;&lt;D xsi:type="xsd:double"&gt;17.4875742365382&lt;/D&gt;&lt;D xsi:type="xsd:double"&gt;17.0451400333788&lt;/D&gt;&lt;D xsi:type="xsd:double"&gt;16.8735422040242&lt;/D&gt;&lt;D xsi:type="xsd:double"&gt;16.4275508075719&lt;/D&gt;&lt;D xsi:type="xsd:double"&gt;16.7363261949343&lt;/D&gt;&lt;D xsi:type="xsd:double"&gt;17.2527591954783&lt;/D&gt;&lt;D xsi:type="xsd:double"&gt;17.429814737621&lt;/D&gt;&lt;D xsi:type="xsd:double"&gt;17.7350009785155&lt;/D&gt;&lt;D xsi:type="xsd:double"&gt;17.3892783728153&lt;/D&gt;&lt;D xsi:type="xsd:double"&gt;18.1934343995335&lt;/D&gt;&lt;D xsi:type="xsd:double"&gt;18.0083303832634&lt;/D&gt;&lt;D xsi:type="xsd:double"&gt;17.9295624157615&lt;/D&gt;&lt;D xsi:type="xsd:double"&gt;17.6314094291765&lt;/D&gt;&lt;D xsi:type="xsd:double"&gt;17.6332706768824&lt;/D&gt;&lt;D xsi:type="xsd:double"&gt;17.9355590099084&lt;/D&gt;&lt;D xsi:type="xsd:double"&gt;17.55052649891&lt;/D&gt;&lt;D xsi:type="xsd:double"&gt;17.7047337262461&lt;/D&gt;&lt;D xsi:type="xsd:double"&gt;17.8308760255184&lt;/D&gt;&lt;D xsi:type="xsd:double"&gt;16.906642917335&lt;/D&gt;&lt;D xsi:type="xsd:double"&gt;16.3443899736394&lt;/D&gt;&lt;D xsi:type="xsd:double"&gt;15.991143390524&lt;/D&gt;&lt;D xsi:type="xsd:double"&gt;16.2768006430335&lt;/D&gt;&lt;D xsi:type="xsd:double"&gt;15.6965312297304&lt;/D&gt;&lt;D xsi:type="xsd:double"&gt;15.9626796990028&lt;/D&gt;&lt;D xsi:type="xsd:double"&gt;15.9477465201855&lt;/D&gt;&lt;D xsi:type="xsd:double"&gt;16.0030177472669&lt;/D&gt;&lt;D xsi:type="xsd:double"&gt;15.3855032959754&lt;/D&gt;&lt;D xsi:type="xsd:double"&gt;15.4614244484418&lt;/D&gt;&lt;D xsi:type="xsd:double"&gt;15.0404707209747&lt;/D&gt;&lt;D xsi:type="xsd:double"&gt;15.2839234164876&lt;/D&gt;&lt;D xsi:type="xsd:double"&gt;15.8878373452864&lt;/D&gt;&lt;D xsi:type="xsd:double"&gt;16.5442366262203&lt;/D&gt;&lt;D xsi:type="xsd:double"&gt;16.8806881369559&lt;/D&gt;&lt;D xsi:type="xsd:double"&gt;16.7453103213018&lt;/D&gt;&lt;D xsi:type="xsd:double"&gt;16.9755995114709&lt;/D&gt;&lt;D xsi:type="xsd:double"&gt;17.0383135380756&lt;/D&gt;&lt;D xsi:type="xsd:double"&gt;16.7193476877597&lt;/D&gt;&lt;D xsi:type="xsd:double"&gt;17.0061609131657&lt;/D&gt;&lt;D xsi:type="xsd:double"&gt;17.0853493609209&lt;/D&gt;&lt;D xsi:type="xsd:double"&gt;17.3912009304368&lt;/D&gt;&lt;D xsi:type="xsd:double"&gt;17.6792773918357&lt;/D&gt;&lt;D xsi:type="xsd:double"&gt;17.9950255169352&lt;/D&gt;&lt;D xsi:type="xsd:double"&gt;18.4790363072254&lt;/D&gt;&lt;D xsi:type="xsd:double"&gt;13.9098839356768&lt;/D&gt;&lt;D xsi:type="xsd:double"&gt;17.4321076816417&lt;/D&gt;&lt;D xsi:type="xsd:double"&gt;18.3521045601686&lt;/D&gt;&lt;D xsi:type="xsd:double"&gt;19.1796051098158&lt;/D&gt;&lt;D xsi:type="xsd:double"&gt;19.9902165178047&lt;/D&gt;&lt;D xsi:type="xsd:double"&gt;19.5044393812246&lt;/D&gt;&lt;D xsi:type="xsd:double"&gt;19.7261658532278&lt;/D&gt;&lt;D xsi:type="xsd:double"&gt;18.8835549768198&lt;/D&gt;&lt;D xsi:type="xsd:double"&gt;19.1252191908497&lt;/D&gt;&lt;D xsi:type="xsd:double"&gt;18.5174363261986&lt;/D&gt;&lt;D xsi:type="xsd:double"&gt;18.9722161656113&lt;/D&gt;&lt;D xsi:type="xsd:double"&gt;19.0734376452561&lt;/D&gt;&lt;D xsi:type="xsd:double"&gt;18.6913024598939&lt;/D&gt;&lt;D xsi:type="xsd:double"&gt;19.5032024652773&lt;/D&gt;&lt;D xsi:type="xsd:double"&gt;18.9239641718258&lt;/D&gt;&lt;D xsi:type="xsd:double"&gt;20.0588591681612&lt;/D&gt;&lt;D xsi:type="xsd:double"&gt;19.7852021477571&lt;/D&gt;&lt;D xsi:type="xsd:double"&gt;20.0003177471291&lt;/D&gt;&lt;D xsi:type="xsd:double"&gt;19.1282931926532&lt;/D&gt;&lt;D xsi:type="xsd:double"&gt;18.7540915189051&lt;/D&gt;&lt;D xsi:type="xsd:double"&gt;19.393016409201&lt;/D&gt;&lt;D xsi:type="xsd:double"&gt;19.623324557892&lt;/D&gt;&lt;D xsi:type="xsd:double"&gt;18.9367884259307&lt;/D&gt;&lt;D xsi:type="xsd:double"&gt;18.2926501359141&lt;/D&gt;&lt;D xsi:type="xsd:double"&gt;17.8382761538132&lt;/D&gt;&lt;D xsi:type="xsd:double"&gt;18.5527374703552&lt;/D&gt;&lt;D xsi:type="xsd:double"&gt;16.8616225011061&lt;/D&gt;&lt;D xsi:type="xsd:double"&gt;15.2093267751735&lt;/D&gt;&lt;D xsi:type="xsd:double"&gt;16.077543019842&lt;/D&gt;&lt;D xsi:type="xsd:double"&gt;16.7751906259062&lt;/D&gt;&lt;D xsi:type="xsd:double"&gt;15.6646012653244&lt;/D&gt;&lt;D xsi:type="xsd:double"&gt;14.9799063108732&lt;/D&gt;&lt;D xsi:type="xsd:double"&gt;16.6846365196817&lt;/D&gt;&lt;D xsi:type="xsd:double"&gt;16.3163836588258&lt;/D&gt;&lt;D xsi:type="xsd:double"&gt;17.2338498684834&lt;/D&gt;&lt;D xsi:type="xsd:double"&gt;17.2721873016731&lt;/D&gt;&lt;D xsi:type="xsd:double"&gt;16.5316416921304&lt;/D&gt;&lt;D xsi:type="xsd:double"&gt;17.4910162555655&lt;/D&gt;&lt;D xsi:type="xsd:double"&gt;17.4521593053733&lt;/D&gt;&lt;D xsi:type="xsd:double"&gt;16.6682321101236&lt;/D&gt;&lt;D xsi:type="xsd:double"&gt;16.6264505063316&lt;/D&gt;&lt;D xsi:type="xsd:double"&gt;16.4358446584024&lt;/D&gt;&lt;D xsi:type="xsd:double"&gt;16.6919037520898&lt;/D&gt;&lt;D xsi:type="xsd:double"&gt;16.1220205390319&lt;/D&gt;&lt;D xsi:type="xsd:double"&gt;15.9738686971526&lt;/D&gt;&lt;D xsi:type="xsd:double"&gt;16.8192071213659&lt;/D&gt;&lt;D xsi:type="xsd:double"&gt;16.9909507096088&lt;/D&gt;&lt;D xsi:type="xsd:double"&gt;17.3797773319926&lt;/D&gt;&lt;D xsi:type="xsd:double"&gt;17.7195356046934&lt;/D&gt;&lt;D xsi:type="xsd:double"&gt;16.7277551603085&lt;/D&gt;&lt;D xsi:type="xsd:double"&gt;17.3612806968069&lt;/D&gt;&lt;D xsi:type="xsd:double"&gt;17.2902814401555&lt;/D&gt;&lt;D xsi:type="xsd:double"&gt;17.4327929027999&lt;/D&gt;&lt;D xsi:type="xsd:double"&gt;17.1955406458848&lt;/D&gt;&lt;/FQL&gt;&lt;FQL&gt;&lt;Q&gt;EWG^FMA_PE(LTMA,-10AY,0,AM,"PORTAGG","MEANR")&lt;/Q&gt;&lt;R&gt;121&lt;/R&gt;&lt;C&gt;1&lt;/C&gt;&lt;D xsi:type="xsd:double"&gt;13.8928459597718&lt;/D&gt;&lt;D xsi:type="xsd:double"&gt;14.235945963845&lt;/D&gt;&lt;D xsi:type="xsd:double"&gt;13.0065018792119&lt;/D&gt;&lt;D xsi:type="xsd:double"&gt;13.6314449461168&lt;/D&gt;&lt;D xsi:type="xsd:double"&gt;13.9772554184799&lt;/D&gt;&lt;D xsi:type="xsd:double"&gt;14.8055038851887&lt;/D&gt;&lt;D xsi:type="xsd:double"&gt;15.8521558227276&lt;/D&gt;&lt;D xsi:type="xsd:double"&gt;16.6165700118854&lt;/D&gt;&lt;D xsi:type="xsd:double"&gt;16.4932352373531&lt;/D&gt;&lt;D xsi:type="xsd:double"&gt;16.0538811645989&lt;/D&gt;&lt;D xsi:type="xsd:double"&gt;15.5666538525806&lt;/D&gt;&lt;D xsi:type="xsd:double"&gt;15.7746553858961&lt;/D&gt;&lt;D xsi:type="xsd:double"&gt;15.0386280276146&lt;/D&gt;&lt;D xsi:type="xsd:double"&gt;14.1753977303733&lt;/D&gt;&lt;D xsi:type="xsd:double"&gt;13.9467038416892&lt;/D&gt;&lt;D xsi:type="xsd:double"&gt;14.3553197294608&lt;/D&gt;&lt;D xsi:type="xsd:double"&gt;13.8394652685847&lt;/D&gt;&lt;D xsi:type="xsd:double"&gt;12.434742956048&lt;/D&gt;&lt;D xsi:type="xsd:double"&gt;12.1282791103047&lt;/D&gt;&lt;D xsi:type="xsd:double"&gt;12.7621582469798&lt;/D&gt;&lt;D xsi:type="xsd:double"&gt;12.842965995313&lt;/D&gt;&lt;D xsi:type="xsd:double"&gt;12.7924202541773&lt;/D&gt;&lt;D xsi:type="xsd:double"&gt;12.5398626095884&lt;/D&gt;&lt;D xsi:type="xsd:double"&gt;12.9193952947314&lt;/D&gt;&lt;D xsi:type="xsd:double"&gt;13.4244260726328&lt;/D&gt;&lt;D xsi:type="xsd:double"&gt;13.3211554879037&lt;/D&gt;&lt;D xsi:type="xsd:double"&gt;13.6820613375122&lt;/D&gt;&lt;D xsi:type="xsd:double"&gt;13.6822527389721&lt;/D&gt;&lt;D xsi:type="xsd:double"&gt;14.6056325425582&lt;/D&gt;&lt;D xsi:type="xsd:double"&gt;14.9405384559455&lt;/D&gt;&lt;D xsi:type="xsd:double"&gt;14.9838885959031&lt;/D&gt;&lt;D xsi:type="xsd:double"&gt;14.9734195435705&lt;/D&gt;&lt;D xsi:type="xsd:double"&gt;14.88237161468&lt;/D&gt;&lt;D xsi:type="xsd:double"&gt;14.8986780455805&lt;/D&gt;&lt;D xsi:type="xsd:double"&gt;14.7663496423781&lt;/D&gt;&lt;D xsi:type="xsd:double"&gt;14.6527198892945&lt;/D&gt;&lt;D xsi:type="xsd:double"&gt;14.2829520448523&lt;/D&gt;&lt;D xsi:type="xsd:double"&gt;14.3598939911991&lt;/D&gt;&lt;D xsi:type="xsd:double"&gt;14.8156766688199&lt;/D&gt;&lt;D xsi:type="xsd:double"&gt;15.1922411623725&lt;/D&gt;&lt;D xsi:type="xsd:double"&gt;15.4653636267839&lt;/D&gt;&lt;D xsi:type="xsd:double"&gt;15.5823334723248&lt;/D&gt;&lt;D xsi:type="xsd:double"&gt;14.5329369343567&lt;/D&gt;&lt;D xsi:type="xsd:double"&gt;14.2028946496887&lt;/D&gt;&lt;D xsi:type="xsd:double"&gt;14.1181481258766&lt;/D&gt;&lt;D xsi:type="xsd:double"&gt;14.2195078178728&lt;/D&gt;&lt;D xsi:type="xsd:double"&gt;14.2373079989336&lt;/D&gt;&lt;D xsi:type="xsd:double"&gt;14.0357602630725&lt;/D&gt;&lt;D xsi:type="xsd:double"&gt;13.876437413072&lt;/D&gt;&lt;D xsi:type="xsd:double"&gt;13.8469045000514&lt;/D&gt;&lt;D xsi:type="xsd:double"&gt;13.4681273802409&lt;/D&gt;&lt;D xsi:type="xsd:double"&gt;12.9794593873438&lt;/D&gt;&lt;D xsi:type="xsd:double"&gt;12.4810842264307&lt;/D&gt;&lt;D xsi:type="xsd:double"&gt;12.4861286396936&lt;/D&gt;&lt;D xsi:type="xsd:double"&gt;13.0500552139688&lt;/D&gt;&lt;D xsi:type="xsd:double"&gt;13.2335376668333&lt;/D&gt;&lt;D xsi:type="xsd:double"&gt;13.3234317655124&lt;/D&gt;&lt;D xsi:type="xsd:double"&gt;13.3467371377752&lt;/D&gt;&lt;D xsi:type="xsd:double"&gt;13.1926774487072&lt;/D&gt;&lt;D xsi:type="xsd:double"&gt;13.574858302904&lt;/D&gt;&lt;D xsi:type="xsd:double"&gt;13.2410566979382&lt;/D&gt;&lt;D xsi:type="xsd:double"&gt;14.0090683370574&lt;/D&gt;&lt;D xsi:type="xsd:double"&gt;14.3651027923225&lt;/D&gt;&lt;D xsi:type="xsd:double"&gt;15.1325487943312&lt;/D&gt;&lt;D xsi:type="xsd:double"&gt;15.573813791015&lt;/D&gt;&lt;D xsi:type="xsd:double"&gt;15.672283040001&lt;/D&gt;&lt;D xsi:type="xsd:double"&gt;16.2720882887277&lt;/D&gt;&lt;D xsi:type="xsd:double"&gt;13.3128519855324&lt;/D&gt;&lt;D xsi:type="xsd:double"&gt;14.3066848487351&lt;/D&gt;&lt;D xsi:type="xsd:double"&gt;15.2145356281527&lt;/D&gt;&lt;D xsi:type="xsd:double"&gt;17.2916739552372&lt;/D&gt;&lt;D xsi:type="xsd:double"&gt;18.7580635824351&lt;/D&gt;&lt;D xsi:type="xsd:double"&gt;19.4806586795396&lt;/D&gt;&lt;D xsi:type="xsd:double"&gt;20.6444413590284&lt;/D&gt;&lt;D xsi:type="xsd:double"&gt;20.6238676354725&lt;/D&gt;&lt;D xsi:type="xsd:double"&gt;20.6986365729999&lt;/D&gt;&lt;D xsi:type="xsd:double"&gt;21.467713840763&lt;/D&gt;&lt;D xsi:type="xsd:double"&gt;21.8645449558947&lt;/D&gt;&lt;D xsi:type="xsd:double"&gt;21.4737538999595&lt;/D&gt;&lt;D xsi:type="xsd:double"&gt;20.1836162381744&lt;/D&gt;&lt;D xsi:type="xsd:double"&gt;19.9074888286869&lt;/D&gt;&lt;D xsi:type="xsd:double"&gt;19.0538438292597&lt;/D&gt;&lt;D xsi:type="xsd:double"&gt;18.6617748933493&lt;/D&gt;&lt;D xsi:type="xsd:double"&gt;17.9624111563696&lt;/D&gt;&lt;D xsi:type="xsd:double"&gt;17.2264183146359&lt;/D&gt;&lt;D xsi:type="xsd:double"&gt;16.5099076874441&lt;/D&gt;&lt;D xsi:type="xsd:double"&gt;16.0136086885761&lt;/D&gt;&lt;D xsi:type="xsd:double"&gt;15.3578491048566&lt;/D&gt;&lt;D xsi:type="xsd:double"&gt;14.2642835237905&lt;/D&gt;&lt;D xsi:type="xsd:double"&gt;14.0934204288255&lt;/D&gt;&lt;D xsi:type="xsd:double"&gt;13.2853625582812&lt;/D&gt;&lt;D xsi:type="xsd:double"&gt;12.4961970977895&lt;/D&gt;&lt;D xsi:type="xsd:double"&gt;12.3439781009498&lt;/D&gt;&lt;D xsi:type="xsd:double"&gt;12.044905671616&lt;/D&gt;&lt;D xsi:type="xsd:double"&gt;11.5937864053589&lt;/D&gt;&lt;D xsi:type="xsd:double"&gt;11.3000117278324&lt;/D&gt;&lt;D xsi:type="xsd:double"&gt;11.3398985861653&lt;/D&gt;&lt;D xsi:type="xsd:double"&gt;10.6291626951989&lt;/D&gt;&lt;D xsi:type="xsd:double"&gt;10.1307051883028&lt;/D&gt;&lt;D xsi:type="xsd:double"&gt;10.9705690610046&lt;/D&gt;&lt;D xsi:type="xsd:double"&gt;10.44949602345&lt;/D&gt;&lt;D xsi:type="xsd:double"&gt;11.391845505047&lt;/D&gt;&lt;D xsi:type="xsd:double"&gt;11.7024162138506&lt;/D&gt;&lt;D xsi:type="xsd:double"&gt;11.2764945656536&lt;/D&gt;&lt;D xsi:type="xsd:double"&gt;11.4250645606231&lt;/D&gt;&lt;D xsi:type="xsd:double"&gt;11.3130783009644&lt;/D&gt;&lt;D xsi:type="xsd:double"&gt;11.3559360329898&lt;/D&gt;&lt;D xsi:type="xsd:double"&gt;11.2802724494802&lt;/D&gt;&lt;D xsi:type="xsd:double"&gt;11.1701444287047&lt;/D&gt;&lt;D xsi:type="xsd:double"&gt;11.2914602192935&lt;/D&gt;&lt;D xsi:type="xsd:double"&gt;10.9466643662949&lt;/D&gt;&lt;D xsi:type="xsd:double"&gt;11.3368830275891&lt;/D&gt;&lt;D xsi:type="xsd:double"&gt;11.9362294901192&lt;/D&gt;&lt;D xsi:type="xsd:double"&gt;11.7678063841587&lt;/D&gt;&lt;D xsi:type="xsd:double"&gt;12.1864174910534&lt;/D&gt;&lt;D xsi:type="xsd:double"&gt;12.5270014214096&lt;/D&gt;&lt;D xsi:type="xsd:double"&gt;12.4699913272631&lt;/D&gt;&lt;D xsi:type="xsd:double"&gt;12.5951218231202&lt;/D&gt;&lt;D xsi:type="xsd:double"&gt;12.3820529780236&lt;/D&gt;&lt;D xsi:type="xsd:double"&gt;12.5970147466262&lt;/D&gt;&lt;D xsi:type="xsd:double"&gt;12.381360828206&lt;/D&gt;&lt;/FQL&gt;&lt;FQL&gt;&lt;Q&gt;WL-FDS^FG_PRICE_CHANGE(0,-6AM)&lt;/Q&gt;&lt;R&gt;1&lt;/R&gt;&lt;C&gt;1&lt;/C&gt;&lt;D xsi:type="xsd:double"&gt;-19.0506031646561&lt;/D&gt;&lt;/FQL&gt;&lt;FQL&gt;&lt;Q&gt;QQQ^FMA_ROE(NTMA,-20AY,NOW,FY,"PORTAGG","MEANR")&lt;/Q&gt;&lt;R&gt;20&lt;/R&gt;&lt;C&gt;1&lt;/C&gt;&lt;D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xsi:type="xsd:double"&gt;25.011729179906&lt;/D&gt;&lt;D xsi:type="xsd:double"&gt;24.5344428387709&lt;/D&gt;&lt;D xsi:type="xsd:double"&gt;26.6372021629589&lt;/D&gt;&lt;D xsi:type="xsd:double"&gt;24.0483215527383&lt;/D&gt;&lt;D xsi:type="xsd:double"&gt;25.3040632089053&lt;/D&gt;&lt;/FQL&gt;&lt;FQL&gt;&lt;Q&gt;TRYMY10Y-FDS^FG_YIELD(-10AY,0,Y,,"YTM")&lt;/Q&gt;&lt;R&gt;10&lt;/R&gt;&lt;C&gt;1&lt;/C&gt;&lt;D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xsi:type="xsd:double"&gt;3.955&lt;/D&gt;&lt;/FQL&gt;&lt;FQL&gt;&lt;Q&gt;EWN^P_PRICE_RETURNS_PR('52W',2,-10AY,0,AM)&lt;/Q&gt;&lt;R&gt;121&lt;/R&gt;&lt;C&gt;1&lt;/C&gt;&lt;D xsi:type="xsd:double"&gt;3.9951444&lt;/D&gt;&lt;D xsi:type="xsd:double"&gt;5.728972&lt;/D&gt;&lt;D xsi:type="xsd:double"&gt;-6.780112&lt;/D&gt;&lt;D xsi:type="xsd:double"&gt;-1.9457161&lt;/D&gt;&lt;D xsi:type="xsd:double"&gt;-1.8549085&lt;/D&gt;&lt;D xsi:type="xsd:double"&gt;-7.3286295&lt;/D&gt;&lt;D xsi:type="xsd:double"&gt;-0.060522556&lt;/D&gt;&lt;D xsi:type="xsd:double"&gt;4.314244&lt;/D&gt;&lt;D xsi:type="xsd:double"&gt;4.429829&lt;/D&gt;&lt;D xsi:type="xsd:double"&gt;9.293592&lt;/D&gt;&lt;D xsi:type="xsd:double"&gt;2.6959658&lt;/D&gt;&lt;D xsi:type="xsd:double"&gt;8.379793&lt;/D&gt;&lt;D xsi:type="xsd:double"&gt;9.55925&lt;/D&gt;&lt;D xsi:type="xsd:double"&gt;0.25088787&lt;/D&gt;&lt;D xsi:type="xsd:double"&gt;14.191604&lt;/D&gt;&lt;D xsi:type="xsd:double"&gt;3.5325408&lt;/D&gt;&lt;D xsi:type="xsd:double"&gt;4.277241&lt;/D&gt;&lt;D xsi:type="xsd:double"&gt;-3.3403575&lt;/D&gt;&lt;D xsi:type="xsd:double"&gt;-9.029633&lt;/D&gt;&lt;D xsi:type="xsd:double"&gt;-2.3133695&lt;/D&gt;&lt;D xsi:type="xsd:double"&gt;-3.1237483&lt;/D&gt;&lt;D xsi:type="xsd:double"&gt;-9.332764&lt;/D&gt;&lt;D xsi:type="xsd:double"&gt;-9.08339&lt;/D&gt;&lt;D xsi:type="xsd:double"&gt;-9.639377&lt;/D&gt;&lt;D xsi:type="xsd:double"&gt;-2.4059355&lt;/D&gt;&lt;D xsi:type="xsd:double"&gt;0.98258257&lt;/D&gt;&lt;D xsi:type="xsd:double"&gt;1.776576&lt;/D&gt;&lt;D xsi:type="xsd:double"&gt;-1.9113123&lt;/D&gt;&lt;D xsi:type="xsd:double"&gt;0.9749651&lt;/D&gt;&lt;D xsi:type="xsd:double"&gt;12.589192&lt;/D&gt;&lt;D xsi:type="xsd:double"&gt;17.108965&lt;/D&gt;&lt;D xsi:type="xsd:double"&gt;12.877167&lt;/D&gt;&lt;D xsi:type="xsd:double"&gt;10.883724&lt;/D&gt;&lt;D xsi:type="xsd:double"&gt;24.182869&lt;/D&gt;&lt;D xsi:type="xsd:double"&gt;28.891636&lt;/D&gt;&lt;D xsi:type="xsd:double"&gt;29.521168&lt;/D&gt;&lt;D xsi:type="xsd:double"&gt;27.934086&lt;/D&gt;&lt;D xsi:type="xsd:double"&gt;30.6489&lt;/D&gt;&lt;D xsi:type="xsd:double"&gt;34.38649&lt;/D&gt;&lt;D xsi:type="xsd:double"&gt;36.5183&lt;/D&gt;&lt;D xsi:type="xsd:double"&gt;35.435223&lt;/D&gt;&lt;D xsi:type="xsd:double"&gt;36.317814&lt;/D&gt;&lt;D xsi:type="xsd:double"&gt;29.565834&lt;/D&gt;&lt;D xsi:type="xsd:double"&gt;22.749638&lt;/D&gt;&lt;D xsi:type="xsd:double"&gt;24.95401&lt;/D&gt;&lt;D xsi:type="xsd:double"&gt;11.1887455&lt;/D&gt;&lt;D xsi:type="xsd:double"&gt;11.600674&lt;/D&gt;&lt;D xsi:type="xsd:double"&gt;7.037163&lt;/D&gt;&lt;D xsi:type="xsd:double"&gt;0.6557226&lt;/D&gt;&lt;D xsi:type="xsd:double"&gt;-1.1048675&lt;/D&gt;&lt;D xsi:type="xsd:double"&gt;-7.1683464&lt;/D&gt;&lt;D xsi:type="xsd:double"&gt;-6.7040563&lt;/D&gt;&lt;D xsi:type="xsd:double"&gt;-11.708575&lt;/D&gt;&lt;D xsi:type="xsd:double"&gt;-16.33668&lt;/D&gt;&lt;D xsi:type="xsd:double"&gt;-7.1129265&lt;/D&gt;&lt;D xsi:type="xsd:double"&gt;-4.142064&lt;/D&gt;&lt;D xsi:type="xsd:double"&gt;-2.9884994&lt;/D&gt;&lt;D xsi:type="xsd:double"&gt;-1.9415319&lt;/D&gt;&lt;D xsi:type="xsd:double"&gt;-2.1070957&lt;/D&gt;&lt;D xsi:type="xsd:double"&gt;2.1956801&lt;/D&gt;&lt;D xsi:type="xsd:double"&gt;1.6623616&lt;/D&gt;&lt;D xsi:type="xsd:double"&gt;7.486975&lt;/D&gt;&lt;D xsi:type="xsd:double"&gt;13.167977&lt;/D&gt;&lt;D xsi:type="xsd:double"&gt;17.749155&lt;/D&gt;&lt;D xsi:type="xsd:double"&gt;28.054285&lt;/D&gt;&lt;D xsi:type="xsd:double"&gt;29.821705&lt;/D&gt;&lt;D xsi:type="xsd:double"&gt;22.48013&lt;/D&gt;&lt;D xsi:type="xsd:double"&gt;-21.541107&lt;/D&gt;&lt;D xsi:type="xsd:double"&gt;-10.320783&lt;/D&gt;&lt;D xsi:type="xsd:double"&gt;-6.3364267&lt;/D&gt;&lt;D xsi:type="xsd:double"&gt;8.979166&lt;/D&gt;&lt;D xsi:type="xsd:double"&gt;11.578274&lt;/D&gt;&lt;D xsi:type="xsd:double"&gt;20.483124&lt;/D&gt;&lt;D xsi:type="xsd:double"&gt;13.504481&lt;/D&gt;&lt;D xsi:type="xsd:double"&gt;15.657722&lt;/D&gt;&lt;D xsi:type="xsd:double"&gt;18.284893&lt;/D&gt;&lt;D xsi:type="xsd:double"&gt;21.96517&lt;/D&gt;&lt;D xsi:type="xsd:double"&gt;27.292538&lt;/D&gt;&lt;D xsi:type="xsd:double"&gt;35.799206&lt;/D&gt;&lt;D xsi:type="xsd:double"&gt;96.36085&lt;/D&gt;&lt;D xsi:type="xsd:double"&gt;80.35062&lt;/D&gt;&lt;D xsi:type="xsd:double"&gt;73.232315&lt;/D&gt;&lt;D xsi:type="xsd:double"&gt;54.213978&lt;/D&gt;&lt;D xsi:type="xsd:double"&gt;41.246235&lt;/D&gt;&lt;D xsi:type="xsd:double"&gt;46.50209&lt;/D&gt;&lt;D xsi:type="xsd:double"&gt;52.5699&lt;/D&gt;&lt;D xsi:type="xsd:double"&gt;43.949093&lt;/D&gt;&lt;D xsi:type="xsd:double"&gt;38.38098&lt;/D&gt;&lt;D xsi:type="xsd:double"&gt;19.950449&lt;/D&gt;&lt;D xsi:type="xsd:double"&gt;14.703822&lt;/D&gt;&lt;D xsi:type="xsd:double"&gt;0.68935156&lt;/D&gt;&lt;D xsi:type="xsd:double"&gt;-5.2722096&lt;/D&gt;&lt;D xsi:type="xsd:double"&gt;-14.903975&lt;/D&gt;&lt;D xsi:type="xsd:double"&gt;-22.321123&lt;/D&gt;&lt;D xsi:type="xsd:double"&gt;-30.266344&lt;/D&gt;&lt;D xsi:type="xsd:double"&gt;-27.937191&lt;/D&gt;&lt;D xsi:type="xsd:double"&gt;-24.059343&lt;/D&gt;&lt;D xsi:type="xsd:double"&gt;-36.393833&lt;/D&gt;&lt;D xsi:type="xsd:double"&gt;-40.252792&lt;/D&gt;&lt;D xsi:type="xsd:double"&gt;-27.446806&lt;/D&gt;&lt;D xsi:type="xsd:double"&gt;-20.539124&lt;/D&gt;&lt;D xsi:type="xsd:double"&gt;-13.224215&lt;/D&gt;&lt;D xsi:type="xsd:double"&gt;-7.0148706&lt;/D&gt;&lt;D xsi:type="xsd:double"&gt;-3.328985&lt;/D&gt;&lt;D xsi:type="xsd:double"&gt;7.6619983&lt;/D&gt;&lt;D xsi:type="xsd:double"&gt;15.738964&lt;/D&gt;&lt;D xsi:type="xsd:double"&gt;29.884398&lt;/D&gt;&lt;D xsi:type="xsd:double"&gt;36.440742&lt;/D&gt;&lt;D xsi:type="xsd:double"&gt;11.8483305&lt;/D&gt;&lt;D xsi:type="xsd:double"&gt;18.294466&lt;/D&gt;&lt;D xsi:type="xsd:double"&gt;29.16174&lt;/D&gt;&lt;D xsi:type="xsd:double"&gt;12.577475&lt;/D&gt;&lt;D xsi:type="xsd:double"&gt;18.217361&lt;/D&gt;&lt;D xsi:type="xsd:double"&gt;4.1905403&lt;/D&gt;&lt;D xsi:type="xsd:double"&gt;13.934767&lt;/D&gt;&lt;D xsi:type="xsd:double"&gt;25.497066&lt;/D&gt;&lt;D xsi:type="xsd:double"&gt;15.664255&lt;/D&gt;&lt;D xsi:type="xsd:double"&gt;24.583172&lt;/D&gt;&lt;D xsi:type="xsd:double"&gt;19.314861&lt;/D&gt;&lt;D xsi:type="xsd:double"&gt;18.10875&lt;/D&gt;&lt;D xsi:type="xsd:double"&gt;21.24213&lt;/D&gt;&lt;/FQL&gt;&lt;FQL&gt;&lt;Q&gt;EWU^FMA_DIV_YLD(NTMA,-10AY,0,AM,"PORTAGG","MEANR")&lt;/Q&gt;&lt;R&gt;121&lt;/R&gt;&lt;C&gt;1&lt;/C&gt;&lt;D xsi:type="xsd:double"&gt;3.96993651600935&lt;/D&gt;&lt;D xsi:type="xsd:double"&gt;3.94296797615314&lt;/D&gt;&lt;D xsi:type="xsd:double"&gt;4.35298576829492&lt;/D&gt;&lt;D xsi:type="xsd:double"&gt;4.06533360615068&lt;/D&gt;&lt;D xsi:type="xsd:double"&gt;4.27157677106532&lt;/D&gt;&lt;D xsi:type="xsd:double"&gt;4.18156400273836&lt;/D&gt;&lt;D xsi:type="xsd:double"&gt;3.96921039819391&lt;/D&gt;&lt;D xsi:type="xsd:double"&gt;4.02709477361701&lt;/D&gt;&lt;D xsi:type="xsd:double"&gt;3.88087179527873&lt;/D&gt;&lt;D xsi:type="xsd:double"&gt;3.87309130827091&lt;/D&gt;&lt;D xsi:type="xsd:double"&gt;4.06085313372433&lt;/D&gt;&lt;D xsi:type="xsd:double"&gt;4.0580298683942&lt;/D&gt;&lt;D xsi:type="xsd:double"&gt;4.15916149073414&lt;/D&gt;&lt;D xsi:type="xsd:double"&gt;4.39279463600393&lt;/D&gt;&lt;D xsi:type="xsd:double"&gt;4.23594083779223&lt;/D&gt;&lt;D xsi:type="xsd:double"&gt;4.36244689033236&lt;/D&gt;&lt;D xsi:type="xsd:double"&gt;4.40833851381586&lt;/D&gt;&lt;D xsi:type="xsd:double"&gt;4.64280909726162&lt;/D&gt;&lt;D xsi:type="xsd:double"&gt;4.67512226090785&lt;/D&gt;&lt;D xsi:type="xsd:double"&gt;4.38859718756969&lt;/D&gt;&lt;D xsi:type="xsd:double"&gt;4.25146207823085&lt;/D&gt;&lt;D xsi:type="xsd:double"&gt;4.36812380508128&lt;/D&gt;&lt;D xsi:type="xsd:double"&gt;4.54283743974425&lt;/D&gt;&lt;D xsi:type="xsd:double"&gt;4.15498306968487&lt;/D&gt;&lt;D xsi:type="xsd:double"&gt;4.07469487022477&lt;/D&gt;&lt;D xsi:type="xsd:double"&gt;4.23036913893178&lt;/D&gt;&lt;D xsi:type="xsd:double"&gt;4.2699743183425&lt;/D&gt;&lt;D xsi:type="xsd:double"&gt;4.44749444010795&lt;/D&gt;&lt;D xsi:type="xsd:double"&gt;4.33122110045207&lt;/D&gt;&lt;D xsi:type="xsd:double"&gt;4.22318648939383&lt;/D&gt;&lt;D xsi:type="xsd:double"&gt;4.25708632684373&lt;/D&gt;&lt;D xsi:type="xsd:double"&gt;4.28960331824303&lt;/D&gt;&lt;D xsi:type="xsd:double"&gt;4.34263509161154&lt;/D&gt;&lt;D xsi:type="xsd:double"&gt;4.20981720230273&lt;/D&gt;&lt;D xsi:type="xsd:double"&gt;4.28056827801387&lt;/D&gt;&lt;D xsi:type="xsd:double"&gt;4.28866480052332&lt;/D&gt;&lt;D xsi:type="xsd:double"&gt;4.31612189248445&lt;/D&gt;&lt;D xsi:type="xsd:double"&gt;4.37096960893152&lt;/D&gt;&lt;D xsi:type="xsd:double"&gt;4.25982730419036&lt;/D&gt;&lt;D xsi:type="xsd:double"&gt;4.38673993125149&lt;/D&gt;&lt;D xsi:type="xsd:double"&gt;4.32399199067573&lt;/D&gt;&lt;D xsi:type="xsd:double"&gt;4.16648106962762&lt;/D&gt;&lt;D xsi:type="xsd:double"&gt;4.38697091576425&lt;/D&gt;&lt;D xsi:type="xsd:double"&gt;4.50795766771815&lt;/D&gt;&lt;D xsi:type="xsd:double"&gt;4.45154524246318&lt;/D&gt;&lt;D xsi:type="xsd:double"&gt;4.26671062999438&lt;/D&gt;&lt;D xsi:type="xsd:double"&gt;4.38166360624528&lt;/D&gt;&lt;D xsi:type="xsd:double"&gt;4.43044357931206&lt;/D&gt;&lt;D xsi:type="xsd:double"&gt;4.53059898503192&lt;/D&gt;&lt;D xsi:type="xsd:double"&gt;4.63551652907502&lt;/D&gt;&lt;D xsi:type="xsd:double"&gt;4.8025395813591&lt;/D&gt;&lt;D xsi:type="xsd:double"&gt;4.92840173717671&lt;/D&gt;&lt;D xsi:type="xsd:double"&gt;5.13514795276401&lt;/D&gt;&lt;D xsi:type="xsd:double"&gt;5.2096368825305&lt;/D&gt;&lt;D xsi:type="xsd:double"&gt;4.94298950696693&lt;/D&gt;&lt;D xsi:type="xsd:double"&gt;4.89774516118383&lt;/D&gt;&lt;D xsi:type="xsd:double"&gt;4.80768617271425&lt;/D&gt;&lt;D xsi:type="xsd:double"&gt;4.92017376089174&lt;/D&gt;&lt;D xsi:type="xsd:double"&gt;4.84418453197371&lt;/D&gt;&lt;D xsi:type="xsd:double"&gt;4.76387958789958&lt;/D&gt;&lt;D xsi:type="xsd:double"&gt;5.15456576607602&lt;/D&gt;&lt;D xsi:type="xsd:double"&gt;4.94179461975304&lt;/D&gt;&lt;D xsi:type="xsd:double"&gt;4.93694763236783&lt;/D&gt;&lt;D xsi:type="xsd:double"&gt;4.81822374475219&lt;/D&gt;&lt;D xsi:type="xsd:double"&gt;4.56990398838334&lt;/D&gt;&lt;D xsi:type="xsd:double"&gt;4.55992793920189&lt;/D&gt;&lt;D xsi:type="xsd:double"&gt;4.70116297403356&lt;/D&gt;&lt;D xsi:type="xsd:double"&gt;6.9406001334142&lt;/D&gt;&lt;D xsi:type="xsd:double"&gt;5.90226871152942&lt;/D&gt;&lt;D xsi:type="xsd:double"&gt;4.59249524885059&lt;/D&gt;&lt;D xsi:type="xsd:double"&gt;4.058801533856&lt;/D&gt;&lt;D xsi:type="xsd:double"&gt;3.98808655893057&lt;/D&gt;&lt;D xsi:type="xsd:double"&gt;3.96615613965708&lt;/D&gt;&lt;D xsi:type="xsd:double"&gt;4.04810505439925&lt;/D&gt;&lt;D xsi:type="xsd:double"&gt;4.29502042883107&lt;/D&gt;&lt;D xsi:type="xsd:double"&gt;3.97716277702216&lt;/D&gt;&lt;D xsi:type="xsd:double"&gt;3.8737789797584&lt;/D&gt;&lt;D xsi:type="xsd:double"&gt;3.89198155409769&lt;/D&gt;&lt;D xsi:type="xsd:double"&gt;3.90250513772749&lt;/D&gt;&lt;D xsi:type="xsd:double"&gt;3.94183812274226&lt;/D&gt;&lt;D xsi:type="xsd:double"&gt;3.92799165914226&lt;/D&gt;&lt;D xsi:type="xsd:double"&gt;3.90126087113209&lt;/D&gt;&lt;D xsi:type="xsd:double"&gt;3.84911557497221&lt;/D&gt;&lt;D xsi:type="xsd:double"&gt;4.08296881444879&lt;/D&gt;&lt;D xsi:type="xsd:double"&gt;4.15796322166121&lt;/D&gt;&lt;D xsi:type="xsd:double"&gt;4.24092038661962&lt;/D&gt;&lt;D xsi:type="xsd:double"&gt;4.03933233597526&lt;/D&gt;&lt;D xsi:type="xsd:double"&gt;4.02082098864165&lt;/D&gt;&lt;D xsi:type="xsd:double"&gt;4.01271259549365&lt;/D&gt;&lt;D xsi:type="xsd:double"&gt;3.82058456354301&lt;/D&gt;&lt;D xsi:type="xsd:double"&gt;3.80524117591844&lt;/D&gt;&lt;D xsi:type="xsd:double"&gt;4.06295190651715&lt;/D&gt;&lt;D xsi:type="xsd:double"&gt;3.93132563070223&lt;/D&gt;&lt;D xsi:type="xsd:double"&gt;4.13818062019884&lt;/D&gt;&lt;D xsi:type="xsd:double"&gt;4.39190469314111&lt;/D&gt;&lt;D xsi:type="xsd:double"&gt;4.38533390964399&lt;/D&gt;&lt;D xsi:type="xsd:double"&gt;4.17105346920741&lt;/D&gt;&lt;D xsi:type="xsd:double"&gt;4.49657460705315&lt;/D&gt;&lt;D xsi:type="xsd:double"&gt;4.6895804993639&lt;/D&gt;&lt;D xsi:type="xsd:double"&gt;4.33285030851026&lt;/D&gt;&lt;D xsi:type="xsd:double"&gt;4.3425953018337&lt;/D&gt;&lt;D xsi:type="xsd:double"&gt;4.05012556374912&lt;/D&gt;&lt;D xsi:type="xsd:double"&gt;4.05218188835451&lt;/D&gt;&lt;D xsi:type="xsd:double"&gt;4.40327634297593&lt;/D&gt;&lt;D xsi:type="xsd:double"&gt;4.13920930085408&lt;/D&gt;&lt;D xsi:type="xsd:double"&gt;4.27177542073778&lt;/D&gt;&lt;D xsi:type="xsd:double"&gt;4.30853012103593&lt;/D&gt;&lt;D xsi:type="xsd:double"&gt;4.37821351457791&lt;/D&gt;&lt;D xsi:type="xsd:double"&gt;4.5235941580105&lt;/D&gt;&lt;D xsi:type="xsd:double"&gt;4.38159886135063&lt;/D&gt;&lt;D xsi:type="xsd:double"&gt;4.44803430455807&lt;/D&gt;&lt;D xsi:type="xsd:double"&gt;4.54929428525565&lt;/D&gt;&lt;D xsi:type="xsd:double"&gt;4.35697290448176&lt;/D&gt;&lt;D xsi:type="xsd:double"&gt;4.39371256348829&lt;/D&gt;&lt;D xsi:type="xsd:double"&gt;4.22630452117038&lt;/D&gt;&lt;D xsi:type="xsd:double"&gt;4.12990314182096&lt;/D&gt;&lt;D xsi:type="xsd:double"&gt;4.11164468915626&lt;/D&gt;&lt;D xsi:type="xsd:double"&gt;3.80362306757365&lt;/D&gt;&lt;D xsi:type="xsd:double"&gt;3.97978790610633&lt;/D&gt;&lt;D xsi:type="xsd:double"&gt;3.92613819788435&lt;/D&gt;&lt;D xsi:type="xsd:double"&gt;3.89220423703153&lt;/D&gt;&lt;/FQL&gt;&lt;FQL&gt;&lt;Q&gt;EWJ^FMA_PE(NTMA,-10AY,0,AM,"PORTAGG","MEANR")&lt;/Q&gt;&lt;R&gt;121&lt;/R&gt;&lt;C&gt;1&lt;/C&gt;&lt;D xsi:type="xsd:double"&gt;13.6010207446168&lt;/D&gt;&lt;D xsi:type="xsd:double"&gt;13.8895338948876&lt;/D&gt;&lt;D xsi:type="xsd:double"&gt;12.6197640856479&lt;/D&gt;&lt;D xsi:type="xsd:double"&gt;14.6319284028082&lt;/D&gt;&lt;D xsi:type="xsd:double"&gt;13.7340423283507&lt;/D&gt;&lt;D xsi:type="xsd:double"&gt;13.7228271357823&lt;/D&gt;&lt;D xsi:type="xsd:double"&gt;14.4092456046216&lt;/D&gt;&lt;D xsi:type="xsd:double"&gt;15.3835482889656&lt;/D&gt;&lt;D xsi:type="xsd:double"&gt;15.7276601985903&lt;/D&gt;&lt;D xsi:type="xsd:double"&gt;15.8763334837628&lt;/D&gt;&lt;D xsi:type="xsd:double"&gt;15.7488170101434&lt;/D&gt;&lt;D xsi:type="xsd:double"&gt;15.6131071699634&lt;/D&gt;&lt;D xsi:type="xsd:double"&gt;15.434675539156&lt;/D&gt;&lt;D xsi:type="xsd:double"&gt;13.5907231635009&lt;/D&gt;&lt;D xsi:type="xsd:double"&gt;13.9017858807677&lt;/D&gt;&lt;D xsi:type="xsd:double"&gt;14.5139982214341&lt;/D&gt;&lt;D xsi:type="xsd:double"&gt;14.0454718425406&lt;/D&gt;&lt;D xsi:type="xsd:double"&gt;12.7150164356575&lt;/D&gt;&lt;D xsi:type="xsd:double"&gt;12.0369610710171&lt;/D&gt;&lt;D xsi:type="xsd:double"&gt;12.9427131054076&lt;/D&gt;&lt;D xsi:type="xsd:double"&gt;13.0444713937215&lt;/D&gt;&lt;D xsi:type="xsd:double"&gt;12.9723738887451&lt;/D&gt;&lt;D xsi:type="xsd:double"&gt;12.4972184283968&lt;/D&gt;&lt;D xsi:type="xsd:double"&gt;13.4940333005006&lt;/D&gt;&lt;D xsi:type="xsd:double"&gt;13.1850395360251&lt;/D&gt;&lt;D xsi:type="xsd:double"&gt;13.2545299732359&lt;/D&gt;&lt;D xsi:type="xsd:double"&gt;13.4380329423782&lt;/D&gt;&lt;D xsi:type="xsd:double"&gt;14.0878596719626&lt;/D&gt;&lt;D xsi:type="xsd:double"&gt;15.0974042728696&lt;/D&gt;&lt;D xsi:type="xsd:double"&gt;14.83369481</t>
        </r>
      </text>
    </comment>
    <comment ref="A6" authorId="0" shapeId="0" xr:uid="{D778CFE1-BA09-4865-92F3-41B8277FCE0C}">
      <text>
        <r>
          <rPr>
            <b/>
            <sz val="9"/>
            <color indexed="81"/>
            <rFont val="Tahoma"/>
            <charset val="1"/>
          </rPr>
          <t>70236&lt;/D&gt;&lt;D xsi:type="xsd:double"&gt;14.4644874403246&lt;/D&gt;&lt;D xsi:type="xsd:double"&gt;14.3555416767913&lt;/D&gt;&lt;D xsi:type="xsd:double"&gt;13.3281886615521&lt;/D&gt;&lt;D xsi:type="xsd:double"&gt;14.3989283607387&lt;/D&gt;&lt;D xsi:type="xsd:double"&gt;14.3406458346215&lt;/D&gt;&lt;D xsi:type="xsd:double"&gt;14.3062999319394&lt;/D&gt;&lt;D xsi:type="xsd:double"&gt;13.8766540995668&lt;/D&gt;&lt;D xsi:type="xsd:double"&gt;13.7321776224153&lt;/D&gt;&lt;D xsi:type="xsd:double"&gt;14.2658179390874&lt;/D&gt;&lt;D xsi:type="xsd:double"&gt;14.484969449773&lt;/D&gt;&lt;D xsi:type="xsd:double"&gt;14.5217449062466&lt;/D&gt;&lt;D xsi:type="xsd:double"&gt;15.3105833453259&lt;/D&gt;&lt;D xsi:type="xsd:double"&gt;13.6765004916888&lt;/D&gt;&lt;D xsi:type="xsd:double"&gt;12.9926588377316&lt;/D&gt;&lt;D xsi:type="xsd:double"&gt;12.9168740375601&lt;/D&gt;&lt;D xsi:type="xsd:double"&gt;13.3566710664075&lt;/D&gt;&lt;D xsi:type="xsd:double"&gt;13.2205469851466&lt;/D&gt;&lt;D xsi:type="xsd:double"&gt;12.8025589330426&lt;/D&gt;&lt;D xsi:type="xsd:double"&gt;12.4308404507878&lt;/D&gt;&lt;D xsi:type="xsd:double"&gt;12.6494566729728&lt;/D&gt;&lt;D xsi:type="xsd:double"&gt;12.3302207434882&lt;/D&gt;&lt;D xsi:type="xsd:double"&gt;11.9547377548086&lt;/D&gt;&lt;D xsi:type="xsd:double"&gt;11.7721150439616&lt;/D&gt;&lt;D xsi:type="xsd:double"&gt;11.586685051889&lt;/D&gt;&lt;D xsi:type="xsd:double"&gt;12.1300495250649&lt;/D&gt;&lt;D xsi:type="xsd:double"&gt;12.5476757399475&lt;/D&gt;&lt;D xsi:type="xsd:double"&gt;12.7667990476991&lt;/D&gt;&lt;D xsi:type="xsd:double"&gt;12.2235653889077&lt;/D&gt;&lt;D xsi:type="xsd:double"&gt;12.5867005619469&lt;/D&gt;&lt;D xsi:type="xsd:double"&gt;12.8488222472512&lt;/D&gt;&lt;D xsi:type="xsd:double"&gt;12.2720165751769&lt;/D&gt;&lt;D xsi:type="xsd:double"&gt;13.4504056048134&lt;/D&gt;&lt;D xsi:type="xsd:double"&gt;13.5844549753678&lt;/D&gt;&lt;D xsi:type="xsd:double"&gt;14.1171314208295&lt;/D&gt;&lt;D xsi:type="xsd:double"&gt;14.6771723154383&lt;/D&gt;&lt;D xsi:type="xsd:double"&gt;14.6052534068026&lt;/D&gt;&lt;D xsi:type="xsd:double"&gt;14.3639002052762&lt;/D&gt;&lt;D xsi:type="xsd:double"&gt;10.7285904895094&lt;/D&gt;&lt;D xsi:type="xsd:double"&gt;13.1881876464916&lt;/D&gt;&lt;D xsi:type="xsd:double"&gt;14.3744558483626&lt;/D&gt;&lt;D xsi:type="xsd:double"&gt;17.735507367761&lt;/D&gt;&lt;D xsi:type="xsd:double"&gt;17.9328577281909&lt;/D&gt;&lt;D xsi:type="xsd:double"&gt;17.9868562465426&lt;/D&gt;&lt;D xsi:type="xsd:double"&gt;18.4847131372097&lt;/D&gt;&lt;D xsi:type="xsd:double"&gt;17.7788737103004&lt;/D&gt;&lt;D xsi:type="xsd:double"&gt;18.5093882756436&lt;/D&gt;&lt;D xsi:type="xsd:double"&gt;18.3952456610551&lt;/D&gt;&lt;D xsi:type="xsd:double"&gt;18.7269327609061&lt;/D&gt;&lt;D xsi:type="xsd:double"&gt;19.1886631887284&lt;/D&gt;&lt;D xsi:type="xsd:double"&gt;18.1194209623492&lt;/D&gt;&lt;D xsi:type="xsd:double"&gt;17.3945121057459&lt;/D&gt;&lt;D xsi:type="xsd:double"&gt;16.2251683550127&lt;/D&gt;&lt;D xsi:type="xsd:double"&gt;16.6209343609426&lt;/D&gt;&lt;D xsi:type="xsd:double"&gt;15.9731754535563&lt;/D&gt;&lt;D xsi:type="xsd:double"&gt;15.3888402446156&lt;/D&gt;&lt;D xsi:type="xsd:double"&gt;16.0389890798338&lt;/D&gt;&lt;D xsi:type="xsd:double"&gt;15.3874292074685&lt;/D&gt;&lt;D xsi:type="xsd:double"&gt;15.4315034842475&lt;/D&gt;&lt;D xsi:type="xsd:double"&gt;14.738770501471&lt;/D&gt;&lt;D xsi:type="xsd:double"&gt;14.3255589724836&lt;/D&gt;&lt;D xsi:type="xsd:double"&gt;13.7282388771426&lt;/D&gt;&lt;D xsi:type="xsd:double"&gt;12.6294451321631&lt;/D&gt;&lt;D xsi:type="xsd:double"&gt;12.9832703906153&lt;/D&gt;&lt;D xsi:type="xsd:double"&gt;12.5777773808411&lt;/D&gt;&lt;D xsi:type="xsd:double"&gt;12.3829281175426&lt;/D&gt;&lt;D xsi:type="xsd:double"&gt;12.4608833558915&lt;/D&gt;&lt;D xsi:type="xsd:double"&gt;13.0094745189351&lt;/D&gt;&lt;D xsi:type="xsd:double"&gt;12.6306770159395&lt;/D&gt;&lt;D xsi:type="xsd:double"&gt;12.2793182797937&lt;/D&gt;&lt;D xsi:type="xsd:double"&gt;12.8014992198037&lt;/D&gt;&lt;D xsi:type="xsd:double"&gt;12.6369629766139&lt;/D&gt;&lt;D xsi:type="xsd:double"&gt;12.3663692500393&lt;/D&gt;&lt;D xsi:type="xsd:double"&gt;13.1278244780818&lt;/D&gt;&lt;D xsi:type="xsd:double"&gt;12.7048463823178&lt;/D&gt;&lt;D xsi:type="xsd:double"&gt;13.2739570836796&lt;/D&gt;&lt;D xsi:type="xsd:double"&gt;13.9694754577588&lt;/D&gt;&lt;D xsi:type="xsd:double"&gt;15.0238886422624&lt;/D&gt;&lt;D xsi:type="xsd:double"&gt;14.4630622051845&lt;/D&gt;&lt;D xsi:type="xsd:double"&gt;14.1829195163302&lt;/D&gt;&lt;D xsi:type="xsd:double"&gt;15.1062214341041&lt;/D&gt;&lt;D xsi:type="xsd:double"&gt;14.0459876141713&lt;/D&gt;&lt;D xsi:type="xsd:double"&gt;14.429317922075&lt;/D&gt;&lt;D xsi:type="xsd:double"&gt;13.9472629102911&lt;/D&gt;&lt;D xsi:type="xsd:double"&gt;14.8527888820523&lt;/D&gt;&lt;D xsi:type="xsd:double"&gt;15.36232133895&lt;/D&gt;&lt;D xsi:type="xsd:double"&gt;15.3277787365884&lt;/D&gt;&lt;D xsi:type="xsd:double"&gt;15.3558404826514&lt;/D&gt;&lt;D xsi:type="xsd:double"&gt;15.4536278322743&lt;/D&gt;&lt;D xsi:type="xsd:double"&gt;15.2781164115784&lt;/D&gt;&lt;D xsi:type="xsd:double"&gt;16.0727513005632&lt;/D&gt;&lt;D xsi:type="xsd:double"&gt;13.9752992897754&lt;/D&gt;&lt;/FQL&gt;&lt;FQL&gt;&lt;Q&gt;EWC^FMA_PE(LTMA,-10AY,0,AM,"PORTAGG","MEANR")&lt;/Q&gt;&lt;R&gt;121&lt;/R&gt;&lt;C&gt;1&lt;/C&gt;&lt;D xsi:type="xsd:double"&gt;16.3192671854317&lt;/D&gt;&lt;D xsi:type="xsd:double"&gt;16.4270345126519&lt;/D&gt;&lt;D xsi:type="xsd:double"&gt;15.1961178616978&lt;/D&gt;&lt;D xsi:type="xsd:double"&gt;15.8154587589195&lt;/D&gt;&lt;D xsi:type="xsd:double"&gt;14.8632759398574&lt;/D&gt;&lt;D xsi:type="xsd:double"&gt;15.2893769634409&lt;/D&gt;&lt;D xsi:type="xsd:double"&gt;16.6524746640292&lt;/D&gt;&lt;D xsi:type="xsd:double"&gt;17.0184421501648&lt;/D&gt;&lt;D xsi:type="xsd:double"&gt;17.2682982864457&lt;/D&gt;&lt;D xsi:type="xsd:double"&gt;17.2279911586142&lt;/D&gt;&lt;D xsi:type="xsd:double"&gt;17.1357605031042&lt;/D&gt;&lt;D xsi:type="xsd:double"&gt;17.1553982087532&lt;/D&gt;&lt;D xsi:type="xsd:double"&gt;16.9580897846264&lt;/D&gt;&lt;D xsi:type="xsd:double"&gt;16.7229399403812&lt;/D&gt;&lt;D xsi:type="xsd:double"&gt;16.9531012943588&lt;/D&gt;&lt;D xsi:type="xsd:double"&gt;16.5860208013877&lt;/D&gt;&lt;D xsi:type="xsd:double"&gt;16.4137991157273&lt;/D&gt;&lt;D xsi:type="xsd:double"&gt;14.614080256697&lt;/D&gt;&lt;D xsi:type="xsd:double"&gt;15.1776425740984&lt;/D&gt;&lt;D xsi:type="xsd:double"&gt;15.9798451268357&lt;/D&gt;&lt;D xsi:type="xsd:double"&gt;16.1416154074434&lt;/D&gt;&lt;D xsi:type="xsd:double"&gt;16.5364536344069&lt;/D&gt;&lt;D xsi:type="xsd:double"&gt;16.6298498763935&lt;/D&gt;&lt;D xsi:type="xsd:double"&gt;17.1379956606272&lt;/D&gt;&lt;D xsi:type="xsd:double"&gt;17.447129424634&lt;/D&gt;&lt;D xsi:type="xsd:double"&gt;17.5038836609723&lt;/D&gt;&lt;D xsi:type="xsd:double"&gt;17.8748831438829&lt;/D&gt;&lt;D xsi:type="xsd:double"&gt;18.4834490805647&lt;/D&gt;&lt;D xsi:type="xsd:double"&gt;19.1963482221362&lt;/D&gt;&lt;D xsi:type="xsd:double"&gt;19.5543775533161&lt;/D&gt;&lt;D xsi:type="xsd:double"&gt;19.8355270941438&lt;/D&gt;&lt;D xsi:type="xsd:double"&gt;19.2574041392818&lt;/D&gt;&lt;D xsi:type="xsd:double"&gt;18.9603326297772&lt;/D&gt;&lt;D xsi:type="xsd:double"&gt;18.6115850586646&lt;/D&gt;&lt;D xsi:type="xsd:double"&gt;18.1752045616531&lt;/D&gt;&lt;D xsi:type="xsd:double"&gt;18.0113469672725&lt;/D&gt;&lt;D xsi:type="xsd:double"&gt;17.7220776213263&lt;/D&gt;&lt;D xsi:type="xsd:double"&gt;17.3908897390839&lt;/D&gt;&lt;D xsi:type="xsd:double"&gt;17.5216629057797&lt;/D&gt;&lt;D xsi:type="xsd:double"&gt;17.2816376832251&lt;/D&gt;&lt;D xsi:type="xsd:double"&gt;17.1781584330585&lt;/D&gt;&lt;D xsi:type="xsd:double"&gt;17.2448145139642&lt;/D&gt;&lt;D xsi:type="xsd:double"&gt;15.9096190829983&lt;/D&gt;&lt;D xsi:type="xsd:double"&gt;15.8167066919703&lt;/D&gt;&lt;D xsi:type="xsd:double"&gt;15.57110009002&lt;/D&gt;&lt;D xsi:type="xsd:double"&gt;15.6459287303562&lt;/D&gt;&lt;D xsi:type="xsd:double"&gt;15.6023470359393&lt;/D&gt;&lt;D xsi:type="xsd:double"&gt;15.5472063083901&lt;/D&gt;&lt;D xsi:type="xsd:double"&gt;15.3245245877253&lt;/D&gt;&lt;D xsi:type="xsd:double"&gt;15.0159706571943&lt;/D&gt;&lt;D xsi:type="xsd:double"&gt;14.5812780707233&lt;/D&gt;&lt;D xsi:type="xsd:double"&gt;14.107601794778&lt;/D&gt;&lt;D xsi:type="xsd:double"&gt;13.490435769898&lt;/D&gt;&lt;D xsi:type="xsd:double"&gt;13.9169702118752&lt;/D&gt;&lt;D xsi:type="xsd:double"&gt;14.6942866053121&lt;/D&gt;&lt;D xsi:type="xsd:double"&gt;14.7333914127315&lt;/D&gt;&lt;D xsi:type="xsd:double"&gt;14.6706425020943&lt;/D&gt;&lt;D xsi:type="xsd:double"&gt;14.5410656648975&lt;/D&gt;&lt;D xsi:type="xsd:double"&gt;14.4515406449411&lt;/D&gt;&lt;D xsi:type="xsd:double"&gt;14.504317111739&lt;/D&gt;&lt;D xsi:type="xsd:double"&gt;14.3046126127651&lt;/D&gt;&lt;D xsi:type="xsd:double"&gt;14.683415232939&lt;/D&gt;&lt;D xsi:type="xsd:double"&gt;14.5933183219044&lt;/D&gt;&lt;D xsi:type="xsd:double"&gt;15.1509044758691&lt;/D&gt;&lt;D xsi:type="xsd:double"&gt;15.2084510201361&lt;/D&gt;&lt;D xsi:type="xsd:double"&gt;15.6009921266302&lt;/D&gt;&lt;D xsi:type="xsd:double"&gt;15.7344230156376&lt;/D&gt;&lt;D xsi:type="xsd:double"&gt;13.8455075826324&lt;/D&gt;&lt;D xsi:type="xsd:double"&gt;14.8028571138652&lt;/D&gt;&lt;D xsi:type="xsd:double"&gt;16.3764521277881&lt;/D&gt;&lt;D xsi:type="xsd:double"&gt;17.2361464855299&lt;/D&gt;&lt;D xsi:type="xsd:double"&gt;17.786093112525&lt;/D&gt;&lt;D xsi:type="xsd:double"&gt;18.1787020406619&lt;/D&gt;&lt;D xsi:type="xsd:double"&gt;18.2826838943013&lt;/D&gt;&lt;D xsi:type="xsd:double"&gt;18.8197290100056&lt;/D&gt;&lt;D xsi:type="xsd:double"&gt;19.5058265059221&lt;/D&gt;&lt;D xsi:type="xsd:double"&gt;20.2870950858513&lt;/D&gt;&lt;D xsi:type="xsd:double"&gt;21.0804397584269&lt;/D&gt;&lt;D xsi:type="xsd:double"&gt;20.956792966446&lt;/D&gt;&lt;D xsi:type="xsd:double"&gt;19.8111506576016&lt;/D&gt;&lt;D xsi:type="xsd:double"&gt;19.4727011263889&lt;/D&gt;&lt;D xsi:type="xsd:double"&gt;18.991606527611&lt;/D&gt;&lt;D xsi:type="xsd:double"&gt;18.6499637180484&lt;/D&gt;&lt;D xsi:type="xsd:double"&gt;18.0152862342452&lt;/D&gt;&lt;D xsi:type="xsd:double"&gt;17.495125432757&lt;/D&gt;&lt;D xsi:type="xsd:double"&gt;16.9008863611287&lt;/D&gt;&lt;D xsi:type="xsd:double"&gt;16.7211905901962&lt;/D&gt;&lt;D xsi:type="xsd:double"&gt;16.5155364668955&lt;/D&gt;&lt;D xsi:type="xsd:double"&gt;15.4117159577122&lt;/D&gt;&lt;D xsi:type="xsd:double"&gt;15.5671639505639&lt;/D&gt;&lt;D xsi:type="xsd:double"&gt;15.5206850982622&lt;/D&gt;&lt;D xsi:type="xsd:double"&gt;15.1000712662977&lt;/D&gt;&lt;D xsi:type="xsd:double"&gt;14.9320499078101&lt;/D&gt;&lt;D xsi:type="xsd:double"&gt;14.2960363980845&lt;/D&gt;&lt;D xsi:type="xsd:double"&gt;13.6393487008903&lt;/D&gt;&lt;D xsi:type="xsd:double"&gt;13.0431998914239&lt;/D&gt;&lt;D xsi:type="xsd:double"&gt;13.3589542339347&lt;/D&gt;&lt;D xsi:type="xsd:double"&gt;12.7123297460866&lt;/D&gt;&lt;D xsi:type="xsd:double"&gt;11.9861223582625&lt;/D&gt;&lt;D xsi:type="xsd:double"&gt;12.6005363914522&lt;/D&gt;&lt;D xsi:type="xsd:double"&gt;12.1941921297003&lt;/D&gt;&lt;D xsi:type="xsd:double"&gt;12.632659695047&lt;/D&gt;&lt;D xsi:type="xsd:double"&gt;12.8516622923612&lt;/D&gt;&lt;D xsi:type="xsd:double"&gt;12.5166631389168&lt;/D&gt;&lt;D xsi:type="xsd:double"&gt;12.7555960868265&lt;/D&gt;&lt;D xsi:type="xsd:double"&gt;12.8324516598232&lt;/D&gt;&lt;D xsi:type="xsd:double"&gt;12.9370162466091&lt;/D&gt;&lt;D xsi:type="xsd:double"&gt;13.2756053320647&lt;/D&gt;&lt;D xsi:type="xsd:double"&gt;13.2707373486953&lt;/D&gt;&lt;D xsi:type="xsd:double"&gt;13.783850851519&lt;/D&gt;&lt;D xsi:type="xsd:double"&gt;13.3509334972801&lt;/D&gt;&lt;D xsi:type="xsd:double"&gt;13.6300378986532&lt;/D&gt;&lt;D xsi:type="xsd:double"&gt;14.1943437986932&lt;/D&gt;&lt;D xsi:type="xsd:double"&gt;14.5867516966184&lt;/D&gt;&lt;D xsi:type="xsd:double"&gt;14.7497323454767&lt;/D&gt;&lt;D xsi:type="xsd:double"&gt;14.9214229547106&lt;/D&gt;&lt;D xsi:type="xsd:double"&gt;14.8412768433953&lt;/D&gt;&lt;D xsi:type="xsd:double"&gt;14.9775344010923&lt;/D&gt;&lt;D xsi:type="xsd:double"&gt;14.7516255726695&lt;/D&gt;&lt;D xsi:type="xsd:double"&gt;15.2172768997416&lt;/D&gt;&lt;D xsi:type="xsd:double"&gt;15.115823365493&lt;/D&gt;&lt;/FQL&gt;&lt;FQL&gt;&lt;Q&gt;WL-FDS^FG_PRICE_CHANGE(0,-3AM)&lt;/Q&gt;&lt;R&gt;1&lt;/R&gt;&lt;C&gt;1&lt;/C&gt;&lt;D xsi:type="xsd:double"&gt;-3.6367027228646&lt;/D&gt;&lt;/FQL&gt;&lt;FQL&gt;&lt;Q&gt;USDSEK^STD(FG_PRICE_CHANGE(0,-3AY,M))&lt;/Q&gt;&lt;R&gt;1&lt;/R&gt;&lt;C&gt;1&lt;/C&gt;&lt;D xsi:type="xsd:double"&gt;2.969808137363&lt;/D&gt;&lt;/FQL&gt;&lt;FQL&gt;&lt;Q&gt;USDCHF^STD(FG_PRICE_CHANGE(0,-3AY,M))&lt;/Q&gt;&lt;R&gt;1&lt;/R&gt;&lt;C&gt;1&lt;/C&gt;&lt;D xsi:type="xsd:double"&gt;2.41737824980572&lt;/D&gt;&lt;/FQL&gt;&lt;FQL&gt;&lt;Q&gt;USDUSD^STD(FG_PRICE_CHANGE(0,-3AY,M))&lt;/Q&gt;&lt;R&gt;1&lt;/R&gt;&lt;C&gt;1&lt;/C&gt;&lt;D xsi:type="xsd:double"&gt;0&lt;/D&gt;&lt;/FQL&gt;&lt;FQL&gt;&lt;Q&gt;USDEUR^STD(FG_PRICE_CHANGE(0,-3AY,M))&lt;/Q&gt;&lt;R&gt;1&lt;/R&gt;&lt;C&gt;1&lt;/C&gt;&lt;D xsi:type="xsd:double"&gt;2.14381117647125&lt;/D&gt;&lt;/FQL&gt;&lt;FQL&gt;&lt;Q&gt;USDAUD^STD(FG_PRICE_CHANGE(0,-3AY,M))&lt;/Q&gt;&lt;R&gt;1&lt;/R&gt;&lt;C&gt;1&lt;/C&gt;&lt;D xsi:type="xsd:double"&gt;3.06365637155364&lt;/D&gt;&lt;/FQL&gt;&lt;FQL&gt;&lt;Q&gt;EWI^FMA_EPS(NTMA,-20AY,0,CY,,"PORTAGG","MEANR")&lt;/Q&gt;&lt;R&gt;20&lt;/R&gt;&lt;C&gt;1&lt;/C&gt;&lt;D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xsi:type="xsd:double"&gt;1.99711745729498&lt;/D&gt;&lt;D xsi:type="xsd:double"&gt;2.96400297596909&lt;/D&gt;&lt;D xsi:type="xsd:double"&gt;3.54736708862932&lt;/D&gt;&lt;D xsi:type="xsd:double"&gt;3.81180271683843&lt;/D&gt;&lt;/FQL&gt;&lt;FQL&gt;&lt;Q&gt;SPY^FG_TOTAL_RETURNC(-10AY,0,AM)&lt;/Q&gt;&lt;R&gt;121&lt;/R&gt;&lt;C&gt;1&lt;/C&gt;&lt;D xsi:type="xsd:double"&gt;-1.1315465&lt;/D&gt;&lt;D xsi:type="xsd:double"&gt;2.4320483&lt;/D&gt;&lt;D xsi:type="xsd:double"&gt;-6.6532016&lt;/D&gt;&lt;D xsi:type="xsd:double"&gt;9.647285&lt;/D&gt;&lt;D xsi:type="xsd:double"&gt;-3.0992985&lt;/D&gt;&lt;D xsi:type="xsd:double"&gt;2.4395227&lt;/D&gt;&lt;D xsi:type="xsd:double"&gt;4.042053&lt;/D&gt;&lt;D xsi:type="xsd:double"&gt;-0.5720258&lt;/D&gt;&lt;D xsi:type="xsd:double"&gt;1.3043523&lt;/D&gt;&lt;D xsi:type="xsd:double"&gt;0.98398924&lt;/D&gt;&lt;D xsi:type="xsd:double"&gt;-1.0308802&lt;/D&gt;&lt;D xsi:type="xsd:double"&gt;1.46842&lt;/D&gt;&lt;D xsi:type="xsd:double"&gt;-1.3565719&lt;/D&gt;&lt;D xsi:type="xsd:double"&gt;-4.412186&lt;/D&gt;&lt;D xsi:type="xsd:double"&gt;2.080512&lt;/D&gt;&lt;D xsi:type="xsd:double"&gt;1.1560917&lt;/D&gt;&lt;D xsi:type="xsd:double"&gt;1.1720657&lt;/D&gt;&lt;D xsi:type="xsd:double"&gt;-9.172916&lt;/D&gt;&lt;D xsi:type="xsd:double"&gt;1.0489345&lt;/D&gt;&lt;D xsi:type="xsd:double"&gt;7.1451187&lt;/D&gt;&lt;D xsi:type="xsd:double"&gt;2.7083158&lt;/D&gt;&lt;D xsi:type="xsd:double"&gt;-0.4812777&lt;/D&gt;&lt;D xsi:type="xsd:double"&gt;0.7689357&lt;/D&gt;&lt;D xsi:type="xsd:double"&gt;4.121065&lt;/D&gt;&lt;D xsi:type="xsd:double"&gt;0.986886&lt;/D&gt;&lt;D xsi:type="xsd:double"&gt;-1.6094446&lt;/D&gt;&lt;D xsi:type="xsd:double"&gt;-0.11716485&lt;/D&gt;&lt;D xsi:type="xsd:double"&gt;2.2287965&lt;/D&gt;&lt;D xsi:type="xsd:double"&gt;3.9009213&lt;/D&gt;&lt;D xsi:type="xsd:double"&gt;0.8931756&lt;/D&gt;&lt;D xsi:type="xsd:double"&gt;3.3781052&lt;/D&gt;&lt;D xsi:type="xsd:double"&gt;1.6019106&lt;/D&gt;&lt;D xsi:type="xsd:double"&gt;-2.078402&lt;/D&gt;&lt;D xsi:type="xsd:double"&gt;3.2557726&lt;/D&gt;&lt;D xsi:type="xsd:double"&gt;1.5591145&lt;/D&gt;&lt;D xsi:type="xsd:double"&gt;1.2034297&lt;/D&gt;&lt;D xsi:type="xsd:double"&gt;0.56198835&lt;/D&gt;&lt;D xsi:type="xsd:double"&gt;1.4111042&lt;/D&gt;&lt;D xsi:type="xsd:double"&gt;2.447927&lt;/D&gt;&lt;D xsi:type="xsd:double"&gt;1.3044&lt;/D&gt;&lt;D xsi:type="xsd:double"&gt;3.5733342&lt;/D&gt;&lt;D xsi:type="xsd:double"&gt;3.924799&lt;/D&gt;&lt;D xsi:type="xsd:double"&gt;-1.3936579&lt;/D&gt;&lt;D xsi:type="xsd:double"&gt;0.80070496&lt;/D&gt;&lt;D xsi:type="xsd:double"&gt;-2.5054812&lt;/D&gt;&lt;D xsi:type="xsd:double"&gt;1.8366814&lt;/D&gt;&lt;D xsi:type="xsd:double"&gt;2.253735&lt;/D&gt;&lt;D xsi:type="xsd:double"&gt;0.79746246&lt;/D&gt;&lt;D xsi:type="xsd:double"&gt;1.6896963&lt;/D&gt;&lt;D xsi:type="xsd:double"&gt;2.400899&lt;/D&gt;&lt;D xsi:type="xsd:double"&gt;-3.1662107&lt;/D&gt;&lt;D xsi:type="xsd:double"&gt;-2.378738&lt;/D&gt;&lt;D xsi:type="xsd:double"&gt;-4.8441944&lt;/D&gt;&lt;D xsi:type="xsd:double"&gt;0.7933259&lt;/D&gt;&lt;D xsi:type="xsd:double"&gt;6.280172&lt;/D&gt;&lt;D xsi:type="xsd:double"&gt;1.8650651&lt;/D&gt;&lt;D xsi:type="xsd:double"&gt;3.1459928&lt;/D&gt;&lt;D xsi:type="xsd:double"&gt;-0.84780455&lt;/D&gt;&lt;D xsi:type="xsd:double"&gt;0.5422354&lt;/D&gt;&lt;D xsi:type="xsd:double"&gt;4.1172028&lt;/D&gt;&lt;D xsi:type="xsd:double"&gt;-3.6234975&lt;/D&gt;&lt;D xsi:type="xsd:double"&gt;3.9155245&lt;/D&gt;&lt;D xsi:type="xsd:double"&gt;-0.12520552&lt;/D&gt;&lt;D xsi:type="xsd:double"&gt;4.487276&lt;/D&gt;&lt;D xsi:type="xsd:double"&gt;2.472818&lt;/D&gt;&lt;D xsi:type="xsd:double"&gt;4.0813327&lt;/D&gt;&lt;D xsi:type="xsd:double"&gt;2.0186067&lt;/D&gt;&lt;D xsi:type="xsd:double"&gt;-28.95438&lt;/D&gt;&lt;D xsi:type="xsd:double"&gt;17.079247&lt;/D&gt;&lt;D xsi:type="xsd:double"&gt;2.5725484&lt;/D&gt;&lt;D xsi:type="xsd:double"&gt;9.319544&lt;/D&gt;&lt;D xsi:type="xsd:double"&gt;2.9556632&lt;/D&gt;&lt;D xsi:type="xsd:double"&gt;5.0032735&lt;/D&gt;&lt;D xsi:type="xsd:double"&gt;0.587821&lt;/D&gt;&lt;D xsi:type="xsd:double"&gt;2.915001&lt;/D&gt;&lt;D xsi:type="xsd:double"&gt;4.3997765&lt;/D&gt;&lt;D xsi:type="xsd:double"&gt;2.0961523&lt;/D&gt;&lt;D xsi:type="xsd:double"&gt;1.9282818&lt;/D&gt;&lt;D xsi:type="xsd:double"&gt;4.418409&lt;/D&gt;&lt;D xsi:type="xsd:double"&gt;0.92021227&lt;/D&gt;&lt;D xsi:type="xsd:double"&gt;5.7384133&lt;/D&gt;&lt;D xsi:type="xsd:double"&gt;-0.16297102&lt;/D&gt;&lt;D xsi:type="xsd:double"&gt;1.3274789&lt;/D&gt;&lt;D xsi:type="xsd:double"&gt;2.5254965&lt;/D&gt;&lt;D xsi:type="xsd:double"&gt;3.6235929&lt;/D&gt;&lt;D xsi:type="xsd:double"&gt;0.044751167&lt;/D&gt;&lt;D xsi:type="xsd:double"&gt;0.031876564&lt;/D&gt;&lt;D xsi:type="xsd:double"&gt;5.2504063&lt;/D&gt;&lt;D xsi:type="xsd:double"&gt;-0.60305&lt;/D&gt;&lt;D xsi:type="xsd:double"&gt;-0.016361475&lt;/D&gt;&lt;D xsi:type="xsd:double"&gt;-3.8991213&lt;/D&gt;&lt;D xsi:type="xsd:double"&gt;-2.4585783&lt;/D&gt;&lt;D xsi:type="xsd:double"&gt;0.80697536&lt;/D&gt;&lt;D xsi:type="xsd:double"&gt;-8.611435&lt;/D&gt;&lt;D xsi:type="xsd:double"&gt;-8.358121&lt;/D&gt;&lt;D xsi:type="xsd:double"&gt;5.4929614&lt;/D&gt;&lt;D xsi:type="xsd:double"&gt;11.572719&lt;/D&gt;&lt;D xsi:type="xsd:double"&gt;-9.900772&lt;/D&gt;&lt;D xsi:type="xsd:double"&gt;-7.244009&lt;/D&gt;&lt;D xsi:type="xsd:double"&gt;10.575175&lt;/D&gt;&lt;D xsi:type="xsd:double"&gt;-2.6295662&lt;/D&gt;&lt;D xsi:type="xsd:double"&gt;3.9736986&lt;/D&gt;&lt;D xsi:type="xsd:double"&gt;2.4541974&lt;/D&gt;&lt;D xsi:type="xsd:double"&gt;-2.9807985&lt;/D&gt;&lt;D xsi:type="xsd:double"&gt;4.529798&lt;/D&gt;&lt;D xsi:type="xsd:double"&gt;-0.53581&lt;/D&gt;&lt;D xsi:type="xsd:double"&gt;7.519412&lt;/D&gt;&lt;D xsi:type="xsd:double"&gt;2.2345662&lt;/D&gt;&lt;D xsi:type="xsd:double"&gt;-2.145654&lt;/D&gt;&lt;D xsi:type="xsd:double"&gt;1.2085199&lt;/D&gt;&lt;D xsi:type="xsd:double"&gt;-1.6532421&lt;/D&gt;&lt;D xsi:type="xsd:double"&gt;3.2542944&lt;/D&gt;&lt;D xsi:type="xsd:double"&gt;4.665625&lt;/D&gt;&lt;D xsi:type="xsd:double"&gt;1.1931896&lt;/D&gt;&lt;D xsi:type="xsd:double"&gt;5.175507&lt;/D&gt;&lt;D xsi:type="xsd:double"&gt;2.3853183&lt;/D&gt;&lt;D xsi:type="xsd:double"&gt;-1.2357056&lt;/D&gt;&lt;D xsi:type="xsd:double"&gt;4.996729&lt;/D&gt;&lt;D xsi:type="xsd:double"&gt;2.6650786&lt;/D&gt;&lt;D xsi:type="xsd:double"&gt;4.4041276&lt;/D&gt;&lt;D xsi:type="xsd:double"&gt;-1.8677175&lt;/D&gt;&lt;/FQL&gt;&lt;FQL&gt;&lt;Q&gt;EWQ^FG_COMPANY_NAME&lt;/Q&gt;&lt;R&gt;1&lt;/R&gt;&lt;C&gt;1&lt;/C&gt;&lt;D xsi:type="xsd:string"&gt;iShares MSCI France ETF&lt;/D&gt;&lt;/FQL&gt;&lt;FQL&gt;&lt;Q&gt;EWU^FMA_ROE(NTMA,-20AY,NOW,FY,"PORTAGG","MEANR")&lt;/Q&gt;&lt;R&gt;20&lt;/R&gt;&lt;C&gt;1&lt;/C&gt;&lt;D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xsi:type="xsd:double"&gt;12.8709323534995&lt;/D&gt;&lt;D xsi:type="xsd:double"&gt;11.2074687408188&lt;/D&gt;&lt;D xsi:type="xsd:double"&gt;13.9227699516468&lt;/D&gt;&lt;D xsi:type="xsd:double"&gt;15.8587443966116&lt;/D&gt;&lt;D xsi:type="xsd:double"&gt;14.7202112757033&lt;/D&gt;&lt;/FQL&gt;&lt;FQL&gt;&lt;Q&gt;TRYMX10Y-FDS^FG_YIELD(-10AY,0,Y,,"YTM")&lt;/Q&gt;&lt;R&gt;10&lt;/R&gt;&lt;C&gt;1&lt;/C&gt;&lt;D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xsi:type="xsd:double"&gt;6.6087&lt;/D&gt;&lt;/FQL&gt;&lt;FQL&gt;&lt;Q&gt;EWL^FMA_DIV_YLD(NTMA,-10AY,0,AM,"PORTAGG","MEANR")&lt;/Q&gt;&lt;R&gt;121&lt;/R&gt;&lt;C&gt;1&lt;/C&gt;&lt;D xsi:type="xsd:double"&gt;3.40790460970107&lt;/D&gt;&lt;D xsi:type="xsd:double"&gt;3.2938800988765&lt;/D&gt;&lt;D xsi:type="xsd:double"&gt;3.62982757848421&lt;/D&gt;&lt;D xsi:type="xsd:double"&gt;3.2790066892827&lt;/D&gt;&lt;D xsi:type="xsd:double"&gt;3.34484750283829&lt;/D&gt;&lt;D xsi:type="xsd:double"&gt;3.5452035248247&lt;/D&gt;&lt;D xsi:type="xsd:double"&gt;3.27185207080714&lt;/D&gt;&lt;D xsi:type="xsd:double"&gt;3.14103487754718&lt;/D&gt;&lt;D xsi:type="xsd:double"&gt;3.02352505721935&lt;/D&gt;&lt;D xsi:type="xsd:double"&gt;3.10954547489031&lt;/D&gt;&lt;D xsi:type="xsd:double"&gt;3.21019096442611&lt;/D&gt;&lt;D xsi:type="xsd:double"&gt;3.10074978246395&lt;/D&gt;&lt;D xsi:type="xsd:double"&gt;3.14946789237375&lt;/D&gt;&lt;D xsi:type="xsd:double"&gt;3.30399335532073&lt;/D&gt;&lt;D xsi:type="xsd:double"&gt;3.33290528003426&lt;/D&gt;&lt;D xsi:type="xsd:double"&gt;3.31813692299062&lt;/D&gt;&lt;D xsi:type="xsd:double"&gt;3.32983092515404&lt;/D&gt;&lt;D xsi:type="xsd:double"&gt;3.55952169820058&lt;/D&gt;&lt;D xsi:type="xsd:double"&gt;3.58693334550298&lt;/D&gt;&lt;D xsi:type="xsd:double"&gt;3.51032424671019&lt;/D&gt;&lt;D xsi:type="xsd:double"&gt;3.4805418606707&lt;/D&gt;&lt;D xsi:type="xsd:double"&gt;3.55850237997252&lt;/D&gt;&lt;D xsi:type="xsd:double"&gt;3.68899942937085&lt;/D&gt;&lt;D xsi:type="xsd:double"&gt;3.50468088196443&lt;/D&gt;&lt;D xsi:type="xsd:double"&gt;3.43663531142055&lt;/D&gt;&lt;D xsi:type="xsd:double"&gt;3.51145934261591&lt;/D&gt;&lt;D xsi:type="xsd:double"&gt;3.53893587347619&lt;/D&gt;&lt;D xsi:type="xsd:double"&gt;3.63548700569515&lt;/D&gt;&lt;D xsi:type="xsd:double"&gt;3.57244797468013&lt;/D&gt;&lt;D xsi:type="xsd:double"&gt;3.45879132170879&lt;/D&gt;&lt;D xsi:type="xsd:double"&gt;3.3968082313651&lt;/D&gt;&lt;D xsi:type="xsd:double"&gt;3.33097375318645&lt;/D&gt;&lt;D xsi:type="xsd:double"&gt;3.42841148640405&lt;/D&gt;&lt;D xsi:type="xsd:double"&gt;3.26865665084345&lt;/D&gt;&lt;D xsi:type="xsd:double"&gt;3.27060393818847&lt;/D&gt;&lt;D xsi:type="xsd:double"&gt;3.26016883417296&lt;/D&gt;&lt;D xsi:type="xsd:double"&gt;3.30279750426155&lt;/D&gt;&lt;D xsi:type="xsd:double"&gt;3.28857971560685&lt;/D&gt;&lt;D xsi:type="xsd:double"&gt;3.23720331937034&lt;/D&gt;&lt;D xsi:type="xsd:double"&gt;3.28934525194709&lt;/D&gt;&lt;D xsi:type="xsd:double"&gt;3.22030934850025&lt;/D&gt;&lt;D xsi:type="xsd:double"&gt;3.17943946220883&lt;/D&gt;&lt;D xsi:type="xsd:double"&gt;3.32727490180322&lt;/D&gt;&lt;D xsi:type="xsd:double"&gt;3.44272333089131&lt;/D&gt;&lt;D xsi:type="xsd:double"&gt;3.46090543069167&lt;/D&gt;&lt;D xsi:type="xsd:double"&gt;3.43359982964833&lt;/D&gt;&lt;D xsi:type="xsd:double"&gt;3.54476728563642&lt;/D&gt;&lt;D xsi:type="xsd:double"&gt;3.47126687225928&lt;/D&gt;&lt;D xsi:type="xsd:double"&gt;3.44369377838442&lt;/D&gt;&lt;D xsi:type="xsd:double"&gt;3.41397838368394&lt;/D&gt;&lt;D xsi:type="xsd:double"&gt;3.57321987578711&lt;/D&gt;&lt;D xsi:type="xsd:double"&gt;3.56578872563424&lt;/D&gt;&lt;D xsi:type="xsd:double"&gt;3.63273475197637&lt;/D&gt;&lt;D xsi:type="xsd:double"&gt;3.52411033506833&lt;/D&gt;&lt;D xsi:type="xsd:double"&gt;3.37669559867037&lt;/D&gt;&lt;D xsi:type="xsd:double"&gt;3.31629825966452&lt;/D&gt;&lt;D xsi:type="xsd:double"&gt;3.28066280463905&lt;/D&gt;&lt;D xsi:type="xsd:double"&gt;3.28524261413348&lt;/D&gt;&lt;D xsi:type="xsd:double"&gt;3.25118606650274&lt;/D&gt;&lt;D xsi:type="xsd:double"&gt;3.24479883053008&lt;/D&gt;&lt;D xsi:type="xsd:double"&gt;3.29323438479681&lt;/D&gt;&lt;D xsi:type="xsd:double"&gt;3.22474864127998&lt;/D&gt;&lt;D xsi:type="xsd:double"&gt;3.20962254466791&lt;/D&gt;&lt;D xsi:type="xsd:double"&gt;3.13001477012541&lt;/D&gt;&lt;D xsi:type="xsd:double"&gt;3.07303350424027&lt;/D&gt;&lt;D xsi:type="xsd:double"&gt;3.01711418713815&lt;/D&gt;&lt;D xsi:type="xsd:double"&gt;2.93212089638802&lt;/D&gt;&lt;D xsi:type="xsd:double"&gt;3.93570599789136&lt;/D&gt;&lt;D xsi:type="xsd:double"&gt;3.40341509742737&lt;/D&gt;&lt;D xsi:type="xsd:double"&gt;3.30471914341874&lt;/D&gt;&lt;D xsi:type="xsd:double"&gt;3.10258173387454&lt;/D&gt;&lt;D xsi:type="xsd:double"&gt;2.99171729755563&lt;/D&gt;&lt;D xsi:type="xsd:double"&gt;2.95276938474872&lt;/D&gt;&lt;D xsi:type="xsd:double"&gt;2.86853658643855&lt;/D&gt;&lt;D xsi:type="xsd:double"&gt;2.9640610033212&lt;/D&gt;&lt;D xsi:type="xsd:double"&gt;2.8633986011475&lt;/D&gt;&lt;D xsi:type="xsd:double"&gt;2.88525934454193&lt;/D&gt;&lt;D xsi:type="xsd:double"&gt;2.8036622943743&lt;/D&gt;&lt;D xsi:type="xsd:double"&gt;2.79707722174847&lt;/D&gt;&lt;D xsi:type="xsd:double"&gt;2.82828020193604&lt;/D&gt;&lt;D xsi:type="xsd:double"&gt;2.71758254894283&lt;/D&gt;&lt;D xsi:type="xsd:double"&gt;2.77153866852667&lt;/D&gt;&lt;D xsi:type="xsd:double"&gt;2.59853917524988&lt;/D&gt;&lt;D xsi:type="xsd:double"&gt;2.62195490085393&lt;/D&gt;&lt;D xsi:type="xsd:double"&gt;2.55382299556369&lt;/D&gt;&lt;D xsi:type="xsd:double"&gt;2.64997382075195&lt;/D&gt;&lt;D xsi:type="xsd:double"&gt;2.6927849676968&lt;/D&gt;&lt;D xsi:type="xsd:double"&gt;2.57776346754332&lt;/D&gt;&lt;D xsi:type="xsd:double"&gt;2.55039473180091&lt;/D&gt;&lt;D xsi:type="xsd:double"&gt;2.63094610546141&lt;/D&gt;&lt;D xsi:type="xsd:double"&gt;2.7600744426225&lt;/D&gt;&lt;D xsi:type="xsd:double"&gt;2.84524597082581&lt;/D&gt;&lt;D xsi:type="xsd:double"&gt;2.75022212358612&lt;/D&gt;&lt;D xsi:type="xsd:double"&gt;2.97885450084355&lt;/D&gt;&lt;D xsi:type="xsd:double"&gt;3.28985250929504&lt;/D&gt;&lt;D xsi:type="xsd:double"&gt;3.1501765264064&lt;/D&gt;&lt;D xsi:type="xsd:double"&gt;3.0889032337256&lt;/D&gt;&lt;D xsi:type="xsd:double"&gt;3.2865422619023&lt;/D&gt;&lt;D xsi:type="xsd:double"&gt;3.42845684950685&lt;/D&gt;&lt;D xsi:type="xsd:double"&gt;3.15018348874379&lt;/D&gt;&lt;D xsi:type="xsd:double"&gt;3.22598460770487&lt;/D&gt;&lt;D xsi:type="xsd:double"&gt;3.06506108755898&lt;/D&gt;&lt;D xsi:type="xsd:double"&gt;3.08428054926803&lt;/D&gt;&lt;D xsi:type="xsd:double"&gt;3.2676053271373&lt;/D&gt;&lt;D xsi:type="xsd:double"&gt;3.09711955849145&lt;/D&gt;&lt;D xsi:type="xsd:double"&gt;3.08208039583066&lt;/D&gt;&lt;D xsi:type="xsd:double"&gt;3.13594939452627&lt;/D&gt;&lt;D xsi:type="xsd:double"&gt;3.16453157943341&lt;/D&gt;&lt;D xsi:type="xsd:double"&gt;3.24996796982112&lt;/D&gt;&lt;D xsi:type="xsd:double"&gt;3.25392436237386&lt;/D&gt;&lt;D xsi:type="xsd:double"&gt;3.36423161090717&lt;/D&gt;&lt;D xsi:type="xsd:double"&gt;3.4363958320781&lt;/D&gt;&lt;D xsi:type="xsd:double"&gt;3.28299646752708&lt;/D&gt;&lt;D xsi:type="xsd:double"&gt;3.29535018843219&lt;/D&gt;&lt;D xsi:type="xsd:double"&gt;3.32765437048938&lt;/D&gt;&lt;D xsi:type="xsd:double"&gt;3.24877227380543&lt;/D&gt;&lt;D xsi:type="xsd:double"&gt;3.41279367688854&lt;/D&gt;&lt;D xsi:type="xsd:double"&gt;3.2246525204386&lt;/D&gt;&lt;D xsi:type="xsd:double"&gt;3.20285783350911&lt;/D&gt;&lt;D xsi:type="xsd:double"&gt;3.17681924925686&lt;/D&gt;&lt;D xsi:type="xsd:double"&gt;3.1851771893869&lt;/D&gt;&lt;/FQL&gt;&lt;FQL&gt;&lt;Q&gt;EWG^FMA_PE(NTMA,-10AY,0,AM,"PORTAGG","MEANR")&lt;/Q&gt;&lt;R&gt;121&lt;/R&gt;&lt;C&gt;1&lt;/C&gt;&lt;D xsi:type="xsd:double"&gt;12.1483594899213&lt;/D&gt;&lt;D xsi:type="xsd:double"&gt;12.7208827627622&lt;/D&gt;&lt;D xsi:type="xsd:double"&gt;11.3427987713535&lt;/D&gt;&lt;D xsi:type="xsd:double"&gt;12.2076243999072&lt;/D&gt;&lt;D xsi:type="xsd:double"&gt;12.5494307201263&lt;/D&gt;&lt;D xsi:type="xsd:double"&gt;13.3310697659629&lt;/D&gt;&lt;D xsi:type="xsd:double"&gt;14.2886855812265&lt;/D&gt;&lt;D xsi:type="xsd:double"&gt;15.7477684646027&lt;/D&gt;&lt;D xsi:type="xsd:double"&gt;15.3864477812363&lt;/D&gt;&lt;D xsi:type="xsd:double"&gt;14.279960880956&lt;/D&gt;&lt;D xsi:type="xsd:double"&gt;13.5161086622223&lt;/D&gt;&lt;D xsi:type="xsd:double"&gt;14.1925863969546&lt;/D&gt;&lt;D xsi:type="xsd:double"&gt;13.2744546978587&lt;/D&gt;&lt;D xsi:type="xsd:double"&gt;12.3513360314102&lt;/D&gt;&lt;D xsi:type="xsd:double"&gt;12.4512656761967&lt;/D&gt;&lt;D xsi:type="xsd:double"&gt;13.3511510696539&lt;/D&gt;&lt;D xsi:type="xsd:double"&gt;13.0525784447835&lt;/D&gt;&lt;D xsi:type="xsd:double"&gt;11.9224051099086&lt;/D&gt;&lt;D xsi:type="xsd:double"&gt;11.6122315236124&lt;/D&gt;&lt;D xsi:type="xsd:double"&gt;12.721762494155&lt;/D&gt;&lt;D xsi:type="xsd:double"&gt;12.8184334767625&lt;/D&gt;&lt;D xsi:type="xsd:double"&gt;12.4399101480087&lt;/D&gt;&lt;D xsi:type="xsd:double"&gt;11.7656484212234&lt;/D&gt;&lt;D xsi:type="xsd:double"&gt;12.4206475282759&lt;/D&gt;&lt;D xsi:type="xsd:double"&gt;13.0990514864252&lt;/D&gt;&lt;D xsi:type="xsd:double"&gt;12.6510087153016&lt;/D&gt;&lt;D xsi:type="xsd:double"&gt;12.9261583050711&lt;/D&gt;&lt;D xsi:type="xsd:double"&gt;12.7900354030247&lt;/D&gt;&lt;D xsi:type="xsd:double"&gt;13.582688290161&lt;/D&gt;&lt;D xsi:type="xsd:double"&gt;13.7707020331007&lt;/D&gt;&lt;D xsi:type="xsd:double"&gt;13.7160948874223&lt;/D&gt;&lt;D xsi:type="xsd:double"&gt;13.9430646924939&lt;/D&gt;&lt;D xsi:type="xsd:double"&gt;13.804441353196&lt;/D&gt;&lt;D xsi:type="xsd:double"&gt;14.0168989785369&lt;/D&gt;&lt;D xsi:type="xsd:double"&gt;13.7864069181796&lt;/D&gt;&lt;D xsi:type="xsd:double"&gt;13.6201731117836&lt;/D&gt;&lt;D xsi:type="xsd:double"&gt;13.1573768457842&lt;/D&gt;&lt;D xsi:type="xsd:double"&gt;13.3674365898591&lt;/D&gt;&lt;D xsi:type="xsd:double"&gt;13.8402101550056&lt;/D&gt;&lt;D xsi:type="xsd:double"&gt;13.8616565754698&lt;/D&gt;&lt;D xsi:type="xsd:double"&gt;13.9771902174272&lt;/D&gt;&lt;D xsi:type="xsd:double"&gt;14.0668083692485&lt;/D&gt;&lt;D xsi:type="xsd:double"&gt;13.1979830615009&lt;/D&gt;&lt;D xsi:type="xsd:double"&gt;13.0514223679959&lt;/D&gt;&lt;D xsi:type="xsd:double"&gt;13.0001983663055&lt;/D&gt;&lt;D xsi:type="xsd:double"&gt;13.4412957090641&lt;/D&gt;&lt;D xsi:type="xsd:double"&gt;13.4527270584679&lt;/D&gt;&lt;D xsi:type="xsd:double"&gt;12.9897535649085&lt;/D&gt;&lt;D xsi:type="xsd:double"&gt;12.683143380784&lt;/D&gt;&lt;D xsi:type="xsd:double"&gt;12.5862041964867&lt;/D&gt;&lt;D xsi:type="xsd:double"&gt;12.1395536642078&lt;/D&gt;&lt;D xsi:type="xsd:double"&gt;11.6359773118956&lt;/D&gt;&lt;D xsi:type="xsd:double"&gt;11.273842873834&lt;/D&gt;&lt;D xsi:type="xsd:double"&gt;11.4063609037129&lt;/D&gt;&lt;D xsi:type="xsd:double"&gt;11.9185768447603&lt;/D&gt;&lt;D xsi:type="xsd:double"&gt;12.352694185309&lt;/D&gt;&lt;D xsi:type="xsd:double"&gt;12.7793053422349&lt;/D&gt;&lt;D xsi:type="xsd:double"&gt;12.7421056227875&lt;/D&gt;&lt;D xsi:type="xsd:double"&gt;12.3427111688941&lt;/D&gt;&lt;D xsi:type="xsd:double"&gt;12.9436738226321&lt;/D&gt;&lt;D xsi:type="xsd:double"&gt;12.2222510663755&lt;/D&gt;&lt;D xsi:type="xsd:double"&gt;13.0551163601921&lt;/D&gt;&lt;D xsi:type="xsd:double"&gt;13.2851570648104&lt;/D&gt;&lt;D xsi:type="xsd:double"&gt;14.011704126437&lt;/D&gt;&lt;D xsi:type="xsd:double"&gt;14.2979819561522&lt;/D&gt;&lt;D xsi:type="xsd:double"&gt;14.2819642236427&lt;/D&gt;&lt;D xsi:type="xsd:double"&gt;14.5433827283186&lt;/D&gt;&lt;D xsi:type="xsd:double"&gt;9.4747185866952&lt;/D&gt;&lt;D xsi:type="xsd:double"&gt;13.4901251651864&lt;/D&gt;&lt;D xsi:type="xsd:double"&gt;15.0000202006832&lt;/D&gt;&lt;D xsi:type="xsd:double"&gt;17.8467230668555&lt;/D&gt;&lt;D xsi:type="xsd:double"&gt;18.501940992576&lt;/D&gt;&lt;D xsi:type="xsd:double"&gt;17.9808112209565&lt;/D&gt;&lt;D xsi:type="xsd:double"&gt;17.7521891834953&lt;/D&gt;&lt;D xsi:type="xsd:double"&gt;16.6823550704092&lt;/D&gt;&lt;D xsi:type="xsd:double"&gt;16.1267211350836&lt;/D&gt;&lt;D xsi:type="xsd:double"&gt;16.1330721784811&lt;/D&gt;&lt;D xsi:type="xsd:double"&gt;15.9906949715668&lt;/D&gt;&lt;D xsi:type="xsd:double"&gt;15.9069998082092&lt;/D&gt;&lt;D xsi:type="xsd:double"&gt;15.9459038131808&lt;/D&gt;&lt;D xsi:type="xsd:double"&gt;16.1946485060954&lt;/D&gt;&lt;D xsi:type="xsd:double"&gt;14.8383480126665&lt;/D&gt;&lt;D xsi:type="xsd:double"&gt;14.9876377531676&lt;/D&gt;&lt;D xsi:type="xsd:double"&gt;14.4734767396826&lt;/D&gt;&lt;D xsi:type="xsd:double"&gt;14.3294040776822&lt;/D&gt;&lt;D xsi:type="xsd:double"&gt;13.9999363403466&lt;/D&gt;&lt;D xsi:type="xsd:double"&gt;13.8077968042399&lt;/D&gt;&lt;D xsi:type="xsd:double"&gt;13.8837114333457&lt;/D&gt;&lt;D xsi:type="xsd:double"&gt;13.2577583030271&lt;/D&gt;&lt;D xsi:type="xsd:double"&gt;13.345287722235&lt;/D&gt;&lt;D xsi:type="xsd:double"&gt;12.6790760919225&lt;/D&gt;&lt;D xsi:type="xsd:double"&gt;11.7547246112649&lt;/D&gt;&lt;D xsi:type="xsd:double"&gt;11.3205300335341&lt;/D&gt;&lt;D xsi:type="xsd:double"&gt;10.7058555586586&lt;/D&gt;&lt;D xsi:type="xsd:double"&gt;9.95621479752217&lt;/D&gt;&lt;D xsi:type="xsd:double"&gt;9.79799769835039&lt;/D&gt;&lt;D xsi:type="xsd:double"&gt;10.3877048520495&lt;/D&gt;&lt;D xsi:type="xsd:double"&gt;9.51145341615122&lt;/D&gt;&lt;D xsi:type="xsd:double"&gt;9.23334668062246&lt;/D&gt;&lt;D xsi:type="xsd:double"&gt;10.6239306254842&lt;/D&gt;&lt;D xsi:type="xsd:double"&gt;10.3649605417887&lt;/D&gt;&lt;D xsi:type="xsd:double"&gt;11.4050094727&lt;/D&gt;&lt;D xsi:type="xsd:double"&gt;11.7402980443035&lt;/D&gt;&lt;D xsi:type="xsd:double"&gt;11.0513757108011&lt;/D&gt;&lt;D xsi:type="xsd:double"&gt;11.4565345418001&lt;/D&gt;&lt;D xsi:type="xsd:double"&gt;10.9955087247076&lt;/D&gt;&lt;D xsi:type="xsd:double"&gt;11.0080179765166&lt;/D&gt;&lt;D xsi:type="xsd:double"&gt;10.7846058269009&lt;/D&gt;&lt;D xsi:type="xsd:double"&gt;10.5916747607659&lt;/D&gt;&lt;D xsi:type="xsd:double"&gt;10.6727163695251&lt;/D&gt;&lt;D xsi:type="xsd:double"&gt;10.1806428669531&lt;/D&gt;&lt;D xsi:type="xsd:double"&gt;10.6833527840993&lt;/D&gt;&lt;D xsi:type="xsd:double"&gt;11.2278706626176&lt;/D&gt;&lt;D xsi:type="xsd:double"&gt;11.0375396231432&lt;/D&gt;&lt;D xsi:type="xsd:double"&gt;11.6613299894699&lt;/D&gt;&lt;D xsi:type="xsd:double"&gt;12.0827656388338&lt;/D&gt;&lt;D xsi:type="xsd:double"&gt;11.8422659379288&lt;/D&gt;&lt;D xsi:type="xsd:double"&gt;12.1332129658249&lt;/D&gt;&lt;D xsi:type="xsd:double"&gt;11.5813757611579&lt;/D&gt;&lt;D xsi:type="xsd:double"&gt;11.9124791193319&lt;/D&gt;&lt;D xsi:type="xsd:double"&gt;11.4666036268199&lt;/D&gt;&lt;/FQL&gt;&lt;FQL&gt;&lt;Q&gt;EWA^FMA_PE(LTMA,-10AY,0,AM,"PORTAGG","MEANR")&lt;/Q&gt;&lt;R&gt;121&lt;/R&gt;&lt;C&gt;1&lt;/C&gt;&lt;D xsi:type="xsd:double"&gt;15.3712255328928&lt;/D&gt;&lt;D xsi:type="xsd:double"&gt;15.0750111252304&lt;/D&gt;&lt;D xsi:type="xsd:double"&gt;14.7340923837189&lt;/D&gt;&lt;D xsi:type="xsd:double"&gt;15.1098108753778&lt;/D&gt;&lt;D xsi:type="xsd:double"&gt;13.990545561306&lt;/D&gt;&lt;D xsi:type="xsd:double"&gt;14.4967175436913&lt;/D&gt;&lt;D xsi:type="xsd:double"&gt;15.992758416721&lt;/D&gt;&lt;D xsi:type="xsd:double"&gt;16.142590902966&lt;/D&gt;&lt;D xsi:type="xsd:double"&gt;16.3988907253907&lt;/D&gt;&lt;D xsi:type="xsd:double"&gt;16.3076344332637&lt;/D&gt;&lt;D xsi:type="xsd:double"&gt;15.9804273830329&lt;/D&gt;&lt;D xsi:type="xsd:double"&gt;16.1306629216&lt;/D&gt;&lt;D xsi:type="xsd:double"&gt;15.7391463649467&lt;/D&gt;&lt;D xsi:type="xsd:double"&gt;15.3222029732748&lt;/D&gt;&lt;D xsi:type="xsd:double"&gt;15.673842823259&lt;/D&gt;&lt;D xsi:type="xsd:double"&gt;14.9689268323082&lt;/D&gt;&lt;D xsi:type="xsd:double"&gt;15.1524605835934&lt;/D&gt;&lt;D xsi:type="xsd:double"&gt;14.6889113285286&lt;/D&gt;&lt;D xsi:type="xsd:double"&gt;15.0411004563497&lt;/D&gt;&lt;D xsi:type="xsd:double"&gt;15.1306187716764&lt;/D&gt;&lt;D xsi:type="xsd:double"&gt;15.2776322262357&lt;/D&gt;&lt;D xsi:type="xsd:double"&gt;15.6849668155943&lt;/D&gt;&lt;D xsi:type="xsd:double"&gt;15.5121894297094&lt;/D&gt;&lt;D xsi:type="xsd:double"&gt;16.1015151874223&lt;/D&gt;&lt;D xsi:type="xsd:double"&gt;16.6227807113142&lt;/D&gt;&lt;D xsi:type="xsd:double"&gt;16.2787634815342&lt;/D&gt;&lt;D xsi:type="xsd:double"&gt;16.7829674339016&lt;/D&gt;&lt;D xsi:type="xsd:double"&gt;16.8791398452412&lt;/D&gt;&lt;D xsi:type="xsd:double"&gt;17.2656872029063&lt;/D&gt;&lt;D xsi:type="xsd:double"&gt;17.8994780160689&lt;/D&gt;&lt;D xsi:type="xsd:double"&gt;18.0336748912616&lt;/D&gt;&lt;D xsi:type="xsd:double"&gt;17.4320813612851&lt;/D&gt;&lt;D xsi:type="xsd:double"&gt;17.3439459848615&lt;/D&gt;&lt;D xsi:type="xsd:double"&gt;17.1309926219626&lt;/D&gt;&lt;D xsi:type="xsd:double"&gt;16.881450139886&lt;/D&gt;&lt;D xsi:type="xsd:double"&gt;16.8503678981852&lt;/D&gt;&lt;D xsi:type="xsd:double"&gt;16.7847034110213&lt;/D&gt;&lt;D xsi:type="xsd:double"&gt;16.4972615287132&lt;/D&gt;&lt;D xsi:type="xsd:double"&gt;16.5753012144178&lt;/D&gt;&lt;D xsi:type="xsd:double"&gt;16.6068449194518&lt;/D&gt;&lt;D xsi:type="xsd:double"&gt;16.614390611766&lt;/D&gt;&lt;D xsi:type="xsd:double"&gt;16.7264135844555&lt;/D&gt;&lt;D xsi:type="xsd:double"&gt;16.348062710048&lt;/D&gt;&lt;D xsi:type="xsd:double"&gt;16.4564602181154&lt;/D&gt;&lt;D xsi:type="xsd:double"&gt;16.2770024301164&lt;/D&gt;&lt;D xsi:type="xsd:double"&gt;16.3443966244075&lt;/D&gt;&lt;D xsi:type="xsd:double"&gt;16.1526942397189&lt;/D&gt;&lt;D xsi:type="xsd:double"&gt;16.2760752616634&lt;/D&gt;&lt;D xsi:type="xsd:double"&gt;16.4223832341942&lt;/D&gt;&lt;D xsi:type="xsd:double"&gt;16.0022337727002&lt;/D&gt;&lt;D xsi:type="xsd:double"&gt;15.3720129513108&lt;/D&gt;&lt;D xsi:type="xsd:double"&gt;15.0557026032624&lt;/D&gt;&lt;D xsi:type="xsd:double"&gt;14.596807754415&lt;/D&gt;&lt;D xsi:type="xsd:double"&gt;15.1301096913564&lt;/D&gt;&lt;D xsi:type="xsd:double"&gt;15.6489885190806&lt;/D&gt;&lt;D xsi:type="xsd:double"&gt;15.8646953066049&lt;/D&gt;&lt;D xsi:type="xsd:double"&gt;15.8776735324262&lt;/D&gt;&lt;D xsi:type="xsd:double"&gt;15.8544464242137&lt;/D&gt;&lt;D xsi:type="xsd:double"&gt;16.0974121842654&lt;/D&gt;&lt;D xsi:type="xsd:double"&gt;16.2222033635933&lt;/D&gt;&lt;D xsi:type="xsd:double"&gt;16.0557866071596&lt;/D&gt;&lt;D xsi:type="xsd:double"&gt;16.719708159625&lt;/D&gt;&lt;D xsi:type="xsd:double"&gt;17.1036463327998&lt;/D&gt;&lt;D xsi:type="xsd:double"&gt;17.5972383713488&lt;/D&gt;&lt;D xsi:type="xsd:double"&gt;18.0094716446962&lt;/D&gt;&lt;D xsi:type="xsd:double"&gt;18.6119823451075&lt;/D&gt;&lt;D xsi:type="xsd:double"&gt;18.889983409067&lt;/D&gt;&lt;D xsi:type="xsd:double"&gt;16.2062643505097&lt;/D&gt;&lt;D xsi:type="xsd:double"&gt;16.857767712489&lt;/D&gt;&lt;D xsi:type="xsd:double"&gt;17.3859317586591&lt;/D&gt;&lt;D xsi:type="xsd:double"&gt;18.4607441613603&lt;/D&gt;&lt;D xsi:type="xsd:double"&gt;18.7948651260186&lt;/D&gt;&lt;D xsi:type="xsd:double"&gt;19.5686698312632&lt;/D&gt;&lt;D xsi:type="xsd:double"&gt;19.5072675494852&lt;/D&gt;&lt;D xsi:type="xsd:double"&gt;19.8796492616489&lt;/D&gt;&lt;D xsi:type="xsd:double"&gt;21.5155533451515&lt;/D&gt;&lt;D xsi:type="xsd:double"&gt;22.7203241755647&lt;/D&gt;&lt;D xsi:type="xsd:double"&gt;23.2571726967689&lt;/D&gt;&lt;D xsi:type="xsd:double"&gt;23.1627356205287&lt;/D&gt;&lt;D xsi:type="xsd:double"&gt;21.6404618086879&lt;/D&gt;&lt;D xsi:type="xsd:double"&gt;21.272406053702&lt;/D&gt;&lt;D xsi:type="xsd:double"&gt;20.767569135073&lt;/D&gt;&lt;D xsi:type="xsd:double"&gt;20.6287851754561&lt;/D&gt;&lt;D xsi:type="xsd:double"&gt;19.4227864908401&lt;/D&gt;&lt;D xsi</t>
        </r>
      </text>
    </comment>
    <comment ref="A7" authorId="0" shapeId="0" xr:uid="{4904AD7A-09DB-4119-A98F-019E914C7204}">
      <text>
        <r>
          <rPr>
            <b/>
            <sz val="9"/>
            <color indexed="81"/>
            <rFont val="Tahoma"/>
            <charset val="1"/>
          </rPr>
          <t>:type="xsd:double"&gt;19.2480045622209&lt;/D&gt;&lt;D xsi:type="xsd:double"&gt;18.8489996470549&lt;/D&gt;&lt;D xsi:type="xsd:double"&gt;18.71975167953&lt;/D&gt;&lt;D xsi:type="xsd:double"&gt;18.3436491051299&lt;/D&gt;&lt;D xsi:type="xsd:double"&gt;17.5448983247096&lt;/D&gt;&lt;D xsi:type="xsd:double"&gt;17.6988894954391&lt;/D&gt;&lt;D xsi:type="xsd:double"&gt;16.2104574510566&lt;/D&gt;&lt;D xsi:type="xsd:double"&gt;15.6760298193623&lt;/D&gt;&lt;D xsi:type="xsd:double"&gt;15.6625557741543&lt;/D&gt;&lt;D xsi:type="xsd:double"&gt;15.054450952293&lt;/D&gt;&lt;D xsi:type="xsd:double"&gt;14.243451521404&lt;/D&gt;&lt;D xsi:type="xsd:double"&gt;14.018667418019&lt;/D&gt;&lt;D xsi:type="xsd:double"&gt;14.6404625790494&lt;/D&gt;&lt;D xsi:type="xsd:double"&gt;13.7976637541728&lt;/D&gt;&lt;D xsi:type="xsd:double"&gt;13.3955053427908&lt;/D&gt;&lt;D xsi:type="xsd:double"&gt;14.2076335482935&lt;/D&gt;&lt;D xsi:type="xsd:double"&gt;13.982139251916&lt;/D&gt;&lt;D xsi:type="xsd:double"&gt;14.5110175390165&lt;/D&gt;&lt;D xsi:type="xsd:double"&gt;14.5648442552563&lt;/D&gt;&lt;D xsi:type="xsd:double"&gt;14.1361720062189&lt;/D&gt;&lt;D xsi:type="xsd:double"&gt;14.3633661614595&lt;/D&gt;&lt;D xsi:type="xsd:double"&gt;14.3499308955528&lt;/D&gt;&lt;D xsi:type="xsd:double"&gt;14.6091501741021&lt;/D&gt;&lt;D xsi:type="xsd:double"&gt;14.8721127696045&lt;/D&gt;&lt;D xsi:type="xsd:double"&gt;14.8032832164563&lt;/D&gt;&lt;D xsi:type="xsd:double"&gt;15.1881796580514&lt;/D&gt;&lt;D xsi:type="xsd:double"&gt;14.6647938089979&lt;/D&gt;&lt;D xsi:type="xsd:double"&gt;15.0332658258097&lt;/D&gt;&lt;D xsi:type="xsd:double"&gt;16.0748652986514&lt;/D&gt;&lt;D xsi:type="xsd:double"&gt;15.9460707102913&lt;/D&gt;&lt;D xsi:type="xsd:double"&gt;16.5334594800551&lt;/D&gt;&lt;D xsi:type="xsd:double"&gt;16.5799941536813&lt;/D&gt;&lt;D xsi:type="xsd:double"&gt;16.5019914975997&lt;/D&gt;&lt;D xsi:type="xsd:double"&gt;16.8256223616997&lt;/D&gt;&lt;D xsi:type="xsd:double"&gt;16.7586675420959&lt;/D&gt;&lt;D xsi:type="xsd:double"&gt;17.2119902029709&lt;/D&gt;&lt;D xsi:type="xsd:double"&gt;17.1041875976281&lt;/D&gt;&lt;/FQL&gt;&lt;FQL&gt;&lt;Q&gt;WL-FDS^FG_PRICE_CHANGE(0,-1AM)&lt;/Q&gt;&lt;R&gt;1&lt;/R&gt;&lt;C&gt;1&lt;/C&gt;&lt;D xsi:type="xsd:double"&gt;-10.2795624240319&lt;/D&gt;&lt;/FQL&gt;&lt;FQL&gt;&lt;Q&gt;NI-FDS^FG_PRICE_CHANGE(0,-1AM)&lt;/Q&gt;&lt;R&gt;1&lt;/R&gt;&lt;C&gt;1&lt;/C&gt;&lt;D xsi:type="xsd:double"&gt;-3.22482506845148&lt;/D&gt;&lt;/FQL&gt;&lt;FQL&gt;&lt;Q&gt;CPALM-FDS^FG_PRICE_CHANGE(0,-1AM)&lt;/Q&gt;&lt;R&gt;1&lt;/R&gt;&lt;C&gt;1&lt;/C&gt;&lt;D xsi:type="xsd:double"&gt;-2.37014624306606&lt;/D&gt;&lt;/FQL&gt;&lt;FQL&gt;&lt;Q&gt;BRENT-FDS^FG_PRICE_CHANGE(0,-1AM)&lt;/Q&gt;&lt;R&gt;1&lt;/R&gt;&lt;C&gt;1&lt;/C&gt;&lt;D xsi:type="xsd:double"&gt;0&lt;/D&gt;&lt;/FQL&gt;&lt;FQL&gt;&lt;Q&gt;TIOS-FDS^FG_PRICE_CHANGE(0,-1AM)&lt;/Q&gt;&lt;R&gt;1&lt;/R&gt;&lt;C&gt;1&lt;/C&gt;&lt;D xsi:type="xsd:double"&gt;-9.90949812597129&lt;/D&gt;&lt;/FQL&gt;&lt;FQL&gt;&lt;Q&gt;FC0000CH^FG_PRICE(0)&lt;/Q&gt;&lt;R&gt;1&lt;/R&gt;&lt;C&gt;1&lt;/C&gt;&lt;D xsi:type="xsd:double"&gt;346.14948&lt;/D&gt;&lt;/FQL&gt;&lt;FQL&gt;&lt;Q&gt;CAGDPY@GB^EE_ACTUAL_ANNUAL(MED,+1)&lt;/Q&gt;&lt;R&gt;1&lt;/R&gt;&lt;C&gt;1&lt;/C&gt;&lt;D xsi:type="xsd:double"&gt;-2.65&lt;/D&gt;&lt;/FQL&gt;&lt;FQL&gt;&lt;Q&gt;CC_GB^FG_COMPANY_NAME&lt;/Q&gt;&lt;R&gt;1&lt;/R&gt;&lt;C&gt;1&lt;/C&gt;&lt;D xsi:type="xsd:string"&gt;United Kingdom&lt;/D&gt;&lt;/FQL&gt;&lt;FQL&gt;&lt;Q&gt;USDSEK^STD(FG_PRICE_CHANGE(0,-1AY,AM))&lt;/Q&gt;&lt;R&gt;1&lt;/R&gt;&lt;C&gt;1&lt;/C&gt;&lt;D xsi:type="xsd:double"&gt;3.06943662632655&lt;/D&gt;&lt;/FQL&gt;&lt;FQL&gt;&lt;Q&gt;USDCHF^STD(FG_PRICE_CHANGE(0,-1AY,AM))&lt;/Q&gt;&lt;R&gt;1&lt;/R&gt;&lt;C&gt;1&lt;/C&gt;&lt;D xsi:type="xsd:double"&gt;1.9914970508488&lt;/D&gt;&lt;/FQL&gt;&lt;FQL&gt;&lt;Q&gt;USDUSD^STD(FG_PRICE_CHANGE(0,-1AY,AM))&lt;/Q&gt;&lt;R&gt;1&lt;/R&gt;&lt;C&gt;1&lt;/C&gt;&lt;D xsi:type="xsd:double"&gt;0&lt;/D&gt;&lt;/FQL&gt;&lt;FQL&gt;&lt;Q&gt;USDEUR^STD(FG_PRICE_CHANGE(0,-1AY,AM))&lt;/Q&gt;&lt;R&gt;1&lt;/R&gt;&lt;C&gt;1&lt;/C&gt;&lt;D xsi:type="xsd:double"&gt;1.92408634606615&lt;/D&gt;&lt;/FQL&gt;&lt;FQL&gt;&lt;Q&gt;USDAUD^STD(FG_PRICE_CHANGE(0,-1AY,AM))&lt;/Q&gt;&lt;R&gt;1&lt;/R&gt;&lt;C&gt;1&lt;/C&gt;&lt;D xsi:type="xsd:double"&gt;2.78452412143415&lt;/D&gt;&lt;/FQL&gt;&lt;FQL&gt;&lt;Q&gt;EWD^FMA_EPS(NTMA,-20AY,0,CY,,"PORTAGG","MEANR")&lt;/Q&gt;&lt;R&gt;20&lt;/R&gt;&lt;C&gt;1&lt;/C&gt;&lt;D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xsi:type="xsd:double"&gt;2.04500092616456&lt;/D&gt;&lt;D xsi:type="xsd:double"&gt;2.21310873799954&lt;/D&gt;&lt;D xsi:type="xsd:double"&gt;2.48981565234839&lt;/D&gt;&lt;D xsi:type="xsd:double"&gt;2.56381617192707&lt;/D&gt;&lt;D xsi:type="xsd:double"&gt;2.51009258677617&lt;/D&gt;&lt;/FQL&gt;&lt;FQL&gt;&lt;Q&gt;EWQ^P_PRICE_RETURNS_PR('52W',2,-10AY,0,AM)&lt;/Q&gt;&lt;R&gt;121&lt;/R&gt;&lt;C&gt;1&lt;/C&gt;&lt;D xsi:type="xsd:double"&gt;5.5227637&lt;/D&gt;&lt;D xsi:type="xsd:double"&gt;6.459141&lt;/D&gt;&lt;D xsi:type="xsd:double"&gt;-10.063612&lt;/D&gt;&lt;D xsi:type="xsd:double"&gt;-5.8820605&lt;/D&gt;&lt;D xsi:type="xsd:double"&gt;-8.205891&lt;/D&gt;&lt;D xsi:type="xsd:double"&gt;-10.725755&lt;/D&gt;&lt;D xsi:type="xsd:double"&gt;-5.017638&lt;/D&gt;&lt;D xsi:type="xsd:double"&gt;-5.7718573&lt;/D&gt;&lt;D xsi:type="xsd:double"&gt;-5.4721475&lt;/D&gt;&lt;D xsi:type="xsd:double"&gt;-3.3461332&lt;/D&gt;&lt;D xsi:type="xsd:double"&gt;-8.634806&lt;/D&gt;&lt;D xsi:type="xsd:double"&gt;-3.4037054&lt;/D&gt;&lt;D xsi:type="xsd:double"&gt;1.1137843&lt;/D&gt;&lt;D xsi:type="xsd:double"&gt;-6.0601354&lt;/D&gt;&lt;D xsi:type="xsd:double"&gt;10.109425&lt;/D&gt;&lt;D xsi:type="xsd:double"&gt;1.299572&lt;/D&gt;&lt;D xsi:type="xsd:double"&gt;4.1502833&lt;/D&gt;&lt;D xsi:type="xsd:double"&gt;-6.1715784&lt;/D&gt;&lt;D xsi:type="xsd:double"&gt;-12.596935&lt;/D&gt;&lt;D xsi:type="xsd:double"&gt;-3.5604656&lt;/D&gt;&lt;D xsi:type="xsd:double"&gt;-7.2928247&lt;/D&gt;&lt;D xsi:type="xsd:double"&gt;-11.488354&lt;/D&gt;&lt;D xsi:type="xsd:double"&gt;-10.552663&lt;/D&gt;&lt;D xsi:type="xsd:double"&gt;-9.38763&lt;/D&gt;&lt;D xsi:type="xsd:double"&gt;-6.214893&lt;/D&gt;&lt;D xsi:type="xsd:double"&gt;-4.1632595&lt;/D&gt;&lt;D xsi:type="xsd:double"&gt;-4.4199944&lt;/D&gt;&lt;D xsi:type="xsd:double"&gt;-4.0441694&lt;/D&gt;&lt;D xsi:type="xsd:double"&gt;1.2059689&lt;/D&gt;&lt;D xsi:type="xsd:double"&gt;14.870989&lt;/D&gt;&lt;D xsi:type="xsd:double"&gt;16.263056&lt;/D&gt;&lt;D xsi:type="xsd:double"&gt;10.427117&lt;/D&gt;&lt;D xsi:type="xsd:double"&gt;9.577894&lt;/D&gt;&lt;D xsi:type="xsd:double"&gt;25.606394&lt;/D&gt;&lt;D xsi:type="xsd:double"&gt;29.555225&lt;/D&gt;&lt;D xsi:type="xsd:double"&gt;27.93355&lt;/D&gt;&lt;D xsi:type="xsd:double"&gt;25.081598&lt;/D&gt;&lt;D xsi:type="xsd:double"&gt;30.952024&lt;/D&gt;&lt;D xsi:type="xsd:double"&gt;33.54466&lt;/D&gt;&lt;D xsi:type="xsd:double"&gt;35.060753&lt;/D&gt;&lt;D xsi:type="xsd:double"&gt;30.206299&lt;/D&gt;&lt;D xsi:type="xsd:double"&gt;32.924507&lt;/D&gt;&lt;D xsi:type="xsd:double"&gt;29.562653&lt;/D&gt;&lt;D xsi:type="xsd:double"&gt;24.492&lt;/D&gt;&lt;D xsi:type="xsd:double"&gt;26.971245&lt;/D&gt;&lt;D xsi:type="xsd:double"&gt;12.8336315&lt;/D&gt;&lt;D xsi:type="xsd:double"&gt;13.582981&lt;/D&gt;&lt;D xsi:type="xsd:double"&gt;9.362925&lt;/D&gt;&lt;D xsi:type="xsd:double"&gt;3.433323&lt;/D&gt;&lt;D xsi:type="xsd:double"&gt;3.271675&lt;/D&gt;&lt;D xsi:type="xsd:double"&gt;-2.3181558&lt;/D&gt;&lt;D xsi:type="xsd:double"&gt;-5.600089&lt;/D&gt;&lt;D xsi:type="xsd:double"&gt;-10.682076&lt;/D&gt;&lt;D xsi:type="xsd:double"&gt;-15.875828&lt;/D&gt;&lt;D xsi:type="xsd:double"&gt;-8.435613&lt;/D&gt;&lt;D xsi:type="xsd:double"&gt;-3.2624602&lt;/D&gt;&lt;D xsi:type="xsd:double"&gt;-3.2812417&lt;/D&gt;&lt;D xsi:type="xsd:double"&gt;-5.429798&lt;/D&gt;&lt;D xsi:type="xsd:double"&gt;-4.5561194&lt;/D&gt;&lt;D xsi:type="xsd:double"&gt;0.361526&lt;/D&gt;&lt;D xsi:type="xsd:double"&gt;-1.4402509&lt;/D&gt;&lt;D xsi:type="xsd:double"&gt;0.64299107&lt;/D&gt;&lt;D xsi:type="xsd:double"&gt;6.6363573&lt;/D&gt;&lt;D xsi:type="xsd:double"&gt;15.543783&lt;/D&gt;&lt;D xsi:type="xsd:double"&gt;24.05659&lt;/D&gt;&lt;D xsi:type="xsd:double"&gt;25.011848&lt;/D&gt;&lt;D xsi:type="xsd:double"&gt;17.885256&lt;/D&gt;&lt;D xsi:type="xsd:double"&gt;-29.531818&lt;/D&gt;&lt;D xsi:type="xsd:double"&gt;-22.507393&lt;/D&gt;&lt;D xsi:type="xsd:double"&gt;-20.495356&lt;/D&gt;&lt;D xsi:type="xsd:double"&gt;-5.8157206&lt;/D&gt;&lt;D xsi:type="xsd:double"&gt;-5.52299&lt;/D&gt;&lt;D xsi:type="xsd:double"&gt;3.3149362&lt;/D&gt;&lt;D xsi:type="xsd:double"&gt;-1.2441814&lt;/D&gt;&lt;D xsi:type="xsd:double"&gt;-5.4467974&lt;/D&gt;&lt;D xsi:type="xsd:double"&gt;1.7838359&lt;/D&gt;&lt;D xsi:type="xsd:double"&gt;4.021132&lt;/D&gt;&lt;D xsi:type="xsd:double"&gt;3.5334587&lt;/D&gt;&lt;D xsi:type="xsd:double"&gt;8.231258&lt;/D&gt;&lt;D xsi:type="xsd:double"&gt;72.898636&lt;/D&gt;&lt;D xsi:type="xsd:double"&gt;62.14005&lt;/D&gt;&lt;D xsi:type="xsd:double"&gt;68.410385&lt;/D&gt;&lt;D xsi:type="xsd:double"&gt;44.595325&lt;/D&gt;&lt;D xsi:type="xsd:double"&gt;31.805206&lt;/D&gt;&lt;D xsi:type="xsd:double"&gt;37.09476&lt;/D&gt;&lt;D xsi:type="xsd:double"&gt;32.868587&lt;/D&gt;&lt;D xsi:type="xsd:double"&gt;38.19988&lt;/D&gt;&lt;D xsi:type="xsd:double"&gt;25.965405&lt;/D&gt;&lt;D xsi:type="xsd:double"&gt;17.842245&lt;/D&gt;&lt;D xsi:type="xsd:double"&gt;19.507551&lt;/D&gt;&lt;D xsi:type="xsd:double"&gt;14.591455&lt;/D&gt;&lt;D xsi:type="xsd:double"&gt;3.2074094&lt;/D&gt;&lt;D xsi:type="xsd:double"&gt;-2.1361828&lt;/D&gt;&lt;D xsi:type="xsd:double"&gt;-11.770368&lt;/D&gt;&lt;D xsi:type="xsd:double"&gt;-19.212555&lt;/D&gt;&lt;D xsi:type="xsd:double"&gt;-16.937864&lt;/D&gt;&lt;D xsi:type="xsd:double"&gt;-12.589097&lt;/D&gt;&lt;D xsi:type="xsd:double"&gt;-19.333447&lt;/D&gt;&lt;D xsi:type="xsd:double"&gt;-24.414587&lt;/D&gt;&lt;D xsi:type="xsd:double"&gt;-13.00968&lt;/D&gt;&lt;D xsi:type="xsd:double"&gt;-10.338593&lt;/D&gt;&lt;D xsi:type="xsd:double"&gt;-4.096675&lt;/D&gt;&lt;D xsi:type="xsd:double"&gt;1.3142228&lt;/D&gt;&lt;D xsi:type="xsd:double"&gt;5.444002&lt;/D&gt;&lt;D xsi:type="xsd:double"&gt;18.47713&lt;/D&gt;&lt;D xsi:type="xsd:double"&gt;22.703575&lt;/D&gt;&lt;D xsi:type="xsd:double"&gt;32.05789&lt;/D&gt;&lt;D xsi:type="xsd:double"&gt;40.293633&lt;/D&gt;&lt;D xsi:type="xsd:double"&gt;18.088257&lt;/D&gt;&lt;D xsi:type="xsd:double"&gt;28.949715&lt;/D&gt;&lt;D xsi:type="xsd:double"&gt;30.716206&lt;/D&gt;&lt;D xsi:type="xsd:double"&gt;15.101873&lt;/D&gt;&lt;D xsi:type="xsd:double"&gt;19.972908&lt;/D&gt;&lt;D xsi:type="xsd:double"&gt;6.3447237&lt;/D&gt;&lt;D xsi:type="xsd:double"&gt;7.6664805&lt;/D&gt;&lt;D xsi:type="xsd:double"&gt;21.869396&lt;/D&gt;&lt;D xsi:type="xsd:double"&gt;3.2940745&lt;/D&gt;&lt;D xsi:type="xsd:double"&gt;12.292469&lt;/D&gt;&lt;D xsi:type="xsd:double"&gt;3.0716538&lt;/D&gt;&lt;D xsi:type="xsd:double"&gt;1.9444704&lt;/D&gt;&lt;D xsi:type="xsd:double"&gt;6.930506&lt;/D&gt;&lt;/FQL&gt;&lt;FQL&gt;&lt;Q&gt;QQQ^FG_TOTAL_RETURNC(-10AY,0,AM)&lt;/Q&gt;&lt;R&gt;121&lt;/R&gt;&lt;C&gt;1&lt;/C&gt;&lt;D xsi:type="xsd:double"&gt;1.574719&lt;/D&gt;&lt;D xsi:type="xsd:double"&gt;2.0328522&lt;/D&gt;&lt;D xsi:type="xsd:double"&gt;-7.417667&lt;/D&gt;&lt;D xsi:type="xsd:double"&gt;12.45234&lt;/D&gt;&lt;D xsi:type="xsd:double"&gt;-3.1389236&lt;/D&gt;&lt;D xsi:type="xsd:double"&gt;1.2140751&lt;/D&gt;&lt;D xsi:type="xsd:double"&gt;6.0404778&lt;/D&gt;&lt;D xsi:type="xsd:double"&gt;-0.19643307&lt;/D&gt;&lt;D xsi:type="xsd:double"&gt;1.1585236&lt;/D&gt;&lt;D xsi:type="xsd:double"&gt;1.7550349&lt;/D&gt;&lt;D xsi:type="xsd:double"&gt;-0.7118046&lt;/D&gt;&lt;D xsi:type="xsd:double"&gt;3.1239867&lt;/D&gt;&lt;D xsi:type="xsd:double"&gt;-1.2774706&lt;/D&gt;&lt;D xsi:type="xsd:double"&gt;-3.0947506&lt;/D&gt;&lt;D xsi:type="xsd:double"&gt;1.2110114&lt;/D&gt;&lt;D xsi:type="xsd:double"&gt;3.0521631&lt;/D&gt;&lt;D xsi:type="xsd:double"&gt;2.297616&lt;/D&gt;&lt;D xsi:type="xsd:double"&gt;-11.252588&lt;/D&gt;&lt;D xsi:type="xsd:double"&gt;-0.60490966&lt;/D&gt;&lt;D xsi:type="xsd:double"&gt;7.3331356&lt;/D&gt;&lt;D xsi:type="xsd:double"&gt;3.1487942&lt;/D&gt;&lt;D xsi:type="xsd:double"&gt;-3.4526408&lt;/D&gt;&lt;D xsi:type="xsd:double"&gt;1.1421084&lt;/D&gt;&lt;D xsi:type="xsd:double"&gt;3.7587523&lt;/D&gt;&lt;D xsi:type="xsd:double"&gt;4.6958804&lt;/D&gt;&lt;D xsi:type="xsd:double"&gt;0.45610666&lt;/D&gt;&lt;D xsi:type="xsd:double"&gt;-0.12788773&lt;/D&gt;&lt;D xsi:type="xsd:double"&gt;-0.19634366&lt;/D&gt;&lt;D xsi:type="xsd:double"&gt;2.6045084&lt;/D&gt;&lt;D xsi:type="xsd:double"&gt;2.9765964&lt;/D&gt;&lt;D xsi:type="xsd:double"&gt;4.9447894&lt;/D&gt;&lt;D xsi:type="xsd:double"&gt;2.135396&lt;/D&gt;&lt;D xsi:type="xsd:double"&gt;-1.0139644&lt;/D&gt;&lt;D xsi:type="xsd:double"&gt;7.0705533&lt;/D&gt;&lt;D xsi:type="xsd:double"&gt;-0.7818222&lt;/D&gt;&lt;D xsi:type="xsd:double"&gt;2.873695&lt;/D&gt;&lt;D xsi:type="xsd:double"&gt;1.5198469&lt;/D&gt;&lt;D xsi:type="xsd:double"&gt;1.2337089&lt;/D&gt;&lt;D xsi:type="xsd:double"&gt;2.1337986&lt;/D&gt;&lt;D xsi:type="xsd:double"&gt;3.8226366&lt;/D&gt;&lt;D xsi:type="xsd:double"&gt;2.0124197&lt;/D&gt;&lt;D xsi:type="xsd:double"&gt;4.256642&lt;/D&gt;&lt;D xsi:type="xsd:double"&gt;0.57309866&lt;/D&gt;&lt;D xsi:type="xsd:double"&gt;3.673613&lt;/D&gt;&lt;D xsi:type="xsd:double"&gt;-4.766047&lt;/D&gt;&lt;D xsi:type="xsd:double"&gt;3.923738&lt;/D&gt;&lt;D xsi:type="xsd:double"&gt;4.7342896&lt;/D&gt;&lt;D xsi:type="xsd:double"&gt;1.4601111&lt;/D&gt;&lt;D xsi:type="xsd:double"&gt;0.3571868&lt;/D&gt;&lt;D xsi:type="xsd:double"&gt;2.3189902&lt;/D&gt;&lt;D xsi:type="xsd:double"&gt;-3.5068274&lt;/D&gt;&lt;D xsi:type="xsd:double"&gt;-5.484706&lt;/D&gt;&lt;D xsi:type="xsd:double"&gt;-3.832835&lt;/D&gt;&lt;D xsi:type="xsd:double"&gt;1.0838509&lt;/D&gt;&lt;D xsi:type="xsd:double"&gt;5.906987&lt;/D&gt;&lt;D xsi:type="xsd:double"&gt;3.728044&lt;/D&gt;&lt;D xsi:type="xsd:double"&gt;4.7596455&lt;/D&gt;&lt;D xsi:type="xsd:double"&gt;-0.8418262&lt;/D&gt;&lt;D xsi:type="xsd:double"&gt;-1.2383044&lt;/D&gt;&lt;D xsi:type="xsd:double"&gt;5.9880495&lt;/D&gt;&lt;D xsi:type="xsd:double"&gt;-3.9710045&lt;/D&gt;&lt;D xsi:type="xsd:double"&gt;3.3426762&lt;/D&gt;&lt;D xsi:type="xsd:double"&gt;0.9126067&lt;/D&gt;&lt;D xsi:type="xsd:double"&gt;5.112934&lt;/D&gt;&lt;D xsi:type="xsd:double"&gt;3.1343937&lt;/D&gt;&lt;D xsi:type="xsd:double"&gt;6.4463496&lt;/D&gt;&lt;D xsi:type="xsd:double"&gt;5.560553&lt;/D&gt;&lt;D xsi:type="xsd:double"&gt;-27.846914&lt;/D&gt;&lt;D xsi:type="xsd:double"&gt;26.227844&lt;/D&gt;&lt;D xsi:type="xsd:double"&gt;4.6987176&lt;/D&gt;&lt;D xsi:type="xsd:double"&gt;8.769655&lt;/D&gt;&lt;D xsi:type="xsd:double"&gt;6.883073&lt;/D&gt;&lt;D xsi:type="xsd:double"&gt;5.03242&lt;/D&gt;&lt;D xsi:type="xsd:double"&gt;0.900197&lt;/D&gt;&lt;D xsi:type="xsd:double"&gt;5.2142024&lt;/D&gt;&lt;D xsi:type="xsd:double"&gt;1.6255975&lt;/D&gt;&lt;D xsi:type="xsd:double"&gt;5.3819895&lt;/D&gt;&lt;D xsi:type="xsd:double"&gt;1.115489&lt;/D&gt;&lt;D xsi:type="xsd:double"&gt;7.593155&lt;/D&gt;&lt;D xsi:type="xsd:double"&gt;-4.458493&lt;/D&gt;&lt;D xsi:type="xsd:double"&gt;6.8169236&lt;/D&gt;&lt;D xsi:type="xsd:double"&gt;-4.5671167&lt;/D&gt;&lt;D xsi:type="xsd:double"&gt;4.479301&lt;/D&gt;&lt;D xsi:type="xsd:double"&gt;4.9857855&lt;/D&gt;&lt;D xsi:type="xsd:double"&gt;3.1823277&lt;/D&gt;&lt;D xsi:type="xsd:double"&gt;2.528584&lt;/D&gt;&lt;D xsi:type="xsd:double"&gt;-2.3664176&lt;/D&gt;&lt;D xsi:type="xsd:double"&gt;7.7194095&lt;/D&gt;&lt;D xsi:type="xsd:double"&gt;-2.662176&lt;/D&gt;&lt;D xsi:type="xsd:double"&gt;-1.638782&lt;/D&gt;&lt;D xsi:type="xsd:double"&gt;-6.307727&lt;/D&gt;&lt;D xsi:type="xsd:double"&gt;-4.4152317&lt;/D&gt;&lt;D xsi:type="xsd:double"&gt;-0.4321754&lt;/D&gt;&lt;D xsi:type="xsd:double"&gt;-11.816322&lt;/D&gt;&lt;D xsi:type="xsd:double"&gt;-9.063792&lt;/D&gt;&lt;D xsi:type="xsd:double"&gt;7.748115&lt;/D&gt;&lt;D xsi:type="xsd:double"&gt;13.845205&lt;/D&gt;&lt;D xsi:type="xsd:double"&gt;-12.928856&lt;/D&gt;&lt;D xsi:type="xsd:double"&gt;-9.717774&lt;/D&gt;&lt;D xsi:type="xsd:double"&gt;9.473038&lt;/D&gt;&lt;D xsi:type="xsd:double"&gt;-3.920263&lt;/D&gt;&lt;D xsi:type="xsd:double"&gt;2.699244&lt;/D&gt;&lt;D xsi:type="xsd:double"&gt;7.9474688&lt;/D&gt;&lt;D xsi:type="xsd:double"&gt;1.1572719&lt;/D&gt;&lt;D xsi:type="xsd:double"&gt;3.993249&lt;/D&gt;&lt;D xsi:type="xsd:double"&gt;2.6964188&lt;/D&gt;&lt;D xsi:type="xsd:double"&gt;12.461794&lt;/D&gt;&lt;D xsi:type="xsd:double"&gt;3.1692624&lt;/D&gt;&lt;D xsi:type="xsd:double"&gt;-4.36067&lt;/D&gt;&lt;D xsi:type="xsd:double"&gt;2.2811294&lt;/D&gt;&lt;D xsi:type="xsd:double"&gt;-0.23360848&lt;/D&gt;&lt;D xsi:type="xsd:double"&gt;4.4774175&lt;/D&gt;&lt;D xsi:type="xsd:double"&gt;5.023968&lt;/D&gt;&lt;D xsi:type="xsd:double"&gt;1.2849331&lt;/D&gt;&lt;D xsi:type="xsd:double"&gt;5.1401734&lt;/D&gt;&lt;D xsi:type="xsd:double"&gt;0.77804327&lt;/D&gt;&lt;D xsi:type="xsd:double"&gt;-0.51966906&lt;/D&gt;&lt;D xsi:type="xsd:double"&gt;4.8434258&lt;/D&gt;&lt;D xsi:type="xsd:double"&gt;6.0201764&lt;/D&gt;&lt;D xsi:type="xsd:double"&gt;3.7453651&lt;/D&gt;&lt;D xsi:type="xsd:double"&gt;-4.29343&lt;/D&gt;&lt;/FQL&gt;&lt;FQL&gt;&lt;Q&gt;FC0000AU^FG_PRICE(0)&lt;/Q&gt;&lt;R&gt;1&lt;/R&gt;&lt;C&gt;1&lt;/C&gt;&lt;D xsi:type="xsd:double"&gt;368.07574&lt;/D&gt;&lt;/FQL&gt;&lt;FQL&gt;&lt;Q&gt;SPY^FG_COMPANY_NAME&lt;/Q&gt;&lt;R&gt;1&lt;/R&gt;&lt;C&gt;1&lt;/C&gt;&lt;D xsi:type="xsd:string"&gt;SPDR S&amp;amp;P 500 ETF Trust&lt;/D&gt;&lt;/FQL&gt;&lt;FQL&gt;&lt;Q&gt;EWL^FMA_ROE(NTMA,-20AY,NOW,FY,"PORTAGG","MEANR")&lt;/Q&gt;&lt;R&gt;20&lt;/R&gt;&lt;C&gt;1&lt;/C&gt;&lt;D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xsi:type="xsd:double"&gt;14.667779515581&lt;/D&gt;&lt;D xsi:type="xsd:double"&gt;16.3837417700753&lt;/D&gt;&lt;D xsi:type="xsd:double"&gt;16.6906517335277&lt;/D&gt;&lt;D xsi:type="xsd:double"&gt;19.3024636413407&lt;/D&gt;&lt;/FQL&gt;&lt;FQL&gt;&lt;Q&gt;TRYIN10Y-FDS^FG_YIELD(-10AY,0,Y,,"YTM")&lt;/Q&gt;&lt;R&gt;10&lt;/R&gt;&lt;C&gt;1&lt;/C&gt;&lt;D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xsi:type="xsd:double"&gt;3.099&lt;/D&gt;&lt;/FQL&gt;&lt;FQL&gt;&lt;Q&gt;EWC^FG_PRICE_MAVG(0,,,,30)&lt;/Q&gt;&lt;R&gt;1&lt;/R&gt;&lt;C&gt;1&lt;/C&gt;&lt;D xsi:type="xsd:double"&gt;38.170334&lt;/D&gt;&lt;/FQL&gt;&lt;FQL&gt;&lt;Q&gt;FXI^FMA_PCT_ABOVE_MAVG(200,0,,,,"PORTAGG")&lt;/Q&gt;&lt;R&gt;1&lt;/R&gt;&lt;C&gt;1&lt;/C&gt;&lt;D xsi:type="xsd:double"&gt;52.9411764705882&lt;/D&gt;&lt;/FQL&gt;&lt;FQL&gt;&lt;Q&gt;EWI^P_PRICE(0)/P_PRICE_HIGH_PR(0,,,,,,"PRICE","INTRA","52W")&lt;/Q&gt;&lt;R&gt;1&lt;/R&gt;&lt;C&gt;1&lt;/C&gt;&lt;D xsi:type="xsd:double"&gt;0.9451359&lt;/D&gt;&lt;/FQL&gt;&lt;FQL&gt;&lt;Q&gt;EWN^FG_TOTAL_RETURNC(0,-12AM)&lt;/Q&gt;&lt;R&gt;1&lt;/R&gt;&lt;C&gt;1&lt;/C&gt;&lt;D xsi:type="xsd:double"&gt;21.24213&lt;/D&gt;&lt;/FQL&gt;&lt;FQL&gt;&lt;Q&gt;EWQ^PERCENT_CHANGE(FMA_EPS(+1,0,,,,"PORTAGG","MEAN"),FMA_EPS(+1,-1AM,,,,"PORTAGG","MEAN"))&lt;/Q&gt;&lt;R&gt;1&lt;/R&gt;&lt;C&gt;1&lt;/C&gt;&lt;D xsi:type="xsd:double"&gt;-1.13004616415131&lt;/D&gt;&lt;/FQL&gt;&lt;FQL&gt;&lt;Q&gt;QQQ^FG_TOTAL_RETURNC(0,-1AM)&lt;/Q&gt;&lt;R&gt;1&lt;/R&gt;&lt;C&gt;1&lt;/C&gt;&lt;D xsi:type="xsd:double"&gt;-4.29343&lt;/D&gt;&lt;/FQL&gt;&lt;FQL&gt;&lt;Q&gt;EWL^FG_TOTAL_RETURNC(0,-6AM)&lt;/Q&gt;&lt;R&gt;1&lt;/R&gt;&lt;C&gt;1&lt;/C&gt;&lt;D xsi:type="xsd:double"&gt;11.045229&lt;/D&gt;&lt;/FQL&gt;&lt;FQL&gt;&lt;Q&gt;EWG^P_PRICE(0)/P_PRICE_LOW_PR(0,,,,,,"PRICE","INTRA","52W")-1&lt;/Q&gt;&lt;R&gt;1&lt;/R&gt;&lt;C&gt;1&lt;/C&gt;&lt;D xsi:type="xsd:double"&gt;0.27099776&lt;/D&gt;&lt;/FQL&gt;&lt;FQL&gt;&lt;Q&gt;EWC^FMA_PCT_ABOVE_MAVG(200,0,,,,"PORTAGG")&lt;/Q&gt;&lt;R&gt;1&lt;/R&gt;&lt;C&gt;1&lt;/C&gt;&lt;D xsi:type="xsd:double"&gt;73.8636363636364&lt;/D&gt;&lt;/FQL&gt;&lt;FQL&gt;&lt;Q&gt;ENZL^PERCENT_CHANGE(FMA_EPS(+1,0,,,,"PORTAGG","MEAN"),FMA_EPS(+1,-3AM,,,,"PORTAGG","MEAN"))&lt;/Q&gt;&lt;R&gt;1&lt;/R&gt;&lt;C&gt;1&lt;/C&gt;&lt;D xsi:type="xsd:double"&gt;2.39885627344939&lt;/D&gt;&lt;/FQL&gt;&lt;FQL&gt;&lt;Q&gt;VWO^FMA_COS_DOWN("EPS","1M",+1,0,,,"PORTAGG","MEANR")&lt;/Q&gt;&lt;R&gt;1&lt;/R&gt;&lt;C&gt;1&lt;/C&gt;&lt;D xsi:type="xsd:double"&gt;971&lt;/D&gt;&lt;/FQL&gt;&lt;FQL&gt;&lt;Q&gt;EWQ^FMA_COS_UP("EPS","1M",+1,0,,,"PORTAGG","MEANR")&lt;/Q&gt;&lt;R&gt;1&lt;/R&gt;&lt;C&gt;1&lt;/C&gt;&lt;D xsi:type="xsd:double"&gt;23&lt;/D&gt;&lt;/FQL&gt;&lt;FQL&gt;&lt;Q&gt;EWG^SIZE(FG_CONSTITUENTS)&lt;/Q&gt;&lt;R&gt;1&lt;/R&gt;&lt;C&gt;1&lt;/C&gt;&lt;D xsi:type="xsd:long"&gt;58&lt;/D&gt;&lt;/FQL&gt;&lt;FQL&gt;&lt;Q&gt;CAGDPY@GB^EE_ACTUAL_ANNUAL(MED,0)&lt;/Q&gt;&lt;R&gt;1&lt;/R&gt;&lt;C&gt;1&lt;/C&gt;&lt;D xsi:type="xsd:double"&gt;-3.3&lt;/D&gt;&lt;/FQL&gt;&lt;FQL&gt;&lt;Q&gt;CC_CH^FG_COMPANY_NAME&lt;/Q&gt;&lt;R&gt;1&lt;/R&gt;&lt;C&gt;1&lt;/C&gt;&lt;D xsi:type="xsd:string"&gt;Switzerland&lt;/D&gt;&lt;/FQL&gt;&lt;FQL&gt;&lt;Q&gt;USDSEK^FG_PRICE_CHANGE(0,-6AM)&lt;/Q&gt;&lt;R&gt;1&lt;/R&gt;&lt;C&gt;1&lt;/C&gt;&lt;D xsi:type="xsd:double"&gt;0.44332743&lt;/D&gt;&lt;/FQL&gt;&lt;FQL&gt;&lt;Q&gt;USDCHF^FG_PRICE_CHANGE(0,-6AM)&lt;/Q&gt;&lt;R&gt;1&lt;/R&gt;&lt;C&gt;1&lt;/C&gt;&lt;D xsi:type="xsd:double"&gt;-1.4078856&lt;/D&gt;&lt;/FQL&gt;&lt;FQL&gt;&lt;Q&gt;USDUSD^FG_PRICE_CHANGE(0,-6AM)&lt;/Q&gt;&lt;R&gt;1&lt;/R&gt;&lt;C&gt;1&lt;/C&gt;&lt;D xsi:type="xsd:double"&gt;0&lt;/D&gt;&lt;/FQL&gt;&lt;FQL&gt;&lt;Q&gt;USDEUR^FG_PRICE_CHANGE(0,-6AM)&lt;/Q&gt;&lt;R&gt;1&lt;/R&gt;&lt;C&gt;1&lt;/C&gt;&lt;D xsi:type="xsd:double"&gt;-1.9970834&lt;/D&gt;&lt;/FQL&gt;&lt;FQL&gt;&lt;Q&gt;USDAUD^FG_PRICE_CHANGE(0,-6AM)&lt;/Q&gt;&lt;R&gt;1&lt;/R&gt;&lt;C&gt;1&lt;/C&gt;&lt;D xsi:type="xsd:double"&gt;-1.6723156&lt;/D&gt;&lt;/FQL&gt;&lt;FQL&gt;&lt;Q&gt;EWN^FMA_EPS(NTMA,-20AY,0,CY,,"PORTAGG","MEANR")&lt;/Q&gt;&lt;R&gt;20&lt;/R&gt;&lt;C&gt;1&lt;/C&gt;&lt;D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xsi:type="xsd:double"&gt;1.99085799541384&lt;/D&gt;&lt;D xsi:type="xsd:double"&gt;2.00892946055423&lt;/D&gt;&lt;D xsi:type="xsd:double"&gt;2.43601807945448&lt;/D&gt;&lt;D xsi:type="xsd:double"&gt;2.4294142632387&lt;/D&gt;&lt;D xsi:type="xsd:double"&gt;2.95560750497075&lt;/D&gt;&lt;/FQL&gt;&lt;FQL&gt;&lt;Q&gt;SPY^P_PRICE_RETURNS_PR('52W',2,-10AY,0,AM)&lt;/Q&gt;&lt;R&gt;121&lt;/R&gt;&lt;C&gt;1&lt;/C&gt;&lt;D xsi:type="xsd:double"&gt;19.94698&lt;/D&gt;&lt;D xsi:type="xsd:double"&gt;20.028984&lt;/D&gt;&lt;D xsi:type="xsd:double"&gt;10.35552&lt;/D&gt;&lt;D xsi:type="xsd:double"&gt;16.14206&lt;/D&gt;&lt;D xsi:type="xsd:double"&gt;12.576378&lt;/D&gt;&lt;D xsi:type="xsd:double"&gt;11.466682&lt;/D&gt;&lt;D xsi:type="xsd:double"&gt;16.86573&lt;/D&gt;&lt;D xsi:type="xsd:double"&gt;15.158976&lt;/D&gt;&lt;D xsi:type="xsd:double"&gt;15.232479&lt;/D&gt;&lt;D xsi:type="xsd:double"&gt;15.574635&lt;/D&gt;&lt;D xsi:type="xsd:double"&gt;10.326886&lt;/D&gt;&lt;D xsi:type="xsd:double"&gt;9.348822&lt;/D&gt;&lt;D xsi:type="xsd:double"&gt;9.077644&lt;/D&gt;&lt;D xsi:type="xsd:double"&gt;1.8101692&lt;/D&gt;&lt;D xsi:type="xsd:double"&gt;11.335730999999999&lt;/D&gt;&lt;D xsi:type="xsd:double"&gt;2.7137995&lt;/D&gt;&lt;D xsi:type="xsd:double"&gt;7.241392&lt;/D&gt;&lt;D xsi:type="xsd:double"&gt;-3.668362&lt;/D&gt;&lt;D xsi:type="xsd:double"&gt;-7.6508045&lt;/D&gt;&lt;D xsi:type="xsd:double"&gt;-0.4830897&lt;/D&gt;&lt;D xsi:type="xsd:double"&gt;0.867331&lt;/D&gt;&lt;D xsi:type="xsd:double"&gt;-0.5678952&lt;/D&gt;&lt;D xsi:type="xsd:double"&gt;1.2403369&lt;/D&gt;&lt;D xsi:type="xsd:double"&gt;4.720652&lt;/D&gt;&lt;D xsi:type="xsd:double"&gt;6.355059&lt;/D&gt;&lt;D xsi:type="xsd:double"&gt;9.473515&lt;/D&gt;&lt;D xsi:type="xsd:double"&gt;9.255886&lt;/D&gt;&lt;D xsi:type="xsd:double"&gt;8.252573&lt;/D&gt;&lt;D xsi:type="xsd:double"&gt;11.17239&lt;/D&gt;&lt;D xsi:type="xsd:double"&gt;22.826218&lt;/D&gt;&lt;D xsi:type="xsd:double"&gt;26.339828&lt;/D&gt;&lt;D xsi:type="xsd:double"&gt;19.803583&lt;/D&gt;&lt;D xsi:type="xsd:double"&gt;14.098871&lt;/D&gt;&lt;D xsi:type="xsd:double"&gt;18.509233&lt;/D&gt;&lt;D xsi:type="xsd:double"&gt;19.43853&lt;/D&gt;&lt;D xsi:type="xsd:double"&gt;15.935898&lt;/D&gt;&lt;D xsi:type="xsd:double"&gt;15.603209&lt;/D&gt;&lt;D xsi:type="xsd:double"&gt;18.693924&lt;/D&gt;&lt;D xsi:type="xsd:double"&gt;22.212124&lt;/D&gt;&lt;D xsi:type="xsd:double"&gt;21.107042&lt;/D&gt;&lt;D xsi:type="xsd:double"&gt;20.49042&lt;/D&gt;&lt;D xsi:type="xsd:double"&gt;24.35273&lt;/D&gt;&lt;D xsi:type="xsd:double"&gt;18.612814&lt;/D&gt;&lt;D xsi:type="xsd:double"&gt;17.677475&lt;/D&gt;&lt;D xsi:type="xsd:double"&gt;17.164219&lt;/D&gt;&lt;D xsi:type="xsd:double"&gt;15.5539875&lt;/D&gt;&lt;D xsi:type="xsd:double"&gt;16.369677&lt;/D&gt;&lt;D xsi:type="xsd:double"&gt;15.877628&lt;/D&gt;&lt;D xsi:type="xsd:double"&gt;17.177094&lt;/D&gt;&lt;D xsi:type="xsd:double"&gt;18.479073&lt;/D&gt;&lt;D xsi:type="xsd:double"&gt;11.836791&lt;/D&gt;&lt;D xsi:type="xsd:double"&gt;7.770729&lt;/D&gt;&lt;D xsi:type="xsd:double"&gt;-0.16747713&lt;/D&gt;&lt;D xsi:type="xsd:double"&gt;-3.97138&lt;/D&gt;&lt;D xsi:type="xsd:double"&gt;3.5321832&lt;/D&gt;&lt;D xsi:type="xsd:double"&gt;4.7076106&lt;/D&gt;&lt;D xsi:type="xsd:double"&gt;10.657776&lt;/D&gt;&lt;D xsi:type="xsd:double"&gt;7.74076&lt;/D&gt;&lt;D xsi:type="xsd:double"&gt;5.802703&lt;/D&gt;&lt;D xsi:type="xsd:double"&gt;9.426451&lt;/D&gt;&lt;D xsi:type="xsd:double"&gt;3.7090182&lt;/D&gt;&lt;D xsi:type="xsd:double"&gt;5.2429914&lt;/D&gt;&lt;D xsi:type="xsd:double"&gt;8.54808&lt;/D&gt;&lt;D xsi:type="xsd:double"&gt;16.48476&lt;/D&gt;&lt;D xsi:type="xsd:double"&gt;25.11648&lt;/D&gt;&lt;D xsi:type="xsd:double"&gt;29.197956&lt;/D&gt;&lt;D xsi:type="xsd:double"&gt;25.368893&lt;/D&gt;&lt;D xsi:type="xsd:double"&gt;-13.504237&lt;/D&gt;&lt;D xsi:type="xsd:double"&gt;-1.820153&lt;/D&gt;&lt;D xsi:type="xsd:double"&gt;2.5073051&lt;/D&gt;&lt;D xsi:type="xsd:double"&gt;10.433412&lt;/D&gt;&lt;D xsi:type="xsd:double"&gt;9.201407&lt;/D&gt;&lt;D xsi:type="xsd:double"&gt;21.050585&lt;/D&gt;&lt;D xsi:type="xsd:double"&gt;15.166151&lt;/D&gt;&lt;D xsi:type="xsd:double"&gt;18.671822&lt;/D&gt;&lt;D xsi:type="xsd:double"&gt;18.572462&lt;/D&gt;&lt;D xsi:type="xsd:double"&gt;18.136608&lt;/D&gt;&lt;D xsi:type="xsd:double"&gt;16.655182&lt;/D&gt;&lt;D xsi:type="xsd:double"&gt;18.41427&lt;/D&gt;&lt;D xsi:type="xsd:double"&gt;68.20734&lt;/D&gt;&lt;D xsi:type="xsd:double"&gt;51.914&lt;/D&gt;&lt;D xsi:type="xsd:double"&gt;48.542297&lt;/D&gt;&lt;D xsi:type="xsd:double"&gt;37.052727&lt;/D&gt;&lt;D xsi:type="xsd:double"&gt;36.480095&lt;/D&gt;&lt;D xsi:type="xsd:double"&gt;34.68683&lt;/D&gt;&lt;D xsi:type="xsd:double"&gt;33.959652&lt;/D&gt;&lt;D xsi:type="xsd:double"&gt;30.128145&lt;/D&gt;&lt;D xsi:type="xsd:double"&gt;31.267738&lt;/D&gt;&lt;D xsi:type="xsd:double"&gt;27.797306&lt;/D&gt;&lt;D xsi:type="xsd:double"&gt;24.444914&lt;/D&gt;&lt;D xsi:type="xsd:double"&gt;15.37354&lt;/D&gt;&lt;D xsi:type="xsd:double"&gt;11.510849&lt;/D&gt;&lt;D xsi:type="xsd:double"&gt;7.8113794&lt;/D&gt;&lt;D xsi:type="xsd:double"&gt;-2.6860416&lt;/D&gt;&lt;D xsi:type="xsd:double"&gt;-11.987996&lt;/D&gt;&lt;D xsi:type="xsd:double"&gt;-10.150921&lt;/D&gt;&lt;D xsi:type="xsd:double"&gt;-2.4936557&lt;/D&gt;&lt;D xsi:type="xsd:double"&gt;-12.186831&lt;/D&gt;&lt;D xsi:type="xsd:double"&gt;-17.953861&lt;/D&gt;&lt;D xsi:type="xsd:double"&gt;-14.454519&lt;/D&gt;&lt;D xsi:type="xsd:double"&gt;-16.198635&lt;/D&gt;&lt;D xsi:type="xsd:double"&gt;-12.818718&lt;/D&gt;&lt;D xsi:type="xsd:double"&gt;-7.093072&lt;/D&gt;&lt;D xsi:type="xsd:double"&gt;-7.5904846&lt;/D&gt;&lt;D xsi:type="xsd:double"&gt;-4.1777906&lt;/D&gt;&lt;D xsi:type="xsd:double"&gt;4.289627&lt;/D&gt;&lt;D xsi:type="xsd:double"&gt;22.358454&lt;/D&gt;&lt;D xsi:type="xsd:double"&gt;20.844603&lt;/D&gt;&lt;D xsi:type="xsd:double"&gt;3.999281&lt;/D&gt;&lt;D xsi:type="xsd:double"&gt;15.935016&lt;/D&gt;&lt;D xsi:type="xsd:double"&gt;23.863815&lt;/D&gt;&lt;D xsi:type="xsd:double"&gt;15.663123&lt;/D&gt;&lt;D xsi:type="xsd:double"&gt;22.867834&lt;/D&gt;&lt;D xsi:type="xsd:double"&gt;21.003986&lt;/D&gt;&lt;D xsi:type="xsd:double"&gt;24.217987&lt;/D&gt;&lt;D xsi:type="xsd:double"&gt;33.388447&lt;/D&gt;&lt;D xsi:type="xsd:double"&gt;23.858082&lt;/D&gt;&lt;D xsi:type="xsd:double"&gt;30.747498&lt;/D&gt;&lt;D xsi:type="xsd:double"&gt;25.963413&lt;/D&gt;&lt;D xsi:type="xsd:double"&gt;27.493822&lt;/D&gt;&lt;D xsi:type="xsd:double"&gt;27.855957&lt;/D&gt;&lt;/FQL&gt;&lt;FQL&gt;&lt;Q&gt;EWU^FG_TOTAL_RETURNC(-10AY,0,AM)&lt;/Q&gt;&lt;R&gt;121&lt;/R&gt;&lt;C&gt;1&lt;/C&gt;&lt;D xsi:type="xsd:double"&gt;-3.4285665&lt;/D&gt;&lt;D xsi:type="xsd:double"&gt;-0.7889509&lt;/D&gt;&lt;D xsi:type="xsd:double"&gt;-10.437375&lt;/D&gt;&lt;D xsi:type="xsd:double"&gt;5.105436&lt;/D&gt;&lt;D xsi:type="xsd:double"&gt;-5.702215&lt;/D&gt;&lt;D xsi:type="xsd:double"&gt;1.5740871&lt;/D&gt;&lt;D xsi:type="xsd:double"&gt;6.295669&lt;/D&gt;&lt;D xsi:type="xsd:double"&gt;-4.3892145&lt;/D&gt;&lt;D xsi:type="xsd:double"&gt;5.2544236&lt;/D&gt;&lt;D xsi:type="xsd:double"&gt;4.256439&lt;/D&gt;&lt;D xsi:type="xsd:double"&gt;-4.082656&lt;/D&gt;&lt;D xsi:type="xsd:double"&gt;0.6988883&lt;/D&gt;&lt;D xsi:type="xsd:double"&gt;-2.3379385&lt;/D&gt;&lt;D xsi:type="xsd:double"&gt;-5.9847593&lt;/D&gt;&lt;D xsi:type="xsd:double"&gt;2.0833254&lt;/D&gt;&lt;D xsi:type="xsd:double"&gt;-3.9115548&lt;/D&gt;&lt;D xsi:type="xsd:double"&gt;-2.7728677&lt;/D&gt;&lt;D xsi:type="xsd:double"&gt;-10.257673&lt;/D&gt;&lt;D xsi:type="xsd:double"&gt;2.4137974&lt;/D&gt;&lt;D xsi:type="xsd:double"&gt;5.252528&lt;/D&gt;&lt;D xsi:type="xsd:double"&gt;2.3032665&lt;/D&gt;&lt;D xsi:type="xsd:double"&gt;-0.87554455&lt;/D&gt;&lt;D xsi:type="xsd:double"&gt;-3.659308&lt;/D&gt;&lt;D xsi:type="xsd:double"&gt;3.8096905&lt;/D&gt;&lt;D xsi:type="xsd:double"&gt;2.456367&lt;/D&gt;&lt;D xsi:type="xsd:double"&gt;-2.208203&lt;/D&gt;&lt;D xsi:type="xsd:double"&gt;-2.5806427&lt;/D&gt;&lt;D xsi:type="xsd:double"&gt;-1.2913942&lt;/D&gt;&lt;D xsi:type="xsd:double"&gt;4.1261315&lt;/D&gt;&lt;D xsi:type="xsd:double"&gt;2.3319602&lt;/D&gt;&lt;D xsi:type="xsd:double"&gt;2.2662044&lt;/D&gt;&lt;D xsi:type="xsd:double"&gt;1.498127&lt;/D&gt;&lt;D xsi:type="xsd:double"&gt;-0.30751228&lt;/D&gt;&lt;D xsi:type="xsd:double"&gt;6.693411&lt;/D&gt;&lt;D xsi:type="xsd:double"&gt;-1.0407627&lt;/D&gt;&lt;D xsi:type="xsd:double"&gt;1.2573481&lt;/D&gt;&lt;D xsi:type="xsd:double"&gt;-0.6489694&lt;/D&gt;&lt;D xsi:type="xsd:double"&gt;2.523744&lt;/D&gt;&lt;D xsi:type="xsd:double"&gt;2.0272255&lt;/D&gt;&lt;D xsi:type="xsd:double"&gt;-2.3275614&lt;/D&gt;&lt;D xsi:type="xsd:double"&gt;2.6445746&lt;/D&gt;&lt;D xsi:type="xsd:double"&gt;6.909001&lt;/D&gt;&lt;D xsi:type="xsd:double"&gt;-3.885597&lt;/D&gt;&lt;D xsi:type="xsd:double"&gt;-2.1336257&lt;/D&gt;&lt;D xsi:type="xsd:double"&gt;3.8152575&lt;/D&gt;&lt;D xsi:type="xsd:double"&gt;1.9066095&lt;/D&gt;&lt;D xsi:type="xsd:double"&gt;-2.4945796&lt;/D&gt;&lt;D xsi:type="xsd:double"&gt;-0.83853006&lt;/D&gt;&lt;D xsi:type="xsd:double"&gt;-4.220504&lt;/D&gt;&lt;D xsi:type="xsd:double"&gt;-0.23981333&lt;/D&gt;&lt;D xsi:type="xsd:double"&gt;-1.8629789&lt;/D&gt;&lt;D xsi:type="xsd:double"&gt;-2.9087603&lt;/D&gt;&lt;D xsi:type="xsd:double"&gt;-4.9826565&lt;/D&gt;&lt;D xsi:type="xsd:double"&gt;3.203547&lt;/D&gt;&lt;D xsi:type="xsd:double"&gt;5.8823586&lt;/D&gt;&lt;D xsi:type="xsd:double"&gt;3.7243843&lt;/D&gt;&lt;D xsi:type="xsd:double"&gt;1.3465047&lt;/D&gt;&lt;D xsi:type="xsd:double"&gt;-2.863884&lt;/D&gt;&lt;D xsi:type="xsd:double"&gt;-1.2766004&lt;/D&gt;&lt;D xsi:type="xsd:double"&gt;1.2399793&lt;/D&gt;&lt;D xsi:type="xsd:double"&gt;-7.0492864&lt;/D&gt;&lt;D xsi:type="xsd:double"&gt;5.469799&lt;/D&gt;&lt;D xsi:type="xsd:double"&gt;1.1453986&lt;/D&gt;&lt;D xsi:type="xsd:double"&gt;2.6737928&lt;/D&gt;&lt;D xsi:type="xsd:double"&gt;6.6138864&lt;/D&gt;&lt;D xsi:type="xsd:double"&gt;-0.70176125&lt;/D&gt;&lt;D xsi:type="xsd:double"&gt;-3.062427&lt;/D&gt;&lt;D xsi:type="xsd:double"&gt;-35.783714&lt;/D&gt;&lt;D xsi:type="xsd:double"&gt;13.670778&lt;/D&gt;&lt;D xsi:type="xsd:double"&gt;0.58259964&lt;/D&gt;&lt;D xsi:type="xsd:double"&gt;10.797977&lt;/D&gt;&lt;D xsi:type="xsd:double"&gt;0.22745132&lt;/D&gt;&lt;D xsi:type="xsd:double"&gt;1.3993859&lt;/D&gt;&lt;D xsi:type="xsd:double"&gt;-1.0443807&lt;/D&gt;&lt;D xsi:type="xsd:double"&gt;-3.2416165&lt;/D&gt;&lt;D xsi:type="xsd:double"&gt;11.842608&lt;/D&gt;&lt;D xsi:type="xsd:double"&gt;4.422152&lt;/D&gt;&lt;D xsi:type="xsd:double"&gt;3.0701756&lt;/D&gt;&lt;D xsi:type="xsd:double"&gt;2.454996&lt;/D&gt;&lt;D xsi:type="xsd:double"&gt;1.5655041&lt;/D&gt;&lt;D xsi:type="xsd:double"&gt;3.2085538&lt;/D&gt;&lt;D xsi:type="xsd:double"&gt;3.1392813&lt;/D&gt;&lt;D xsi:type="xsd:double"&gt;0.99852085&lt;/D&gt;&lt;D xsi:type="xsd:double"&gt;-3.8678944&lt;/D&gt;&lt;D xsi:type="xsd:double"&gt;3.4973621&lt;/D&gt;&lt;D xsi:type="xsd:double"&gt;-1.614821&lt;/D&gt;&lt;D xsi:type="xsd:double"&gt;2.5835872&lt;/D&gt;&lt;D xsi:type="xsd:double"&gt;-1.0370314&lt;/D&gt;&lt;D xsi:type="xsd:double"&gt;-1.0618687&lt;/D&gt;&lt;D xsi:type="xsd:double"&gt;7.5248837&lt;/D&gt;&lt;D xsi:type="xsd:double"&gt;0.23133755&lt;/D&gt;&lt;D xsi:type="xsd:double"&gt;-5.3952637&lt;/D&gt;&lt;D xsi:type="xsd:double"&gt;3.9951086&lt;/D&gt;&lt;D xsi:type="xsd:double"&gt;-6.4516125&lt;/D&gt;&lt;D xsi:type="xsd:double"&gt;-5.410683&lt;/D&gt;&lt;D xsi:type="xsd:double"&gt;-1.9912183&lt;/D&gt;&lt;D xsi:type="xsd:double"&gt;7.4035764&lt;/D&gt;&lt;D xsi:type="xsd:double"&gt;-9.041357&lt;/D&gt;&lt;D xsi:type="xsd:double"&gt;-7.4021873&lt;/D&gt;&lt;D xsi:type="xsd:double"&gt;14.465165&lt;/D&gt;&lt;D xsi:type="xsd:double"&gt;2.6438951&lt;/D&gt;&lt;D xsi:type="xsd:double"&gt;7.267344&lt;/D&gt;&lt;D xsi:type="xsd:double"&gt;0.09198189&lt;/D&gt;&lt;D xsi:type="xsd:double"&gt;-5.3598824&lt;/D&gt;&lt;D xsi:type="xsd:double"&gt;8.640778&lt;/D&gt;&lt;D xsi:type="xsd:double"&gt;-1.221329&lt;/D&gt;&lt;D xsi:type="xsd:double"&gt;1.3584375&lt;/D&gt;&lt;D xsi:type="xsd:double"&gt;-0.7279396&lt;/D&gt;&lt;D xsi:type="xsd:double"&gt;-3.208065&lt;/D&gt;&lt;D xsi:type="xsd:double"&gt;2.5568247&lt;/D&gt;&lt;D xsi:type="xsd:double"&gt;-1.5081644&lt;/D&gt;&lt;D xsi:type="xsd:double"&gt;-1.1874974&lt;/D&gt;&lt;D xsi:type="xsd:double"&gt;3.9531827&lt;/D&gt;&lt;D xsi:type="xsd:double"&gt;-0.24995208&lt;/D&gt;&lt;D xsi:type="xsd:double"&gt;1.9656777&lt;/D&gt;&lt;D xsi:type="xsd:double"&gt;2.2643805&lt;/D&gt;&lt;D xsi:type="xsd:double"&gt;-0.6283641&lt;/D&gt;&lt;D xsi:type="xsd:double"&gt;10.388433&lt;/D&gt;&lt;D xsi:type="xsd:double"&gt;-2.9087305&lt;/D&gt;&lt;D xsi:type="xsd:double"&gt;2.6067019&lt;/D&gt;&lt;D xsi:type="xsd:double"&gt;1.8704653&lt;/D&gt;&lt;/FQL&gt;&lt;FQL&gt;&lt;Q&gt;EWJ^FMA_DIV_YLD(NTMA,-10AY,0,AM,"PORTAGG","MEANR")&lt;/Q&gt;&lt;R&gt;121&lt;/R&gt;&lt;C&gt;1&lt;/C&gt;&lt;D xsi:type="xsd:double"&gt;2.08472050245872&lt;/D&gt;&lt;D xsi:type="xsd:double"&gt;2.03810539817316&lt;/D&gt;&lt;D xsi:type="xsd:double"&gt;2.25364026841445&lt;/D&gt;&lt;D xsi:type="xsd:double"&gt;1.93525354744567&lt;/D&gt;&lt;D xsi:type="xsd:double"&gt;2.0548971028202&lt;/D&gt;&lt;D xsi:type="xsd:double"&gt;2.06373440990518&lt;/D&gt;&lt;D xsi:type="xsd:double"&gt;1.9646430271835&lt;/D&gt;&lt;D xsi:type="xsd:double"&gt;1.85238298410041&lt;/D&gt;&lt;D xsi:type="xsd:double"&gt;1.83564307408549&lt;/D&gt;&lt;D xsi:type="xsd:double"&gt;1.87935906282022&lt;/D&gt;&lt;D xsi:type="xsd:double"&gt;1.89844967284452&lt;/D&gt;&lt;D xsi:type="xsd:double"&gt;1.89502789097198&lt;/D&gt;&lt;D xsi:type="xsd:double"&gt;1.90734367392337&lt;/D&gt;&lt;D xsi:type="xsd:double"&gt;2.1636442382755&lt;/D&gt;&lt;D xsi:type="xsd:double"&gt;2.1166005519027&lt;/D&gt;&lt;D xsi:type="xsd:double"&gt;2.04197628402817&lt;/D&gt;&lt;D xsi:type="xsd:double"&gt;2.09195779785264&lt;/D&gt;&lt;D xsi:type="xsd:double"&gt;2.32247062199098&lt;/D&gt;&lt;D xsi:type="xsd:double"&gt;2.50372802776583&lt;/D&gt;&lt;D xsi:type="xsd:double"&gt;2.37247582140479&lt;/D&gt;&lt;D xsi:type="xsd:double"&gt;2.36099736972325&lt;/D&gt;&lt;D xsi:type="xsd:double"&gt;2.42303196178769&lt;/D&gt;&lt;D xsi:type="xsd:double"&gt;2.53916094498716&lt;/D&gt;&lt;D xsi:type="xsd:double"&gt;2.38563066876829&lt;/D&gt;&lt;D xsi:type="xsd:double"&gt;2.42755694331015&lt;/D&gt;&lt;D xsi:type="xsd:double"&gt;2.41694927701799&lt;/D&gt;&lt;D xsi:type="xsd:double"&gt;2.37037703564221&lt;/D&gt;&lt;D xsi:type="xsd:double"&gt;2.25807918311966&lt;/D&gt;&lt;D xsi:type="xsd:double"&gt;2.07486561142846&lt;/D&gt;&lt;D xsi:type="xsd:double"&gt;2.0992942701875&lt;/D&gt;&lt;D xsi:type="xsd:double"&gt;2.12720169379429&lt;/D&gt;&lt;D xsi:type="xsd:double"&gt;2.12329272310898&lt;/D&gt;&lt;D xsi:type="xsd:double"&gt;2.29404287345227&lt;/D&gt;&lt;D xsi:type="xsd:double"&gt;2.15717539938552&lt;/D&gt;&lt;D xsi:type="xsd:double"&gt;2.18180930940393&lt;/D&gt;&lt;D xsi:type="xsd:double"&gt;2.15701708964624&lt;/D&gt;&lt;D xsi:type="xsd:double"&gt;2.19079643838593&lt;/D&gt;&lt;D xsi:type="xsd:double"&gt;2.19615754400665&lt;/D&gt;&lt;D xsi:type="xsd:double"&gt;2.111920140348&lt;/D&gt;&lt;D xsi:type="xsd:double"&gt;2.08887140959779&lt;/D&gt;&lt;D xsi:type="xsd:double"&gt;2.08153751100606&lt;/D&gt;&lt;D xsi:type="xsd:double"&gt;1.97701724689361&lt;/D&gt;&lt;D xsi:type="xsd:double"&gt;2.19871468312943&lt;/D&gt;&lt;D xsi:type="xsd:double"&gt;2.23127629619239&lt;/D&gt;&lt;D xsi:type="xsd:double"&gt;2.25106623986958&lt;/D&gt;&lt;D xsi:type="xsd:double"&gt;2.19291881350765&lt;/D&gt;&lt;D xsi:type="xsd:double"&gt;2.22636608489503&lt;/D&gt;&lt;D xsi:type="xsd:double"&gt;2.30047433539202&lt;/D&gt;&lt;D xsi:type="xsd:double"&gt;2.36878223264339&lt;/D&gt;&lt;D xsi:type="xsd:double"&gt;2.32342756235546&lt;/D&gt;&lt;D xsi:type="xsd:double"&gt;2.38892152831038&lt;/D&gt;&lt;D xsi:type="xsd:double"&gt;2.50288888893973&lt;/D&gt;&lt;D xsi:type="xsd:double"&gt;2.5662940847468&lt;/D&gt;&lt;D xsi:type="xsd:double"&gt;2.67882929492499&lt;/D&gt;&lt;D xsi:type="xsd:double"&gt;2.61644662750196&lt;/D&gt;&lt;D xsi:type="xsd:double"&gt;2.57260235034742&lt;/D&gt;&lt;D xsi:type="xsd:double"&gt;2.55287365062673&lt;/D&gt;&lt;D xsi:type="xsd:double"&gt;2.69400441175876&lt;/D&gt;&lt;D xsi:type="xsd:double"&gt;2.69534784741395&lt;/D&gt;&lt;D xsi:type="xsd:double"&gt;2.66134097959375&lt;/D&gt;&lt;D xsi:type="xsd:double"&gt;2.80384154090776&lt;/D&gt;&lt;D xsi:type="xsd:double"&gt;2.57922860891759&lt;/D&gt;&lt;D xsi:type="xsd:double"&gt;2.55643323850776&lt;/D&gt;&lt;D xsi:type="xsd:double"&gt;2.47439402196401&lt;/D&gt;&lt;D xsi:type="xsd:double"&gt;2.41860158018697&lt;/D&gt;&lt;D xsi:type="xsd:double"&gt;2.43512755365935&lt;/D&gt;&lt;D xsi:type="xsd:double"&gt;2.46803095707648&lt;/D&gt;&lt;D xsi:type="xsd:double"&gt;3.36678112541231&lt;/D&gt;&lt;D xsi:type="xsd:double"&gt;2.89836991833035&lt;/D&gt;&lt;D xsi:type="xsd:double"&gt;2.81172193767774&lt;/D&gt;&lt;D xsi:type="xsd:double"&gt;2.46400917078507&lt;/D&gt;&lt;D xsi:type="xsd:double"&gt;2.47428634305503&lt;/D&gt;&lt;D xsi:type="xsd:double"&gt;2.38838264574848&lt;/D&gt;&lt;D xsi:type="xsd:double"&gt;2.34658439248738&lt;/D&gt;&lt;D xsi:type="xsd:double"&gt;2.39945095134159&lt;/D&gt;&lt;D xsi:type="xsd:double"&gt;2.24667822318987&lt;/D&gt;&lt;D xsi:type="xsd:double"&gt;2.1634594734087&lt;/D&gt;&lt;D xsi:type="xsd:double"&gt;2.08552416767708&lt;/D&gt;&lt;D xsi:type="xsd:double"&gt;1.99648819425029&lt;/D&gt;&lt;D xsi:type="xsd:double"&gt;2.03136304178314&lt;/D&gt;&lt;D xsi:type="xsd:double"&gt;2.07493649870663&lt;/D&gt;&lt;D xsi:type="xsd:double"&gt;2.20119059594912&lt;/D&gt;&lt;D xsi:type="xsd:double"&gt;2.14463954698166&lt;/D&gt;&lt;D xsi:type="xsd:double"&gt;2.22545573232489&lt;/D&gt;&lt;D xsi:type="xsd:double"&gt;2.26077176112439&lt;/D&gt;&lt;D xsi:type="xsd:double"&gt;2.135568716851&lt;/D&gt;&lt;D xsi:type="xsd:double"&gt;2.2119364312788&lt;/D&gt;&lt;D xsi:type="xsd:double"&gt;2.20744920517557&lt;/D&gt;&lt;D xsi:type="xsd:double"&gt;2.28601162331151&lt;/D&gt;&lt;D xsi:type="xsd:double"&gt;2.34939977453017&lt;/D&gt;&lt;D xsi:type="xsd:double"&gt;2.43903776765898&lt;/D&gt;&lt;D xsi:type="xsd:double"&gt;2.63443065535689&lt;/D&gt;&lt;D xsi:type="xsd:double"&gt;2.57385791219275&lt;/D&gt;&lt;D xsi:type="xsd:double"&gt;2.65885188067541&lt;/D&gt;&lt;D xsi:type="xsd:double"&gt;2.70331174232263&lt;/D&gt;&lt;D xsi:type="xsd:double"&gt;2.67298736021547&lt;/D&gt;&lt;D xsi:type="xsd:double"&gt;2.56327238551182&lt;/D&gt;&lt;D xsi:type="xsd:double"&gt;2.64386894566679&lt;/D&gt;&lt;D xsi:type="xsd:double"&gt;2.7270435105177&lt;/D&gt;&lt;D xsi:type="xsd:double"&gt;2.62044564907084&lt;/D&gt;&lt;D xsi:type="xsd:double"&gt;2.66612793904341&lt;/D&gt;&lt;D xsi:type="xsd:double"&gt;2.72701548345114&lt;/D&gt;&lt;D xsi:type="xsd:double"&gt;2.59649353935075&lt;/D&gt;&lt;D xsi:type="xsd:double"&gt;2.69775046462844&lt;/D&gt;&lt;D x</t>
        </r>
      </text>
    </comment>
    <comment ref="A8" authorId="0" shapeId="0" xr:uid="{1EEE2F50-4266-4DE3-9049-D5C16F049D09}">
      <text>
        <r>
          <rPr>
            <b/>
            <sz val="9"/>
            <color indexed="81"/>
            <rFont val="Tahoma"/>
            <charset val="1"/>
          </rPr>
          <t>si:type="xsd:double"&gt;2.6021321210978&lt;/D&gt;&lt;D xsi:type="xsd:double"&gt;2.49654536515926&lt;/D&gt;&lt;D xsi:type="xsd:double"&gt;2.30829753943586&lt;/D&gt;&lt;D xsi:type="xsd:double"&gt;2.39759666258049&lt;/D&gt;&lt;D xsi:type="xsd:double"&gt;2.41931289932897&lt;/D&gt;&lt;D xsi:type="xsd:double"&gt;2.26944738736447&lt;/D&gt;&lt;D xsi:type="xsd:double"&gt;2.43120760427413&lt;/D&gt;&lt;D xsi:type="xsd:double"&gt;2.36871917351822&lt;/D&gt;&lt;D xsi:type="xsd:double"&gt;2.4537882949312&lt;/D&gt;&lt;D xsi:type="xsd:double"&gt;2.28939636511156&lt;/D&gt;&lt;D xsi:type="xsd:double"&gt;2.22345951264558&lt;/D&gt;&lt;D xsi:type="xsd:double"&gt;2.22092625509284&lt;/D&gt;&lt;D xsi:type="xsd:double"&gt;2.22672086830681&lt;/D&gt;&lt;D xsi:type="xsd:double"&gt;2.22595356073326&lt;/D&gt;&lt;D xsi:type="xsd:double"&gt;2.27113758489481&lt;/D&gt;&lt;D xsi:type="xsd:double"&gt;2.17002723932226&lt;/D&gt;&lt;D xsi:type="xsd:double"&gt;2.48064814279086&lt;/D&gt;&lt;/FQL&gt;&lt;FQL&gt;&lt;Q&gt;EWC^FMA_PE(NTMA,-10AY,0,AM,"PORTAGG","MEANR")&lt;/Q&gt;&lt;R&gt;121&lt;/R&gt;&lt;C&gt;1&lt;/C&gt;&lt;D xsi:type="xsd:double"&gt;15.0069709765165&lt;/D&gt;&lt;D xsi:type="xsd:double"&gt;15.1282805849148&lt;/D&gt;&lt;D xsi:type="xsd:double"&gt;13.6072805306442&lt;/D&gt;&lt;D xsi:type="xsd:double"&gt;14.656949438133&lt;/D&gt;&lt;D xsi:type="xsd:double"&gt;14.6051265672861&lt;/D&gt;&lt;D xsi:type="xsd:double"&gt;15.5026934232119&lt;/D&gt;&lt;D xsi:type="xsd:double"&gt;17.4078061118425&lt;/D&gt;&lt;D xsi:type="xsd:double"&gt;17.0783898152239&lt;/D&gt;&lt;D xsi:type="xsd:double"&gt;17.4686658733095&lt;/D&gt;&lt;D xsi:type="xsd:double"&gt;16.7898733962798&lt;/D&gt;&lt;D xsi:type="xsd:double"&gt;16.1983425706343&lt;/D&gt;&lt;D xsi:type="xsd:double"&gt;15.9542595936229&lt;/D&gt;&lt;D xsi:type="xsd:double"&gt;15.4507964870292&lt;/D&gt;&lt;D xsi:type="xsd:double"&gt;14.9835796962456&lt;/D&gt;&lt;D xsi:type="xsd:double"&gt;15.1105735831615&lt;/D&gt;&lt;D xsi:type="xsd:double"&gt;14.5240489366755&lt;/D&gt;&lt;D xsi:type="xsd:double"&gt;14.461584466809&lt;/D&gt;&lt;D xsi:type="xsd:double"&gt;13.3180754183939&lt;/D&gt;&lt;D xsi:type="xsd:double"&gt;14.4086257452018&lt;/D&gt;&lt;D xsi:type="xsd:double"&gt;16.0418852716928&lt;/D&gt;&lt;D xsi:type="xsd:double"&gt;16.1544415466319&lt;/D&gt;&lt;D xsi:type="xsd:double"&gt;16.6403575309618&lt;/D&gt;&lt;D xsi:type="xsd:double"&gt;16.2619036161053&lt;/D&gt;&lt;D xsi:type="xsd:double"&gt;16.5813164241268&lt;/D&gt;&lt;D xsi:type="xsd:double"&gt;16.4608917707567&lt;/D&gt;&lt;D xsi:type="xsd:double"&gt;15.9464251882732&lt;/D&gt;&lt;D xsi:type="xsd:double"&gt;15.8839604485531&lt;/D&gt;&lt;D xsi:type="xsd:double"&gt;15.8013104744252&lt;/D&gt;&lt;D xsi:type="xsd:double"&gt;15.9218787295197&lt;/D&gt;&lt;D xsi:type="xsd:double"&gt;15.9586827809231&lt;/D&gt;&lt;D xsi:type="xsd:double"&gt;16.4033500802547&lt;/D&gt;&lt;D xsi:type="xsd:double"&gt;15.9229647975688&lt;/D&gt;&lt;D xsi:type="xsd:double"&gt;15.7418719508532&lt;/D&gt;&lt;D xsi:type="xsd:double"&gt;15.6007106037184&lt;/D&gt;&lt;D xsi:type="xsd:double"&gt;15.2326677864307&lt;/D&gt;&lt;D xsi:type="xsd:double"&gt;15.3516295187364&lt;/D&gt;&lt;D xsi:type="xsd:double"&gt;15.4631156246051&lt;/D&gt;&lt;D xsi:type="xsd:double"&gt;15.3112882603128&lt;/D&gt;&lt;D xsi:type="xsd:double"&gt;15.7350955874495&lt;/D&gt;&lt;D xsi:type="xsd:double"&gt;15.8057062912578&lt;/D&gt;&lt;D xsi:type="xsd:double"&gt;15.8884776449158&lt;/D&gt;&lt;D xsi:type="xsd:double"&gt;15.7777979323294&lt;/D&gt;&lt;D xsi:type="xsd:double"&gt;14.5794402462917&lt;/D&gt;&lt;D xsi:type="xsd:double"&gt;14.5510696313716&lt;/D&gt;&lt;D xsi:type="xsd:double"&gt;13.962293981748&lt;/D&gt;&lt;D xsi:type="xsd:double"&gt;14.4103884215568&lt;/D&gt;&lt;D xsi:type="xsd:double"&gt;14.3946798751586&lt;/D&gt;&lt;D xsi:type="xsd:double"&gt;14.3350823382073&lt;/D&gt;&lt;D xsi:type="xsd:double"&gt;13.9181409043132&lt;/D&gt;&lt;D xsi:type="xsd:double"&gt;13.5207625926032&lt;/D&gt;&lt;D xsi:type="xsd:double"&gt;12.9622899822488&lt;/D&gt;&lt;D xsi:type="xsd:double"&gt;12.6451568470615&lt;/D&gt;&lt;D xsi:type="xsd:double"&gt;12.3527384252626&lt;/D&gt;&lt;D xsi:type="xsd:double"&gt;13.1107269864487&lt;/D&gt;&lt;D xsi:type="xsd:double"&gt;13.9455945451503&lt;/D&gt;&lt;D xsi:type="xsd:double"&gt;14.1989655847854&lt;/D&gt;&lt;D xsi:type="xsd:double"&gt;13.992830927178&lt;/D&gt;&lt;D xsi:type="xsd:double"&gt;13.7046896958274&lt;/D&gt;&lt;D xsi:type="xsd:double"&gt;13.5589115892928&lt;/D&gt;&lt;D xsi:type="xsd:double"&gt;13.7190613247863&lt;/D&gt;&lt;D xsi:type="xsd:double"&gt;13.4515578282522&lt;/D&gt;&lt;D xsi:type="xsd:double"&gt;14.0088965318155&lt;/D&gt;&lt;D xsi:type="xsd:double"&gt;13.7909344085594&lt;/D&gt;&lt;D xsi:type="xsd:double"&gt;14.4029825305237&lt;/D&gt;&lt;D xsi:type="xsd:double"&gt;14.4114602522758&lt;/D&gt;&lt;D xsi:type="xsd:double"&gt;14.6523141053518&lt;/D&gt;&lt;D xsi:type="xsd:double"&gt;15.0411560507486&lt;/D&gt;&lt;D xsi:type="xsd:double"&gt;11.3276799767465&lt;/D&gt;&lt;D xsi:type="xsd:double"&gt;14.7702009941625&lt;/D&gt;&lt;D xsi:type="xsd:double"&gt;17.56165997081&lt;/D&gt;&lt;D xsi:type="xsd:double"&gt;17.9633966548489&lt;/D&gt;&lt;D xsi:type="xsd:double"&gt;17.7289129735253&lt;/D&gt;&lt;D xsi:type="xsd:double"&gt;17.4583187008753&lt;/D&gt;&lt;D xsi:type="xsd:double"&gt;16.6543052227066&lt;/D&gt;&lt;D xsi:type="xsd:double"&gt;16.2389279324023&lt;/D&gt;&lt;D xsi:type="xsd:double"&gt;16.1839757138808&lt;/D&gt;&lt;D xsi:type="xsd:double"&gt;16.0904381194949&lt;/D&gt;&lt;D xsi:type="xsd:double"&gt;16.0474308198033&lt;/D&gt;&lt;D xsi:type="xsd:double"&gt;16.280021578231&lt;/D&gt;&lt;D xsi:type="xsd:double"&gt;15.5176275364112&lt;/D&gt;&lt;D xsi:type="xsd:double"&gt;15.6863838917343&lt;/D&gt;&lt;D xsi:type="xsd:double"&gt;15.3628896749062&lt;/D&gt;&lt;D xsi:type="xsd:double"&gt;15.6387316141186&lt;/D&gt;&lt;D xsi:type="xsd:double"&gt;15.0705135829639&lt;/D&gt;&lt;D xsi:type="xsd:double"&gt;15.0218304177273&lt;/D&gt;&lt;D xsi:type="xsd:double"&gt;14.8226935000492&lt;/D&gt;&lt;D xsi:type="xsd:double"&gt;14.9140781793645&lt;/D&gt;&lt;D xsi:type="xsd:double"&gt;15.018088002959&lt;/D&gt;&lt;D xsi:type="xsd:double"&gt;14.1641896677858&lt;/D&gt;&lt;D xsi:type="xsd:double"&gt;14.3824611150688&lt;/D&gt;&lt;D xsi:type="xsd:double"&gt;14.2217470241316&lt;/D&gt;&lt;D xsi:type="xsd:double"&gt;13.537295832725&lt;/D&gt;&lt;D xsi:type="xsd:double"&gt;13.3947497629698&lt;/D&gt;&lt;D xsi:type="xsd:double"&gt;12.1542584068482&lt;/D&gt;&lt;D xsi:type="xsd:double"&gt;11.2938381039887&lt;/D&gt;&lt;D xsi:type="xsd:double"&gt;10.7848991882848&lt;/D&gt;&lt;D xsi:type="xsd:double"&gt;11.9356130328003&lt;/D&gt;&lt;D xsi:type="xsd:double"&gt;11.3291722882641&lt;/D&gt;&lt;D xsi:type="xsd:double"&gt;10.7471379957532&lt;/D&gt;&lt;D xsi:type="xsd:double"&gt;11.8934984177589&lt;/D&gt;&lt;D xsi:type="xsd:double"&gt;11.8545123178523&lt;/D&gt;&lt;D xsi:type="xsd:double"&gt;12.6686151277673&lt;/D&gt;&lt;D xsi:type="xsd:double"&gt;12.9749254068925&lt;/D&gt;&lt;D xsi:type="xsd:double"&gt;12.3030903869762&lt;/D&gt;&lt;D xsi:type="xsd:double"&gt;13.0293430270815&lt;/D&gt;&lt;D xsi:type="xsd:double"&gt;12.9750013414776&lt;/D&gt;&lt;D xsi:type="xsd:double"&gt;12.9159711125496&lt;/D&gt;&lt;D xsi:type="xsd:double"&gt;13.274743642262&lt;/D&gt;&lt;D xsi:type="xsd:double"&gt;12.888003978983&lt;/D&gt;&lt;D xsi:type="xsd:double"&gt;13.3199861926355&lt;/D&gt;&lt;D xsi:type="xsd:double"&gt;12.5751974450659&lt;/D&gt;&lt;D xsi:type="xsd:double"&gt;12.7436363091509&lt;/D&gt;&lt;D xsi:type="xsd:double"&gt;13.3426259945547&lt;/D&gt;&lt;D xsi:type="xsd:double"&gt;13.6493599504642&lt;/D&gt;&lt;D xsi:type="xsd:double"&gt;14.0699790647334&lt;/D&gt;&lt;D xsi:type="xsd:double"&gt;14.4974797305341&lt;/D&gt;&lt;D xsi:type="xsd:double"&gt;14.1370685340704&lt;/D&gt;&lt;D xsi:type="xsd:double"&gt;14.4290360369263&lt;/D&gt;&lt;D xsi:type="xsd:double"&gt;13.8491044853556&lt;/D&gt;&lt;D xsi:type="xsd:double"&gt;14.5418565232845&lt;/D&gt;&lt;D xsi:type="xsd:double"&gt;14.2279723835365&lt;/D&gt;&lt;/FQL&gt;&lt;FQL&gt;&lt;Q&gt;ENZL^FMA_PE(LTMA,-10AY,0,AM,"PORTAGG","MEANR")&lt;/Q&gt;&lt;R&gt;121&lt;/R&gt;&lt;C&gt;1&lt;/C&gt;&lt;D xsi:type="xsd:double"&gt;17.91548203036&lt;/D&gt;&lt;D xsi:type="xsd:double"&gt;17.8304311762013&lt;/D&gt;&lt;D xsi:type="xsd:double"&gt;17.6117183089885&lt;/D&gt;&lt;D xsi:type="xsd:double"&gt;18.7856298745461&lt;/D&gt;&lt;D xsi:type="xsd:double"&gt;18.9054410639603&lt;/D&gt;&lt;D xsi:type="xsd:double"&gt;19.4178331283541&lt;/D&gt;&lt;D xsi:type="xsd:double"&gt;20.0170029440265&lt;/D&gt;&lt;D xsi:type="xsd:double"&gt;20.4401721213805&lt;/D&gt;&lt;D xsi:type="xsd:double"&gt;20.2179773278489&lt;/D&gt;&lt;D xsi:type="xsd:double"&gt;19.999759491272&lt;/D&gt;&lt;D xsi:type="xsd:double"&gt;19.8706164581546&lt;/D&gt;&lt;D xsi:type="xsd:double"&gt;19.7448222219989&lt;/D&gt;&lt;D xsi:type="xsd:double"&gt;19.3545693602136&lt;/D&gt;&lt;D xsi:type="xsd:double"&gt;19.0836826713283&lt;/D&gt;&lt;D xsi:type="xsd:double"&gt;19.1368195551428&lt;/D&gt;&lt;D xsi:type="xsd:double"&gt;19.2940373651046&lt;/D&gt;&lt;D xsi:type="xsd:double"&gt;19.4313382297645&lt;/D&gt;&lt;D xsi:type="xsd:double"&gt;19.2866706508681&lt;/D&gt;&lt;D xsi:type="xsd:double"&gt;18.9530711917171&lt;/D&gt;&lt;D xsi:type="xsd:double"&gt;19.3463485165128&lt;/D&gt;&lt;D xsi:type="xsd:double"&gt;19.4643361268665&lt;/D&gt;&lt;D xsi:type="xsd:double"&gt;19.6196656273642&lt;/D&gt;&lt;D xsi:type="xsd:double"&gt;19.6497739572031&lt;/D&gt;&lt;D xsi:type="xsd:double"&gt;19.9812940631355&lt;/D&gt;&lt;D xsi:type="xsd:double"&gt;20.6318113397266&lt;/D&gt;&lt;D xsi:type="xsd:double"&gt;20.7799639113457&lt;/D&gt;&lt;D xsi:type="xsd:double"&gt;20.4744921967783&lt;/D&gt;&lt;D xsi:type="xsd:double"&gt;19.8902595471675&lt;/D&gt;&lt;D xsi:type="xsd:double"&gt;19.550714252456&lt;/D&gt;&lt;D xsi:type="xsd:double"&gt;20.4151542588447&lt;/D&gt;&lt;D xsi:type="xsd:double"&gt;20.3913321827854&lt;/D&gt;&lt;D xsi:type="xsd:double"&gt;19.7418914420614&lt;/D&gt;&lt;D xsi:type="xsd:double"&gt;19.8158037117437&lt;/D&gt;&lt;D xsi:type="xsd:double"&gt;19.9576753938458&lt;/D&gt;&lt;D xsi:type="xsd:double"&gt;20.0777917390615&lt;/D&gt;&lt;D xsi:type="xsd:double"&gt;20.1520044961196&lt;/D&gt;&lt;D xsi:type="xsd:double"&gt;20.7400256415189&lt;/D&gt;&lt;D xsi:type="xsd:double"&gt;20.4498936561367&lt;/D&gt;&lt;D xsi:type="xsd:double"&gt;20.9136331103096&lt;/D&gt;&lt;D xsi:type="xsd:double"&gt;21.2605596891954&lt;/D&gt;&lt;D xsi:type="xsd:double"&gt;22.1789336898757&lt;/D&gt;&lt;D xsi:type="xsd:double"&gt;21.8922663058031&lt;/D&gt;&lt;D xsi:type="xsd:double"&gt;21.8745133611313&lt;/D&gt;&lt;D xsi:type="xsd:double"&gt;22.5700914670495&lt;/D&gt;&lt;D xsi:type="xsd:double"&gt;22.3801054851944&lt;/D&gt;&lt;D xsi:type="xsd:double"&gt;22.348676975373&lt;/D&gt;&lt;D xsi:type="xsd:double"&gt;22.8371320171852&lt;/D&gt;&lt;D xsi:type="xsd:double"&gt;22.8657689892955&lt;/D&gt;&lt;D xsi:type="xsd:double"&gt;23.0768315069072&lt;/D&gt;&lt;D xsi:type="xsd:double"&gt;23.5735467937231&lt;/D&gt;&lt;D xsi:type="xsd:double"&gt;22.6439119824149&lt;/D&gt;&lt;D xsi:type="xsd:double"&gt;22.7207778810362&lt;/D&gt;&lt;D xsi:type="xsd:double"&gt;22.6113893100361&lt;/D&gt;&lt;D xsi:type="xsd:double"&gt;23.4292410067849&lt;/D&gt;&lt;D xsi:type="xsd:double"&gt;23.8210197523605&lt;/D&gt;&lt;D xsi:type="xsd:double"&gt;24.0857067825863&lt;/D&gt;&lt;D xsi:type="xsd:double"&gt;24.1631415386968&lt;/D&gt;&lt;D xsi:type="xsd:double"&gt;24.3075889354101&lt;/D&gt;&lt;D xsi:type="xsd:double"&gt;24.3369438491701&lt;/D&gt;&lt;D xsi:type="xsd:double"&gt;24.9795907399806&lt;/D&gt;&lt;D xsi:type="xsd:double"&gt;25.0322735008327&lt;/D&gt;&lt;D xsi:type="xsd:double"&gt;28.5434213319157&lt;/D&gt;&lt;D xsi:type="xsd:double"&gt;29.3602560678301&lt;/D&gt;&lt;D xsi:type="xsd:double"&gt;29.1945792851556&lt;/D&gt;&lt;D xsi:type="xsd:double"&gt;31.3754498842708&lt;/D&gt;&lt;D xsi:type="xsd:double"&gt;32.851029643069&lt;/D&gt;&lt;D xsi:type="xsd:double"&gt;33.3238883850852&lt;/D&gt;&lt;D xsi:type="xsd:double"&gt;30.0070223976769&lt;/D&gt;&lt;D xsi:type="xsd:double"&gt;31.2612512759058&lt;/D&gt;&lt;D xsi:type="xsd:double"&gt;32.1124216166842&lt;/D&gt;&lt;D xsi:type="xsd:double"&gt;32.0303853011634&lt;/D&gt;&lt;D xsi:type="xsd:double"&gt;33.3831924272841&lt;/D&gt;&lt;D xsi:type="xsd:double"&gt;33.6441676556668&lt;/D&gt;&lt;D xsi:type="xsd:double"&gt;33.8890080409723&lt;/D&gt;&lt;D xsi:type="xsd:double"&gt;35.1876283192318&lt;/D&gt;&lt;D xsi:type="xsd:double"&gt;36.2285623573479&lt;/D&gt;&lt;D xsi:type="xsd:double"&gt;36.815436223545&lt;/D&gt;&lt;D xsi:type="xsd:double"&gt;37.4582800177366&lt;/D&gt;&lt;D xsi:type="xsd:double"&gt;35.1950406416023&lt;/D&gt;&lt;D xsi:type="xsd:double"&gt;34.6136155546584&lt;/D&gt;&lt;D xsi:type="xsd:double"&gt;34.5250602156161&lt;/D&gt;&lt;D xsi:type="xsd:double"&gt;34.6809179173974&lt;/D&gt;&lt;D xsi:type="xsd:double"&gt;35.4639113225918&lt;/D&gt;&lt;D xsi:type="xsd:double"&gt;36.4841007473112&lt;/D&gt;&lt;D xsi:type="xsd:double"&gt;36.974511544842&lt;/D&gt;&lt;D xsi:type="xsd:double"&gt;38.3673932308386&lt;/D&gt;&lt;D xsi:type="xsd:double"&gt;38.6004902660686&lt;/D&gt;&lt;D xsi:type="xsd:double"&gt;38.8397366037762&lt;/D&gt;&lt;D xsi:type="xsd:double"&gt;38.4743259117981&lt;/D&gt;&lt;D xsi:type="xsd:double"&gt;38.1292729645446&lt;/D&gt;&lt;D xsi:type="xsd:double"&gt;36.7425363420312&lt;/D&gt;&lt;D xsi:type="xsd:double"&gt;35.0119866783465&lt;/D&gt;&lt;D xsi:type="xsd:double"&gt;34.4962054461311&lt;/D&gt;&lt;D xsi:type="xsd:double"&gt;33.9432499279319&lt;/D&gt;&lt;D xsi:type="xsd:double"&gt;32.7225628643892&lt;/D&gt;&lt;D xsi:type="xsd:double"&gt;33.0101111533586&lt;/D&gt;&lt;D xsi:type="xsd:double"&gt;33.8539270454026&lt;/D&gt;&lt;D xsi:type="xsd:double"&gt;33.7357829928235&lt;/D&gt;&lt;D xsi:type="xsd:double"&gt;31.0581131250816&lt;/D&gt;&lt;D xsi:type="xsd:double"&gt;30.0816065111966&lt;/D&gt;&lt;D xsi:type="xsd:double"&gt;29.5795507733525&lt;/D&gt;&lt;D xsi:type="xsd:double"&gt;29.6400465486256&lt;/D&gt;&lt;D xsi:type="xsd:double"&gt;30.1342594367489&lt;/D&gt;&lt;D xsi:type="xsd:double"&gt;29.0720705814353&lt;/D&gt;&lt;D xsi:type="xsd:double"&gt;28.6640480628038&lt;/D&gt;&lt;D xsi:type="xsd:double"&gt;28.2141886879001&lt;/D&gt;&lt;D xsi:type="xsd:double"&gt;26.3616757506225&lt;/D&gt;&lt;D xsi:type="xsd:double"&gt;25.8381185940531&lt;/D&gt;&lt;D xsi:type="xsd:double"&gt;24.640687181444&lt;/D&gt;&lt;D xsi:type="xsd:double"&gt;23.9950206249763&lt;/D&gt;&lt;D xsi:type="xsd:double"&gt;23.1855395458675&lt;/D&gt;&lt;D xsi:type="xsd:double"&gt;22.3794858932353&lt;/D&gt;&lt;D xsi:type="xsd:double"&gt;23.8792270297255&lt;/D&gt;&lt;D xsi:type="xsd:double"&gt;23.8209711999392&lt;/D&gt;&lt;D xsi:type="xsd:double"&gt;23.0635498826774&lt;/D&gt;&lt;D xsi:type="xsd:double"&gt;23.8400640936247&lt;/D&gt;&lt;D xsi:type="xsd:double"&gt;24.0811938743162&lt;/D&gt;&lt;D xsi:type="xsd:double"&gt;24.6693273006691&lt;/D&gt;&lt;D xsi:type="xsd:double"&gt;24.3652872294488&lt;/D&gt;&lt;D xsi:type="xsd:double"&gt;24.9957765804756&lt;/D&gt;&lt;D xsi:type="xsd:double"&gt;25.7084802698373&lt;/D&gt;&lt;/FQL&gt;&lt;FQL&gt;&lt;Q&gt;WL-FDS^FG_PRICE_MAVG(0,,,,30)&lt;/Q&gt;&lt;R&gt;1&lt;/R&gt;&lt;C&gt;1&lt;/C&gt;&lt;D xsi:type="xsd:double"&gt;534.3333&lt;/D&gt;&lt;/FQL&gt;&lt;FQL&gt;&lt;Q&gt;NI-FDS^FG_PRICE_MAVG(0,,,,30)&lt;/Q&gt;&lt;R&gt;1&lt;/R&gt;&lt;C&gt;1&lt;/C&gt;&lt;D xsi:type="xsd:double"&gt;16114.5&lt;/D&gt;&lt;/FQL&gt;&lt;FQL&gt;&lt;Q&gt;CPALM-FDS^FG_PRICE_MAVG(0,,,,30)&lt;/Q&gt;&lt;R&gt;1&lt;/R&gt;&lt;C&gt;1&lt;/C&gt;&lt;D xsi:type="xsd:double"&gt;3957.1333&lt;/D&gt;&lt;/FQL&gt;&lt;FQL&gt;&lt;Q&gt;BRENT-FDS^FG_PRICE_MAVG(0,,,,30)&lt;/Q&gt;&lt;R&gt;1&lt;/R&gt;&lt;C&gt;1&lt;/C&gt;&lt;D xsi:type="xsd:double"&gt;85.86&lt;/D&gt;&lt;/FQL&gt;&lt;FQL&gt;&lt;Q&gt;TIOS-FDS^FG_PRICE_MAVG(0,,,,30)&lt;/Q&gt;&lt;R&gt;1&lt;/R&gt;&lt;C&gt;1&lt;/C&gt;&lt;D xsi:type="xsd:double"&gt;105.49367&lt;/D&gt;&lt;/FQL&gt;&lt;FQL&gt;&lt;Q&gt;EWN^FG_PRICE_MAVG(0,,,,30)&lt;/Q&gt;&lt;R&gt;1&lt;/R&gt;&lt;C&gt;1&lt;/C&gt;&lt;D xsi:type="xsd:double"&gt;49.357334&lt;/D&gt;&lt;/FQL&gt;&lt;FQL&gt;&lt;Q&gt;EWU^FG_PRICE_MAVG(0,,,,30)&lt;/Q&gt;&lt;R&gt;1&lt;/R&gt;&lt;C&gt;1&lt;/C&gt;&lt;D xsi:type="xsd:double"&gt;35.622&lt;/D&gt;&lt;/FQL&gt;&lt;FQL&gt;&lt;Q&gt;QQQ^FG_COMPANY_NAME&lt;/Q&gt;&lt;R&gt;1&lt;/R&gt;&lt;C&gt;1&lt;/C&gt;&lt;D xsi:type="xsd:string"&gt;Invesco QQQ Trust Series I&lt;/D&gt;&lt;/FQL&gt;&lt;FQL&gt;&lt;Q&gt;VWO^FG_TOTAL_RETURNC(0,-3AM)&lt;/Q&gt;&lt;R&gt;1&lt;/R&gt;&lt;C&gt;1&lt;/C&gt;&lt;D xsi:type="xsd:double"&gt;0.7480979&lt;/D&gt;&lt;/FQL&gt;&lt;FQL&gt;&lt;Q&gt;EWJ^FMA_ROE(NTMA,-20AY,NOW,FY,"PORTAGG","MEANR")&lt;/Q&gt;&lt;R&gt;20&lt;/R&gt;&lt;C&gt;1&lt;/C&gt;&lt;D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xsi:type="xsd:double"&gt;8.35596279152373&lt;/D&gt;&lt;D xsi:type="xsd:double"&gt;7.43859929800855&lt;/D&gt;&lt;D xsi:type="xsd:double"&gt;9.22076567390078&lt;/D&gt;&lt;D xsi:type="xsd:double"&gt;9.22544557136732&lt;/D&gt;&lt;D xsi:type="xsd:double"&gt;9.29976871138421&lt;/D&gt;&lt;/FQL&gt;&lt;FQL&gt;&lt;Q&gt;TRYQA10Y-FDS^FG_YIELD(-10AY,0,Y,,"YTM")&lt;/Q&gt;&lt;R&gt;10&lt;/R&gt;&lt;C&gt;1&lt;/C&gt;&lt;D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xsi:type="xsd:double"&gt;0.703&lt;/D&gt;&lt;/FQL&gt;&lt;FQL&gt;&lt;Q&gt;EWG^FMA_DIV_YLD(NTMA,-10AY,0,AM,"PORTAGG","MEANR")&lt;/Q&gt;&lt;R&gt;121&lt;/R&gt;&lt;C&gt;1&lt;/C&gt;&lt;D xsi:type="xsd:double"&gt;3.29029701786883&lt;/D&gt;&lt;D xsi:type="xsd:double"&gt;3.1324422368099&lt;/D&gt;&lt;D xsi:type="xsd:double"&gt;3.5303205647867&lt;/D&gt;&lt;D xsi:type="xsd:double"&gt;3.35375031000128&lt;/D&gt;&lt;D xsi:type="xsd:double"&gt;3.26921194283917&lt;/D&gt;&lt;D xsi:type="xsd:double"&gt;3.08590128961542&lt;/D&gt;&lt;D xsi:type="xsd:double"&gt;2.87514862004182&lt;/D&gt;&lt;D xsi:type="xsd:double"&gt;2.6199013190761&lt;/D&gt;&lt;D xsi:type="xsd:double"&gt;2.69391314257375&lt;/D&gt;&lt;D xsi:type="xsd:double"&gt;2.90181671971747&lt;/D&gt;&lt;D xsi:type="xsd:double"&gt;3.05603428541231&lt;/D&gt;&lt;D xsi:type="xsd:double"&gt;2.90228513771801&lt;/D&gt;&lt;D xsi:type="xsd:double"&gt;3.1071143406151&lt;/D&gt;&lt;D xsi:type="xsd:double"&gt;3.33904603146055&lt;/D&gt;&lt;D xsi:type="xsd:double"&gt;3.31652362997191&lt;/D&gt;&lt;D xsi:type="xsd:double"&gt;3.02226138817066&lt;/D&gt;&lt;D xsi:type="xsd:double"&gt;3.10938450105811&lt;/D&gt;&lt;D xsi:type="xsd:double"&gt;3.42500558004797&lt;/D&gt;&lt;D xsi:type="xsd:double"&gt;3.59670064236588&lt;/D&gt;&lt;D xsi:type="xsd:double"&gt;3.29090014680474&lt;/D&gt;&lt;D xsi:type="xsd:double"&gt;3.27147176838217&lt;/D&gt;&lt;D xsi:type="xsd:double"&gt;3.35732705085923&lt;/D&gt;&lt;D xsi:type="xsd:double"&gt;3.52953474853086&lt;/D&gt;&lt;D xsi:type="xsd:double"&gt;3.34943967450248&lt;/D&gt;&lt;D xsi:type="xsd:double"&gt;3.15567734499424&lt;/D&gt;&lt;D xsi:type="xsd:double"&gt;3.26531861693927&lt;/D&gt;&lt;D xsi:type="xsd:double"&gt;3.13761306977243&lt;/D&gt;&lt;D xsi:type="xsd:double"&gt;3.18334861613262&lt;/D&gt;&lt;D xsi:type="xsd:double"&gt;2.98869973323847&lt;/D&gt;&lt;D xsi:type="xsd:double"&gt;2.94285311543887&lt;/D&gt;&lt;D xsi:type="xsd:double"&gt;2.95006618295168&lt;/D&gt;&lt;D xsi:type="xsd:double"&gt;2.93768845306814&lt;/D&gt;&lt;D xsi:type="xsd:double"&gt;2.94226077264417&lt;/D&gt;&lt;D xsi:type="xsd:double"&gt;2.87290257099399&lt;/D&gt;&lt;D xsi:type="xsd:double"&gt;2.92392191708105&lt;/D&gt;&lt;D xsi:type="xsd:double"&gt;2.96479966206862&lt;/D&gt;&lt;D xsi:type="xsd:double"&gt;3.09161910313801&lt;/D&gt;&lt;D xsi:type="xsd:double"&gt;3.05111248768786&lt;/D&gt;&lt;D xsi:type="xsd:double"&gt;2.95195809203643&lt;/D&gt;&lt;D xsi:type="xsd:double"&gt;2.94520758197259&lt;/D&gt;&lt;D xsi:type="xsd:double"&gt;2.90620998132894&lt;/D&gt;&lt;D xsi:type="xsd:double"&gt;2.88382080235941&lt;/D&gt;&lt;D xsi:type="xsd:double"&gt;3.11430430654098&lt;/D&gt;&lt;D xsi:type="xsd:double"&gt;3.16067180542612&lt;/D&gt;&lt;D xsi:type="xsd:double"&gt;3.19986530269411&lt;/D&gt;&lt;D xsi:type="xsd:double"&gt;3.09832316703039&lt;/D&gt;&lt;D xsi:type="xsd:double"&gt;3.09404234501938&lt;/D&gt;&lt;D xsi:type="xsd:double"&gt;3.2113465828797&lt;/D&gt;&lt;D xsi:type="xsd:double"&gt;3.29799350645199&lt;/D&gt;&lt;D xsi:type="xsd:double"&gt;3.3270890147803&lt;/D&gt;&lt;D xsi:type="xsd:double"&gt;3.46621210359049&lt;/D&gt;&lt;D xsi:type="xsd:double"&gt;3.63652245238099&lt;/D&gt;&lt;D xsi:type="xsd:double"&gt;3.83260562643701&lt;/D&gt;&lt;D xsi:type="xsd:double"&gt;3.80545046857973&lt;/D&gt;&lt;D xsi:type="xsd:double"&gt;3.67149104071305&lt;/D&gt;&lt;D xsi:type="xsd:double"&gt;3.56416045099729&lt;/D&gt;&lt;D xsi:type="xsd:double"&gt;3.44481312373817&lt;/D&gt;&lt;D xsi:type="xsd:double"&gt;3.47200590753442&lt;/D&gt;&lt;D xsi:type="xsd:double"&gt;3.58033519115343&lt;/D&gt;&lt;D xsi:type="xsd:double"&gt;3.44985667961012&lt;/D&gt;&lt;D xsi:type="xsd:double"&gt;3.63925440864288&lt;/D&gt;&lt;D xsi:type="xsd:double"&gt;3.40014423095955&lt;/D&gt;&lt;D xsi:type="xsd:double"&gt;3.33175724424466&lt;/D&gt;&lt;D xsi:type="xsd:double"&gt;3.11184165228227&lt;/D&gt;&lt;D xsi:type="xsd:double"&gt;3.05523105455757&lt;/D&gt;&lt;D xsi:type="xsd:double"&gt;3.06339347142156&lt;/D&gt;&lt;D xsi:type="xsd:double"&gt;2.99908874490686&lt;/D&gt;&lt;D xsi:type="xsd:double"&gt;4.68919817488635&lt;/D&gt;&lt;D xsi:type="xsd:double"&gt;3.61427816490286&lt;/D&gt;&lt;D xsi:type="xsd:double"&gt;3.44679168415506&lt;/D&gt;&lt;D xsi:type="xsd:double"&gt;2.8983303790446&lt;/D&gt;&lt;D xsi:type="xsd:double"&gt;2.80937945394895&lt;/D&gt;&lt;D xsi:type="xsd:double"&gt;2.82782949121847&lt;/D&gt;&lt;D xsi:type="xsd:double"&gt;2.78326938350451&lt;/D&gt;&lt;D xsi:type="xsd:double"&gt;2.81305167363034&lt;/D&gt;&lt;D xsi:type="xsd:double"&gt;2.8362202731768&lt;/D&gt;&lt;D xsi:type="xsd:double"&gt;2.74381350682453&lt;/D&gt;&lt;D xsi:type="xsd:double"&gt;2.73319995329037&lt;/D&gt;&lt;D xsi:type="xsd:double"&gt;2.7237761366636&lt;/D&gt;&lt;D xsi:type="xsd:double"&gt;2.74990890901677&lt;/D&gt;&lt;D xsi:type="xsd:double"&gt;2.66769544526083&lt;/D&gt;&lt;D xsi:type="xsd:double"&gt;2.81705354305341&lt;/D&gt;&lt;D xsi:type="xsd:double"&gt;2.77850525990543&lt;/D&gt;&lt;D xsi:type="xsd:double"&gt;2.83447633691451&lt;/D&gt;&lt;D xsi:type="xsd:double"&gt;2.83077224624495&lt;/D&gt;&lt;D xsi:type="xsd:double"&gt;2.88460223578955&lt;/D&gt;&lt;D xsi:type="xsd:double"&gt;2.92216524600561&lt;/D&gt;&lt;D xsi:type="xsd:double"&gt;2.92120558064374&lt;/D&gt;&lt;D xsi:type="xsd:double"&gt;3.06456767655338&lt;/D&gt;&lt;D xsi:type="xsd:double"&gt;3.05806517225755&lt;/D&gt;&lt;D xsi:type="xsd:double"&gt;3.21761088315634&lt;/D&gt;&lt;D xsi:type="xsd:double"&gt;3.47394508454625&lt;/D&gt;&lt;D xsi:type="xsd:double"&gt;3.62626382635699&lt;/D&gt;&lt;D xsi:type="xsd:double"&gt;3.85461211048049&lt;/D&gt;&lt;D xsi:type="xsd:double"&gt;4.12488532595154&lt;/D&gt;&lt;D xsi:type="xsd:double"&gt;4.20054900548066&lt;/D&gt;&lt;D xsi:type="xsd:double"&gt;3.88904029548703&lt;/D&gt;&lt;D xsi:type="xsd:double"&gt;4.24125825017283&lt;/D&gt;&lt;D xsi:type="xsd:double"&gt;4.36122133487007&lt;/D&gt;&lt;D xsi:type="xsd:double"&gt;3.80825619395469&lt;/D&gt;&lt;D xsi:type="xsd:double"&gt;3.87110529147816&lt;/D&gt;&lt;D xsi:type="xsd:double"&gt;3.53760930042526&lt;/D&gt;&lt;D xsi:type="xsd:double"&gt;3.44531914471594&lt;/D&gt;&lt;D xsi:type="xsd:double"&gt;3.67397213762044&lt;/D&gt;&lt;D xsi:type="xsd:double"&gt;3.50241136792973&lt;/D&gt;&lt;D xsi:type="xsd:double"&gt;3.60143095262891&lt;/D&gt;&lt;D xsi:type="xsd:double"&gt;3.56402672129097&lt;/D&gt;&lt;D xsi:type="xsd:double"&gt;3.65440647003475&lt;/D&gt;&lt;D xsi:type="xsd:double"&gt;3.73079333887615&lt;/D&gt;&lt;D xsi:type="xsd:double"&gt;3.71799435439466&lt;/D&gt;&lt;D xsi:type="xsd:double"&gt;3.90569010386539&lt;/D&gt;&lt;D xsi:type="xsd:double"&gt;3.74023742344282&lt;/D&gt;&lt;D xsi:type="xsd:double"&gt;3.54079926243295&lt;/D&gt;&lt;D xsi:type="xsd:double"&gt;3.62501044093985&lt;/D&gt;&lt;D xsi:type="xsd:double"&gt;3.48692752684115&lt;/D&gt;&lt;D xsi:type="xsd:double"&gt;3.31417317965387&lt;/D&gt;&lt;D xsi:type="xsd:double"&gt;3.40382083934988&lt;/D&gt;&lt;D xsi:type="xsd:double"&gt;3.30618012167954&lt;/D&gt;&lt;D xsi:type="xsd:double"&gt;3.4617507992534&lt;/D&gt;&lt;D xsi:type="xsd:double"&gt;3.38308934193762&lt;/D&gt;&lt;D xsi:type="xsd:double"&gt;3.52048741864924&lt;/D&gt;&lt;/FQL&gt;&lt;FQL&gt;&lt;Q&gt;CPALM-FDS^FG_PRICE(0)&lt;/Q&gt;&lt;R&gt;1&lt;/R&gt;&lt;C&gt;1&lt;/C&gt;&lt;D xsi:type="xsd:double"&gt;3872&lt;/D&gt;&lt;/FQL&gt;&lt;FQL&gt;&lt;Q&gt;BRENT-FDS^FG_PRICE(0)&lt;/Q&gt;&lt;R&gt;1&lt;/R&gt;&lt;C&gt;1&lt;/C&gt;&lt;D xsi:type="xsd:double"&gt;85.86&lt;/D&gt;&lt;/FQL&gt;&lt;FQL&gt;&lt;Q&gt;EWN^FG_PRICE(0)&lt;/Q&gt;&lt;R&gt;1&lt;/R&gt;&lt;C&gt;1&lt;/C&gt;&lt;D xsi:type="xsd:double"&gt;49.81&lt;/D&gt;&lt;/FQL&gt;&lt;FQL&gt;&lt;Q&gt;EWU^FG_PRICE(0)&lt;/Q&gt;&lt;R&gt;1&lt;/R&gt;&lt;C&gt;1&lt;/C&gt;&lt;D xsi:type="xsd:double"&gt;36.49&lt;/D&gt;&lt;/FQL&gt;&lt;FQL&gt;&lt;Q&gt;EWC^FG_PRICE(0)&lt;/Q&gt;&lt;R&gt;1&lt;/R&gt;&lt;C&gt;1&lt;/C&gt;&lt;D xsi:type="xsd:double"&gt;39.27&lt;/D&gt;&lt;/FQL&gt;&lt;FQL&gt;&lt;Q&gt;EWU^FG_COMPANY_NAME&lt;/Q&gt;&lt;R&gt;1&lt;/R&gt;&lt;C&gt;1&lt;/C&gt;&lt;D xsi:type="xsd:string"&gt;iShares MSCI United Kingdom ETF&lt;/D&gt;&lt;/FQL&gt;&lt;FQL&gt;&lt;Q&gt;SPY^FG_TOTAL_RETURNC(0,-12AM)&lt;/Q&gt;&lt;R&gt;1&lt;/R&gt;&lt;C&gt;1&lt;/C&gt;&lt;D xsi:type="xsd:double"&gt;27.855957&lt;/D&gt;&lt;/FQL&gt;&lt;FQL&gt;&lt;Q&gt;EWJ^PERCENT_CHANGE(FMA_EPS(+1,0,,,,"PORTAGG","MEAN"),FMA_EPS(+1,-1AM,,,,"PORTAGG","MEAN"))&lt;/Q&gt;&lt;R&gt;1&lt;/R&gt;&lt;C&gt;1&lt;/C&gt;&lt;D xsi:type="xsd:double"&gt;7.44369070708445&lt;/D&gt;&lt;/FQL&gt;&lt;FQL&gt;&lt;Q&gt;EWI^FG_TOTAL_RETURNC(0,-6AM)&lt;/Q&gt;&lt;R&gt;1&lt;/R&gt;&lt;C&gt;1&lt;/C&gt;&lt;D xsi:type="xsd:double"&gt;10.847425&lt;/D&gt;&lt;/FQL&gt;&lt;FQL&gt;&lt;Q&gt;EWN^P_PRICE(0)/P_PRICE_LOW_PR(0,,,,,,"PRICE","INTRA","52W")-1&lt;/Q&gt;&lt;R&gt;1&lt;/R&gt;&lt;C&gt;1&lt;/C&gt;&lt;D xsi:type="xsd:double"&gt;0.37255442&lt;/D&gt;&lt;/FQL&gt;&lt;FQL&gt;&lt;Q&gt;CAGDPY@CH^EE_ACTUAL_ANNUAL(MED,+1)&lt;/Q&gt;&lt;R&gt;1&lt;/R&gt;&lt;C&gt;1&lt;/C&gt;&lt;D xsi:type="xsd:double"&gt;8&lt;/D&gt;&lt;/FQL&gt;&lt;FQL&gt;&lt;Q&gt;CC_JP^FG_COMPANY_NAME&lt;/Q&gt;&lt;R&gt;1&lt;/R&gt;&lt;C&gt;1&lt;/C&gt;&lt;D xsi:type="xsd:string"&gt;Japan&lt;/D&gt;&lt;/FQL&gt;&lt;FQL&gt;&lt;Q&gt;USDSEK^FG_PRICE_CHANGE(0,-3AM)&lt;/Q&gt;&lt;R&gt;1&lt;/R&gt;&lt;C&gt;1&lt;/C&gt;&lt;D xsi:type="xsd:double"&gt;-1.8913925&lt;/D&gt;&lt;/FQL&gt;&lt;FQL&gt;&lt;Q&gt;USDCHF^FG_PRICE_CHANGE(0,-3AM)&lt;/Q&gt;&lt;R&gt;1&lt;/R&gt;&lt;C&gt;1&lt;/C&gt;&lt;D xsi:type="xsd:double"&gt;-3.9913714&lt;/D&gt;&lt;/FQL&gt;&lt;FQL&gt;&lt;Q&gt;USDEUR^FG_PRICE_CHANGE(0,-3AM)&lt;/Q&gt;&lt;R&gt;1&lt;/R&gt;&lt;C&gt;1&lt;/C&gt;&lt;D xsi:type="xsd:double"&gt;-1.1008978&lt;/D&gt;&lt;/FQL&gt;&lt;FQL&gt;&lt;Q&gt;USDAUD^FG_PRICE_CHANGE(0,-3AM)&lt;/Q&gt;&lt;R&gt;1&lt;/R&gt;&lt;C&gt;1&lt;/C&gt;&lt;D xsi:type="xsd:double"&gt;0.58757067&lt;/D&gt;&lt;/FQL&gt;&lt;FQL&gt;&lt;Q&gt;EWQ^FMA_EPS(NTMA,-20AY,0,CY,,"PORTAGG","MEANR")&lt;/Q&gt;&lt;R&gt;20&lt;/R&gt;&lt;C&gt;1&lt;/C&gt;&lt;D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xsi:type="xsd:double"&gt;2.19705970688086&lt;/D&gt;&lt;D xsi:type="xsd:double"&gt;1.85109750447789&lt;/D&gt;&lt;D xsi:type="xsd:double"&gt;2.46081748750493&lt;/D&gt;&lt;D xsi:type="xsd:double"&gt;2.8026651908005&lt;/D&gt;&lt;D xsi:type="xsd:double"&gt;2.92070467991761&lt;/D&gt;&lt;/FQL&gt;&lt;FQL&gt;&lt;Q&gt;QQQ^P_PRICE_RETURNS_PR('52W',2,-10AY,0,AM)&lt;/Q&gt;&lt;R&gt;121&lt;/R&gt;&lt;C&gt;1&lt;/C&gt;&lt;D xsi:type="xsd:double"&gt;30.9731&lt;/D&gt;&lt;D xsi:type="xsd:double"&gt;29.6188&lt;/D&gt;&lt;D xsi:type="xsd:double"&gt;15.878189&lt;/D&gt;&lt;D xsi:type="xsd:double"&gt;24.989664&lt;/D&gt;&lt;D xsi:type="xsd:double"&gt;18.909513&lt;/D&gt;&lt;D xsi:type="xsd:double"&gt;15.821398&lt;/D&gt;&lt;D xsi:type="xsd:double"&gt;21.104717&lt;/D&gt;&lt;D xsi:type="xsd:double"&gt;21.67343&lt;/D&gt;&lt;D xsi:type="xsd:double"&gt;26.346756&lt;/D&gt;&lt;D xsi:type="xsd:double"&gt;27.155125&lt;/D&gt;&lt;D xsi:type="xsd:double"&gt;19.056225&lt;/D&gt;&lt;D xsi:type="xsd:double"&gt;17.990196&lt;/D&gt;&lt;D xsi:type="xsd:double"&gt;15.233111&lt;/D&gt;&lt;D xsi:type="xsd:double"&gt;8.9140415&lt;/D&gt;&lt;D xsi:type="xsd:double"&gt;19.06483&lt;/D&gt;&lt;D xsi:type="xsd:double"&gt;9.111881&lt;/D&gt;&lt;D xsi:type="xsd:double"&gt;15.236044&lt;/D&gt;&lt;D xsi:type="xsd:double"&gt;2.2286057&lt;/D&gt;&lt;D xsi:type="xsd:double"&gt;-5.2898827&lt;/D&gt;&lt;D xsi:type="xsd:double"&gt;1.8554091&lt;/D&gt;&lt;D xsi:type="xsd:double"&gt;3.714931&lt;/D&gt;&lt;D xsi:type="xsd:double"&gt;-1.4559865&lt;/D&gt;&lt;D xsi:type="xsd:double"&gt;0.38404465&lt;/D&gt;&lt;D xsi:type="xsd:double"&gt;2.42939&lt;/D&gt;&lt;D xsi:type="xsd:double"&gt;7.1131945&lt;/D&gt;&lt;D xsi:type="xsd:double"&gt;11.038101&lt;/D&gt;&lt;D xsi:type="xsd:double"&gt;11.834455&lt;/D&gt;&lt;D xsi:type="xsd:double"&gt;6.1152697&lt;/D&gt;&lt;D xsi:type="xsd:double"&gt;6.433618&lt;/D&gt;&lt;D xsi:type="xsd:double"&gt;22.213804&lt;/D&gt;&lt;D xsi:type="xsd:double"&gt;30.393982&lt;/D&gt;&lt;D xsi:type="xsd:double"&gt;24.079502&lt;/D&gt;&lt;D xsi:type="xsd:double"&gt;18.782162&lt;/D&gt;&lt;D xsi:type="xsd:double"&gt;32.050312&lt;/D&gt;&lt;D xsi:type="xsd:double"&gt;29.53844&lt;/D&gt;&lt;D xsi:type="xsd:double"&gt;28.227043&lt;/D&gt;&lt;D xsi:type="xsd:double"&gt;24.537336&lt;/D&gt;&lt;D xsi:type="xsd:double"&gt;25.441467&lt;/D&gt;&lt;D xsi:type="xsd:double"&gt;28.34344&lt;/D&gt;&lt;D xsi:type="xsd:double"&gt;33.511673&lt;/D&gt;&lt;D xsi:type="xsd:double"&gt;32.25055&lt;/D&gt;&lt;D xsi:type="xsd:double"&gt;34.391273&lt;/D&gt;&lt;D xsi:type="xsd:double"&gt;28.792942&lt;/D&gt;&lt;D xsi:type="xsd:double"&gt;30.732632&lt;/D&gt;&lt;D xsi:type="xsd:double"&gt;25.777197&lt;/D&gt;&lt;D xsi:type="xsd:double"&gt;22.08059&lt;/D&gt;&lt;D xsi:type="xsd:double"&gt;28.310537&lt;/D&gt;&lt;D xsi:type="xsd:double"&gt;27.096987&lt;/D&gt;&lt;D xsi:type="xsd:double"&gt;25.64143&lt;/D&gt;&lt;D xsi:type="xsd:double"&gt;27.42455&lt;/D&gt;&lt;D xsi:type="xsd:double"&gt;19.975054&lt;/D&gt;&lt;D xsi:type="xsd:double"&gt;9.219694&lt;/D&gt;&lt;D xsi:type="xsd:double"&gt;4.130578&lt;/D&gt;&lt;D xsi:type="xsd:double"&gt;-0.17189384&lt;/D&gt;&lt;D xsi:type="xsd:double"&gt;4.6530247&lt;/D&gt;&lt;D xsi:type="xsd:double"&gt;4.864955&lt;/D&gt;&lt;D xsi:type="xsd:double"&gt;15.69798&lt;/D&gt;&lt;D xsi:type="xsd:double"&gt;10.392499&lt;/D&gt;&lt;D xsi:type="xsd:double"&gt;3.7338257&lt;/D&gt;&lt;D xsi:type="xsd:double"&gt;8.742881&lt;/D&gt;&lt;D xsi:type="xsd:double"&gt;4.0530205&lt;/D&gt;&lt;D xsi:type="xsd:double"&gt;5.0940633&lt;/D&gt;&lt;D xsi:type="xsd:double"&gt;9.907425&lt;/D&gt;&lt;D xsi:type="xsd:double"&gt;21.8019&lt;/D&gt;&lt;D xsi:type="xsd:double"&gt;31.086445&lt;/D&gt;&lt;D xsi:type="xsd:double"&gt;38.040577&lt;/D&gt;&lt;D xsi:type="xsd:double"&gt;38.167606&lt;/D&gt;&lt;D xsi:type="xsd:double"&gt;-4.293263&lt;/D&gt;&lt;D xsi:type="xsd:double"&gt;15.319753&lt;/D&gt;&lt;D xsi:type="xsd:double"&gt;22.987007&lt;/D&gt;&lt;D xsi:type="xsd:double"&gt;34.10212&lt;/D&gt;&lt;D xsi:type="xsd:double"&gt;35.234547&lt;/D&gt;&lt;D xsi:type="xsd:double"&gt;50.11517&lt;/D&gt;&lt;D xsi:type="xsd:double"&gt;44.41788&lt;/D&gt;&lt;D xsi:type="xsd:double"&gt;50.573994&lt;/D&gt;&lt;D xsi:type="xsd:double"&gt;45.578384&lt;/D&gt;&lt;D xsi:type="xsd:double"&gt;48.750973&lt;/D&gt;&lt;D xsi:type="xsd:double"&gt;42.655647&lt;/D&gt;&lt;D xsi:type="xsd:double"&gt;44.022285&lt;/D&gt;&lt;D xsi:type="xsd:double"&gt;90.70711&lt;/D&gt;&lt;D xsi:type="xsd:double"&gt;61.38079&lt;/D&gt;&lt;D xsi:type="xsd:double"&gt;48.05349&lt;/D&gt;&lt;D xsi:type="xsd:double"&gt;41.296387&lt;/D&gt;&lt;D xsi:type="xsd:double"&gt;38.788246&lt;/D&gt;&lt;D xsi:type="xsd:double"&gt;36.343563&lt;/D&gt;&lt;D xsi:type="xsd:double"&gt;38.543938&lt;/D&gt;&lt;D xsi:type="xsd:double"&gt;27.857304&lt;/D&gt;&lt;D xsi:type="xsd:double"&gt;36.27095&lt;/D&gt;&lt;D xsi:type="xsd:double"&gt;25.868904&lt;/D&gt;&lt;D xsi:type="xsd:double"&gt;21.47051&lt;/D&gt;&lt;D xsi:type="xsd:double"&gt;6.6212535&lt;/D&gt;&lt;D xsi:type="xsd:double"&gt;6.6695333&lt;/D&gt;&lt;D xsi:type="xsd:double"&gt;1.0555506&lt;/D&gt;&lt;D xsi:type="xsd:double"&gt;-8.122433&lt;/D&gt;&lt;D xsi:type="xsd:double"&gt;-20.03203&lt;/D&gt;&lt;D xsi:type="xsd:double"&gt;-18.592691&lt;/D&gt;&lt;D xsi:type="xsd:double"&gt;-9.446615&lt;/D&gt;&lt;D xsi:type="xsd:double"&gt;-23.098648&lt;/D&gt;&lt;D xsi:type="xsd:double"&gt;-28.440916&lt;/D&gt;&lt;D xsi:type="xsd:double"&gt;-27.731306&lt;/D&gt;&lt;D xsi:type="xsd:double"&gt;-28.665369&lt;/D&gt;&lt;D xsi:type="xsd:double"&gt;-25.055843&lt;/D&gt;&lt;D xsi:type="xsd:double"&gt;-14.187127&lt;/D&gt;&lt;D xsi:type="xsd:double"&gt;-9.184324&lt;/D&gt;&lt;D xsi:type="xsd:double"&gt;-5.1479044&lt;/D&gt;&lt;D xsi:type="xsd:double"&gt;10.462296&lt;/D&gt;&lt;D xsi:type="xsd:double"&gt;36.609913&lt;/D&gt;&lt;D xsi:type="xsd:double"&gt;33.177258&lt;/D&gt;&lt;D xsi:type="xsd:double"&gt;9.886562&lt;/D&gt;&lt;D xsi:type="xsd:double"&gt;28.29274&lt;/D&gt;&lt;D xsi:type="xsd:double"&gt;42.64214&lt;/D&gt;&lt;D xsi:type="xsd:double"&gt;36.132874&lt;/D&gt;&lt;D xsi:type="xsd:double"&gt;47.386932&lt;/D&gt;&lt;D xsi:type="xsd:double"&gt;46.756447&lt;/D&gt;&lt;D xsi:type="xsd:double"&gt;42.939877&lt;/D&gt;&lt;D xsi:type="xsd:double"&gt;46.157898&lt;/D&gt;&lt;D xsi:type="xsd:double"&gt;36.224236&lt;/D&gt;&lt;D xsi:type="xsd:double"&gt;39.072166&lt;/D&gt;&lt;D xsi:type="xsd:double"&gt;31.833733&lt;/D&gt;&lt;D xsi:type="xsd:double"&gt;31.838476&lt;/D&gt;&lt;D xsi:type="xsd:double"&gt;31.931173&lt;/D&gt;&lt;/FQL&gt;&lt;FQL&gt;&lt;Q&gt;EWL^FG_TOTAL_RETURNC(-10AY,0,AM)&lt;/Q&gt;&lt;R&gt;121&lt;/R&gt;&lt;C&gt;1&lt;/C&gt;&lt;D xsi:type="xsd:double"&gt;-3.0564427&lt;/D&gt;&lt;D xsi:type="xsd:double"&gt;1.0710478&lt;/D&gt;&lt;D xsi:type="xsd:double"&gt;-10.208959&lt;/D&gt;&lt;D xsi:type="xsd:double"&gt;8.444142&lt;/D&gt;&lt;D xsi:type="xsd:double"&gt;-2.4218261&lt;/D&gt;&lt;D xsi:type="xsd:double"&gt;2.4505258&lt;/D&gt;&lt;D xsi:type="xsd:double"&gt;0.6439686&lt;/D&gt;&lt;D xsi:type="xsd:double"&gt;-0.82266927&lt;/D&gt;&lt;D xsi:type="xsd:double"&gt;7.4347258&lt;/D&gt;&lt;D xsi:type="xsd:double"&gt;2.716601&lt;/D&gt;&lt;D xsi:type="xsd:double"&gt;-3.9532244&lt;/D&gt;&lt;D xsi:type="xsd:double"&gt;2.210319&lt;/D&gt;&lt;D xsi:type="xsd:double"&gt;-2.642274&lt;/D&gt;&lt;D xsi:type="xsd:double"&gt;-4.3841243&lt;/D&gt;&lt;D xsi:type="xsd:double"&gt;0.24952888&lt;/D&gt;&lt;D xsi:type="xsd:double"&gt;-3.7336588&lt;/D&gt;&lt;D xsi:type="xsd:double"&gt;1.1312246&lt;/D&gt;&lt;D xsi:type="xsd:double"&gt;-8.596998&lt;/D&gt;&lt;D xsi:type="xsd:double"&gt;-0.17482638&lt;/D&gt;&lt;D xsi:type="xsd:double"&gt;3.6427379&lt;/D&gt;&lt;D xsi:type="xsd:double"&gt;3.0077696&lt;/D&gt;&lt;D xsi:type="xsd:double"&gt;-0.9842515&lt;/D&gt;&lt;D xsi:type="xsd:double"&gt;-1.8555343&lt;/D&gt;&lt;D xsi:type="xsd:double"&gt;3.2859921&lt;/D&gt;&lt;D xsi:type="xsd:double"&gt;3.288591&lt;/D&gt;&lt;D xsi:type="xsd:double"&gt;-2.3391843&lt;/D&gt;&lt;D xsi:type="xsd:double"&gt;-1.1310697&lt;/D&gt;&lt;D xsi:type="xsd:double"&gt;-3.162849&lt;/D&gt;&lt;D xsi:type="xsd:double"&gt;1.2161136&lt;/D&gt;&lt;D xsi:type="xsd:double"&gt;4.837084&lt;/D&gt;&lt;D xsi:type="xsd:double"&gt;1.7365575&lt;/D&gt;&lt;D xsi:type="xsd:double"&gt;3.2850266&lt;/D&gt;&lt;D xsi:type="xsd:double"&gt;-0.28063655&lt;/D&gt;&lt;D xsi:type="xsd:double"&gt;8.630395&lt;/D&gt;&lt;D xsi:type="xsd:double"&gt;0.14392138&lt;/D&gt;&lt;D xsi:type="xsd:double"&gt;1.4334798&lt;/D&gt;&lt;D xsi:type="xsd:double"&gt;-0.6946385&lt;/D&gt;&lt;D xsi:type="xsd:double"&gt;1.4281511&lt;/D&gt;&lt;D xsi:type="xsd:double"&gt;1.2931108&lt;/D&gt;&lt;D xsi:type="xsd:double"&gt;-2.9503584&lt;/D&gt;&lt;D xsi:type="xsd:double"&gt;2.5723457&lt;/D&gt;&lt;D xsi:type="xsd:double"&gt;4.132235&lt;/D&gt;&lt;D xsi:type="xsd:double"&gt;-1.614672&lt;/D&gt;&lt;D xsi:type="xsd:double"&gt;-3.0041754&lt;/D&gt;&lt;D xsi:type="xsd:double"&gt;-1.0897517&lt;/D&gt;&lt;D xsi:type="xsd:double"&gt;-0.11597872&lt;/D&gt;&lt;D xsi:type="xsd:double"&gt;-2.3802578&lt;/D&gt;&lt;D xsi:type="xsd:double"&gt;1.9284844&lt;/D&gt;&lt;D xsi:type="xsd:double"&gt;1.2260795&lt;/D&gt;&lt;D xsi:type="xsd:double"&gt;2.8655887&lt;/D&gt;&lt;D xsi:type="xsd:double"&gt;-4.853529&lt;/D&gt;&lt;D xsi:type="xsd:double"&gt;-0.66405535&lt;/D&gt;&lt;D xsi:type="xsd:double"&gt;-2.9170454&lt;/D&gt;&lt;D xsi:type="xsd:double"&gt;2.7543068&lt;/D&gt;&lt;D xsi:type="xsd:double"&gt;3.4724355&lt;/D&gt;&lt;D xsi:type="xsd:double"&gt;3.8269043&lt;/D&gt;&lt;D xsi:type="xsd:double"&gt;1.4459848&lt;/D&gt;&lt;D xsi:type="xsd:double"&gt;0.950253&lt;/D&gt;&lt;D xsi:type="xsd:double"&gt;3.2392025&lt;/D&gt;&lt;D xsi:type="xsd:double"&gt;1.3981462&lt;/D&gt;&lt;D xsi:type="xsd:double"&gt;-0.24291277&lt;/D&gt;&lt;D xsi:type="xsd:double"&gt;1.2175322&lt;/D&gt;&lt;D xsi:type="xsd:double"&gt;0.50787926&lt;/D&gt;&lt;D xsi:type="xsd:double"&gt;3.0851007&lt;/D&gt;&lt;D xsi:type="xsd:double"&gt;2.6831865&lt;/D&gt;&lt;D xsi:type="xsd:double"&gt;3.4170866&lt;/D&gt;&lt;D xsi:type="xsd:double"&gt;1.7978668&lt;/D&gt;&lt;D xsi:type="xsd:double"&gt;-25.894993&lt;/D&gt;&lt;D xsi:type="xsd:double"&gt;16.425133&lt;/D&gt;&lt;D xsi:type="xsd:double"&gt;0.99583864&lt;/D&gt;&lt;D xsi:type="xsd:double"&gt;7.8611255&lt;/D&gt;&lt;D xsi:type="xsd:double"&gt;5.083871&lt;/D&gt;&lt;D xsi:type="xsd:double"&gt;1.9155145&lt;/D&gt;&lt;D xsi:type="xsd:double"&gt;2.84338&lt;/D&gt;&lt;D xsi:type="xsd:double"&gt;-2.9522061&lt;/D&gt;&lt;D xsi:type="xsd:double"&gt;3.983581&lt;/D&gt;&lt;D xsi:type="xsd:double"&gt;1.8642068&lt;/D&gt;&lt;D xsi:type="xsd:double"&gt;2.8962374&lt;/D&gt;&lt;D xsi:type="xsd:double"&gt;0.7978678&lt;/D&gt;&lt;D xsi:type="xsd:double"&gt;-2.374667&lt;/D&gt;&lt;D xsi:type="xsd:double"&gt;5.3828835&lt;/D&gt;&lt;D xsi:type="xsd:double"&gt;0.85487366&lt;/D&gt;&lt;D xsi:type="xsd:double"&gt;7.0241094&lt;/D&gt;&lt;D xsi:type="xsd:double"&gt;-0.94777346&lt;/D&gt;&lt;D xsi:type="xsd:double"&gt;4.1327357&lt;/D&gt;&lt;D xsi:type="xsd:double"&gt;-3.753668&lt;/D&gt;&lt;D xsi:type="xsd:double"&gt;-1.1781394&lt;/D&gt;&lt;D xsi:type="xsd:double"&gt;4.110992&lt;/D&gt;&lt;D xsi:type="xsd:double"&gt;2.4086833&lt;/D&gt;&lt;D xsi:type="xsd:double"&gt;-1.5230358&lt;/D&gt;&lt;D xsi:type="xsd:double"&gt;-3.7392378&lt;/D&gt;&lt;D xsi:type="xsd:double"&gt;-3.782791&lt;/D&gt;&lt;D xsi:type="xsd:double"&gt;4.100609&lt;/D&gt;&lt;D xsi:type="xsd:double"&gt;-10.822338&lt;/D&gt;&lt;D xsi:type="xsd:double"&gt;-8.089394&lt;/D&gt;&lt;D xsi:type="xsd:double"&gt;4.3225408&lt;/D&gt;&lt;D xsi:type="xsd:double"&gt;5.0642133&lt;/D&gt;&lt;D xsi:type="xsd:double"&gt;-7.5184526&lt;/D&gt;&lt;D xsi:type="xsd:double"&gt;-7.605982&lt;/D&gt;&lt;D xsi:type="xsd:double"&gt;13.576258&lt;/D&gt;&lt;D xsi:type="xsd:double"&gt;-0.6654024&lt;/D&gt;&lt;D xsi:type="xsd:double"&gt;6.6985607&lt;/D&gt;&lt;D xsi:type="xsd:double"&gt;-0.38115978&lt;/D&gt;&lt;D xsi:type="xsd:double"&gt;-2.948463&lt;/D&gt;&lt;D xsi:type="xsd:double"&gt;9.531546&lt;/D&gt;&lt;D xsi:type="xsd:double"&gt;1.8420458&lt;/D&gt;&lt;D xsi:type="xsd:double"&gt;-1.2199044&lt;/D&gt;&lt;D xsi:type="xsd:double"&gt;1.8506527&lt;/D&gt;&lt;D xsi:type="xsd:double"&gt;-3.6763191&lt;/D&gt;&lt;D xsi:type="xsd:double"&gt;0&lt;/D&gt;&lt;D xsi:type="xsd:double"&gt;-3.1805217&lt;/D&gt;&lt;D xsi:type="xsd:double"&gt;-0.067961216&lt;/D&gt;&lt;D xsi:type="xsd:double"&gt;6.121063&lt;/D&gt;&lt;D xsi:type="xsd:double"&gt;0.91860294&lt;/D&gt;&lt;D xsi:type="xsd:double"&gt;-1.2066126&lt;/D&gt;&lt;D xsi:type="xsd:double"&gt;3.4068942&lt;/D&gt;&lt;D xsi:type="xsd:double"&gt;-6.464982&lt;/D&gt;&lt;D xsi:type="xsd:double"&gt;8.152413&lt;/D&gt;&lt;D xsi:type="xsd:double"&gt;1.9931674&lt;/D&gt;&lt;D xsi:type="xsd:double"&gt;1.5993357&lt;/D&gt;&lt;D xsi:type="xsd:double"&gt;2.4419785&lt;/D&gt;&lt;/FQL&gt;&lt;FQL&gt;&lt;Q&gt;EWA^FMA_PE(NTMA,-10AY,0,AM,"PORTAGG","MEANR")&lt;/Q&gt;&lt;R&gt;121&lt;/R&gt;&lt;C&gt;1&lt;/C&gt;&lt;D xsi:type="xsd:double"&gt;14.7660627172875&lt;/D&gt;&lt;D xsi:type="xsd:double"&gt;14.3458356174716&lt;/D&gt;&lt;D xsi:type="xsd:double"&gt;13.8768837086285&lt;/D&gt;&lt;D xsi:type="xsd:double"&gt;14.3732068651079&lt;/D&gt;&lt;D xsi:type="xsd:double"&gt;13.7657055367401&lt;/D&gt;&lt;D xsi:type="xsd:double"&gt;14.4484274764468&lt;/D&gt;&lt;D xsi:type="xsd:double"&gt;16.0754891492834&lt;/D&gt;&lt;D xsi:type="xsd:double"&gt;15.8434058760519&lt;/D&gt;&lt;D xsi:type="xsd:double"&gt;16.6149859087678&lt;/D&gt;&lt;D xsi:type="xsd:double"&gt;16.1448385527572&lt;/D&gt;&lt;D xsi:type="xsd:double"&gt;15.2889434763924&lt;/D&gt;&lt;D xsi:type="xsd:double"&gt;15.6091166809952&lt;/D&gt;&lt;D xsi:type="xsd:double"&gt;14.9346261878317&lt;/D&gt;&lt;D xsi:type="xsd:double"&gt;14.4197506690662&lt;/D&gt;&lt;D xsi:type="xsd:double"&gt;15.0738126732397&lt;/D&gt;&lt;D xsi:type="xsd:double"&gt;14.404</t>
        </r>
      </text>
    </comment>
    <comment ref="A9" authorId="0" shapeId="0" xr:uid="{21AFA21E-CFE5-459B-B1DF-C78136A9830D}">
      <text>
        <r>
          <rPr>
            <b/>
            <sz val="9"/>
            <color indexed="81"/>
            <rFont val="Tahoma"/>
            <charset val="1"/>
          </rPr>
          <t>4269821008&lt;/D&gt;&lt;D xsi:type="xsd:double"&gt;14.795243565855&lt;/D&gt;&lt;D xsi:type="xsd:double"&gt;14.5769176103174&lt;/D&gt;&lt;D xsi:type="xsd:double"&gt;15.0860794394557&lt;/D&gt;&lt;D xsi:type="xsd:double"&gt;15.8800280315229&lt;/D&gt;&lt;D xsi:type="xsd:double"&gt;15.9106871610048&lt;/D&gt;&lt;D xsi:type="xsd:double"&gt;16.5136696192776&lt;/D&gt;&lt;D xsi:type="xsd:double"&gt;15.6601076712994&lt;/D&gt;&lt;D xsi:type="xsd:double"&gt;16.3742386509534&lt;/D&gt;&lt;D xsi:type="xsd:double"&gt;16.7523584765767&lt;/D&gt;&lt;D xsi:type="xsd:double"&gt;15.8920567278143&lt;/D&gt;&lt;D xsi:type="xsd:double"&gt;16.1307986646665&lt;/D&gt;&lt;D xsi:type="xsd:double"&gt;15.7168299338761&lt;/D&gt;&lt;D xsi:type="xsd:double"&gt;15.5675462201942&lt;/D&gt;&lt;D xsi:type="xsd:double"&gt;15.9297274751967&lt;/D&gt;&lt;D xsi:type="xsd:double"&gt;16.116845214996&lt;/D&gt;&lt;D xsi:type="xsd:double"&gt;15.7271030318437&lt;/D&gt;&lt;D xsi:type="xsd:double"&gt;15.9096511088234&lt;/D&gt;&lt;D xsi:type="xsd:double"&gt;15.6955904146577&lt;/D&gt;&lt;D xsi:type="xsd:double"&gt;15.4931070075755&lt;/D&gt;&lt;D xsi:type="xsd:double"&gt;15.6614152347496&lt;/D&gt;&lt;D xsi:type="xsd:double"&gt;15.7878722257745&lt;/D&gt;&lt;D xsi:type="xsd:double"&gt;15.5320446203342&lt;/D&gt;&lt;D xsi:type="xsd:double"&gt;15.7376403510669&lt;/D&gt;&lt;D xsi:type="xsd:double"&gt;15.8304093244172&lt;/D&gt;&lt;D xsi:type="xsd:double"&gt;15.8283542446788&lt;/D&gt;&lt;D xsi:type="xsd:double"&gt;15.9128740953779&lt;/D&gt;&lt;D xsi:type="xsd:double"&gt;15.3536324233092&lt;/D&gt;&lt;D xsi:type="xsd:double"&gt;15.2802382453732&lt;/D&gt;&lt;D xsi:type="xsd:double"&gt;14.9832488513519&lt;/D&gt;&lt;D xsi:type="xsd:double"&gt;15.4675208142708&lt;/D&gt;&lt;D xsi:type="xsd:double"&gt;15.1376985404315&lt;/D&gt;&lt;D xsi:type="xsd:double"&gt;15.5137183628754&lt;/D&gt;&lt;D xsi:type="xsd:double"&gt;15.7622784681094&lt;/D&gt;&lt;D xsi:type="xsd:double"&gt;15.1847408396588&lt;/D&gt;&lt;D xsi:type="xsd:double"&gt;14.3753449093213&lt;/D&gt;&lt;D xsi:type="xsd:double"&gt;14.1756193041024&lt;/D&gt;&lt;D xsi:type="xsd:double"&gt;13.8695968703289&lt;/D&gt;&lt;D xsi:type="xsd:double"&gt;14.5609430317912&lt;/D&gt;&lt;D xsi:type="xsd:double"&gt;15.0265526899971&lt;/D&gt;&lt;D xsi:type="xsd:double"&gt;15.221972219089&lt;/D&gt;&lt;D xsi:type="xsd:double"&gt;15.3966844558906&lt;/D&gt;&lt;D xsi:type="xsd:double"&gt;15.3700739231372&lt;/D&gt;&lt;D xsi:type="xsd:double"&gt;15.9141492288457&lt;/D&gt;&lt;D xsi:type="xsd:double"&gt;16.0345810685231&lt;/D&gt;&lt;D xsi:type="xsd:double"&gt;15.6315583818044&lt;/D&gt;&lt;D xsi:type="xsd:double"&gt;16.5539244174544&lt;/D&gt;&lt;D xsi:type="xsd:double"&gt;16.8287206742534&lt;/D&gt;&lt;D xsi:type="xsd:double"&gt;17.258025562949&lt;/D&gt;&lt;D xsi:type="xsd:double"&gt;17.5282439052495&lt;/D&gt;&lt;D xsi:type="xsd:double"&gt;17.9721879180803&lt;/D&gt;&lt;D xsi:type="xsd:double"&gt;18.2951028843964&lt;/D&gt;&lt;D xsi:type="xsd:double"&gt;13.003914269687&lt;/D&gt;&lt;D xsi:type="xsd:double"&gt;16.1612302146741&lt;/D&gt;&lt;D xsi:type="xsd:double"&gt;17.2422406212754&lt;/D&gt;&lt;D xsi:type="xsd:double"&gt;19.1174572174009&lt;/D&gt;&lt;D xsi:type="xsd:double"&gt;19.1203387734373&lt;/D&gt;&lt;D xsi:type="xsd:double"&gt;19.645024713894&lt;/D&gt;&lt;D xsi:type="xsd:double"&gt;18.775190239597&lt;/D&gt;&lt;D xsi:type="xsd:double"&gt;18.5841508816394&lt;/D&gt;&lt;D xsi:type="xsd:double"&gt;19.3116978737254&lt;/D&gt;&lt;D xsi:type="xsd:double"&gt;19.3116761956877&lt;/D&gt;&lt;D xsi:type="xsd:double"&gt;19.1787307887155&lt;/D&gt;&lt;D xsi:type="xsd:double"&gt;19.1563269795321&lt;/D&gt;&lt;D xsi:type="xsd:double"&gt;18.2244807179743&lt;/D&gt;&lt;D xsi:type="xsd:double"&gt;18.2188081801904&lt;/D&gt;&lt;D xsi:type="xsd:double"&gt;17.7291999383558&lt;/D&gt;&lt;D xsi:type="xsd:double"&gt;18.3545927256403&lt;/D&gt;&lt;D xsi:type="xsd:double"&gt;16.7966839522648&lt;/D&gt;&lt;D xsi:type="xsd:double"&gt;17.2203456672455&lt;/D&gt;&lt;D xsi:type="xsd:double"&gt;17.178022925123&lt;/D&gt;&lt;D xsi:type="xsd:double"&gt;17.3944057349906&lt;/D&gt;&lt;D xsi:type="xsd:double"&gt;17.4643302587905&lt;/D&gt;&lt;D xsi:type="xsd:double"&gt;17.0582285941917&lt;/D&gt;&lt;D xsi:type="xsd:double"&gt;17.4562645368735&lt;/D&gt;&lt;D xsi:type="xsd:double"&gt;16.1237827315395&lt;/D&gt;&lt;D xsi:type="xsd:double"&gt;15.610030463038&lt;/D&gt;&lt;D xsi:type="xsd:double"&gt;15.6660050718392&lt;/D&gt;&lt;D xsi:type="xsd:double"&gt;14.1078643702244&lt;/D&gt;&lt;D xsi:type="xsd:double"&gt;12.7104714671127&lt;/D&gt;&lt;D xsi:type="xsd:double"&gt;12.8008512132791&lt;/D&gt;&lt;D xsi:type="xsd:double"&gt;14.1817478987414&lt;/D&gt;&lt;D xsi:type="xsd:double"&gt;13.1795040960223&lt;/D&gt;&lt;D xsi:type="xsd:double"&gt;12.991404230077&lt;/D&gt;&lt;D xsi:type="xsd:double"&gt;14.2864592617576&lt;/D&gt;&lt;D xsi:type="xsd:double"&gt;14.0589367716908&lt;/D&gt;&lt;D xsi:type="xsd:double"&gt;14.5858706406704&lt;/D&gt;&lt;D xsi:type="xsd:double"&gt;14.7819527768212&lt;/D&gt;&lt;D xsi:type="xsd:double"&gt;13.8038744004355&lt;/D&gt;&lt;D xsi:type="xsd:double"&gt;14.7295083666579&lt;/D&gt;&lt;D xsi:type="xsd:double"&gt;14.5743418331734&lt;/D&gt;&lt;D xsi:type="xsd:double"&gt;15.0516797816379&lt;/D&gt;&lt;D xsi:type="xsd:double"&gt;15.3985550165621&lt;/D&gt;&lt;D xsi:type="xsd:double"&gt;15.0815586968347&lt;/D&gt;&lt;D xsi:type="xsd:double"&gt;15.4827172883608&lt;/D&gt;&lt;D xsi:type="xsd:double"&gt;14.675926163682&lt;/D&gt;&lt;D xsi:type="xsd:double"&gt;15.041723119874&lt;/D&gt;&lt;D xsi:type="xsd:double"&gt;16.0432541697363&lt;/D&gt;&lt;D xsi:type="xsd:double"&gt;15.8595021867195&lt;/D&gt;&lt;D xsi:type="xsd:double"&gt;16.4497600377989&lt;/D&gt;&lt;D xsi:type="xsd:double"&gt;16.4175421229952&lt;/D&gt;&lt;D xsi:type="xsd:double"&gt;16.1271689743525&lt;/D&gt;&lt;D xsi:type="xsd:double"&gt;16.9987883617291&lt;/D&gt;&lt;D xsi:type="xsd:double"&gt;16.698478248565&lt;/D&gt;&lt;D xsi:type="xsd:double"&gt;17.43881053052&lt;/D&gt;&lt;D xsi:type="xsd:double"&gt;17.1036307265672&lt;/D&gt;&lt;/FQL&gt;&lt;FQL&gt;&lt;Q&gt;ENZL^JULIAN(FMA_DIV_YLD(LTMA,-10AY,0,AM,"PORTAGG","MEANR").DATES)&lt;/Q&gt;&lt;R&gt;121&lt;/R&gt;&lt;C&gt;1&lt;/C&gt;&lt;D xsi:type="xsd:long"&gt;41866&lt;/D&gt;&lt;D xsi:type="xsd:long"&gt;41898&lt;/D&gt;&lt;D xsi:type="xsd:long"&gt;41928&lt;/D&gt;&lt;D xsi:type="xsd:long"&gt;41957&lt;/D&gt;&lt;D xsi:type="xsd:long"&gt;41989&lt;/D&gt;&lt;D xsi:type="xsd:long"&gt;42020&lt;/D&gt;&lt;D xsi:type="xsd:long"&gt;42048&lt;/D&gt;&lt;D xsi:type="xsd:long"&gt;42079&lt;/D&gt;&lt;D xsi:type="xsd:long"&gt;42110&lt;/D&gt;&lt;D xsi:type="xsd:long"&gt;42139&lt;/D&gt;&lt;D xsi:type="xsd:long"&gt;42171&lt;/D&gt;&lt;D xsi:type="xsd:long"&gt;42201&lt;/D&gt;&lt;D xsi:type="xsd:long"&gt;42230&lt;/D&gt;&lt;D xsi:type="xsd:long"&gt;42263&lt;/D&gt;&lt;D xsi:type="xsd:long"&gt;42293&lt;/D&gt;&lt;D xsi:type="xsd:long"&gt;42324&lt;/D&gt;&lt;D xsi:type="xsd:long"&gt;42354&lt;/D&gt;&lt;D xsi:type="xsd:long"&gt;42384&lt;/D&gt;&lt;D xsi:type="xsd:long"&gt;42416&lt;/D&gt;&lt;D xsi:type="xsd:long"&gt;42445&lt;/D&gt;&lt;D xsi:type="xsd:long"&gt;42475&lt;/D&gt;&lt;D xsi:type="xsd:long"&gt;42506&lt;/D&gt;&lt;D xsi:type="xsd:long"&gt;42537&lt;/D&gt;&lt;D xsi:type="xsd:long"&gt;42566&lt;/D&gt;&lt;D xsi:type="xsd:long"&gt;42598&lt;/D&gt;&lt;D xsi:type="xsd:long"&gt;42629&lt;/D&gt;&lt;D xsi:type="xsd:long"&gt;42657&lt;/D&gt;&lt;D xsi:type="xsd:long"&gt;42690&lt;/D&gt;&lt;D xsi:type="xsd:long"&gt;42720&lt;/D&gt;&lt;D xsi:type="xsd:long"&gt;42748&lt;/D&gt;&lt;D xsi:type="xsd:long"&gt;42782&lt;/D&gt;&lt;D xsi:type="xsd:long"&gt;42810&lt;/D&gt;&lt;D xsi:type="xsd:long"&gt;42838&lt;/D&gt;&lt;D xsi:type="xsd:long"&gt;42871&lt;/D&gt;&lt;D xsi:type="xsd:long"&gt;42902&lt;/D&gt;&lt;D xsi:type="xsd:long"&gt;42930&lt;/D&gt;&lt;D xsi:type="xsd:long"&gt;42963&lt;/D&gt;&lt;D xsi:type="xsd:long"&gt;42993&lt;/D&gt;&lt;D xsi:type="xsd:long"&gt;43024&lt;/D&gt;&lt;D xsi:type="xsd:long"&gt;43055&lt;/D&gt;&lt;D xsi:type="xsd:long"&gt;43084&lt;/D&gt;&lt;D xsi:type="xsd:long"&gt;43116&lt;/D&gt;&lt;D xsi:type="xsd:long"&gt;43147&lt;/D&gt;&lt;D xsi:type="xsd:long"&gt;43175&lt;/D&gt;&lt;D xsi:type="xsd:long"&gt;43206&lt;/D&gt;&lt;D xsi:type="xsd:long"&gt;43236&lt;/D&gt;&lt;D xsi:type="xsd:long"&gt;43266&lt;/D&gt;&lt;D xsi:type="xsd:long"&gt;43297&lt;/D&gt;&lt;D xsi:type="xsd:long"&gt;43328&lt;/D&gt;&lt;D xsi:type="xsd:long"&gt;43357&lt;/D&gt;&lt;D xsi:type="xsd:long"&gt;43389&lt;/D&gt;&lt;D xsi:type="xsd:long"&gt;43420&lt;/D&gt;&lt;D xsi:type="xsd:long"&gt;43448&lt;/D&gt;&lt;D xsi:type="xsd:long"&gt;43481&lt;/D&gt;&lt;D xsi:type="xsd:long"&gt;43511&lt;/D&gt;&lt;D xsi:type="xsd:long"&gt;43539&lt;/D&gt;&lt;D xsi:type="xsd:long"&gt;43571&lt;/D&gt;&lt;D xsi:type="xsd:long"&gt;43601&lt;/D&gt;&lt;D xsi:type="xsd:long"&gt;43630&lt;/D&gt;&lt;D xsi:type="xsd:long"&gt;43662&lt;/D&gt;&lt;D xsi:type="xsd:long"&gt;43693&lt;/D&gt;&lt;D xsi:type="xsd:long"&gt;43724&lt;/D&gt;&lt;D xsi:type="xsd:long"&gt;43754&lt;/D&gt;&lt;D xsi:type="xsd:long"&gt;43784&lt;/D&gt;&lt;D xsi:type="xsd:long"&gt;43815&lt;/D&gt;&lt;D xsi:type="xsd:long"&gt;43846&lt;/D&gt;&lt;D xsi:type="xsd:long"&gt;43875&lt;/D&gt;&lt;D xsi:type="xsd:long"&gt;43906&lt;/D&gt;&lt;D xsi:type="xsd:long"&gt;43937&lt;/D&gt;&lt;D xsi:type="xsd:long"&gt;43966&lt;/D&gt;&lt;D xsi:type="xsd:long"&gt;43998&lt;/D&gt;&lt;D xsi:type="xsd:long"&gt;44028&lt;/D&gt;&lt;D xsi:type="xsd:long"&gt;44057&lt;/D&gt;&lt;D xsi:type="xsd:long"&gt;44090&lt;/D&gt;&lt;D xsi:type="xsd:long"&gt;44120&lt;/D&gt;&lt;D xsi:type="xsd:long"&gt;44151&lt;/D&gt;&lt;D xsi:type="xsd:long"&gt;44181&lt;/D&gt;&lt;D xsi:type="xsd:long"&gt;44211&lt;/D&gt;&lt;D xsi:type="xsd:long"&gt;44243&lt;/D&gt;&lt;D xsi:type="xsd:long"&gt;44271&lt;/D&gt;&lt;D xsi:type="xsd:long"&gt;44302&lt;/D&gt;&lt;D xsi:type="xsd:long"&gt;44330&lt;/D&gt;&lt;D xsi:type="xsd:long"&gt;44363&lt;/D&gt;&lt;D xsi:type="xsd:long"&gt;44393&lt;/D&gt;&lt;D xsi:type="xsd:long"&gt;44424&lt;/D&gt;&lt;D xsi:type="xsd:long"&gt;44455&lt;/D&gt;&lt;D xsi:type="xsd:long"&gt;44484&lt;/D&gt;&lt;D xsi:type="xsd:long"&gt;44516&lt;/D&gt;&lt;D xsi:type="xsd:long"&gt;44546&lt;/D&gt;&lt;D xsi:type="xsd:long"&gt;44575&lt;/D&gt;&lt;D xsi:type="xsd:long"&gt;44608&lt;/D&gt;&lt;D xsi:type="xsd:long"&gt;44636&lt;/D&gt;&lt;D xsi:type="xsd:long"&gt;44665&lt;/D&gt;&lt;D xsi:type="xsd:long"&gt;44697&lt;/D&gt;&lt;D xsi:type="xsd:long"&gt;44728&lt;/D&gt;&lt;D xsi:type="xsd:long"&gt;44757&lt;/D&gt;&lt;D xsi:type="xsd:long"&gt;44789&lt;/D&gt;&lt;D xsi:type="xsd:long"&gt;44820&lt;/D&gt;&lt;D xsi:type="xsd:long"&gt;44848&lt;/D&gt;&lt;D xsi:type="xsd:long"&gt;44881&lt;/D&gt;&lt;D xsi:type="xsd:long"&gt;44911&lt;/D&gt;&lt;D xsi:type="xsd:long"&gt;44939&lt;/D&gt;&lt;D xsi:type="xsd:long"&gt;44973&lt;/D&gt;&lt;D xsi:type="xsd:long"&gt;45001&lt;/D&gt;&lt;D xsi:type="xsd:long"&gt;45030&lt;/D&gt;&lt;D xsi:type="xsd:long"&gt;45062&lt;/D&gt;&lt;D xsi:type="xsd:long"&gt;45093&lt;/D&gt;&lt;D xsi:type="xsd:long"&gt;45121&lt;/D&gt;&lt;D xsi:type="xsd:long"&gt;45154&lt;/D&gt;&lt;D xsi:type="xsd:long"&gt;45184&lt;/D&gt;&lt;D xsi:type="xsd:long"&gt;45215&lt;/D&gt;&lt;D xsi:type="xsd:long"&gt;45246&lt;/D&gt;&lt;D xsi:type="xsd:long"&gt;45275&lt;/D&gt;&lt;D xsi:type="xsd:long"&gt;45307&lt;/D&gt;&lt;D xsi:type="xsd:long"&gt;45338&lt;/D&gt;&lt;D xsi:type="xsd:long"&gt;45366&lt;/D&gt;&lt;D xsi:type="xsd:long"&gt;45398&lt;/D&gt;&lt;D xsi:type="xsd:long"&gt;45428&lt;/D&gt;&lt;D xsi:type="xsd:long"&gt;45457&lt;/D&gt;&lt;D xsi:type="xsd:long"&gt;45489&lt;/D&gt;&lt;D xsi:type="xsd:long"&gt;45518&lt;/D&gt;&lt;/FQL&gt;&lt;FQL&gt;&lt;Q&gt;WL-FDS^FG_PRICE(0)&lt;/Q&gt;&lt;R&gt;1&lt;/R&gt;&lt;C&gt;1&lt;/C&gt;&lt;D xsi:type="xsd:double"&gt;516.7&lt;/D&gt;&lt;/FQL&gt;&lt;FQL&gt;&lt;Q&gt;NI-FDS^FG_PRICE(0)&lt;/Q&gt;&lt;R&gt;1&lt;/R&gt;&lt;C&gt;1&lt;/C&gt;&lt;D xsi:type="xsd:double"&gt;15905&lt;/D&gt;&lt;/FQL&gt;&lt;FQL&gt;&lt;Q&gt;TIOS-FDS^FG_PRICE(0)&lt;/Q&gt;&lt;R&gt;1&lt;/R&gt;&lt;C&gt;1&lt;/C&gt;&lt;D xsi:type="xsd:double"&gt;98.55&lt;/D&gt;&lt;/FQL&gt;&lt;FQL&gt;&lt;Q&gt;VWO^FG_TOTAL_RETURNC(0,-1AM)&lt;/Q&gt;&lt;R&gt;1&lt;/R&gt;&lt;C&gt;1&lt;/C&gt;&lt;D xsi:type="xsd:double"&gt;-1.4974654&lt;/D&gt;&lt;/FQL&gt;&lt;FQL&gt;&lt;Q&gt;EWQ^FMA_PCT_ABOVE_MAVG(200,0,,,,"PORTAGG")&lt;/Q&gt;&lt;R&gt;1&lt;/R&gt;&lt;C&gt;1&lt;/C&gt;&lt;D xsi:type="xsd:double"&gt;32.258064516129&lt;/D&gt;&lt;/FQL&gt;&lt;FQL&gt;&lt;Q&gt;EWG^FMA_ROE(NTMA,-20AY,NOW,FY,"PORTAGG","MEANR")&lt;/Q&gt;&lt;R&gt;20&lt;/R&gt;&lt;C&gt;1&lt;/C&gt;&lt;D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xsi:type="xsd:double"&gt;10.4475672102116&lt;/D&gt;&lt;D xsi:type="xsd:double"&gt;9.71471543630713&lt;/D&gt;&lt;D xsi:type="xsd:double"&gt;12.1997093940908&lt;/D&gt;&lt;D xsi:type="xsd:double"&gt;11.8187115511422&lt;/D&gt;&lt;D xsi:type="xsd:double"&gt;11.93889064433&lt;/D&gt;&lt;/FQL&gt;&lt;FQL&gt;&lt;Q&gt;TRYUS10Y-FDS^FG_YIELD(-10AY,0,Y,,"YTM")&lt;/Q&gt;&lt;R&gt;10&lt;/R&gt;&lt;C&gt;1&lt;/C&gt;&lt;D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xsi:type="xsd:long"&gt;45289&lt;/D&gt;&lt;/FQL&gt;&lt;FQL&gt;&lt;Q&gt;CAGDPY@CH^EE_ACTUAL_ANNUAL(MED,0)&lt;/Q&gt;&lt;R&gt;1&lt;/R&gt;&lt;C&gt;1&lt;/C&gt;&lt;D xsi:type="xsd:double"&gt;6.98087557861584&lt;/D&gt;&lt;/FQL&gt;&lt;FQL&gt;&lt;Q&gt;CC_DE^FG_COMPANY_NAME&lt;/Q&gt;&lt;R&gt;1&lt;/R&gt;&lt;C&gt;1&lt;/C&gt;&lt;D xsi:type="xsd:string"&gt;Germany&lt;/D&gt;&lt;/FQL&gt;&lt;FQL&gt;&lt;Q&gt;USDSEK^FG_PRICE_CHANGE(0,-1AM)&lt;/Q&gt;&lt;R&gt;1&lt;/R&gt;&lt;C&gt;1&lt;/C&gt;&lt;D xsi:type="xsd:double"&gt;-1.1093199&lt;/D&gt;&lt;/FQL&gt;&lt;FQL&gt;&lt;Q&gt;USDCHF^FG_PRICE_CHANGE(0,-1AM)&lt;/Q&gt;&lt;R&gt;1&lt;/R&gt;&lt;C&gt;1&lt;/C&gt;&lt;D xsi:type="xsd:double"&gt;-3.085935&lt;/D&gt;&lt;/FQL&gt;&lt;FQL&gt;&lt;Q&gt;USDEUR^FG_PRICE_CHANGE(0,-1AM)&lt;/Q&gt;&lt;R&gt;1&lt;/R&gt;&lt;C&gt;1&lt;/C&gt;&lt;D xsi:type="xsd:double"&gt;-1.0190129&lt;/D&gt;&lt;/FQL&gt;&lt;FQL&gt;&lt;Q&gt;USDAUD^FG_PRICE_CHANGE(0,-1AM)&lt;/Q&gt;&lt;R&gt;1&lt;/R&gt;&lt;C&gt;1&lt;/C&gt;&lt;D xsi:type="xsd:double"&gt;1.2956738&lt;/D&gt;&lt;/FQL&gt;&lt;FQL&gt;&lt;Q&gt;SPY^FMA_EPS(NTMA,-20AY,0,CY,,"PORTAGG","MEANR")&lt;/Q&gt;&lt;R&gt;20&lt;/R&gt;&lt;C&gt;1&lt;/C&gt;&lt;D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xsi:type="xsd:double"&gt;17.7294354415451&lt;/D&gt;&lt;D xsi:type="xsd:double"&gt;16.6617703289926&lt;/D&gt;&lt;D xsi:type="xsd:double"&gt;22.2767073851686&lt;/D&gt;&lt;D xsi:type="xsd:double"&gt;22.9687104615331&lt;/D&gt;&lt;D xsi:type="xsd:double"&gt;24.3449867619937&lt;/D&gt;&lt;/FQL&gt;&lt;FQL&gt;&lt;Q&gt;EWU^P_PRICE_RETURNS_PR('52W',2,-10AY,0,AM)&lt;/Q&gt;&lt;R&gt;121&lt;/R&gt;&lt;C&gt;1&lt;/C&gt;&lt;D xsi:type="xsd:double"&gt;13.30862&lt;/D&gt;&lt;D xsi:type="xsd:double"&gt;7.763803&lt;/D&gt;&lt;D xsi:type="xsd:double"&gt;-2.895999&lt;/D&gt;&lt;D xsi:type="xsd:double"&gt;-0.46468377&lt;/D&gt;&lt;D xsi:type="xsd:double"&gt;-5.3910313&lt;/D&gt;&lt;D xsi:type="xsd:double"&gt;-8.800268&lt;/D&gt;&lt;D xsi:type="xsd:double"&gt;-2.3568392&lt;/D&gt;&lt;D xsi:type="xsd:double"&gt;-4.4285955&lt;/D&gt;&lt;D xsi:type="xsd:double"&gt;-1.9737601&lt;/D&gt;&lt;D xsi:type="xsd:double"&gt;-2.40615&lt;/D&gt;&lt;D xsi:type="xsd:double"&gt;-6.519514&lt;/D&gt;&lt;D xsi:type="xsd:double"&gt;-6.946528&lt;/D&gt;&lt;D xsi:type="xsd:double"&gt;-5.663043&lt;/D&gt;&lt;D xsi:type="xsd:double"&gt;-10.823995&lt;/D&gt;&lt;D xsi:type="xsd:double"&gt;1.6426563&lt;/D&gt;&lt;D xsi:type="xsd:double"&gt;-7.077265&lt;/D&gt;&lt;D xsi:type="xsd:double"&gt;-4.19063&lt;/D&gt;&lt;D xsi:type="xsd:double"&gt;-13.99728&lt;/D&gt;&lt;D xsi:type="xsd:double"&gt;-18.442244&lt;/D&gt;&lt;D xsi:type="xsd:double"&gt;-10.217661&lt;/D&gt;&lt;D xsi:type="xsd:double"&gt;-12.320352&lt;/D&gt;&lt;D xsi:type="xsd:double"&gt;-17.030598&lt;/D&gt;&lt;D xsi:type="xsd:double"&gt;-16.664398&lt;/D&gt;&lt;D xsi:type="xsd:double"&gt;-13.584882&lt;/D&gt;&lt;D xsi:type="xsd:double"&gt;-9.872574&lt;/D&gt;&lt;D xsi:type="xsd:double"&gt;-6.252199&lt;/D&gt;&lt;D xsi:type="xsd:double"&gt;-9.039963&lt;/D&gt;&lt;D xsi:type="xsd:double"&gt;-8.095789&lt;/D&gt;&lt;D xsi:type="xsd:double"&gt;-1.5744865&lt;/D&gt;&lt;D xsi:type="xsd:double"&gt;9.809899&lt;/D&gt;&lt;D xsi:type="xsd:double"&gt;12.07155&lt;/D&gt;&lt;D xsi:type="xsd:double"&gt;8.073914&lt;/D&gt;&lt;D xsi:type="xsd:double"&gt;4.8568487&lt;/D&gt;&lt;D xsi:type="xsd:double"&gt;13.357592&lt;/D&gt;&lt;D xsi:type="xsd:double"&gt;16.438652&lt;/D&gt;&lt;D xsi:type="xsd:double"&gt;12.846351&lt;/D&gt;&lt;D xsi:type="xsd:double"&gt;10.133433&lt;/D&gt;&lt;D xsi:type="xsd:double"&gt;13.702035&lt;/D&gt;&lt;D xsi:type="xsd:double"&gt;20.923864&lt;/D&gt;&lt;D xsi:type="xsd:double"&gt;19.654512&lt;/D&gt;&lt;D xsi:type="xsd:double"&gt;18.371487&lt;/D&gt;&lt;D xsi:type="xsd:double"&gt;23.227692&lt;/D&gt;&lt;D xsi:type="xsd:double"&gt;15.814948&lt;/D&gt;&lt;D xsi:type="xsd:double"&gt;11.670923&lt;/D&gt;&lt;D xsi:type="xsd:double"&gt;16.289055&lt;/D&gt;&lt;D xsi:type="xsd:double"&gt;11.0717535&lt;/D&gt;&lt;D xsi:type="xsd:double"&gt;10.635864&lt;/D&gt;&lt;D xsi:type="xsd:double"&gt;7.174742&lt;/D&gt;&lt;D xsi:type="xsd:double"&gt;3.3219576&lt;/D&gt;&lt;D xsi:type="xsd:double"&gt;0.5951524&lt;/D&gt;&lt;D xsi:type="xsd:double"&gt;-3.2964945&lt;/D&gt;&lt;D xsi:type="xsd:double"&gt;-3.8719296&lt;/D&gt;&lt;D xsi:type="xsd:double"&gt;-11.165852&lt;/D&gt;&lt;D xsi:type="xsd:double"&gt;-14.099151&lt;/D&gt;&lt;D xsi:type="xsd:double"&gt;-5.44883&lt;/D&gt;&lt;D xsi:type="xsd:double"&gt;0.525856&lt;/D&gt;&lt;D xsi:type="xsd:double"&gt;-2.0898998&lt;/D&gt;&lt;D xsi:type="xsd:double"&gt;-6.673294&lt;/D&gt;&lt;D xsi:type="xsd:double"&gt;-6.752205&lt;/D&gt;&lt;D xsi:type="xsd:double"&gt;-3.5268724&lt;/D&gt;&lt;D xsi:type="xsd:double"&gt;-6.3761415&lt;/D&gt;&lt;D xsi:type="xsd:double"&gt;-1.0177314&lt;/D&gt;&lt;D xsi:type="xsd:double"&gt;2.0165682&lt;/D&gt;&lt;D xsi:type="xsd:double"&gt;7.3406935&lt;/D&gt;&lt;D xsi:type="xsd:double"&gt;21.048986&lt;/D&gt;&lt;D xsi:type="xsd:double"&gt;16.468382&lt;/D&gt;&lt;D xsi:type="xsd:double"&gt;8.037626&lt;/D&gt;&lt;D xsi:type="xsd:double"&gt;-33.985268&lt;/D&gt;&lt;D xsi:type="xsd:double"&gt;-25.957525&lt;/D&gt;&lt;D xsi:type="xsd:double"&gt;-22.908646&lt;/D&gt;&lt;D xsi:type="xsd:double"&gt;-13.953185&lt;/D&gt;&lt;D xsi:type="xsd:double"&gt;-14.813763&lt;/D&gt;&lt;D xsi:type="xsd:double"&gt;-5.806482&lt;/D&gt;&lt;D xsi:type="xsd:double"&gt;-12.810457&lt;/D&gt;&lt;D xsi:type="xsd:double"&gt;-16.592163&lt;/D&gt;&lt;D xsi:type="xsd:double"&gt;-9.1438055&lt;/D&gt;&lt;D xsi:type="xsd:double"&gt;-11.0116005&lt;/D&gt;&lt;D xsi:type="xsd:double"&gt;-7.303733&lt;/D&gt;&lt;D xsi:type="xsd:double"&gt;-2.37391&lt;/D&gt;&lt;D xsi:type="xsd:double"&gt;54.406975&lt;/D&gt;&lt;D xsi:type="xsd:double"&gt;40.19542&lt;/D&gt;&lt;D xsi:type="xsd:double"&gt;43.580807&lt;/D&gt;&lt;D xsi:type="xsd:double"&gt;31.044329&lt;/D&gt;&lt;D xsi:type="xsd:double"&gt;25.689804&lt;/D&gt;&lt;D xsi:type="xsd:double"&gt;28.290344&lt;/D&gt;&lt;D xsi:type="xsd:double"&gt;27.550793&lt;/D&gt;&lt;D xsi:type="xsd:double"&gt;36.55976&lt;/D&gt;&lt;D xsi:type="xsd:double"&gt;19.656921&lt;/D&gt;&lt;D xsi:type="xsd:double"&gt;13.372791&lt;/D&gt;&lt;D xsi:type="xsd:double"&gt;16.181135&lt;/D&gt;&lt;D xsi:type="xsd:double"&gt;15.705824&lt;/D&gt;&lt;D xsi:type="xsd:double"&gt;7.7759624&lt;/D&gt;&lt;D xsi:type="xsd:double"&gt;10.448801&lt;/D&gt;&lt;D xsi:type="xsd:double"&gt;-1.5011191&lt;/D&gt;&lt;D xsi:type="xsd:double"&gt;-7.7516975&lt;/D&gt;&lt;D xsi:type="xsd:double"&gt;-6.7874613&lt;/D&gt;&lt;D xsi:type="xsd:double"&gt;-2.4012208&lt;/D&gt;&lt;D xsi:type="xsd:double"&gt;-9.768391&lt;/D&gt;&lt;D xsi:type="xsd:double"&gt;-17.870415&lt;/D&gt;&lt;D xsi:type="xsd:double"&gt;-5.793214&lt;/D&gt;&lt;D xsi:type="xsd:double"&gt;-2.2646487&lt;/D&gt;&lt;D xsi:type="xsd:double"&gt;-2.2443175&lt;/D&gt;&lt;D xsi:type="xsd:double"&gt;-2.6343167&lt;/D&gt;&lt;D xsi:type="xsd:double"&gt;-2.5978982&lt;/D&gt;&lt;D xsi:type="xsd:double"&gt;1.7532468&lt;/D&gt;&lt;D xsi:type="xsd:double"&gt;7.44226&lt;/D&gt;&lt;D xsi:type="xsd:double"&gt;15.131187&lt;/D&gt;&lt;D xsi:type="xsd:double"&gt;18.78302&lt;/D&gt;&lt;D xsi:type="xsd:double"&gt;5.0933957&lt;/D&gt;&lt;D xsi:type="xsd:double"&gt;17.66441&lt;/D&gt;&lt;D xsi:type="xsd:double"&gt;26.036263&lt;/D&gt;&lt;D xsi:type="xsd:double"&gt;8.801293&lt;/D&gt;&lt;D xsi:type="xsd:double"&gt;8.406711&lt;/D&gt;&lt;D xsi:type="xsd:double"&gt;2.467084&lt;/D&gt;&lt;D xsi:type="xsd:double"&gt;4.385245&lt;/D&gt;&lt;D xsi:type="xsd:double"&gt;14.273846&lt;/D&gt;&lt;D xsi:type="xsd:double"&gt;3.1710386&lt;/D&gt;&lt;D xsi:type="xsd:double"&gt;15.297043&lt;/D&gt;&lt;D xsi:type="xsd:double"&gt;12.2128725&lt;/D&gt;&lt;D xsi:type="xsd:double"&gt;14.152945&lt;/D&gt;&lt;D xsi:type="xsd:double"&gt;20.142387&lt;/D&gt;&lt;/FQL&gt;&lt;FQL&gt;&lt;Q&gt;EWJ^FG_TOTAL_RETURNC(-10AY,0,AM)&lt;/Q&gt;&lt;R&gt;121&lt;/R&gt;&lt;C&gt;1&lt;/C&gt;&lt;D xsi:type="xsd:double"&gt;-1.4003277&lt;/D&gt;&lt;D xsi:type="xsd:double"&gt;-1.25314&lt;/D&gt;&lt;D xsi:type="xsd:double"&gt;-7.868016&lt;/D&gt;&lt;D xsi:type="xsd:double"&gt;8.080805&lt;/D&gt;&lt;D xsi:type="xsd:double"&gt;-5.267638&lt;/D&gt;&lt;D xsi:type="xsd:double"&gt;2.3025513&lt;/D&gt;&lt;D xsi:type="xsd:double"&gt;5.202818&lt;/D&gt;&lt;D xsi:type="xsd:double"&gt;5.0293326&lt;/D&gt;&lt;D xsi:type="xsd:double"&gt;3.9904237&lt;/D&gt;&lt;D xsi:type="xsd:double"&gt;0.8442044&lt;/D&gt;&lt;D xsi:type="xsd:double"&gt;-1.5220761&lt;/D&gt;&lt;D xsi:type="xsd:double"&gt;0.5821943&lt;/D&gt;&lt;D xsi:type="xsd:double"&gt;-0.23165941&lt;/D&gt;&lt;D xsi:type="xsd:double"&gt;-7.8947425&lt;/D&gt;&lt;D xsi:type="xsd:double"&gt;2.6050448&lt;/D&gt;&lt;D xsi:type="xsd:double"&gt;2.1293998&lt;/D&gt;&lt;D xsi:type="xsd:double"&gt;-0.80192685&lt;/D&gt;&lt;D xsi:type="xsd:double"&gt;-9.002799&lt;/D&gt;&lt;D xsi:type="xsd:double"&gt;-3.4451902&lt;/D&gt;&lt;D xsi:type="xsd:double"&gt;6.1167717&lt;/D&gt;&lt;D xsi:type="xsd:double"&gt;2.8820992&lt;/D&gt;&lt;D xsi:type="xsd:double"&gt;-0.7640064&lt;/D&gt;&lt;D xsi:type="xsd:double"&gt;-2.0530343&lt;/D&gt;&lt;D xsi:type="xsd:double"&gt;4.578769&lt;/D&gt;&lt;D xsi:type="xsd:double"&gt;3.4511805&lt;/D&gt;&lt;D xsi:type="xsd:double"&gt;-1.6273379&lt;/D&gt;&lt;D xsi:type="xsd:double"&gt;2.0678282&lt;/D&gt;&lt;D xsi:type="xsd:double"&gt;0.081038475&lt;/D&gt;&lt;D xsi:type="xsd:double"&gt;1.4574885&lt;/D&gt;&lt;D xsi:type="xsd:double"&gt;2.7271867&lt;/D&gt;&lt;D xsi:type="xsd:double"&gt;0.6484628&lt;/D&gt;&lt;D xsi:type="xsd:double"&gt;0.85903406&lt;/D&gt;&lt;D xsi:type="xsd:double"&gt;-2.0325184&lt;/D&gt;&lt;D xsi:type="xsd:double"&gt;3.8529992&lt;/D&gt;&lt;D xsi:type="xsd:double"&gt;3.1582952&lt;/D&gt;&lt;D xsi:type="xsd:double"&gt;-0.45096874&lt;/D&gt;&lt;D xsi:type="xsd:double"&gt;1.7714024&lt;/D&gt;&lt;D xsi:type="xsd:double"&gt;1.2092352&lt;/D&gt;&lt;D xsi:type="xsd:double"&gt;4.344678&lt;/D&gt;&lt;D xsi:type="xsd:double"&gt;2.324772&lt;/D&gt;&lt;D xsi:type="xsd:double"&gt;1.5598536&lt;/D&gt;&lt;D xsi:type="xsd:double"&gt;6.6530943&lt;/D&gt;&lt;D xsi:type="xsd:double"&gt;-2.930981&lt;/D&gt;&lt;D xsi:type="xsd:double"&gt;-1.4772713&lt;/D&gt;&lt;D xsi:type="xsd:double"&gt;-0.47783256&lt;/D&gt;&lt;D xsi:type="xsd:double"&gt;1.2748241&lt;/D&gt;&lt;D xsi:type="xsd:double"&gt;-1.389569&lt;/D&gt;&lt;D xsi:type="xsd:double"&gt;-3.7948549&lt;/D&gt;&lt;D xsi:type="xsd:double"&gt;-1.0072947&lt;/D&gt;&lt;D xsi:type="xsd:double"&gt;1.9649148&lt;/D&gt;&lt;D xsi:type="xsd:double"&gt;-0.8774936&lt;/D&gt;&lt;D xsi:type="xsd:double"&gt;-5.0512075&lt;/D&gt;&lt;D xsi:type="xsd:double"&gt;-3.1809926&lt;/D&gt;&lt;D xsi:type="xsd:double"&gt;1.8982649&lt;/D&gt;&lt;D xsi:type="xsd:double"&gt;1.7553687&lt;/D&gt;&lt;D xsi:type="xsd:double"&gt;-0.3303349&lt;/D&gt;&lt;D xsi:type="xsd:double"&gt;1.7676234&lt;/D&gt;&lt;D xsi:type="xsd:double"&gt;-2.4968386&lt;/D&gt;&lt;D xsi:type="xsd:double"&gt;0.20412207&lt;/D&gt;&lt;D xsi:type="xsd:double"&gt;2.2533774&lt;/D&gt;&lt;D xsi:type="xsd:double"&gt;-2.3940086&lt;/D&gt;&lt;D xsi:type="xsd:double"&gt;5.9165&lt;/D&gt;&lt;D xsi:type="xsd:double"&gt;1.8737912&lt;/D&gt;&lt;D xsi:type="xsd:double"&gt;3.7480474&lt;/D&gt;&lt;D xsi:type="xsd:double"&gt;2.03377&lt;/D&gt;&lt;D xsi:type="xsd:double"&gt;-0.978601&lt;/D&gt;&lt;D xsi:type="xsd:double"&gt;-2.093804&lt;/D&gt;&lt;D xsi:type="xsd:double"&gt;-26.056458&lt;/D&gt;&lt;D xsi:type="xsd:double"&gt;16.034245&lt;/D&gt;&lt;D xsi:type="xsd:double"&gt;3.1106591&lt;/D&gt;&lt;D xsi:type="xsd:double"&gt;9.456921&lt;/D&gt;&lt;D xsi:type="xsd:double"&gt;-0.14247894&lt;/D&gt;&lt;D xsi:type="xsd:double"&gt;3.174603&lt;/D&gt;&lt;D xsi:type="xsd:double"&gt;2.7657747&lt;/D&gt;&lt;D xsi:type="xsd:double"&gt;-0.92514753&lt;/D&gt;&lt;D xsi:type="xsd:double"&gt;9.134126&lt;/D&gt;&lt;D xsi:type="xsd:double"&gt;3.655994&lt;/D&gt;&lt;D xsi:type="xsd:double"&gt;3.5407543&lt;/D&gt;&lt;D xsi:type="xsd:double"&gt;4.569268&lt;/D&gt;&lt;D xsi:type="xsd:double"&gt;-3.2284975&lt;/D&gt;&lt;D xsi:type="xsd:double"&gt;0.60396194&lt;/D&gt;&lt;D xsi:type="xsd:double"&gt;-4.216689&lt;/D&gt;&lt;D xsi:type="xsd:double"&gt;3.8457751&lt;/D&gt;&lt;D xsi:type="xsd:double"&gt;-2.6925325&lt;/D&gt;&lt;D xsi:type="xsd:double"&gt;1.4132619&lt;/D&gt;&lt;D xsi:type="xsd:double"&gt;8.478796&lt;/D&gt;&lt;D xsi:type="xsd:double"&gt;-6.639618&lt;/D&gt;&lt;D xsi:type="xsd:double"&gt;1.2166858&lt;/D&gt;&lt;D xsi:type="xsd:double"&gt;-1.340282&lt;/D&gt;&lt;D xsi:type="xsd:double"&gt;-1.1904716&lt;/D&gt;&lt;D xsi:type="xsd:double"&gt;-3.7929535&lt;/D&gt;&lt;D xsi:type="xsd:double"&gt;-5.8286963&lt;/D&gt;&lt;D xsi:type="xsd:double"&gt;-4.1208324&lt;/D&gt;&lt;D xsi:type="xsd:double"&gt;-4.075342&lt;/D&gt;&lt;D xsi:type="xsd:double"&gt;-5.114275&lt;/D&gt;&lt;D xsi:type="xsd:double"&gt;0.22796392&lt;/D&gt;&lt;D xsi:type="xsd:double"&gt;8.017445&lt;/D&gt;&lt;D xsi:type="xsd:double"&gt;-9.40516&lt;/D&gt;&lt;D xsi:type="xsd:double"&gt;-6.139845&lt;/D&gt;&lt;D xsi:type="xsd:double"&gt;12.174988&lt;/D&gt;&lt;D xsi:type="xsd:double"&gt;0.5725384&lt;/D&gt;&lt;D xsi:type="xsd:double"&gt;4.069662&lt;/D&gt;&lt;D xsi:type="xsd:double"&gt;0.4756093&lt;/D&gt;&lt;D xsi:type="xsd:double"&gt;-1.718092&lt;/D&gt;&lt;D xsi:type="xsd:double"&gt;4.245448&lt;/D&gt;&lt;D xsi:type="xsd:double"&gt;3.422308&lt;/D&gt;&lt;D xsi:type="xsd:double"&gt;5.138099&lt;/D&gt;&lt;D xsi:type="xsd:double"&gt;-1.0776579&lt;/D&gt;&lt;D xsi:type="xsd:double"&gt;-4.806155&lt;/D&gt;&lt;D xsi:type="xsd:double"&gt;6.0080886&lt;/D&gt;&lt;D xsi:type="xsd:double"&gt;-5.111927&lt;/D&gt;&lt;D xsi:type="xsd:double"&gt;2.71039&lt;/D&gt;&lt;D xsi:type="xsd:double"&gt;2.8994918&lt;/D&gt;&lt;D xsi:type="xsd:double"&gt;5.8562994&lt;/D&gt;&lt;D xsi:type="xsd:double"&gt;2.5629282&lt;/D&gt;&lt;D xsi:type="xsd:double"&gt;2.868557&lt;/D&gt;&lt;D xsi:type="xsd:double"&gt;-2.5298297&lt;/D&gt;&lt;D xsi:type="xsd:double"&gt;0.67836046&lt;/D&gt;&lt;D xsi:type="xsd:double"&gt;-0.9349644&lt;/D&gt;&lt;D xsi:type="xsd:double"&gt;7.1056247&lt;/D&gt;&lt;D xsi:type="xsd:double"&gt;-3.5187721&lt;/D&gt;&lt;/FQL&gt;&lt;FQL&gt;&lt;Q&gt;EWC^FMA_ROE(NTMA,-20AY,NOW,FY,"PORTAGG","MEANR")&lt;/Q&gt;&lt;R&gt;20&lt;/R&gt;&lt;C&gt;1&lt;/C&gt;&lt;D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xsi:type="xsd:double"&gt;11.9786783863837&lt;/D&gt;&lt;D xsi:type="xsd:double"&gt;11.1922086822881&lt;/D&gt;&lt;D xsi:type="xsd:double"&gt;14.1061782856045&lt;/D&gt;&lt;D xsi:type="xsd:double"&gt;14.0029403106189&lt;/D&gt;&lt;D xsi:type="xsd:double"&gt;13.147116166704&lt;/D&gt;&lt;/FQL&gt;&lt;FQL&gt;&lt;Q&gt;TIPSCL10Y-FDS^FG_YIELD(-10AY,0,Y,,"YTM")&lt;/Q&gt;&lt;R&gt;10&lt;/R&gt;&lt;C&gt;1&lt;/C&gt;&lt;D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xsi:type="xsd:string"&gt;@NA&lt;/D&gt;&lt;/FQL&gt;&lt;FQL&gt;&lt;Q&gt;CAGDPY@IT^EE_ACTUAL_ANNUAL(MED,+1)&lt;/Q&gt;&lt;R&gt;1&lt;/R&gt;&lt;C&gt;1&lt;/C&gt;&lt;D xsi:type="xsd:double"&gt;0.95&lt;/D&gt;&lt;/FQL&gt;&lt;FQL&gt;&lt;Q&gt;CAGDPY@JP^EE_ACTUAL_ANNUAL(MED,+1)&lt;/Q&gt;&lt;R&gt;1&lt;/R&gt;&lt;C&gt;1&lt;/C&gt;&lt;D xsi:type="xsd:double"&gt;3.8&lt;/D&gt;&lt;/FQL&gt;&lt;FQL&gt;&lt;Q&gt;CC_CA^FG_COMPANY_NAME&lt;/Q&gt;&lt;R&gt;1&lt;/R&gt;&lt;C&gt;1&lt;/C&gt;&lt;D xsi:type="xsd:string"&gt;Canada&lt;/D&gt;&lt;/FQL&gt;&lt;FQL&gt;&lt;Q&gt;USDSEK^FG_PRICE_CHANGE(0,-1AY)&lt;/Q&gt;&lt;R&gt;1&lt;/R&gt;&lt;C&gt;1&lt;/C&gt;&lt;D xsi:type="xsd:double"&gt;-3.4616172&lt;/D&gt;&lt;/FQL&gt;&lt;FQL&gt;&lt;Q&gt;USDCHF^FG_PRICE_CHANGE(0,-1AY)&lt;/Q&gt;&lt;R&gt;1&lt;/R&gt;&lt;C&gt;1&lt;/C&gt;&lt;D xsi:type="xsd:double"&gt;-1.2059808&lt;/D&gt;&lt;/FQL&gt;&lt;FQL&gt;&lt;Q&gt;USDEUR^FG_PRICE_CHANGE(0,-1AY)&lt;/Q&gt;&lt;R&gt;1&lt;/R&gt;&lt;C&gt;1&lt;/C&gt;&lt;D xsi:type="xsd:double"&gt;-0.7642627&lt;/D&gt;&lt;/FQL&gt;&lt;FQL&gt;&lt;Q&gt;USDAUD^FG_PRICE_CHANGE(0,-1AY)&lt;/Q&gt;&lt;R&gt;1&lt;/R&gt;&lt;C&gt;1&lt;/C&gt;&lt;D xsi:type="xsd:double"&gt;-2.7344644&lt;/D&gt;&lt;/FQL&gt;&lt;FQL&gt;&lt;Q&gt;QQQ^FMA_EPS(NTMA,-20AY,0,CY,,"PORTAGG","MEANR")&lt;/Q&gt;&lt;R&gt;20&lt;/R&gt;&lt;C&gt;1&lt;/C&gt;&lt;D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xsi:type="xsd:double"&gt;9.35231847826133&lt;/D&gt;&lt;D xsi:type="xsd:double"&gt;10.4260782968222&lt;/D&gt;&lt;D xsi:type="xsd:double"&gt;13.6402697448185&lt;/D&gt;&lt;D xsi:type="xsd:double"&gt;12.7503134402041&lt;/D&gt;&lt;D xsi:type="xsd:double"&gt;16.3243000822322&lt;/D&gt;&lt;/FQL&gt;&lt;FQL&gt;&lt;Q&gt;EWL^P_PRICE_RETURNS_PR('52W',2,-10AY,0,AM)&lt;/Q&gt;&lt;R&gt;121&lt;/R&gt;&lt;C&gt;1&lt;/C&gt;&lt;D xsi:type="xsd:double"&gt;11.388707&lt;/D&gt;&lt;D xsi:type="xsd:double"&gt;12.102985&lt;/D&gt;&lt;D xsi:type="xsd:double"&gt;-0.54529905&lt;/D&gt;&lt;D xsi:type="xsd:double"&gt;3.884101&lt;/D&gt;&lt;D xsi:type="xsd:double"&gt;3.2714963&lt;/D&gt;&lt;D xsi:type="xsd:double"&gt;0.5256176&lt;/D&gt;&lt;D xsi:type="xsd:double"&gt;0.4916191&lt;/D&gt;&lt;D xsi:type="xsd:double"&gt;0.024175644&lt;/D&gt;&lt;D xsi:type="xsd:double"&gt;4.265988&lt;/D&gt;&lt;D xsi:type="xsd:double"&gt;4.1538954&lt;/D&gt;&lt;D xsi:type="xsd:double"&gt;0.5208254&lt;/D&gt;&lt;D xsi:type="xsd:double"&gt;3.137064&lt;/D&gt;&lt;D xsi:type="xsd:double"&gt;3.4372568&lt;/D&gt;&lt;D xsi:type="xsd:double"&gt;-2.0127773&lt;/D&gt;&lt;D xsi:type="xsd:double"&gt;9.400368&lt;/D&gt;&lt;D xsi:type="xsd:double"&gt;-2.884829&lt;/D&gt;&lt;D xsi:type="xsd:double"&gt;0.6513715&lt;/D&gt;&lt;D xsi:type="xsd:double"&gt;-11.074763&lt;/D&gt;&lt;D xsi:type="xsd:double"&gt;-10.932702&lt;/D&gt;&lt;D xsi:type="xsd:double"&gt;-6.9224954&lt;/D&gt;&lt;D xsi:type="xsd:double"&gt;-10.218698&lt;/D&gt;&lt;D xsi:type="xsd:double"&gt;-13.973225&lt;/D&gt;&lt;D xsi:type="xsd:double"&gt;-12.094373&lt;/D&gt;&lt;D xsi:type="xsd:double"&gt;-10.125404&lt;/D&gt;&lt;D xsi:type="xsd:double"&gt;-5.7578144&lt;/D&gt;&lt;D xsi:type="xsd:double"&gt;-3.7422538&lt;/D&gt;&lt;D xsi:type="xsd:double"&gt;-3.9622784&lt;/D&gt;&lt;D xsi:type="xsd:double"&gt;-4.5049725&lt;/D&gt;&lt;D xsi:type="xsd:double"&gt;-4.4248104&lt;/D&gt;&lt;D xsi:type="xsd:double"&gt;7.3699594&lt;/D&gt;&lt;D xsi:type="xsd:double"&gt;11.721479&lt;/D&gt;&lt;D xsi:type="xsd:double"&gt;11.335874&lt;/D&gt;&lt;D xsi:type="xsd:double"&gt;8.065248&lt;/D&gt;&lt;D xsi:type="xsd:double"&gt;18.247437&lt;/D&gt;&lt;D xsi:type="xsd:double"&gt;20.656443&lt;/D&gt;&lt;D xsi:type="xsd:double"&gt;17.89893&lt;/D&gt;&lt;D xsi:type="xsd:double"&gt;13.922823&lt;/D&gt;&lt;D xsi:type="xsd:double"&gt;16.457855&lt;/D&gt;&lt;D xsi:type="xsd:double"&gt;21.218513&lt;/D&gt;&lt;D xsi:type="xsd:double"&gt;21.484507&lt;/D&gt;&lt;D xsi:type="xsd:double"&gt;23.920595&lt;/D&gt;&lt;D xsi:type="xsd:double"&gt;22.284603&lt;/D&gt;&lt;D xsi:type="xsd:double"&gt;18.25651&lt;/D&gt;&lt;D xsi:type="xsd:double"&gt;11.05566&lt;/D&gt;&lt;D xsi:type="xsd:double"&gt;10.154557&lt;/D&gt;&lt;D xsi:type="xsd:double"&gt;1.2854695&lt;/D&gt;&lt;D xsi:type="xsd:double"&gt;0.23064613&lt;/D&gt;&lt;D xsi:type="xsd:double"&gt;-0.7856667&lt;/D&gt;&lt;D xsi:type="xsd:double"&gt;1.133287&lt;/D&gt;&lt;D xsi:type="xsd:double"&gt;2.6845813&lt;/D&gt;&lt;D xsi:type="xsd:double"&gt;-3.657359&lt;/D&gt;&lt;D xsi:type="xsd:double"&gt;-1.3877213&lt;/D&gt;&lt;D xsi:type="xsd:double"&gt;-6.4518986&lt;/D&gt;&lt;D xsi:type="xsd:double"&gt;-7.9002323&lt;/D&gt;&lt;D xsi:type="xsd:double"&gt;-3.3263624&lt;/D&gt;&lt;D xsi:type="xsd:double"&gt;3.535056&lt;/D&gt;&lt;D xsi:type="xsd:double"&gt;6.3416243&lt;/D&gt;&lt;D xsi:type="xsd:double"&gt;7.4767947&lt;/D&gt;&lt;D xsi:type="xsd:double"&gt;13.125467&lt;/D&gt;&lt;D xsi:type="xsd:double"&gt;13.072276&lt;/D&gt;&lt;D xsi:type="xsd:double"&gt;11.431384&lt;/D&gt;&lt;D xsi:type="xsd:double"&gt;9.646082&lt;/D&gt;&lt;D xsi:type="xsd:double"&gt;15.8245325&lt;/D&gt;&lt;D xsi:type="xsd:double"&gt;20.709515&lt;/D&gt;&lt;D xsi:type="xsd:double"&gt;27.129507&lt;/D&gt;&lt;D xsi:type="xsd:double"&gt;27.949512&lt;/D&gt;&lt;D xsi:type="xsd:double"&gt;27.606796&lt;/D&gt;&lt;D xsi:type="xsd:double"&gt;-10.155744&lt;/D&gt;&lt;D xsi:type="xsd:double"&gt;3.1103373&lt;/D&gt;&lt;D xsi:type="xsd:double"&gt;4.604912&lt;/D&gt;&lt;D xsi:type="xsd:double"&gt;7.775128&lt;/D&gt;&lt;D xsi:type="xsd:double"&gt;11.692667&lt;/D&gt;&lt;D xsi:type="xsd:double"&gt;15.13735&lt;/D&gt;&lt;D xsi:type="xsd:double"&gt;15.942251&lt;/D&gt;&lt;D xsi:type="xsd:double"&gt;11.950815&lt;/D&gt;&lt;D xsi:type="xsd:double"&gt;12.926567&lt;/D&gt;&lt;D xsi:type="xsd:double"&gt;12.025905&lt;/D&gt;&lt;D xsi:type="xsd:double"&gt;11.896658&lt;/D&gt;&lt;D xsi:type="xsd:double"&gt;10.366762&lt;/D&gt;&lt;D xsi:type="xsd:double"&gt;45.39628&lt;/D&gt;&lt;D xsi:type="xsd:double"&gt;31.606281&lt;/D&gt;&lt;D xsi:type="xsd:double"&gt;31.530678&lt;/D&gt;&lt;D xsi:type="xsd:double"&gt;30.402756&lt;/D&gt;&lt;D xsi:type="xsd:double"&gt;22.917843&lt;/D&gt;&lt;D xsi:type="xsd:double"&gt;25.591993&lt;/D&gt;&lt;D xsi:type="xsd:double"&gt;17.535698&lt;/D&gt;&lt;D xsi:type="xsd:double"&gt;20.38182&lt;/D&gt;&lt;D xsi:type="xsd:double"&gt;19.830942&lt;/D&gt;&lt;D xsi:type="xsd:double"&gt;20.471455&lt;/D&gt;&lt;D xsi:type="xsd:double"&gt;14.737892&lt;/D&gt;&lt;D xsi:type="xsd:double"&gt;10.107576&lt;/D&gt;&lt;D xsi:type="xsd:double"&gt;8.519423&lt;/D&gt;&lt;D xsi:type="xsd:double"&gt;9.372878&lt;/D&gt;&lt;D xsi:type="xsd:double"&gt;-5.212778&lt;/D&gt;&lt;D xsi:type="xsd:double"&gt;-18.598228&lt;/D&gt;&lt;D xsi:type="xsd:double"&gt;-14.354229&lt;/D&gt;&lt;D xsi:type="xsd:double"&gt;-13.500172&lt;/D&gt;&lt;D xsi:type="xsd:double"&gt;-16.883707&lt;/D&gt;&lt;D xsi:type="xsd:double"&gt;-21.920849&lt;/D&gt;&lt;D xsi:type="xsd:double"&gt;-15.224976&lt;/D&gt;&lt;D xsi:type="xsd:double"&gt;-17.769735&lt;/D&gt;&lt;D xsi:type="xsd:double"&gt;-11.338472&lt;/D&gt;&lt;D xsi:type="xsd:double"&gt;-7.796425&lt;/D&gt;&lt;D xsi:type="xsd:double"&gt;-6.9968996&lt;/D&gt;&lt;D xsi:type="xsd:double"&gt;-2.1449327&lt;/D&gt;&lt;D xsi:type="xsd:double"&gt;11.751759&lt;/D&gt;&lt;D xsi:type="xsd:double"&gt;20.104206&lt;/D&gt;&lt;D xsi:type="xsd:double"&gt;19.281567&lt;/D&gt;&lt;D xsi:type="xsd:double"&gt;7.5033903&lt;/D&gt;&lt;D xsi:type="xsd:double"&gt;14.953077&lt;/D&gt;&lt;D xsi:type="xsd:double"&gt;21.810854&lt;/D&gt;&lt;D xsi:type="xsd:double"&gt;7.1773767&lt;/D&gt;&lt;D xsi:type="xsd:double"&gt;13.1729965&lt;/D&gt;&lt;D xsi:type="xsd:double"&gt;8.29711&lt;/D&gt;&lt;D xsi:type="xsd:double"&gt;7.3997617&lt;/D&gt;&lt;D xsi:type="xsd:double"&gt;16.651081&lt;/D&gt;&lt;D xsi:type="xsd:double"&gt;-2.2795498&lt;/D&gt;&lt;D xsi:type="xsd:double"&gt;3.7754416&lt;/D&gt;&lt;D xsi:type="xsd:double"&gt;8.481622&lt;/D&gt;&lt;D xsi:type="xsd:double"&gt;6.8865895&lt;/D&gt;&lt;D xsi:type="xsd:double"&gt;13.675821&lt;/D&gt;&lt;/FQL&gt;&lt;FQL&gt;&lt;Q&gt;EWG^FG_TOTAL_RETURNC(-10AY,0,AM)&lt;/Q&gt;&lt;R&gt;121&lt;/R&gt;&lt;C&gt;1&lt;/C&gt;&lt;D xsi:type="xsd:double"&gt;-7.851374&lt;/D&gt;&lt;D xsi:type="xsd:double"&gt;1.963532&lt;/D&gt;&lt;D xsi:type="xsd:double"&gt;-12.24209&lt;/D&gt;&lt;D xsi:type="xsd:double"&gt;5.4858923&lt;/D&gt;&lt;D xsi:type="xsd:double"&gt;1.7459154&lt;/D&gt;&lt;D xsi:type="xsd:double"&gt;1.095295&lt;/D&gt;&lt;D xsi:type="xsd:double"&gt;5.4171205&lt;/D&gt;&lt;D xsi:type="xsd:double"&gt;2.5351167&lt;/D&gt;&lt;D xsi:type="xsd:double"&gt;0.3341198&lt;/D&gt;&lt;D xsi:type="xsd:double"&gt;1.4318943&lt;/D&gt;&lt;D xsi:type="xsd:double"&gt;-5.449772&lt;/D&gt;&lt;D xsi:type="xsd:double"&gt;2.4419665&lt;/D&gt;&lt;D xsi:type="xsd:double"&gt;-3.2068968&lt;/D&gt;&lt;D xsi:type="xsd:double"&gt;-5.343783&lt;/D&gt;&lt;D xsi:type="xsd:double"&gt;-1.2419999&lt;/D&gt;&lt;D xsi:type="xsd:double"&gt;0.07622242&lt;/D&gt;&lt;D xsi:type="xsd:double"&gt;0.83777905&lt;/D&gt;&lt;D xsi:type="xsd:double"&gt;-10.76284&lt;/D&gt;&lt;D xsi:type="xsd:double"&gt;-0.80405474&lt;/D&gt;&lt;D xsi:type="xsd:double"&gt;8.873725&lt;/D&gt;&lt;D xsi:type="xsd:double"&gt;1.0971785&lt;/D&gt;&lt;D xsi:type="xsd:double"&gt;-0.6589174&lt;/D&gt;&lt;D xsi:type="xsd:double"&gt;-3.6675692&lt;/D&gt;&lt;D xsi:type="xsd:double"&gt;2.5959134&lt;/D&gt;&lt;D xsi:type="xsd:double"&gt;7.8042865&lt;/D&gt;&lt;D xsi:type="xsd:double"&gt;-4.276067&lt;/D&gt;&lt;D xsi:type="xsd:double"&gt;0.9796262&lt;/D&gt;&lt;D xsi:type="xsd:double"&gt;-2.7551472&lt;/D&gt;&lt;D xsi:type="xsd:double"&gt;4.269755&lt;/D&gt;&lt;D xsi:type="xsd:double"&gt;3.8244128&lt;/D&gt;&lt;D xsi:type="xsd:double"&gt;1.917398&lt;/D&gt;&lt;D xsi:type="xsd:double"&gt;3.075254&lt;/D&gt;&lt;D xsi:type="xsd:double"&gt;-1.1934042&lt;/D&gt;&lt;D xsi:type="xsd:double"&gt;10.195387&lt;/D&gt;&lt;D xsi:type="xsd:double"&gt;0.67697763&lt;/D&gt;&lt;D xsi:type="xsd:double"&gt;1.4904857&lt;/D&gt;&lt;D xsi:type="xsd:double"&gt;-0.739789&lt;/D&gt;&lt;D xsi:type="xsd:double"&gt;3.7589073&lt;/D&gt;&lt;D xsi:type="xsd:double"&gt;2.3422837&lt;/D&gt;&lt;D xsi:type="xsd:double"&gt;0.30515194&lt;/D&gt;&lt;D xsi:type="xsd:double"&gt;0.4867673&lt;/D&gt;&lt;D xsi:type="xsd:double"&gt;4.896271&lt;/D&gt;&lt;D xsi:type="xsd:double"&gt;-3.7037134&lt;/D&gt;&lt;D xsi:type="xsd:double"&gt;-1.953119&lt;/D&gt;&lt;D xsi:type="xsd:double"&gt;0.8274555&lt;/D&gt;&lt;D xsi:type="xsd:double"&gt;-0.24316907&lt;/D&gt;&lt;D xsi:type="xsd:double"&gt;-1.1882961&lt;/D&gt;&lt;D xsi:type="xsd:double"&gt;-2.764696&lt;/D&gt;&lt;D xsi:type="xsd:double"&gt;-5.196494&lt;/D&gt;&lt;D xsi:type="xsd:double"&gt;1.7814279&lt;/D&gt;&lt;D xsi:type="xsd:double"&gt;-3.7024498&lt;/D&gt;&lt;D xsi:type="xsd:double"&gt;-4.648721&lt;/D&gt;&lt;D xsi:type="xsd:double"&gt;-6.2316713&lt;/D&gt;&lt;D xsi:type="xsd:double"&gt;1.9546509&lt;/D&gt;&lt;D xsi:type="xsd:double"&gt;2.3773074&lt;/D&gt;&lt;D xsi:type="xsd:double"&gt;3.2958746&lt;/D&gt;&lt;D xsi:type="xsd:double"&gt;2.9731631&lt;/D&gt;&lt;D xsi:type="xsd:double"&gt;-0.35211444&lt;/D&gt;&lt;D xsi:type="xsd:double"&gt;-2.1554708&lt;/D&gt;&lt;D xsi:type="xsd:double"&gt;2.8149247&lt;/D&gt;&lt;D xsi:type="xsd:double"&gt;-7.614577&lt;/D&gt;&lt;D xsi:type="xsd:double"&gt;6.289053&lt;/D&gt;&lt;D xsi:type="xsd:double"&gt;2.3153305&lt;/D&gt;&lt;D xsi:type="xsd:double"&gt;4.3103456&lt;/D&gt;&lt;D xsi:type="xsd:double"&gt;2.272725&lt;/D&gt;&lt;D xsi:type="xsd:double"&gt;0.33669472&lt;/D&gt;&lt;D xsi:type="xsd:double"&gt;-1.0738254</t>
        </r>
      </text>
    </comment>
    <comment ref="A10" authorId="0" shapeId="0" xr:uid="{3EDCCCA8-CCCF-43AA-ACEE-955D33759746}">
      <text>
        <r>
          <rPr>
            <b/>
            <sz val="9"/>
            <color indexed="81"/>
            <rFont val="Tahoma"/>
            <charset val="1"/>
          </rPr>
          <t>&lt;/D&gt;&lt;D xsi:type="xsd:double"&gt;-36.4654&lt;/D&gt;&lt;D xsi:type="xsd:double"&gt;18.15269&lt;/D&gt;&lt;D xsi:type="xsd:double"&gt;2.5756955&lt;/D&gt;&lt;D xsi:type="xsd:double"&gt;20.717287&lt;/D&gt;&lt;D xsi:type="xsd:double"&gt;5.4572225&lt;/D&gt;&lt;D xsi:type="xsd:double"&gt;3.6713243&lt;/D&gt;&lt;D xsi:type="xsd:double"&gt;2.1247983&lt;/D&gt;&lt;D xsi:type="xsd:double"&gt;-2.2126794&lt;/D&gt;&lt;D xsi:type="xsd:double"&gt;1.5535235&lt;/D&gt;&lt;D xsi:type="xsd:double"&gt;6.7825317&lt;/D&gt;&lt;D xsi:type="xsd:double"&gt;0.40997267&lt;/D&gt;&lt;D xsi:type="xsd:double"&gt;3.5804033&lt;/D&gt;&lt;D xsi:type="xsd:double"&gt;0.30322075&lt;/D&gt;&lt;D xsi:type="xsd:double"&gt;6.9830656&lt;/D&gt;&lt;D xsi:type="xsd:double"&gt;0.084769726&lt;/D&gt;&lt;D xsi:type="xsd:double"&gt;1.3258576&lt;/D&gt;&lt;D xsi:type="xsd:double"&gt;-2.7769864&lt;/D&gt;&lt;D xsi:type="xsd:double"&gt;2.4774075&lt;/D&gt;&lt;D xsi:type="xsd:double"&gt;-1.706481&lt;/D&gt;&lt;D xsi:type="xsd:double"&gt;-2.690971&lt;/D&gt;&lt;D xsi:type="xsd:double"&gt;1.2191534&lt;/D&gt;&lt;D xsi:type="xsd:double"&gt;-4.213196&lt;/D&gt;&lt;D xsi:type="xsd:double"&gt;3.136313&lt;/D&gt;&lt;D xsi:type="xsd:double"&gt;-3.3593237&lt;/D&gt;&lt;D xsi:type="xsd:double"&gt;-10.21105&lt;/D&gt;&lt;D xsi:type="xsd:double"&gt;-6.0836496&lt;/D&gt;&lt;D xsi:type="xsd:double"&gt;-5.152738&lt;/D&gt;&lt;D xsi:type="xsd:double"&gt;-5.949026&lt;/D&gt;&lt;D xsi:type="xsd:double"&gt;-6.2951922&lt;/D&gt;&lt;D xsi:type="xsd:double"&gt;9.0785265&lt;/D&gt;&lt;D xsi:type="xsd:double"&gt;-10.070747&lt;/D&gt;&lt;D xsi:type="xsd:double"&gt;-6.987506&lt;/D&gt;&lt;D xsi:type="xsd:double"&gt;23.184072&lt;/D&gt;&lt;D xsi:type="xsd:double"&gt;-0.6128192&lt;/D&gt;&lt;D xsi:type="xsd:double"&gt;12.96748&lt;/D&gt;&lt;D xsi:type="xsd:double"&gt;0.93557835&lt;/D&gt;&lt;D xsi:type="xsd:double"&gt;-4.4563293&lt;/D&gt;&lt;D xsi:type="xsd:double"&gt;8.731341&lt;/D&gt;&lt;D xsi:type="xsd:double"&gt;-1.2354136&lt;/D&gt;&lt;D xsi:type="xsd:double"&gt;3.2099962&lt;/D&gt;&lt;D xsi:type="xsd:double"&gt;1.037705&lt;/D&gt;&lt;D xsi:type="xsd:double"&gt;-5.2036943&lt;/D&gt;&lt;D xsi:type="xsd:double"&gt;-1.3001084&lt;/D&gt;&lt;D xsi:type="xsd:double"&gt;-5.085987&lt;/D&gt;&lt;D xsi:type="xsd:double"&gt;6.515026&lt;/D&gt;&lt;D xsi:type="xsd:double"&gt;5.9355855&lt;/D&gt;&lt;D xsi:type="xsd:double"&gt;-2.0447552&lt;/D&gt;&lt;D xsi:type="xsd:double"&gt;2.9298902&lt;/D&gt;&lt;D xsi:type="xsd:double"&gt;5.625212&lt;/D&gt;&lt;D xsi:type="xsd:double"&gt;-3.7536085&lt;/D&gt;&lt;D xsi:type="xsd:double"&gt;7.833326&lt;/D&gt;&lt;D xsi:type="xsd:double"&gt;-4.945201&lt;/D&gt;&lt;D xsi:type="xsd:double"&gt;5.398202&lt;/D&gt;&lt;D xsi:type="xsd:double"&gt;-0.7271588&lt;/D&gt;&lt;/FQL&gt;&lt;FQL&gt;&lt;Q&gt;EWA^FMA_DIV_YLD(NTMA,-10AY,0,AM,"PORTAGG","MEANR")&lt;/Q&gt;&lt;R&gt;121&lt;/R&gt;&lt;C&gt;1&lt;/C&gt;&lt;D xsi:type="xsd:double"&gt;4.72472687607562&lt;/D&gt;&lt;D xsi:type="xsd:double"&gt;4.88521882792263&lt;/D&gt;&lt;D xsi:type="xsd:double"&gt;5.08179694126882&lt;/D&gt;&lt;D xsi:type="xsd:double"&gt;4.91118845114226&lt;/D&gt;&lt;D xsi:type="xsd:double"&gt;5.21095878820508&lt;/D&gt;&lt;D xsi:type="xsd:double"&gt;5.07826404210497&lt;/D&gt;&lt;D xsi:type="xsd:double"&gt;4.618311590846&lt;/D&gt;&lt;D xsi:type="xsd:double"&gt;4.69016839157609&lt;/D&gt;&lt;D xsi:type="xsd:double"&gt;4.54929471342573&lt;/D&gt;&lt;D xsi:type="xsd:double"&gt;4.68199650881122&lt;/D&gt;&lt;D xsi:type="xsd:double"&gt;4.90583021123829&lt;/D&gt;&lt;D xsi:type="xsd:double"&gt;4.81433972663931&lt;/D&gt;&lt;D xsi:type="xsd:double"&gt;5.10791159386685&lt;/D&gt;&lt;D xsi:type="xsd:double"&gt;5.40362490417266&lt;/D&gt;&lt;D xsi:type="xsd:double"&gt;5.17781929203322&lt;/D&gt;&lt;D xsi:type="xsd:double"&gt;5.47825853040226&lt;/D&gt;&lt;D xsi:type="xsd:double"&gt;5.40452144817806&lt;/D&gt;&lt;D xsi:type="xsd:double"&gt;5.57444278315214&lt;/D&gt;&lt;D xsi:type="xsd:double"&gt;5.14841112704287&lt;/D&gt;&lt;D xsi:type="xsd:double"&gt;4.78526741282865&lt;/D&gt;&lt;D xsi:type="xsd:double"&gt;4.74619603822554&lt;/D&gt;&lt;D xsi:type="xsd:double"&gt;4.5668794018158&lt;/D&gt;&lt;D xsi:type="xsd:double"&gt;4.78175703044987&lt;/D&gt;&lt;D xsi:type="xsd:double"&gt;4.52703744939497&lt;/D&gt;&lt;D xsi:type="xsd:double"&gt;4.46529514251582&lt;/D&gt;&lt;D xsi:type="xsd:double"&gt;4.66560174717176&lt;/D&gt;&lt;D xsi:type="xsd:double"&gt;4.54815502393868&lt;/D&gt;&lt;D xsi:type="xsd:double"&gt;4.64861007612764&lt;/D&gt;&lt;D xsi:type="xsd:double"&gt;4.60882932854851&lt;/D&gt;&lt;D xsi:type="xsd:double"&gt;4.47686615468953&lt;/D&gt;&lt;D xsi:type="xsd:double"&gt;4.45495119253647&lt;/D&gt;&lt;D xsi:type="xsd:double"&gt;4.56306656538034&lt;/D&gt;&lt;D xsi:type="xsd:double"&gt;4.49241857908844&lt;/D&gt;&lt;D xsi:type="xsd:double"&gt;4.54745244153196&lt;/D&gt;&lt;D xsi:type="xsd:double"&gt;4.60557263210598&lt;/D&gt;&lt;D xsi:type="xsd:double"&gt;4.56231754683531&lt;/D&gt;&lt;D xsi:type="xsd:double"&gt;4.5469941899398&lt;/D&gt;&lt;D xsi:type="xsd:double"&gt;4.60047393948092&lt;/D&gt;&lt;D xsi:type="xsd:double"&gt;4.51606783652537&lt;/D&gt;&lt;D xsi:type="xsd:double"&gt;4.49742729255976&lt;/D&gt;&lt;D xsi:type="xsd:double"&gt;4.50421286410196&lt;/D&gt;&lt;D xsi:type="xsd:double"&gt;4.48691495470108&lt;/D&gt;&lt;D xsi:type="xsd:double"&gt;4.64556705569957&lt;/D&gt;&lt;D xsi:type="xsd:double"&gt;4.67978048313108&lt;/D&gt;&lt;D xsi:type="xsd:double"&gt;4.77421823011001&lt;/D&gt;&lt;D xsi:type="xsd:double"&gt;4.60924521550403&lt;/D&gt;&lt;D xsi:type="xsd:double"&gt;4.72905838640092&lt;/D&gt;&lt;D xsi:type="xsd:double"&gt;4.58292754516543&lt;/D&gt;&lt;D xsi:type="xsd:double"&gt;4.56261857430282&lt;/D&gt;&lt;D xsi:type="xsd:double"&gt;4.76945326768688&lt;/D&gt;&lt;D xsi:type="xsd:double"&gt;5.04137174782375&lt;/D&gt;&lt;D xsi:type="xsd:double"&gt;5.22372835161489&lt;/D&gt;&lt;D xsi:type="xsd:double"&gt;5.40791565395275&lt;/D&gt;&lt;D xsi:type="xsd:double"&gt;5.1255888998433&lt;/D&gt;&lt;D xsi:type="xsd:double"&gt;4.95936250542958&lt;/D&gt;&lt;D xsi:type="xsd:double"&gt;4.96178941197789&lt;/D&gt;&lt;D xsi:type="xsd:double"&gt;4.87501083289794&lt;/D&gt;&lt;D xsi:type="xsd:double"&gt;4.90728910907984&lt;/D&gt;&lt;D xsi:type="xsd:double"&gt;4.68737642622889&lt;/D&gt;&lt;D xsi:type="xsd:double"&gt;4.63218525632988&lt;/D&gt;&lt;D xsi:type="xsd:double"&gt;4.77194841129488&lt;/D&gt;&lt;D xsi:type="xsd:double"&gt;4.46062172066951&lt;/D&gt;&lt;D xsi:type="xsd:double"&gt;4.40470129781224&lt;/D&gt;&lt;D xsi:type="xsd:double"&gt;4.31043540118892&lt;/D&gt;&lt;D xsi:type="xsd:double"&gt;4.22271811152337&lt;/D&gt;&lt;D xsi:type="xsd:double"&gt;4.13493354447148&lt;/D&gt;&lt;D xsi:type="xsd:double"&gt;4.0732781274069&lt;/D&gt;&lt;D xsi:type="xsd:double"&gt;5.74725289613215&lt;/D&gt;&lt;D xsi:type="xsd:double"&gt;4.39934472518718&lt;/D&gt;&lt;D xsi:type="xsd:double"&gt;3.83233180754537&lt;/D&gt;&lt;D xsi:type="xsd:double"&gt;3.43460482596426&lt;/D&gt;&lt;D xsi:type="xsd:double"&gt;3.41742101215766&lt;/D&gt;&lt;D xsi:type="xsd:double"&gt;3.33913985231138&lt;/D&gt;&lt;D xsi:type="xsd:double"&gt;3.55503722538692&lt;/D&gt;&lt;D xsi:type="xsd:double"&gt;3.56363253816023&lt;/D&gt;&lt;D xsi:type="xsd:double"&gt;3.47402429338544&lt;/D&gt;&lt;D xsi:type="xsd:double"&gt;3.53025741426098&lt;/D&gt;&lt;D xsi:type="xsd:double"&gt;3.55834767383295&lt;/D&gt;&lt;D xsi:type="xsd:double"&gt;3.66463898213004&lt;/D&gt;&lt;D xsi:type="xsd:double"&gt;3.85852715995462&lt;/D&gt;&lt;D xsi:type="xsd:double"&gt;3.85939079817717&lt;/D&gt;&lt;D xsi:type="xsd:double"&gt;3.94546016722029&lt;/D&gt;&lt;D xsi:type="xsd:double"&gt;3.82668874091987&lt;/D&gt;&lt;D xsi:type="xsd:double"&gt;4.18676000273966&lt;/D&gt;&lt;D xsi:type="xsd:double"&gt;4.03342640148352&lt;/D&gt;&lt;D xsi:type="xsd:double"&gt;4.06354799417267&lt;/D&gt;&lt;D xsi:type="xsd:double"&gt;3.98455239929194&lt;/D&gt;&lt;D xsi:type="xsd:double"&gt;3.97013316114272&lt;/D&gt;&lt;D xsi:type="xsd:double"&gt;3.97943876123128&lt;/D&gt;&lt;D xsi:type="xsd:double"&gt;3.87700807266835&lt;/D&gt;&lt;D xsi:type="xsd:double"&gt;4.26943915960223&lt;/D&gt;&lt;D xsi:type="xsd:double"&gt;4.33763736568539&lt;/D&gt;&lt;D xsi:type="xsd:double"&gt;4.33388876302986&lt;/D&gt;&lt;D xsi:type="xsd:double"&gt;4.75176205029966&lt;/D&gt;&lt;D xsi:type="xsd:double"&gt;5.21636138609658&lt;/D&gt;&lt;D xsi:type="xsd:double"&gt;5.21685834031879&lt;/D&gt;&lt;D xsi:type="xsd:double"&gt;4.69056642944507&lt;/D&gt;&lt;D xsi:type="xsd:double"&gt;5.00216648527706&lt;/D&gt;&lt;D xsi:type="xsd:double"&gt;5.08928712528076&lt;/D&gt;&lt;D xsi:type="xsd:double"&gt;4.62130939307173&lt;/D&gt;&lt;D xsi:type="xsd:double"&gt;4.59377994530832&lt;/D&gt;&lt;D xsi:type="xsd:double"&gt;4.39724632312393&lt;/D&gt;&lt;D xsi:type="xsd:double"&gt;4.35704927456971&lt;/D&gt;&lt;D xsi:type="xsd:double"&gt;4.69499527319466&lt;/D&gt;&lt;D xsi:type="xsd:double"&gt;4.36084801518595&lt;/D&gt;&lt;D xsi:type="xsd:double"&gt;4.43996759235191&lt;/D&gt;&lt;D xsi:type="xsd:double"&gt;4.29993057713714&lt;/D&gt;&lt;D xsi:type="xsd:double"&gt;4.17666727173991&lt;/D&gt;&lt;D xsi:type="xsd:double"&gt;4.27336278231403&lt;/D&gt;&lt;D xsi:type="xsd:double"&gt;4.14598123744042&lt;/D&gt;&lt;D xsi:type="xsd:double"&gt;4.37435863444989&lt;/D&gt;&lt;D xsi:type="xsd:double"&gt;4.32835246363156&lt;/D&gt;&lt;D xsi:type="xsd:double"&gt;4.07646021625696&lt;/D&gt;&lt;D xsi:type="xsd:double"&gt;4.12039501097617&lt;/D&gt;&lt;D xsi:type="xsd:double"&gt;3.98526379847662&lt;/D&gt;&lt;D xsi:type="xsd:double"&gt;4.00436529929249&lt;/D&gt;&lt;D xsi:type="xsd:double"&gt;4.0649296113061&lt;/D&gt;&lt;D xsi:type="xsd:double"&gt;3.89550480790965&lt;/D&gt;&lt;D xsi:type="xsd:double"&gt;3.95255765361712&lt;/D&gt;&lt;D xsi:type="xsd:double"&gt;3.81258430836344&lt;/D&gt;&lt;D xsi:type="xsd:double"&gt;3.86294147507275&lt;/D&gt;&lt;/FQL&gt;&lt;FQL&gt;&lt;Q&gt;ENZL^JULIAN(FMA_DIV_YLD(NTMA,-10AY,0,AM,"PORTAGG","MEANR").DATES)&lt;/Q&gt;&lt;R&gt;121&lt;/R&gt;&lt;C&gt;1&lt;/C&gt;&lt;D xsi:type="xsd:long"&gt;41866&lt;/D&gt;&lt;D xsi:type="xsd:long"&gt;41898&lt;/D&gt;&lt;D xsi:type="xsd:long"&gt;41928&lt;/D&gt;&lt;D xsi:type="xsd:long"&gt;41957&lt;/D&gt;&lt;D xsi:type="xsd:long"&gt;41989&lt;/D&gt;&lt;D xsi:type="xsd:long"&gt;42020&lt;/D&gt;&lt;D xsi:type="xsd:long"&gt;42048&lt;/D&gt;&lt;D xsi:type="xsd:long"&gt;42079&lt;/D&gt;&lt;D xsi:type="xsd:long"&gt;42110&lt;/D&gt;&lt;D xsi:type="xsd:long"&gt;42139&lt;/D&gt;&lt;D xsi:type="xsd:long"&gt;42171&lt;/D&gt;&lt;D xsi:type="xsd:long"&gt;42201&lt;/D&gt;&lt;D xsi:type="xsd:long"&gt;42230&lt;/D&gt;&lt;D xsi:type="xsd:long"&gt;42263&lt;/D&gt;&lt;D xsi:type="xsd:long"&gt;42293&lt;/D&gt;&lt;D xsi:type="xsd:long"&gt;42324&lt;/D&gt;&lt;D xsi:type="xsd:long"&gt;42354&lt;/D&gt;&lt;D xsi:type="xsd:long"&gt;42384&lt;/D&gt;&lt;D xsi:type="xsd:long"&gt;42416&lt;/D&gt;&lt;D xsi:type="xsd:long"&gt;42445&lt;/D&gt;&lt;D xsi:type="xsd:long"&gt;42475&lt;/D&gt;&lt;D xsi:type="xsd:long"&gt;42506&lt;/D&gt;&lt;D xsi:type="xsd:long"&gt;42537&lt;/D&gt;&lt;D xsi:type="xsd:long"&gt;42566&lt;/D&gt;&lt;D xsi:type="xsd:long"&gt;42598&lt;/D&gt;&lt;D xsi:type="xsd:long"&gt;42629&lt;/D&gt;&lt;D xsi:type="xsd:long"&gt;42657&lt;/D&gt;&lt;D xsi:type="xsd:long"&gt;42690&lt;/D&gt;&lt;D xsi:type="xsd:long"&gt;42720&lt;/D&gt;&lt;D xsi:type="xsd:long"&gt;42748&lt;/D&gt;&lt;D xsi:type="xsd:long"&gt;42782&lt;/D&gt;&lt;D xsi:type="xsd:long"&gt;42810&lt;/D&gt;&lt;D xsi:type="xsd:long"&gt;42838&lt;/D&gt;&lt;D xsi:type="xsd:long"&gt;42871&lt;/D&gt;&lt;D xsi:type="xsd:long"&gt;42902&lt;/D&gt;&lt;D xsi:type="xsd:long"&gt;42930&lt;/D&gt;&lt;D xsi:type="xsd:long"&gt;42963&lt;/D&gt;&lt;D xsi:type="xsd:long"&gt;42993&lt;/D&gt;&lt;D xsi:type="xsd:long"&gt;43024&lt;/D&gt;&lt;D xsi:type="xsd:long"&gt;43055&lt;/D&gt;&lt;D xsi:type="xsd:long"&gt;43084&lt;/D&gt;&lt;D xsi:type="xsd:long"&gt;43116&lt;/D&gt;&lt;D xsi:type="xsd:long"&gt;43147&lt;/D&gt;&lt;D xsi:type="xsd:long"&gt;43175&lt;/D&gt;&lt;D xsi:type="xsd:long"&gt;43206&lt;/D&gt;&lt;D xsi:type="xsd:long"&gt;43236&lt;/D&gt;&lt;D xsi:type="xsd:long"&gt;43266&lt;/D&gt;&lt;D xsi:type="xsd:long"&gt;43297&lt;/D&gt;&lt;D xsi:type="xsd:long"&gt;43328&lt;/D&gt;&lt;D xsi:type="xsd:long"&gt;43357&lt;/D&gt;&lt;D xsi:type="xsd:long"&gt;43389&lt;/D&gt;&lt;D xsi:type="xsd:long"&gt;43420&lt;/D&gt;&lt;D xsi:type="xsd:long"&gt;43448&lt;/D&gt;&lt;D xsi:type="xsd:long"&gt;43481&lt;/D&gt;&lt;D xsi:type="xsd:long"&gt;43511&lt;/D&gt;&lt;D xsi:type="xsd:long"&gt;43539&lt;/D&gt;&lt;D xsi:type="xsd:long"&gt;43571&lt;/D&gt;&lt;D xsi:type="xsd:long"&gt;43601&lt;/D&gt;&lt;D xsi:type="xsd:long"&gt;43630&lt;/D&gt;&lt;D xsi:type="xsd:long"&gt;43662&lt;/D&gt;&lt;D xsi:type="xsd:long"&gt;43693&lt;/D&gt;&lt;D xsi:type="xsd:long"&gt;43724&lt;/D&gt;&lt;D xsi:type="xsd:long"&gt;43754&lt;/D&gt;&lt;D xsi:type="xsd:long"&gt;43784&lt;/D&gt;&lt;D xsi:type="xsd:long"&gt;43815&lt;/D&gt;&lt;D xsi:type="xsd:long"&gt;43846&lt;/D&gt;&lt;D xsi:type="xsd:long"&gt;43875&lt;/D&gt;&lt;D xsi:type="xsd:long"&gt;43906&lt;/D&gt;&lt;D xsi:type="xsd:long"&gt;43937&lt;/D&gt;&lt;D xsi:type="xsd:long"&gt;43966&lt;/D&gt;&lt;D xsi:type="xsd:long"&gt;43998&lt;/D&gt;&lt;D xsi:type="xsd:long"&gt;44028&lt;/D&gt;&lt;D xsi:type="xsd:long"&gt;44057&lt;/D&gt;&lt;D xsi:type="xsd:long"&gt;44090&lt;/D&gt;&lt;D xsi:type="xsd:long"&gt;44120&lt;/D&gt;&lt;D xsi:type="xsd:long"&gt;44151&lt;/D&gt;&lt;D xsi:type="xsd:long"&gt;44181&lt;/D&gt;&lt;D xsi:type="xsd:long"&gt;44211&lt;/D&gt;&lt;D xsi:type="xsd:long"&gt;44243&lt;/D&gt;&lt;D xsi:type="xsd:long"&gt;44271&lt;/D&gt;&lt;D xsi:type="xsd:long"&gt;44302&lt;/D&gt;&lt;D xsi:type="xsd:long"&gt;44330&lt;/D&gt;&lt;D xsi:type="xsd:long"&gt;44363&lt;/D&gt;&lt;D xsi:type="xsd:long"&gt;44393&lt;/D&gt;&lt;D xsi:type="xsd:long"&gt;44424&lt;/D&gt;&lt;D xsi:type="xsd:long"&gt;44455&lt;/D&gt;&lt;D xsi:type="xsd:long"&gt;44484&lt;/D&gt;&lt;D xsi:type="xsd:long"&gt;44516&lt;/D&gt;&lt;D xsi:type="xsd:long"&gt;44546&lt;/D&gt;&lt;D xsi:type="xsd:long"&gt;44575&lt;/D&gt;&lt;D xsi:type="xsd:long"&gt;44608&lt;/D&gt;&lt;D xsi:type="xsd:long"&gt;44636&lt;/D&gt;&lt;D xsi:type="xsd:long"&gt;44665&lt;/D&gt;&lt;D xsi:type="xsd:long"&gt;44697&lt;/D&gt;&lt;D xsi:type="xsd:long"&gt;44728&lt;/D&gt;&lt;D xsi:type="xsd:long"&gt;44757&lt;/D&gt;&lt;D xsi:type="xsd:long"&gt;44789&lt;/D&gt;&lt;D xsi:type="xsd:long"&gt;44820&lt;/D&gt;&lt;D xsi:type="xsd:long"&gt;44848&lt;/D&gt;&lt;D xsi:type="xsd:long"&gt;44881&lt;/D&gt;&lt;D xsi:type="xsd:long"&gt;44911&lt;/D&gt;&lt;D xsi:type="xsd:long"&gt;44939&lt;/D&gt;&lt;D xsi:type="xsd:long"&gt;44973&lt;/D&gt;&lt;D xsi:type="xsd:long"&gt;45001&lt;/D&gt;&lt;D xsi:type="xsd:long"&gt;45030&lt;/D&gt;&lt;D xsi:type="xsd:long"&gt;45062&lt;/D&gt;&lt;D xsi:type="xsd:long"&gt;45093&lt;/D&gt;&lt;D xsi:type="xsd:long"&gt;45121&lt;/D&gt;&lt;D xsi:type="xsd:long"&gt;45154&lt;/D&gt;&lt;D xsi:type="xsd:long"&gt;45184&lt;/D&gt;&lt;D xsi:type="xsd:long"&gt;45215&lt;/D&gt;&lt;D xsi:type="xsd:long"&gt;45246&lt;/D&gt;&lt;D xsi:type="xsd:long"&gt;45275&lt;/D&gt;&lt;D xsi:type="xsd:long"&gt;45307&lt;/D&gt;&lt;D xsi:type="xsd:long"&gt;45338&lt;/D&gt;&lt;D xsi:type="xsd:long"&gt;45366&lt;/D&gt;&lt;D xsi:type="xsd:long"&gt;45398&lt;/D&gt;&lt;D xsi:type="xsd:long"&gt;45428&lt;/D&gt;&lt;D xsi:type="xsd:long"&gt;45457&lt;/D&gt;&lt;D xsi:type="xsd:long"&gt;45489&lt;/D&gt;&lt;D xsi:type="xsd:long"&gt;45518&lt;/D&gt;&lt;/FQL&gt;&lt;FQL&gt;&lt;Q&gt;DDR3512M-FDS^FG_PRICE(0)/MAX(FG_PRICE(0,-1AY))&lt;/Q&gt;&lt;R&gt;1&lt;/R&gt;&lt;C&gt;1&lt;/C&gt;&lt;D xsi:type="xsd:double"&gt;0.849105769230769&lt;/D&gt;&lt;/FQL&gt;&lt;FQL&gt;&lt;Q&gt;PASP-FDS^FG_PRICE(0)/MAX(FG_PRICE(0,-1AY))&lt;/Q&gt;&lt;R&gt;1&lt;/R&gt;&lt;C&gt;1&lt;/C&gt;&lt;D xsi:type="xsd:double"&gt;0.723371647509578&lt;/D&gt;&lt;/FQL&gt;&lt;FQL&gt;&lt;Q&gt;PLATI-FDS^FG_PRICE(0)/MAX(FG_PRICE(0,-1AY))&lt;/Q&gt;&lt;R&gt;1&lt;/R&gt;&lt;C&gt;1&lt;/C&gt;&lt;D xsi:type="xsd:double"&gt;0.88400374181478&lt;/D&gt;&lt;/FQL&gt;&lt;FQL&gt;&lt;Q&gt;W-FDS^FG_PRICE(0)/MAX(FG_PRICE(0,-1AY))&lt;/Q&gt;&lt;R&gt;1&lt;/R&gt;&lt;C&gt;1&lt;/C&gt;&lt;D xsi:type="xsd:double"&gt;0.756872545519457&lt;/D&gt;&lt;/FQL&gt;&lt;FQL&gt;&lt;Q&gt;COPP-FDS^FG_PRICE(0)/MAX(FG_PRICE(0,-1AY))&lt;/Q&gt;&lt;R&gt;1&lt;/R&gt;&lt;C&gt;1&lt;/C&gt;&lt;D xsi:type="xsd:double"&gt;0.806309826137918&lt;/D&gt;&lt;/FQL&gt;&lt;FQL&gt;&lt;Q&gt;FC0000JP^FG_PRICE(0)&lt;/Q&gt;&lt;R&gt;1&lt;/R&gt;&lt;C&gt;1&lt;/C&gt;&lt;D xsi:type="xsd:double"&gt;177.98276&lt;/D&gt;&lt;/FQL&gt;&lt;FQL&gt;&lt;Q&gt;FC0000NZ^FG_PRICE(0)&lt;/Q&gt;&lt;R&gt;1&lt;/R&gt;&lt;C&gt;1&lt;/C&gt;&lt;D xsi:type="xsd:double"&gt;410.29935&lt;/D&gt;&lt;/FQL&gt;&lt;FQL&gt;&lt;Q&gt;EWQ^FG_PRICE_MAVG(0,,,,60)&lt;/Q&gt;&lt;R&gt;1&lt;/R&gt;&lt;C&gt;1&lt;/C&gt;&lt;D xsi:type="xsd:double"&gt;39.093166&lt;/D&gt;&lt;/FQL&gt;&lt;FQL&gt;&lt;Q&gt;EWL^FG_PRICE_MAVG(0,,,,60)&lt;/Q&gt;&lt;R&gt;1&lt;/R&gt;&lt;C&gt;1&lt;/C&gt;&lt;D xsi:type="xsd:double"&gt;49.24917&lt;/D&gt;&lt;/FQL&gt;&lt;FQL&gt;&lt;Q&gt;EWA^FG_PRICE_MAVG(0,,,,60)&lt;/Q&gt;&lt;R&gt;1&lt;/R&gt;&lt;C&gt;1&lt;/C&gt;&lt;D xsi:type="xsd:double"&gt;24.5925&lt;/D&gt;&lt;/FQL&gt;&lt;FQL&gt;&lt;Q&gt;EWJ^FG_COMPANY_NAME&lt;/Q&gt;&lt;R&gt;1&lt;/R&gt;&lt;C&gt;1&lt;/C&gt;&lt;D xsi:type="xsd:string"&gt;iShares MSCI Japan ETF&lt;/D&gt;&lt;/FQL&gt;&lt;FQL&gt;&lt;Q&gt;SPY^P_PRICE(0)/P_PRICE_HIGH_PR(0,,,,,,"PRICE","INTRA","52W")&lt;/Q&gt;&lt;R&gt;1&lt;/R&gt;&lt;C&gt;1&lt;/C&gt;&lt;D xsi:type="xsd:double"&gt;0.98080194&lt;/D&gt;&lt;/FQL&gt;&lt;FQL&gt;&lt;Q&gt;URTH^FG_TOTAL_RETURNC(0,-12AM)&lt;/Q&gt;&lt;R&gt;1&lt;/R&gt;&lt;C&gt;1&lt;/C&gt;&lt;D xsi:type="xsd:double"&gt;24.861454&lt;/D&gt;&lt;/FQL&gt;&lt;FQL&gt;&lt;Q&gt;VWO^PERCENT_CHANGE(FMA_EPS(+1,0,,,,"PORTAGG","MEAN"),FMA_EPS(+1,-1AM,,,,"PORTAGG","MEAN"))&lt;/Q&gt;&lt;R&gt;1&lt;/R&gt;&lt;C&gt;1&lt;/C&gt;&lt;D xsi:type="xsd:double"&gt;0&lt;/D&gt;&lt;/FQL&gt;&lt;FQL&gt;&lt;Q&gt;EWI^FG_TOTAL_RETURNC(0,-1AM)&lt;/Q&gt;&lt;R&gt;1&lt;/R&gt;&lt;C&gt;1&lt;/C&gt;&lt;D xsi:type="xsd:double"&gt;-1.5087366&lt;/D&gt;&lt;/FQL&gt;&lt;FQL&gt;&lt;Q&gt;EWN^FG_TOTAL_RETURNC(0,-6AM)&lt;/Q&gt;&lt;R&gt;1&lt;/R&gt;&lt;C&gt;1&lt;/C&gt;&lt;D xsi:type="xsd:double"&gt;6.5621376&lt;/D&gt;&lt;/FQL&gt;&lt;FQL&gt;&lt;Q&gt;EWA^FMA_ROE(NTMA,-20AY,NOW,FY,"PORTAGG","MEANR")&lt;/Q&gt;&lt;R&gt;20&lt;/R&gt;&lt;C&gt;1&lt;/C&gt;&lt;D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xsi:type="xsd:double"&gt;11.7272452753145&lt;/D&gt;&lt;D xsi:type="xsd:double"&gt;11.0508592064609&lt;/D&gt;&lt;D xsi:type="xsd:double"&gt;12.8471719199911&lt;/D&gt;&lt;D xsi:type="xsd:double"&gt;14.6580605840091&lt;/D&gt;&lt;D xsi:type="xsd:double"&gt;13.2263940971232&lt;/D&gt;&lt;/FQL&gt;&lt;FQL&gt;&lt;Q&gt;TRYFR10Y-FDS^FG_YIELD(-10AY,0,Y,,"YTM")&lt;/Q&gt;&lt;R&gt;10&lt;/R&gt;&lt;C&gt;1&lt;/C&gt;&lt;D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xsi:type="xsd:double"&gt;2.534&lt;/D&gt;&lt;/FQL&gt;&lt;FQL&gt;&lt;Q&gt;CAGDPY@IT^EE_ACTUAL_ANNUAL(MED,0)&lt;/Q&gt;&lt;R&gt;1&lt;/R&gt;&lt;C&gt;1&lt;/C&gt;&lt;D xsi:type="xsd:double"&gt;0.464184965048982&lt;/D&gt;&lt;/FQL&gt;&lt;FQL&gt;&lt;Q&gt;CAGDPY@JP^EE_ACTUAL_ANNUAL(MED,0)&lt;/Q&gt;&lt;R&gt;1&lt;/R&gt;&lt;C&gt;1&lt;/C&gt;&lt;D xsi:type="xsd:double"&gt;3.60665526864134&lt;/D&gt;&lt;/FQL&gt;&lt;FQL&gt;&lt;Q&gt;CC_AU^FG_COMPANY_NAME&lt;/Q&gt;&lt;R&gt;1&lt;/R&gt;&lt;C&gt;1&lt;/C&gt;&lt;D xsi:type="xsd:string"&gt;Australia&lt;/D&gt;&lt;/FQL&gt;&lt;FQL&gt;&lt;Q&gt;USDSEK^FG_PRICE(0)&lt;/Q&gt;&lt;R&gt;1&lt;/R&gt;&lt;C&gt;1&lt;/C&gt;&lt;D xsi:type="xsd:double"&gt;10.5013&lt;/D&gt;&lt;/FQL&gt;&lt;FQL&gt;&lt;Q&gt;USDCHF^FG_PRICE(0)&lt;/Q&gt;&lt;R&gt;1&lt;/R&gt;&lt;C&gt;1&lt;/C&gt;&lt;D xsi:type="xsd:double"&gt;0.86835&lt;/D&gt;&lt;/FQL&gt;&lt;FQL&gt;&lt;Q&gt;USDEUR^FG_PRICE(0)&lt;/Q&gt;&lt;R&gt;1&lt;/R&gt;&lt;C&gt;1&lt;/C&gt;&lt;D xsi:type="xsd:double"&gt;0.90983534&lt;/D&gt;&lt;/FQL&gt;&lt;FQL&gt;&lt;Q&gt;USDAUD^FG_PRICE(0)&lt;/Q&gt;&lt;R&gt;1&lt;/R&gt;&lt;C&gt;1&lt;/C&gt;&lt;D xsi:type="xsd:double"&gt;1.5065913&lt;/D&gt;&lt;/FQL&gt;&lt;FQL&gt;&lt;Q&gt;EWU^FMA_EPS(NTMA,-20AY,0,CY,,"PORTAGG","MEANR")&lt;/Q&gt;&lt;R&gt;20&lt;/R&gt;&lt;C&gt;1&lt;/C&gt;&lt;D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xsi:type="xsd:double"&gt;2.53482233795695&lt;/D&gt;&lt;D xsi:type="xsd:double"&gt;2.03507562384137&lt;/D&gt;&lt;D xsi:type="xsd:double"&gt;2.71427224340632&lt;/D&gt;&lt;D xsi:type="xsd:double"&gt;3.12760121442787&lt;/D&gt;&lt;D xsi:type="xsd:double"&gt;3.00269886912718&lt;/D&gt;&lt;/FQL&gt;&lt;FQL&gt;&lt;Q&gt;EWJ^P_PRICE_RETURNS_PR('52W',2,-10AY,0,AM)&lt;/Q&gt;&lt;R&gt;121&lt;/R&gt;&lt;C&gt;1&lt;/C&gt;&lt;D xsi:type="xsd:double"&gt;6.96913&lt;/D&gt;&lt;D xsi:type="xsd:double"&gt;2.0327926&lt;/D&gt;&lt;D xsi:type="xsd:double"&gt;-7.7151895&lt;/D&gt;&lt;D xsi:type="xsd:double"&gt;-0.8460164&lt;/D&gt;&lt;D xsi:type="xsd:double"&gt;-3.5044253&lt;/D&gt;&lt;D xsi:type="xsd:double"&gt;-4.4525623&lt;/D&gt;&lt;D xsi:type="xsd:double"&gt;5.707228&lt;/D&gt;&lt;D xsi:type="xsd:double"&gt;14.945626&lt;/D&gt;&lt;D xsi:type="xsd:double"&gt;18.353224&lt;/D&gt;&lt;D xsi:type="xsd:double"&gt;19.566822&lt;/D&gt;&lt;D xsi:type="xsd:double"&gt;10.779655&lt;/D&gt;&lt;D xsi:type="xsd:double"&gt;7.8412414&lt;/D&gt;&lt;D xsi:type="xsd:double"&gt;9.30208&lt;/D&gt;&lt;D xsi:type="xsd:double"&gt;1.7802&lt;/D&gt;&lt;D xsi:type="xsd:double"&gt;13.350034&lt;/D&gt;&lt;D xsi:type="xsd:double"&gt;7.108474&lt;/D&gt;&lt;D xsi:type="xsd:double"&gt;12.157595&lt;/D&gt;&lt;D xsi:type="xsd:double"&gt;0.6507635&lt;/D&gt;&lt;D xsi:type="xsd:double"&gt;-8.437675&lt;/D&gt;&lt;D xsi:type="xsd:double"&gt;-7.4896693&lt;/D&gt;&lt;D xsi:type="xsd:double"&gt;-8.264435&lt;/D&gt;&lt;D xsi:type="xsd:double"&gt;-9.93523&lt;/D&gt;&lt;D xsi:type="xsd:double"&gt;-10.4208355&lt;/D&gt;&lt;D xsi:type="xsd:double"&gt;-6.500453&lt;/D&gt;&lt;D xsi:type="xsd:double"&gt;-3.423357&lt;/D&gt;&lt;D xsi:type="xsd:double"&gt;3.1483054&lt;/D&gt;&lt;D xsi:type="xsd:double"&gt;5.7254553&lt;/D&gt;&lt;D xsi:type="xsd:double"&gt;0.550282&lt;/D&gt;&lt;D xsi:type="xsd:double"&gt;2.840495&lt;/D&gt;&lt;D xsi:type="xsd:double"&gt;14.206481&lt;/D&gt;&lt;D xsi:type="xsd:double"&gt;21.01934&lt;/D&gt;&lt;D xsi:type="xsd:double"&gt;15.02322&lt;/D&gt;&lt;D xsi:type="xsd:double"&gt;8.9735985&lt;/D&gt;&lt;D xsi:type="xsd:double"&gt;14.624512&lt;/D&gt;&lt;D xsi:type="xsd:double"&gt;20.723175&lt;/D&gt;&lt;D xsi:type="xsd:double"&gt;14.53135&lt;/D&gt;&lt;D xsi:type="xsd:double"&gt;13.051022&lt;/D&gt;&lt;D xsi:type="xsd:double"&gt;15.356695&lt;/D&gt;&lt;D xsi:type="xsd:double"&gt;18.905401&lt;/D&gt;&lt;D xsi:type="xsd:double"&gt;21.57117&lt;/D&gt;&lt;D xsi:type="xsd:double"&gt;20.634794&lt;/D&gt;&lt;D xsi:type="xsd:double"&gt;26.344574&lt;/D&gt;&lt;D xsi:type="xsd:double"&gt;21.851276&lt;/D&gt;&lt;D xsi:type="xsd:double"&gt;19.028711&lt;/D&gt;&lt;D xsi:type="xsd:double"&gt;20.91763&lt;/D&gt;&lt;D xsi:type="xsd:double"&gt;17.915821&lt;/D&gt;&lt;D xsi:type="xsd:double"&gt;13.176584&lt;/D&gt;&lt;D xsi:type="xsd:double"&gt;8.931149&lt;/D&gt;&lt;D xsi:type="xsd:double"&gt;5.9569716&lt;/D&gt;&lt;D xsi:type="xsd:double"&gt;6.9029093&lt;/D&gt;&lt;D xsi:type="xsd:double"&gt;1.4056444&lt;/D&gt;&lt;D xsi:type="xsd:double"&gt;-5.904084&lt;/D&gt;&lt;D xsi:type="xsd:double"&gt;-10.251564&lt;/D&gt;&lt;D xsi:type="xsd:double"&gt;-14.2956915&lt;/D&gt;&lt;D xsi:type="xsd:double"&gt;-8.780831&lt;/D&gt;&lt;D xsi:type="xsd:double"&gt;-9.514677&lt;/D&gt;&lt;D xsi:type="xsd:double"&gt;-7.0614696&lt;/D&gt;&lt;D xsi:type="xsd:double"&gt;-10.522681&lt;/D&gt;&lt;D xsi:type="xsd:double"&gt;-9.5564&lt;/D&gt;&lt;D xsi:type="xsd:double"&gt;-3.3604085&lt;/D&gt;&lt;D xsi:type="xsd:double"&gt;-4.714155&lt;/D&gt;&lt;D xsi:type="xsd:double"&gt;-1.021409&lt;/D&gt;&lt;D xsi:type="xsd:double"&gt;1.7258763&lt;/D&gt;&lt;D xsi:type="xsd:double"&gt;11.234522&lt;/D&gt;&lt;D xsi:type="xsd:double"&gt;17.139984&lt;/D&gt;&lt;D xsi:type="xsd:double"&gt;13.832808&lt;/D&gt;&lt;D xsi:type="xsd:double"&gt;10.931468&lt;/D&gt;&lt;D xsi:type="xsd:double"&gt;-18.743616&lt;/D&gt;&lt;D xsi:type="xsd:double"&gt;-7.3524356&lt;/D&gt;&lt;D xsi:type="xsd:double"&gt;-1.6225636&lt;/D&gt;&lt;D xsi:type="xsd:double"&gt;7.0228457&lt;/D&gt;&lt;D xsi:type="xsd:double"&gt;4.5152307&lt;/D&gt;&lt;D xsi:type="xsd:double"&gt;12.6935005&lt;/D&gt;&lt;D xsi:type="xsd:double"&gt;7.191634&lt;/D&gt;&lt;D xsi:type="xsd:double"&gt;4.2465925&lt;/D&gt;&lt;D xsi:type="xsd:double"&gt;9.658539&lt;/D&gt;&lt;D xsi:type="xsd:double"&gt;11.4019985&lt;/D&gt;&lt;D xsi:type="xsd:double"&gt;16.564512&lt;/D&gt;&lt;D xsi:type="xsd:double"&gt;24.413967&lt;/D&gt;&lt;D xsi:type="xsd:double"&gt;62.823223&lt;/D&gt;&lt;D xsi:type="xsd:double"&gt;41.17093&lt;/D&gt;&lt;D xsi:type="xsd:double"&gt;31.36754&lt;/D&gt;&lt;D xsi:type="xsd:double"&gt;24.416267&lt;/D&gt;&lt;D xsi:type="xsd:double"&gt;21.239067&lt;/D&gt;&lt;D xsi:type="xsd:double"&gt;19.169353&lt;/D&gt;&lt;D xsi:type="xsd:double"&gt;25.794292&lt;/D&gt;&lt;D xsi:type="xsd:double"&gt;18.297672&lt;/D&gt;&lt;D xsi:type="xsd:double"&gt;9.938955&lt;/D&gt;&lt;D xsi:type="xsd:double"&gt;4.639828&lt;/D&gt;&lt;D xsi:type="xsd:double"&gt;-1.855427&lt;/D&gt;&lt;D xsi:type="xsd:double"&gt;-8.127123&lt;/D&gt;&lt;D xsi:type="xsd:double"&gt;-10.595692&lt;/D&gt;&lt;D xsi:type="xsd:double"&gt;-14.292216&lt;/D&gt;&lt;D xsi:type="xsd:double"&gt;-14.668762&lt;/D&gt;&lt;D xsi:type="xsd:double"&gt;-22.031343&lt;/D&gt;&lt;D xsi:type="xsd:double"&gt;-20.507246&lt;/D&gt;&lt;D xsi:type="xsd:double"&gt;-14.461452&lt;/D&gt;&lt;D xsi:type="xsd:double"&gt;-28.563446&lt;/D&gt;&lt;D xsi:type="xsd:double"&gt;-27.424162&lt;/D&gt;&lt;D xsi:type="xsd:double"&gt;-20.405495&lt;/D&gt;&lt;D xsi:type="xsd:double"&gt;-18.862295&lt;/D&gt;&lt;D xsi:type="xsd:double"&gt;-14.64448&lt;/D&gt;&lt;D xsi:type="xsd:double"&gt;-10.751325&lt;/D&gt;&lt;D xsi:type="xsd:double"&gt;-6.855589&lt;/D&gt;&lt;D xsi:type="xsd:double"&gt;1.2720466&lt;/D&gt;&lt;D xsi:type="xsd:double"&gt;9.1876745&lt;/D&gt;&lt;D xsi:type="xsd:double"&gt;20.985365&lt;/D&gt;&lt;D xsi:type="xsd:double"&gt;20.667278&lt;/D&gt;&lt;D xsi:type="xsd:double"&gt;5.2333355&lt;/D&gt;&lt;D xsi:type="xsd:double"&gt;23.041761&lt;/D&gt;&lt;D xsi:type="xsd:double"&gt;24.485636&lt;/D&gt;&lt;D xsi:type="xsd:double"&gt;13.982332&lt;/D&gt;&lt;D xsi:type="xsd:double"&gt;16.70512&lt;/D&gt;&lt;D xsi:type="xsd:double"&gt;18.621635&lt;/D&gt;&lt;D xsi:type="xsd:double"&gt;21.085941&lt;/D&gt;&lt;D xsi:type="xsd:double"&gt;29.320454&lt;/D&gt;&lt;D xsi:type="xsd:double"&gt;18.499744&lt;/D&gt;&lt;D xsi:type="xsd:double"&gt;15.355754&lt;/D&gt;&lt;D xsi:type="xsd:double"&gt;7.499945&lt;/D&gt;&lt;D xsi:type="xsd:double"&gt;17.684006&lt;/D&gt;&lt;D xsi:type="xsd:double"&gt;19.275522&lt;/D&gt;&lt;/FQL&gt;&lt;FQL&gt;&lt;Q&gt;ENZL^FMA_DIV_YLD(NTMA,-10AY,0,AM,"PORTAGG","MEANR")&lt;/Q&gt;&lt;R&gt;121&lt;/R&gt;&lt;C&gt;1&lt;/C&gt;&lt;D xsi:type="xsd:double"&gt;4.52582458038476&lt;/D&gt;&lt;D xsi:type="xsd:double"&gt;4.59950889616272&lt;/D&gt;&lt;D xsi:type="xsd:double"&gt;4.69937774481821&lt;/D&gt;&lt;D xsi:type="xsd:double"&gt;4.42445149392904&lt;/D&gt;&lt;D xsi:type="xsd:double"&gt;4.48872907459977&lt;/D&gt;&lt;D xsi:type="xsd:double"&gt;4.37563125257406&lt;/D&gt;&lt;D xsi:type="xsd:double"&gt;4.27316629263775&lt;/D&gt;&lt;D xsi:type="xsd:double"&gt;4.30494889322523&lt;/D&gt;&lt;D xsi:type="xsd:double"&gt;4.4014852474717&lt;/D&gt;&lt;D xsi:type="xsd:double"&gt;4.47509882866337&lt;/D&gt;&lt;D xsi:type="xsd:double"&gt;4.50393281925335&lt;/D&gt;&lt;D xsi:type="xsd:double"&gt;4.62909638776814&lt;/D&gt;&lt;D xsi:type="xsd:double"&gt;4.74860424324366&lt;/D&gt;&lt;D xsi:type="xsd:double"&gt;5.13381022714215&lt;/D&gt;&lt;D xsi:type="xsd:double"&gt;5.06854880395035&lt;/D&gt;&lt;D xsi:type="xsd:double"&gt;4.93537905010376&lt;/D&gt;&lt;D xsi:type="xsd:double"&gt;4.85777237761903&lt;/D&gt;&lt;D xsi:type="xsd:double"&gt;4.85114730430349&lt;/D&gt;&lt;D xsi:type="xsd:double"&gt;4.91645574701&lt;/D&gt;&lt;D xsi:type="xsd:double"&gt;4.65646842920223&lt;/D&gt;&lt;D xsi:type="xsd:double"&gt;4.53549430349399&lt;/D&gt;&lt;D xsi:type="xsd:double"&gt;4.48501549090135&lt;/D&gt;&lt;D xsi:type="xsd:double"&gt;4.41735389013848&lt;/D&gt;&lt;D xsi:type="xsd:double"&gt;4.28219707736922&lt;/D&gt;&lt;D xsi:type="xsd:double"&gt;4.16891572078174&lt;/D&gt;&lt;D xsi:type="xsd:double"&gt;4.32404130987216&lt;/D&gt;&lt;D xsi:type="xsd:double"&gt;4.46298594097167&lt;/D&gt;&lt;D xsi:type="xsd:double"&gt;4.65613140398874&lt;/D&gt;&lt;D xsi:type="xsd:double"&gt;4.71264125286212&lt;/D&gt;&lt;D xsi:type="xsd:double"&gt;4.53771713130711&lt;/D&gt;&lt;D xsi:type="xsd:double"&gt;4.54643166579066&lt;/D&gt;&lt;D xsi:type="xsd:double"&gt;4.60195812862409&lt;/D&gt;&lt;D xsi:type="xsd:double"&gt;4.56539463799295&lt;/D&gt;&lt;D xsi:type="xsd:double"&gt;4.48774977485163&lt;/D&gt;&lt;D xsi:type="xsd:double"&gt;4.3972567422724&lt;/D&gt;&lt;D xsi:type="xsd:double"&gt;4.40942006807583&lt;/D&gt;&lt;D xsi:type="xsd:double"&gt;4.32947531507575&lt;/D&gt;&lt;D xsi:type="xsd:double"&gt;4.44623422274072&lt;/D&gt;&lt;D xsi:type="xsd:double"&gt;4.35861811852003&lt;/D&gt;&lt;D xsi:type="xsd:double"&gt;4.4195797603358&lt;/D&gt;&lt;D xsi:type="xsd:double"&gt;4.22524734145501&lt;/D&gt;&lt;D xsi:type="xsd:double"&gt;4.29384398492691&lt;/D&gt;&lt;D xsi:type="xsd:double"&gt;4.39585866613761&lt;/D&gt;&lt;D xsi:type="xsd:double"&gt;4.22365478740251&lt;/D&gt;&lt;D xsi:type="xsd:double"&gt;4.25984338351538&lt;/D&gt;&lt;D xsi:type="xsd:double"&gt;4.25448341661232&lt;/D&gt;&lt;D xsi:type="xsd:double"&gt;4.0019506501275&lt;/D&gt;&lt;D xsi:type="xsd:double"&gt;4.06339515904189&lt;/D&gt;&lt;D xsi:type="xsd:double"&gt;4.05493938779185&lt;/D&gt;&lt;D xsi:type="xsd:double"&gt;3.96374792435541&lt;/D&gt;&lt;D xsi:type="xsd:double"&gt;4.25824346740133&lt;/D&gt;&lt;D xsi:type="xsd:double"&gt;4.23580567805645&lt;/D&gt;&lt;D xsi:type="xsd:double"&gt;4.20415110316754&lt;/D&gt;&lt;D xsi:type="xsd:double"&gt;4.0715007690918&lt;/D&gt;&lt;D xsi:type="xsd:double"&gt;4.02858216118949&lt;/D&gt;&lt;D xsi:type="xsd:double"&gt;3.88843850406981&lt;/D&gt;&lt;D xsi:type="xsd:double"&gt;3.71868196339649&lt;/D&gt;&lt;D xsi:type="xsd:double"&gt;3.66307233310861&lt;/D&gt;&lt;D xsi:type="xsd:double"&gt;3.65844987222764&lt;/D&gt;&lt;D xsi:type="xsd:double"&gt;3.46554191046509&lt;/D&gt;&lt;D xsi:type="xsd:double"&gt;3.48061867404903&lt;/D&gt;&lt;D xsi:type="xsd:double"&gt;3.36227610805382&lt;/D&gt;&lt;D xsi:type="xsd:double"&gt;3.25662436700621&lt;/D&gt;&lt;D xsi:type="xsd:double"&gt;3.35291028848066&lt;/D&gt;&lt;D xsi:type="xsd:double"&gt;3.2446419573701&lt;/D&gt;&lt;D xsi:type="xsd:double"&gt;3.10732085241719&lt;/D&gt;&lt;D xsi:type="xsd:double"&gt;3.06518410950339&lt;/D&gt;&lt;D xsi:type="xsd:double"&gt;3.75975683121658&lt;/D&gt;&lt;D xsi:type="xsd:double"&gt;2.81686866912366&lt;/D&gt;&lt;D xsi:type="xsd:double"&gt;2.60958308729702&lt;/D&gt;&lt;D xsi:type="xsd:double"&gt;2.59359702099174&lt;/D&gt;&lt;D xsi:type="xsd:double"&gt;2.47316716820293&lt;/D&gt;&lt;D xsi:type="xsd:double"&gt;2.44947472715712&lt;/D&gt;&lt;D xsi:type="xsd:double"&gt;2.41346228126599&lt;/D&gt;&lt;D xsi:type="xsd:double"&gt;2.35087358014793&lt;/D&gt;&lt;D xsi:type="xsd:double"&gt;2.34780032080597&lt;/D&gt;&lt;D xsi:type="xsd:double"&gt;2.40387256922294&lt;/D&gt;&lt;D xsi:type="xsd:double"&gt;2.45487748039979&lt;/D&gt;&lt;D xsi:type="xsd:double"&gt;2.53977670009108&lt;/D&gt;&lt;D xsi:type="xsd:double"&gt;2.51999511212862&lt;/D&gt;&lt;D xsi:type="xsd:double"&gt;2.56196760003025&lt;/D&gt;&lt;D xsi:type="xsd:double"&gt;2.678298643876&lt;/D&gt;&lt;D xsi:type="xsd:double"&gt;2.68531935288951&lt;/D&gt;&lt;D xsi:type="xsd:double"&gt;2.61688842745586&lt;/D&gt;&lt;D xsi:type="xsd:double"&gt;2.66910185732967&lt;/D&gt;&lt;D xsi:type="xsd:double"&gt;2.62294516451877&lt;/D&gt;&lt;D xsi:type="xsd:double"&gt;2.66955279946242&lt;/D&gt;&lt;D xsi:type="xsd:double"&gt;2.71356797398173&lt;/D&gt;&lt;D xsi:type="xsd:double"&gt;2.79689232700689&lt;/D&gt;&lt;D xsi:type="xsd:double"&gt;2.84161436516067&lt;/D&gt;&lt;D xsi:type="xsd:double"&gt;2.99298614932416&lt;/D&gt;&lt;D xsi:type="xsd:double"&gt;3.06952684824939&lt;/D&gt;&lt;D xsi:type="xsd:double"&gt;3.14102107944302&lt;/D&gt;&lt;D xsi:type="xsd:double"&gt;3.24076987848427&lt;/D&gt;&lt;D xsi:type="xsd:double"&gt;3.42832749282623&lt;/D&gt;&lt;D xsi:type="xsd:double"&gt;3.32796341763629&lt;/D&gt;&lt;D xsi:type="xsd:double"&gt;3.16104095161655&lt;/D&gt;&lt;D xsi:type="xsd:double"&gt;3.26159331495112&lt;/D&gt;&lt;D xsi:type="xsd:double"&gt;3.48236940927434&lt;/D&gt;&lt;D xsi:type="xsd:double"&gt;3.40585720365496&lt;/D&gt;&lt;D xsi:type="xsd:double"&gt;3.43013813231712&lt;/D&gt;&lt;D xsi:type="xsd:double"&gt;3.39250912530448&lt;/D&gt;&lt;D xsi:type="xsd:double"&gt;3.23043621514215&lt;/D&gt;&lt;D xsi:type="xsd:double"&gt;3.51404024378053&lt;/D&gt;&lt;D xsi:type="xsd:double"&gt;3.42011364937346&lt;/D&gt;&lt;D xsi:type="xsd:double"&gt;3.48491050539246&lt;/D&gt;&lt;D xsi:type="xsd:double"&gt;3.46761371741946&lt;/D&gt;&lt;D xsi:type="xsd:double"&gt;3.40357821711688&lt;/D&gt;&lt;D xsi:type="xsd:double"&gt;3.43962479469606&lt;/D&gt;&lt;D xsi:type="xsd:double"&gt;3.4245851574524&lt;/D&gt;&lt;D xsi:type="xsd:double"&gt;3.46973195436564&lt;/D&gt;&lt;D xsi:type="xsd:double"&gt;3.449165955846&lt;/D&gt;&lt;D xsi:type="xsd:double"&gt;3.02441137475135&lt;/D&gt;&lt;D xsi:type="xsd:double"&gt;3.00631465900244&lt;/D&gt;&lt;D xsi:type="xsd:double"&gt;2.90899463866917&lt;/D&gt;&lt;D xsi:type="xsd:double"&gt;2.7905414739583&lt;/D&gt;&lt;D xsi:type="xsd:double"&gt;2.80079322916758&lt;/D&gt;&lt;D xsi:type="xsd:double"&gt;2.72243029879735&lt;/D&gt;&lt;D xsi:type="xsd:double"&gt;2.72146078984018&lt;/D&gt;&lt;D xsi:type="xsd:double"&gt;2.66124021535671&lt;/D&gt;&lt;D xsi:type="xsd:double"&gt;2.54596269761772&lt;/D&gt;&lt;/FQL&gt;&lt;FQL&gt;&lt;Q&gt;DDR3512M-FDS^FG_PRICE_CHANGE(0,-1AY)&lt;/Q&gt;&lt;R&gt;1&lt;/R&gt;&lt;C&gt;1&lt;/C&gt;&lt;D xsi:type="xsd:double"&gt;-8.67824985553072&lt;/D&gt;&lt;/FQL&gt;&lt;FQL&gt;&lt;Q&gt;EWQ^FG_PRICE_MAVG(0,,,,30)&lt;/Q&gt;&lt;R&gt;1&lt;/R&gt;&lt;C&gt;1&lt;/C&gt;&lt;D xsi:type="xsd:double"&gt;38.280666&lt;/D&gt;&lt;/FQL&gt;&lt;FQL&gt;&lt;Q&gt;EWL^FG_PRICE_MAVG(0,,,,30)&lt;/Q&gt;&lt;R&gt;1&lt;/R&gt;&lt;C&gt;1&lt;/C&gt;&lt;D xsi:type="xsd:double"&gt;49.645332&lt;/D&gt;&lt;/FQL&gt;&lt;FQL&gt;&lt;Q&gt;EWA^FG_PRICE_MAVG(0,,,,30)&lt;/Q&gt;&lt;R&gt;1&lt;/R&gt;&lt;C&gt;1&lt;/C&gt;&lt;D xsi:type="xsd:double"&gt;24.665&lt;/D&gt;&lt;/FQL&gt;&lt;FQL&gt;&lt;Q&gt;EWC^FG_TOTAL_RETURNC(-10AY,0,AM)&lt;/Q&gt;&lt;R&gt;121&lt;/R&gt;&lt;C&gt;1&lt;/C&gt;&lt;D xsi:type="xsd:double"&gt;-0.5264878&lt;/D&gt;&lt;D xsi:type="xsd:double"&gt;1.2453318&lt;/D&gt;&lt;D xsi:type="xsd:double"&gt;-11.654371&lt;/D&gt;&lt;D xsi:type="xsd:double"&gt;5.5342913&lt;/D&gt;&lt;D xsi:type="xsd:double"&gt;-9.135884&lt;/D&gt;&lt;D xsi:type="xsd:double"&gt;0.31374693&lt;/D&gt;&lt;D xsi:type="xsd:double"&gt;3.0080676&lt;/D&gt;&lt;D xsi:type="xsd:double"&gt;-4.2022824&lt;/D&gt;&lt;D xsi:type="xsd:double"&gt;8.401489&lt;/D&gt;&lt;D xsi:type="xsd:double"&gt;-0.78874826&lt;/D&gt;&lt;D xsi:type="xsd:double"&gt;-4.5281706&lt;/D&gt;&lt;D xsi:type="xsd:double"&gt;-4.8852563&lt;/D&gt;&lt;D xsi:type="xsd:double"&gt;-3.490603&lt;/D&gt;&lt;D xsi:type="xsd:double"&gt;-3.974563&lt;/D&gt;&lt;D xsi:type="xsd:double"&gt;2.44205&lt;/D&gt;&lt;D xsi:type="xsd:double"&gt;-6.9494905&lt;/D&gt;&lt;D xsi:type="xsd:double"&gt;-3.9079547&lt;/D&gt;&lt;D xsi:type="xsd:double"&gt;-13.115043&lt;/D&gt;&lt;D xsi:type="xsd:double"&gt;9.225094&lt;/D&gt;&lt;D xsi:type="xsd:double"&gt;13.368726&lt;/D&gt;&lt;D xsi:type="xsd:double"&gt;3.192854&lt;/D&gt;&lt;D xsi:type="xsd:double"&gt;1.0726094&lt;/D&gt;&lt;D xsi:type="xsd:double"&gt;-0.48980117&lt;/D&gt;&lt;D xsi:type="xsd:double"&gt;4.5149803&lt;/D&gt;&lt;D xsi:type="xsd:double"&gt;2.4129748&lt;/D&gt;&lt;D xsi:type="xsd:double"&gt;-3.7852407&lt;/D&gt;&lt;D xsi:type="xsd:double"&gt;2.0473719&lt;/D&gt;&lt;D xsi:type="xsd:double"&gt;-0.39339066&lt;/D&gt;&lt;D xsi:type="xsd:double"&gt;5.0158024&lt;/D&gt;&lt;D xsi:type="xsd:double"&gt;3.0503035&lt;/D&gt;&lt;D xsi:type="xsd:double"&gt;2.6170373&lt;/D&gt;&lt;D xsi:type="xsd:double"&gt;-3.4841955&lt;/D&gt;&lt;D xsi:type="xsd:double"&gt;-0.66989064&lt;/D&gt;&lt;D xsi:type="xsd:double"&gt;-1.3113558&lt;/D&gt;&lt;D xsi:type="xsd:double"&gt;0.7972598&lt;/D&gt;&lt;D xsi:type="xsd:double"&gt;4.6222806&lt;/D&gt;&lt;D xsi:type="xsd:double"&gt;-0.50816536&lt;/D&gt;&lt;D xsi:type="xsd:double"&gt;4.305005&lt;/D&gt;&lt;D xsi:type="xsd:double"&gt;2.0286798&lt;/D&gt;&lt;D xsi:type="xsd:double"&gt;-0.51422715&lt;/D&gt;&lt;D xsi:type="xsd:double"&gt;-0.06892085&lt;/D&gt;&lt;D xsi:type="xsd:double"&gt;5.5764318&lt;/D&gt;&lt;D xsi:type="xsd:double"&gt;-6.4836206&lt;/D&gt;&lt;D xsi:type="xsd:double"&gt;-2.1223903&lt;/D&gt;&lt;D xsi:type="xsd:double"&gt;1.4456034&lt;/D&gt;&lt;D xsi:type="xsd:double"&gt;4.132521&lt;/D&gt;&lt;D xsi:type="xsd:double"&gt;-1.8132031&lt;/D&gt;&lt;D xsi:type="xsd:double"&gt;1.8124342&lt;/D&gt;&lt;D xsi:type="xsd:double"&gt;-1.4487743&lt;/D&gt;&lt;D xsi:type="xsd:double"&gt;-0.8050382&lt;/D&gt;&lt;D xsi:type="xsd:double"&gt;-2.2582889&lt;/D&gt;&lt;D xsi:type="xsd:double"&gt;-3.4296036&lt;/D&gt;&lt;D xsi:type="xsd:double"&gt;-5.1588774&lt;/D&gt;&lt;D xsi:type="xsd:double"&gt;4.3594956&lt;/D&gt;&lt;D xsi:type="xsd:double"&gt;5.261135&lt;/D&gt;&lt;D xsi:type="xsd:double"&gt;1.2769103&lt;/D&gt;&lt;D xsi:type="xsd:double"&gt;2.7377486&lt;/D&gt;&lt;D xsi:type="xsd:double"&gt;-1.2973368&lt;/D&gt;&lt;D xsi:type="xsd:double"&gt;-0.46181083&lt;/D&gt;&lt;D xsi:type="xsd:double"&gt;4.1137695&lt;/D&gt;&lt;D xsi:type="xsd:double"&gt;-4.1162252&lt;/D&gt;&lt;D xsi:type="xsd:double"&gt;4.54545&lt;/D&gt;&lt;D xsi:type="xsd:double"&gt;-1.4147699&lt;/D&gt;&lt;D xsi:type="xsd:double"&gt;4.060197&lt;/D&gt;&lt;D xsi:type="xsd:double"&gt;0.5849719&lt;/D&gt;&lt;D xsi:type="xsd:double"&gt;3.388679&lt;/D&gt;&lt;D xsi:type="xsd:double"&gt;0.32776594&lt;/D&gt;&lt;D xsi:type="xsd:double"&gt;-34.857887&lt;/D&gt;&lt;D xsi:type="xsd:double"&gt;12.537611&lt;/D&gt;&lt;D xsi:type="xsd:double"&gt;5.7486534&lt;/D&gt;&lt;D xsi:type="xsd:double"&gt;10.498548&lt;/D&gt;&lt;D xsi:type="xsd:double"&gt;3.043151&lt;/D&gt;&lt;D xsi:type="xsd:double"&gt;5.644858&lt;/D&gt;&lt;D xsi:type="xsd:double"&gt;-1.1323392&lt;/D&gt;&lt;D xsi:type="xsd:double"&gt;0.93057156&lt;/D&gt;&lt;D xsi:type="xsd:double"&gt;3.9361596&lt;/D&gt;&lt;D xsi:type="xsd:double"&gt;7.504189&lt;/D&gt;&lt;D xsi:type="xsd:double"&gt;2.281487&lt;/D&gt;&lt;D xsi:type="xsd:double"&gt;3.7700295&lt;/D&gt;&lt;D xsi:type="xsd:double"&gt;4.9046397&lt;/D&gt;&lt;D xsi:type="xsd:double"&gt;2.1067858&lt;/D&gt;&lt;D xsi:type="xsd:double"&gt;4.1266203&lt;/D&gt;&lt;D xsi:type="xsd:double"&gt;3.128183&lt;/D&gt;&lt;D xsi:type="xsd:double"&gt;-3.7870646&lt;/D&gt;&lt;D xsi:type="xsd:double"&gt;3.1929493&lt;/D&gt;&lt;D xsi:type="xsd:double"&gt;-0.66684484&lt;/D&gt;&lt;D xsi:type="xsd:double"&gt;4.699242&lt;/D&gt;&lt;D xsi:type="xsd:double"&gt;2.1287441&lt;/D&gt;&lt;D xsi:type="xsd:double"&gt;-5.3958178&lt;/D&gt;&lt;D xsi:type="xsd:double"&gt;5.2164674&lt;/D&gt;&lt;D xsi:type="xsd:double"&gt;-1.04779&lt;/D&gt;&lt;D xsi:type="xsd:double"&gt;0.33574104&lt;/D&gt;&lt;D xsi:type="xsd:double"&gt;2.1364212&lt;/D&gt;&lt;D xsi:type="xsd:double"&gt;-8.669353&lt;/D&gt;&lt;D xsi:type="xsd:double"&gt;-6.34346&lt;/D&gt;&lt;D xsi:type="xsd:double"&gt;-3.8587093&lt;/D&gt;&lt;D xsi:type="xsd:double"&gt;11.9481325&lt;/D&gt;&lt;D xsi:type="xsd:double"&gt;-7.446212&lt;/D&gt;&lt;D xsi:type="xsd:double"&gt;-9.207397&lt;/D&gt;&lt;D xsi:type="xsd:double"&gt;13.751232&lt;/D&gt;&lt;D xsi:type="xsd:double"&gt;-5.099821&lt;/D&gt;&lt;D xsi:type="xsd:double"&gt;7.371998&lt;/D&gt;&lt;D xsi:type="xsd:double"&gt;1.0341763&lt;/D&gt;&lt;D xsi:type="xsd:double"&gt;-7.0230246&lt;/D&gt;&lt;D xsi:type="xsd:double"&gt;8.409786&lt;/D&gt;&lt;D xsi:type="xsd:double"&gt;-2.2002876&lt;/D&gt;&lt;D xsi:type="xsd:double"&gt;1.1880159&lt;/D&gt;&lt;D xsi:type="xsd:double"&gt;1.4684796&lt;/D&gt;&lt;D xsi:type="xsd:double"&gt;-3.83088&lt;/D&gt;&lt;D xsi:type="xsd:double"&gt;4.0719986&lt;/D&gt;&lt;D xsi:type="xsd:double"&gt;-4.7349095&lt;/D&gt;&lt;D xsi:type="xsd:double"&gt;1.4583349&lt;/D&gt;&lt;D xsi:type="xsd:double"&gt;5.4561496&lt;/D&gt;&lt;D xsi:type="xsd:double"&gt;1.4189124&lt;/D&gt;&lt;D xsi:type="xsd:double"&gt;1.9738674&lt;/D&gt;&lt;D xsi:type="xsd:double"&gt;2.8625965&lt;/D&gt;&lt;D xsi:type="xsd:double"&gt;-2.94196&lt;/D&gt;&lt;D xsi:type="xsd:double"&gt;4.587662&lt;/D&gt;&lt;D xsi:type="xsd:double"&gt;-3.6919713&lt;/D&gt;&lt;D xsi:type="xsd:double"&gt;6.814444&lt;/D&gt;&lt;D xsi:type="xsd:double"&gt;0.6149173&lt;/D&gt;&lt;/FQL&gt;&lt;FQL&gt;&lt;Q&gt;EWI^FMA_PE(LTMA,-10AY,0,AM,"PORTAGG","MEANR")&lt;/Q&gt;&lt;R&gt;121&lt;/R&gt;&lt;C&gt;1&lt;/C&gt;&lt;D xsi:type="xsd:double"&gt;16.6890136575876&lt;/D&gt;&lt;D xsi:type="xsd:double"&gt;17.8831831646794&lt;/D&gt;&lt;D xsi:type="xsd:double"&gt;15.9335494392927&lt;/D&gt;&lt;D xsi:type="xsd:double"&gt;17.3547134700843&lt;/D&gt;&lt;D xsi:type="xsd:double"&gt;17.9245860486613&lt;/D&gt;&lt;D xsi:type="xsd:double"&gt;19.9002375160191&lt;/D&gt;&lt;D xsi:type="xsd:double"&gt;42.4697962851809&lt;/D&gt;&lt;D xsi:type="xsd:double"&gt;43.7968087354941&lt;/D&gt;&lt;D xsi:type="xsd:double"&gt;41.0276661065937&lt;/D&gt;&lt;D xsi:type="xsd:double"&gt;38.3449633926349&lt;/D&gt;&lt;D xsi:type="xsd:double"&gt;34.9210280643885&lt;/D&gt;&lt;D xsi:type="xsd:double"&gt;32.5798600139518&lt;/D&gt;&lt;D xsi:type="xsd:double"&gt;30.0105377451578&lt;/D&gt;&lt;D xsi:type="xsd:double"&gt;26.5242903014857&lt;/D&gt;&lt;D xsi:type="xsd:double"&gt;24.2645142485921&lt;/D&gt;&lt;D xsi:type="xsd:double"&gt;21.9256270445559&lt;/D&gt;&lt;D xsi:type="xsd:double"&gt;19.0451806319667&lt;/D&gt;&lt;D xsi:type="xsd:double"&gt;16.1443030110855&lt;/D&gt;&lt;D xsi:type="xsd:double"&gt;14.9945170404113&lt;/D&gt;&lt;D xsi:type="xsd:double"&gt;15.4391193653531&lt;/D&gt;&lt;D xsi:type="xsd:double"&gt;15.2829594089&lt;/D&gt;&lt;D xsi:type="xsd:double"&gt;15.4528088824277&lt;/D&gt;&lt;D xsi:type="x</t>
        </r>
      </text>
    </comment>
    <comment ref="A11" authorId="0" shapeId="0" xr:uid="{E3353687-BBA3-4AD3-85F9-A7E6405A631A}">
      <text>
        <r>
          <rPr>
            <b/>
            <sz val="9"/>
            <color indexed="81"/>
            <rFont val="Tahoma"/>
            <charset val="1"/>
          </rPr>
          <t>sd:double"&gt;14.5082970275297&lt;/D&gt;&lt;D xsi:type="xsd:double"&gt;14.6834441813784&lt;/D&gt;&lt;D xsi:type="xsd:double"&gt;15.0328478783114&lt;/D&gt;&lt;D xsi:type="xsd:double"&gt;14.4842834856679&lt;/D&gt;&lt;D xsi:type="xsd:double"&gt;14.6991916510975&lt;/D&gt;&lt;D xsi:type="xsd:double"&gt;14.308950207087&lt;/D&gt;&lt;D xsi:type="xsd:double"&gt;16.3027663274373&lt;/D&gt;&lt;D xsi:type="xsd:double"&gt;27.708500491864&lt;/D&gt;&lt;D xsi:type="xsd:double"&gt;20.7966672476507&lt;/D&gt;&lt;D xsi:type="xsd:double"&gt;82.3310321596033&lt;/D&gt;&lt;D xsi:type="xsd:double"&gt;75.6114101750278&lt;/D&gt;&lt;D xsi:type="xsd:double"&gt;68.2596590210101&lt;/D&gt;&lt;D xsi:type="xsd:double"&gt;60.7894872833788&lt;/D&gt;&lt;D xsi:type="xsd:double"&gt;54.444072239836&lt;/D&gt;&lt;D xsi:type="xsd:double"&gt;46.7262920349179&lt;/D&gt;&lt;D xsi:type="xsd:double"&gt;39.7047371536623&lt;/D&gt;&lt;D xsi:type="xsd:double"&gt;32.6816503311736&lt;/D&gt;&lt;D xsi:type="xsd:double"&gt;25.4418105369894&lt;/D&gt;&lt;D xsi:type="xsd:double"&gt;18.9349168046866&lt;/D&gt;&lt;D xsi:type="xsd:double"&gt;15.9595571475332&lt;/D&gt;&lt;D xsi:type="xsd:double"&gt;14.4947001707681&lt;/D&gt;&lt;D xsi:type="xsd:double"&gt;14.1852545697043&lt;/D&gt;&lt;D xsi:type="xsd:double"&gt;14.1258978670284&lt;/D&gt;&lt;D xsi:type="xsd:double"&gt;13.9983187552813&lt;/D&gt;&lt;D xsi:type="xsd:double"&gt;13.5107993476456&lt;/D&gt;&lt;D xsi:type="xsd:double"&gt;13.2235348620734&lt;/D&gt;&lt;D xsi:type="xsd:double"&gt;12.649709959308&lt;/D&gt;&lt;D xsi:type="xsd:double"&gt;12.4967912078804&lt;/D&gt;&lt;D xsi:type="xsd:double"&gt;11.8173414977835&lt;/D&gt;&lt;D xsi:type="xsd:double"&gt;11.2121493992115&lt;/D&gt;&lt;D xsi:type="xsd:double"&gt;10.8737477659887&lt;/D&gt;&lt;D xsi:type="xsd:double"&gt;11.020459525768&lt;/D&gt;&lt;D xsi:type="xsd:double"&gt;11.1305089337494&lt;/D&gt;&lt;D xsi:type="xsd:double"&gt;11.3091144024336&lt;/D&gt;&lt;D xsi:type="xsd:double"&gt;11.3448691918277&lt;/D&gt;&lt;D xsi:type="xsd:double"&gt;11.1752612393723&lt;/D&gt;&lt;D xsi:type="xsd:double"&gt;11.0099248923613&lt;/D&gt;&lt;D xsi:type="xsd:double"&gt;11.3691976676153&lt;/D&gt;&lt;D xsi:type="xsd:double"&gt;10.8001183198277&lt;/D&gt;&lt;D xsi:type="xsd:double"&gt;11.3008729408175&lt;/D&gt;&lt;D xsi:type="xsd:double"&gt;11.5155733386959&lt;/D&gt;&lt;D xsi:type="xsd:double"&gt;12.007555792085&lt;/D&gt;&lt;D xsi:type="xsd:double"&gt;12.0709206774712&lt;/D&gt;&lt;D xsi:type="xsd:double"&gt;12.2797843838943&lt;/D&gt;&lt;D xsi:type="xsd:double"&gt;12.7386842575481&lt;/D&gt;&lt;D xsi:type="xsd:double"&gt;10.6895950254109&lt;/D&gt;&lt;D xsi:type="xsd:double"&gt;11.4987918990229&lt;/D&gt;&lt;D xsi:type="xsd:double"&gt;13.3501179046438&lt;/D&gt;&lt;D xsi:type="xsd:double"&gt;15.8980225288137&lt;/D&gt;&lt;D xsi:type="xsd:double"&gt;17.4472198204908&lt;/D&gt;&lt;D xsi:type="xsd:double"&gt;17.7453990965437&lt;/D&gt;&lt;D xsi:type="xsd:double"&gt;18.4961530995663&lt;/D&gt;&lt;D xsi:type="xsd:double"&gt;18.9572518573297&lt;/D&gt;&lt;D xsi:type="xsd:double"&gt;20.9781711060588&lt;/D&gt;&lt;D xsi:type="xsd:double"&gt;22.737111323469&lt;/D&gt;&lt;D xsi:type="xsd:double"&gt;23.3177998003994&lt;/D&gt;&lt;D xsi:type="xsd:double"&gt;20.55431592642&lt;/D&gt;&lt;D xsi:type="xsd:double"&gt;20.077948697664&lt;/D&gt;&lt;D xsi:type="xsd:double"&gt;19.5136410634962&lt;/D&gt;&lt;D xsi:type="xsd:double"&gt;18.7722002440644&lt;/D&gt;&lt;D xsi:type="xsd:double"&gt;18.4522851482266&lt;/D&gt;&lt;D xsi:type="xsd:double"&gt;17.4890815939408&lt;/D&gt;&lt;D xsi:type="xsd:double"&gt;16.2479997120699&lt;/D&gt;&lt;D xsi:type="xsd:double"&gt;15.0964957382505&lt;/D&gt;&lt;D xsi:type="xsd:double"&gt;14.4903992555711&lt;/D&gt;&lt;D xsi:type="xsd:double"&gt;13.8437236133673&lt;/D&gt;&lt;D xsi:type="xsd:double"&gt;12.2178366025252&lt;/D&gt;&lt;D xsi:type="xsd:double"&gt;12.1257750040661&lt;/D&gt;&lt;D xsi:type="xsd:double"&gt;11.7609727185374&lt;/D&gt;&lt;D xsi:type="xsd:double"&gt;10.5714124062306&lt;/D&gt;&lt;D xsi:type="xsd:double"&gt;10.5267190562693&lt;/D&gt;&lt;D xsi:type="xsd:double"&gt;10.2498082596446&lt;/D&gt;&lt;D xsi:type="xsd:double"&gt;9.51085082912837&lt;/D&gt;&lt;D xsi:type="xsd:double"&gt;9.05336480079639&lt;/D&gt;&lt;D xsi:type="xsd:double"&gt;8.72659127591088&lt;/D&gt;&lt;D xsi:type="xsd:double"&gt;8.42534118953348&lt;/D&gt;&lt;D xsi:type="xsd:double"&gt;7.91567887441972&lt;/D&gt;&lt;D xsi:type="xsd:double"&gt;8.42874737016938&lt;/D&gt;&lt;D xsi:type="xsd:double"&gt;7.4757163263452&lt;/D&gt;&lt;D xsi:type="xsd:double"&gt;8.03862081581855&lt;/D&gt;&lt;D xsi:type="xsd:double"&gt;8.41205617494289&lt;/D&gt;&lt;D xsi:type="xsd:double"&gt;8.2072117483732&lt;/D&gt;&lt;D xsi:type="xsd:double"&gt;8.39975398234716&lt;/D&gt;&lt;D xsi:type="xsd:double"&gt;8.2775685337371&lt;/D&gt;&lt;D xsi:type="xsd:double"&gt;8.55188148016099&lt;/D&gt;&lt;D xsi:type="xsd:double"&gt;8.65788935503742&lt;/D&gt;&lt;D xsi:type="xsd:double"&gt;8.2017639611965&lt;/D&gt;&lt;D xsi:type="xsd:double"&gt;8.41793804150258&lt;/D&gt;&lt;D xsi:type="xsd:double"&gt;8.2337595695564&lt;/D&gt;&lt;D xsi:type="xsd:double"&gt;8.21653202478293&lt;/D&gt;&lt;D xsi:type="xsd:double"&gt;8.81874599360566&lt;/D&gt;&lt;D xsi:type="xsd:double"&gt;8.99086440972293&lt;/D&gt;&lt;D xsi:type="xsd:double"&gt;9.07175893420361&lt;/D&gt;&lt;D xsi:type="xsd:double"&gt;9.42361403311732&lt;/D&gt;&lt;D xsi:type="xsd:double"&gt;9.40302831732587&lt;/D&gt;&lt;D xsi:type="xsd:double"&gt;9.64122732304763&lt;/D&gt;&lt;D xsi:type="xsd:double"&gt;9.37653058880404&lt;/D&gt;&lt;D xsi:type="xsd:double"&gt;9.67737736284484&lt;/D&gt;&lt;D xsi:type="xsd:double"&gt;9.55198097290633&lt;/D&gt;&lt;/FQL&gt;&lt;FQL&gt;&lt;Q&gt;PASP-FDS^FG_PRICE_CHANGE(0,-1AY)&lt;/Q&gt;&lt;R&gt;1&lt;/R&gt;&lt;C&gt;1&lt;/C&gt;&lt;D xsi:type="xsd:double"&gt;-23.3766233766234&lt;/D&gt;&lt;/FQL&gt;&lt;FQL&gt;&lt;Q&gt;PLATI-FDS^FG_PRICE_CHANGE(0,-1AY)&lt;/Q&gt;&lt;R&gt;1&lt;/R&gt;&lt;C&gt;1&lt;/C&gt;&lt;D xsi:type="xsd:double"&gt;5.58659217877095&lt;/D&gt;&lt;/FQL&gt;&lt;FQL&gt;&lt;Q&gt;W-FDS^FG_PRICE_CHANGE(0,-1AY)&lt;/Q&gt;&lt;R&gt;1&lt;/R&gt;&lt;C&gt;1&lt;/C&gt;&lt;D xsi:type="xsd:double"&gt;-11.3341698034295&lt;/D&gt;&lt;/FQL&gt;&lt;FQL&gt;&lt;Q&gt;COPP-FDS^FG_PRICE_CHANGE(0,-1AY)&lt;/Q&gt;&lt;R&gt;1&lt;/R&gt;&lt;C&gt;1&lt;/C&gt;&lt;D xsi:type="xsd:double"&gt;13.0357387375051&lt;/D&gt;&lt;/FQL&gt;&lt;FQL&gt;&lt;Q&gt;ENZL^FMA_ROE(NTMA,-20AY,NOW,FY,"PORTAGG","MEANR")&lt;/Q&gt;&lt;R&gt;20&lt;/R&gt;&lt;C&gt;1&lt;/C&gt;&lt;D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xsi:type="xsd:double"&gt;9.00388708752031&lt;/D&gt;&lt;D xsi:type="xsd:double"&gt;7.53226389198691&lt;/D&gt;&lt;D xsi:type="xsd:double"&gt;6.44400181202056&lt;/D&gt;&lt;D xsi:type="xsd:double"&gt;7.7689690341127&lt;/D&gt;&lt;D xsi:type="xsd:double"&gt;6.57910753918315&lt;/D&gt;&lt;/FQL&gt;&lt;FQL&gt;&lt;Q&gt;TRYCN10Y-FDS^FG_YIELD(-10AY,0,Y,,"YTM")&lt;/Q&gt;&lt;R&gt;10&lt;/R&gt;&lt;C&gt;1&lt;/C&gt;&lt;D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xsi:type="xsd:double"&gt;2.574&lt;/D&gt;&lt;/FQL&gt;&lt;FQL&gt;&lt;Q&gt;CAGDPY@SE^EE_ACTUAL_ANNUAL(MED,+1)&lt;/Q&gt;&lt;R&gt;1&lt;/R&gt;&lt;C&gt;1&lt;/C&gt;&lt;D xsi:type="xsd:double"&gt;6&lt;/D&gt;&lt;/FQL&gt;&lt;FQL&gt;&lt;Q&gt;CAGDPY@DE^EE_ACTUAL_ANNUAL(MED,+1)&lt;/Q&gt;&lt;R&gt;1&lt;/R&gt;&lt;C&gt;1&lt;/C&gt;&lt;D xsi:type="xsd:double"&gt;6.5&lt;/D&gt;&lt;/FQL&gt;&lt;FQL&gt;&lt;Q&gt;CC_NZ^FG_COMPANY_NAME&lt;/Q&gt;&lt;R&gt;1&lt;/R&gt;&lt;C&gt;1&lt;/C&gt;&lt;D xsi:type="xsd:string"&gt;New Zealand&lt;/D&gt;&lt;/FQL&gt;&lt;FQL&gt;&lt;Q&gt;USDSEK^FG_COMPANY_NAME&lt;/Q&gt;&lt;R&gt;1&lt;/R&gt;&lt;C&gt;1&lt;/C&gt;&lt;D xsi:type="xsd:string"&gt;Swedish Krona per U.S. Dollar&lt;/D&gt;&lt;/FQL&gt;&lt;FQL&gt;&lt;Q&gt;USDCHF^FG_COMPANY_NAME&lt;/Q&gt;&lt;R&gt;1&lt;/R&gt;&lt;C&gt;1&lt;/C&gt;&lt;D xsi:type="xsd:string"&gt;Swiss Franc per U.S. Dollar&lt;/D&gt;&lt;/FQL&gt;&lt;FQL&gt;&lt;Q&gt;USDEUR^FG_COMPANY_NAME&lt;/Q&gt;&lt;R&gt;1&lt;/R&gt;&lt;C&gt;1&lt;/C&gt;&lt;D xsi:type="xsd:string"&gt;Euro per U.S. Dollar&lt;/D&gt;&lt;/FQL&gt;&lt;FQL&gt;&lt;Q&gt;USDAUD^FG_COMPANY_NAME&lt;/Q&gt;&lt;R&gt;1&lt;/R&gt;&lt;C&gt;1&lt;/C&gt;&lt;D xsi:type="xsd:string"&gt;Australian Dollar per U.S. Dollar&lt;/D&gt;&lt;/FQL&gt;&lt;FQL&gt;&lt;Q&gt;EWA^JULIAN(FMA_ROE(NTMA,-20AY,NOW,FY,"PORTAGG","MEANR").DATES)&lt;/Q&gt;&lt;R&gt;20&lt;/R&gt;&lt;C&gt;1&lt;/C&gt;&lt;D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xsi:type="xsd:double"&gt;21.984322&lt;/D&gt;&lt;/FQL&gt;&lt;FQL&gt;&lt;Q&gt;CAGDPY@NL^EE_ACTUAL_ANNUAL(MED,+1)&lt;/Q&gt;&lt;R&gt;1&lt;/R&gt;&lt;C&gt;1&lt;/C&gt;&lt;D xsi:type="xsd:double"&gt;9.5&lt;/D&gt;&lt;/FQL&gt;&lt;FQL&gt;&lt;Q&gt;CAGDPY@CA^EE_ACTUAL_ANNUAL(MED,+1)&lt;/Q&gt;&lt;R&gt;1&lt;/R&gt;&lt;C&gt;1&lt;/C&gt;&lt;D xsi:type="xsd:double"&gt;-0.65&lt;/D&gt;&lt;/FQL&gt;&lt;FQL&gt;&lt;Q&gt;USDITL^STD(FG_PRICE_CHANGE(0,-1AY,AM))&lt;/Q&gt;&lt;R&gt;1&lt;/R&gt;&lt;C&gt;1&lt;/C&gt;&lt;D xsi:type="xsd:double"&gt;1.92408671373263&lt;/D&gt;&lt;/FQL&gt;&lt;FQL&gt;&lt;Q&gt;USDANG^STD(FG_PRICE_CHANGE(0,-1AY,AM))&lt;/Q&gt;&lt;R&gt;1&lt;/R&gt;&lt;C&gt;1&lt;/C&gt;&lt;D xsi:type="xsd:double"&gt;0&lt;/D&gt;&lt;/FQL&gt;&lt;FQL&gt;&lt;Q&gt;USDGBP^STD(FG_PRICE_CHANGE(0,-1AY,AM))&lt;/Q&gt;&lt;R&gt;1&lt;/R&gt;&lt;C&gt;1&lt;/C&gt;&lt;D xsi:type="xsd:double"&gt;1.89219013751636&lt;/D&gt;&lt;/FQL&gt;&lt;FQL&gt;&lt;Q&gt;USDJPY^STD(FG_PRICE_CHANGE(0,-1AY,AM))&lt;/Q&gt;&lt;R&gt;1&lt;/R&gt;&lt;C&gt;1&lt;/C&gt;&lt;D xsi:type="xsd:double"&gt;3.41623689007612&lt;/D&gt;&lt;/FQL&gt;&lt;FQL&gt;&lt;Q&gt;USDCAD^STD(FG_PRICE_CHANGE(0,-1AY,AM))&lt;/Q&gt;&lt;R&gt;1&lt;/R&gt;&lt;C&gt;1&lt;/C&gt;&lt;D xsi:type="xsd:double"&gt;1.39700890801056&lt;/D&gt;&lt;/FQL&gt;&lt;FQL&gt;&lt;Q&gt;USDNZD^STD(FG_PRICE_CHANGE(0,-1AY,AM))&lt;/Q&gt;&lt;R&gt;1&lt;/R&gt;&lt;C&gt;1&lt;/C&gt;&lt;D xsi:type="xsd:double"&gt;2.80576300083877&lt;/D&gt;&lt;/FQL&gt;&lt;FQL&gt;&lt;Q&gt;EWG^FMA_EPS(NTMA,-20AY,0,CY,,"PORTAGG","MEANR")&lt;/Q&gt;&lt;R&gt;20&lt;/R&gt;&lt;C&gt;1&lt;/C&gt;&lt;D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xsi:type="xsd:double"&gt;2.08815829612982&lt;/D&gt;&lt;D xsi:type="xsd:double"&gt;1.98003612030208&lt;/D&gt;&lt;D xsi:type="xsd:double"&gt;2.44944590598376&lt;/D&gt;&lt;D xsi:type="xsd:double"&gt;2.36386839889078&lt;/D&gt;&lt;D xsi:type="xsd:double"&gt;2.65638349123077&lt;/D&gt;&lt;/FQL&gt;&lt;FQL&gt;&lt;Q&gt;EWA^P_PRICE_RETURNS_PR('52W',2,-10AY,0,AM)&lt;/Q&gt;&lt;R&gt;121&lt;/R&gt;&lt;C&gt;1&lt;/C&gt;&lt;D xsi:type="xsd:double"&gt;15.659559&lt;/D&gt;&lt;D xsi:type="xsd:double"&gt;6.3875318&lt;/D&gt;&lt;D xsi:type="xsd:double"&gt;-4.774851&lt;/D&gt;&lt;D xsi:type="xsd:double"&gt;-0.45861006&lt;/D&gt;&lt;D xsi:type="xsd:double"&gt;-4.122627&lt;/D&gt;&lt;D xsi:type="xsd:double"&gt;-1.919049&lt;/D&gt;&lt;D xsi:type="xsd:double"&gt;-0.5066395&lt;/D&gt;&lt;D xsi:type="xsd:double"&gt;-3.0422807&lt;/D&gt;&lt;D xsi:type="xsd:double"&gt;-5.7278514&lt;/D&gt;&lt;D xsi:type="xsd:double"&gt;-6.8668604&lt;/D&gt;&lt;D xsi:type="xsd:double"&gt;-12.115002&lt;/D&gt;&lt;D xsi:type="xsd:double"&gt;-15.978736&lt;/D&gt;&lt;D xsi:type="xsd:double"&gt;-21.133047&lt;/D&gt;&lt;D xsi:type="xsd:double"&gt;-22.680658&lt;/D&gt;&lt;D xsi:type="xsd:double"&gt;-13.66046&lt;/D&gt;&lt;D xsi:type="xsd:double"&gt;-22.693813&lt;/D&gt;&lt;D xsi:type="xsd:double"&gt;-10.7167425&lt;/D&gt;&lt;D xsi:type="xsd:double"&gt;-22.480297&lt;/D&gt;&lt;D xsi:type="xsd:double"&gt;-21.501785&lt;/D&gt;&lt;D xsi:type="xsd:double"&gt;-10.145033&lt;/D&gt;&lt;D xsi:type="xsd:double"&gt;-10.362321&lt;/D&gt;&lt;D xsi:type="xsd:double"&gt;-12.441296&lt;/D&gt;&lt;D xsi:type="xsd:double"&gt;-10.048419&lt;/D&gt;&lt;D xsi:type="xsd:double"&gt;1.65627&lt;/D&gt;&lt;D xsi:type="xsd:double"&gt;10.181689&lt;/D&gt;&lt;D xsi:type="xsd:double"&gt;9.159195&lt;/D&gt;&lt;D xsi:type="xsd:double"&gt;12.044466&lt;/D&gt;&lt;D xsi:type="xsd:double"&gt;15.0925045&lt;/D&gt;&lt;D xsi:type="xsd:double"&gt;14.982498&lt;/D&gt;&lt;D xsi:type="xsd:double"&gt;32.669342&lt;/D&gt;&lt;D xsi:type="xsd:double"&gt;33.949684&lt;/D&gt;&lt;D xsi:type="xsd:double"&gt;19.821167&lt;/D&gt;&lt;D xsi:type="xsd:double"&gt;19.837261&lt;/D&gt;&lt;D xsi:type="xsd:double"&gt;16.280758&lt;/D&gt;&lt;D xsi:type="xsd:double"&gt;21.768486&lt;/D&gt;&lt;D xsi:type="xsd:double"&gt;14.218748&lt;/D&gt;&lt;D xsi:type="xsd:double"&gt;13.929832&lt;/D&gt;&lt;D xsi:type="xsd:double"&gt;21.298813&lt;/D&gt;&lt;D xsi:type="xsd:double"&gt;16.539753&lt;/D&gt;&lt;D xsi:type="xsd:double"&gt;18.828583&lt;/D&gt;&lt;D xsi:type="xsd:double"&gt;16.848553&lt;/D&gt;&lt;D xsi:type="xsd:double"&gt;14.63449&lt;/D&gt;&lt;D xsi:type="xsd:double"&gt;8.005118&lt;/D&gt;&lt;D xsi:type="xsd:double"&gt;6.207752&lt;/D&gt;&lt;D xsi:type="xsd:double"&gt;4.9485803&lt;/D&gt;&lt;D xsi:type="xsd:double"&gt;8.6164&lt;/D&gt;&lt;D xsi:type="xsd:double"&gt;6.756294&lt;/D&gt;&lt;D xsi:type="xsd:double"&gt;6.4374566&lt;/D&gt;&lt;D xsi:type="xsd:double"&gt;4.007995&lt;/D&gt;&lt;D xsi:type="xsd:double"&gt;-0.5818367&lt;/D&gt;&lt;D xsi:type="xsd:double"&gt;-4.8033595&lt;/D&gt;&lt;D xsi:type="xsd:double"&gt;-3.8158774&lt;/D&gt;&lt;D xsi:type="xsd:double"&gt;-9.411228&lt;/D&gt;&lt;D xsi:type="xsd:double"&gt;-8.32727&lt;/D&gt;&lt;D xsi:type="xsd:double"&gt;-3.6608398&lt;/D&gt;&lt;D xsi:type="xsd:double"&gt;-0.5970299&lt;/D&gt;&lt;D xsi:type="xsd:double"&gt;3.2529593&lt;/D&gt;&lt;D xsi:type="xsd:double"&gt;0.13940334&lt;/D&gt;&lt;D xsi:type="xsd:double"&gt;4.6655416&lt;/D&gt;&lt;D xsi:type="xsd:double"&gt;5.093205&lt;/D&gt;&lt;D xsi:type="xsd:double"&gt;-0.83835125&lt;/D&gt;&lt;D xsi:type="xsd:double"&gt;9.035397&lt;/D&gt;&lt;D xsi:type="xsd:double"&gt;12.911558&lt;/D&gt;&lt;D xsi:type="xsd:double"&gt;15.390348&lt;/D&gt;&lt;D xsi:type="xsd:double"&gt;23.09575&lt;/D&gt;&lt;D xsi:type="xsd:double"&gt;20.635723&lt;/D&gt;&lt;D xsi:type="xsd:double"&gt;15.619791&lt;/D&gt;&lt;D xsi:type="xsd:double"&gt;-29.737986&lt;/D&gt;&lt;D xsi:type="xsd:double"&gt;-22.080278&lt;/D&gt;&lt;D xsi:type="xsd:double"&gt;-19.008827&lt;/D&gt;&lt;D xsi:type="xsd:double"&gt;-7.832962&lt;/D&gt;&lt;D xsi:type="xsd:double"&gt;-8.823484&lt;/D&gt;&lt;D xsi:type="xsd:double"&gt;0.9591341&lt;/D&gt;&lt;D xsi:type="xsd:double"&gt;-5.647719&lt;/D&gt;&lt;D xsi:type="xsd:double"&gt;-3.7696838&lt;/D&gt;&lt;D xsi:type="xsd:double"&gt;2.1953464&lt;/D&gt;&lt;D xsi:type="xsd:double"&gt;7.501209&lt;/D&gt;&lt;D xsi:type="xsd:double"&gt;7.4872255&lt;/D&gt;&lt;D xsi:type="xsd:double"&gt;12.467039&lt;/D&gt;&lt;D xsi:type="xsd:double"&gt;77.97054&lt;/D&gt;&lt;D xsi:type="xsd:double"&gt;63.77481&lt;/D&gt;&lt;D xsi:type="xsd:double"&gt;64.17113&lt;/D&gt;&lt;D xsi:type="xsd:double"&gt;41.87906&lt;/D&gt;&lt;D xsi:type="xsd:double"&gt;32.140743&lt;/D&gt;&lt;D xsi:type="xsd:double"&gt;30.887402&lt;/D&gt;&lt;D xsi:type="xsd:double"&gt;29.289246&lt;/D&gt;&lt;D xsi:type="xsd:double"&gt;28.914238&lt;/D&gt;&lt;D xsi:type="xsd:double"&gt;17.78307&lt;/D&gt;&lt;D xsi:type="xsd:double"&gt;5.739522&lt;/D&gt;&lt;D xsi:type="xsd:double"&gt;4.3678045&lt;/D&gt;&lt;D xsi:type="xsd:double"&gt;1.0647178&lt;/D&gt;&lt;D xsi:type="xsd:double"&gt;4.8386574&lt;/D&gt;&lt;D xsi:type="xsd:double"&gt;7.700968&lt;/D&gt;&lt;D xsi:type="xsd:double"&gt;-5.9353886&lt;/D&gt;&lt;D xsi:type="xsd:double"&gt;-15.72668&lt;/D&gt;&lt;D xsi:type="xsd:double"&gt;-12.554682&lt;/D&gt;&lt;D xsi:type="xsd:double"&gt;-6.1323166&lt;/D&gt;&lt;D xsi:type="xsd:double"&gt;-12.325263&lt;/D&gt;&lt;D xsi:type="xsd:double"&gt;-19.549889&lt;/D&gt;&lt;D xsi:type="xsd:double"&gt;-6.288415&lt;/D&gt;&lt;D xsi:type="xsd:double"&gt;-3.16723&lt;/D&gt;&lt;D xsi:type="xsd:double"&gt;1.4760256&lt;/D&gt;&lt;D xsi:type="xsd:double"&gt;2.908361&lt;/D&gt;&lt;D xsi:type="xsd:double"&gt;-7.488799&lt;/D&gt;&lt;D xsi:type="xsd:double"&gt;-6.5218153&lt;/D&gt;&lt;D xsi:type="xsd:double"&gt;0.76423883&lt;/D&gt;&lt;D xsi:type="xsd:double"&gt;14.323068&lt;/D&gt;&lt;D xsi:type="xsd:double"&gt;17.049812&lt;/D&gt;&lt;D xsi:type="xsd:double"&gt;-2.817148&lt;/D&gt;&lt;D xsi:type="xsd:double"&gt;7.8110456&lt;/D&gt;&lt;D xsi:type="xsd:double"&gt;13.911831&lt;/D&gt;&lt;D xsi:type="xsd:double"&gt;0.40711164&lt;/D&gt;&lt;D xsi:type="xsd:double"&gt;8.880854&lt;/D&gt;&lt;D xsi:type="xsd:double"&gt;0.048172474&lt;/D&gt;&lt;D xsi:type="xsd:double"&gt;3.5096407&lt;/D&gt;&lt;D xsi:type="xsd:double"&gt;14.416969&lt;/D&gt;&lt;D xsi:type="xsd:double"&gt;3.0142903&lt;/D&gt;&lt;D xsi:type="xsd:double"&gt;14.96942&lt;/D&gt;&lt;D xsi:type="xsd:double"&gt;9.887875&lt;/D&gt;&lt;D xsi:type="xsd:double"&gt;14.275372&lt;/D&gt;&lt;D xsi:type="xsd:double"&gt;20.019638&lt;/D&gt;&lt;/FQL&gt;&lt;FQL&gt;&lt;Q&gt;ENZL^JULIAN(FG_TOTAL_RETURNC(-10AY,0,AM).DATES)&lt;/Q&gt;&lt;R&gt;121&lt;/R&gt;&lt;C&gt;1&lt;/C&gt;&lt;D xsi:type="xsd:long"&gt;41866&lt;/D&gt;&lt;D xsi:type="xsd:long"&gt;41898&lt;/D&gt;&lt;D xsi:type="xsd:long"&gt;41928&lt;/D&gt;&lt;D xsi:type="xsd:long"&gt;41957&lt;/D&gt;&lt;D xsi:type="xsd:long"&gt;41989&lt;/D&gt;&lt;D xsi:type="xsd:long"&gt;42020&lt;/D&gt;&lt;D xsi:type="xsd:long"&gt;42048&lt;/D&gt;&lt;D xsi:type="xsd:long"&gt;42079&lt;/D&gt;&lt;D xsi:type="xsd:long"&gt;42110&lt;/D&gt;&lt;D xsi:type="xsd:long"&gt;42139&lt;/D&gt;&lt;D xsi:type="xsd:long"&gt;42171&lt;/D&gt;&lt;D xsi:type="xsd:long"&gt;42201&lt;/D&gt;&lt;D xsi:type="xsd:long"&gt;42230&lt;/D&gt;&lt;D xsi:type="xsd:long"&gt;42263&lt;/D&gt;&lt;D xsi:type="xsd:long"&gt;42293&lt;/D&gt;&lt;D xsi:type="xsd:long"&gt;42324&lt;/D&gt;&lt;D xsi:type="xsd:long"&gt;42354&lt;/D&gt;&lt;D xsi:type="xsd:long"&gt;42384&lt;/D&gt;&lt;D xsi:type="xsd:long"&gt;42416&lt;/D&gt;&lt;D xsi:type="xsd:long"&gt;42445&lt;/D&gt;&lt;D xsi:type="xsd:long"&gt;42475&lt;/D&gt;&lt;D xsi:type="xsd:long"&gt;42506&lt;/D&gt;&lt;D xsi:type="xsd:long"&gt;42537&lt;/D&gt;&lt;D xsi:type="xsd:long"&gt;42566&lt;/D&gt;&lt;D xsi:type="xsd:long"&gt;42598&lt;/D&gt;&lt;D xsi:type="xsd:long"&gt;42629&lt;/D&gt;&lt;D xsi:type="xsd:long"&gt;42657&lt;/D&gt;&lt;D xsi:type="xsd:long"&gt;42690&lt;/D&gt;&lt;D xsi:type="xsd:long"&gt;42720&lt;/D&gt;&lt;D xsi:type="xsd:long"&gt;42748&lt;/D&gt;&lt;D xsi:type="xsd:long"&gt;42782&lt;/D&gt;&lt;D xsi:type="xsd:long"&gt;42810&lt;/D&gt;&lt;D xsi:type="xsd:long"&gt;42838&lt;/D&gt;&lt;D xsi:type="xsd:long"&gt;42871&lt;/D&gt;&lt;D xsi:type="xsd:long"&gt;42902&lt;/D&gt;&lt;D xsi:type="xsd:long"&gt;42930&lt;/D&gt;&lt;D xsi:type="xsd:long"&gt;42963&lt;/D&gt;&lt;D xsi:type="xsd:long"&gt;42993&lt;/D&gt;&lt;D xsi:type="xsd:long"&gt;43024&lt;/D&gt;&lt;D xsi:type="xsd:long"&gt;43055&lt;/D&gt;&lt;D xsi:type="xsd:long"&gt;43084&lt;/D&gt;&lt;D xsi:type="xsd:long"&gt;43116&lt;/D&gt;&lt;D xsi:type="xsd:long"&gt;43147&lt;/D&gt;&lt;D xsi:type="xsd:long"&gt;43175&lt;/D&gt;&lt;D xsi:type="xsd:long"&gt;43206&lt;/D&gt;&lt;D xsi:type="xsd:long"&gt;43236&lt;/D&gt;&lt;D xsi:type="xsd:long"&gt;43266&lt;/D&gt;&lt;D xsi:type="xsd:long"&gt;43297&lt;/D&gt;&lt;D xsi:type="xsd:long"&gt;43328&lt;/D&gt;&lt;D xsi:type="xsd:long"&gt;43357&lt;/D&gt;&lt;D xsi:type="xsd:long"&gt;43389&lt;/D&gt;&lt;D xsi:type="xsd:long"&gt;43420&lt;/D&gt;&lt;D xsi:type="xsd:long"&gt;43448&lt;/D&gt;&lt;D xsi:type="xsd:long"&gt;43481&lt;/D&gt;&lt;D xsi:type="xsd:long"&gt;43511&lt;/D&gt;&lt;D xsi:type="xsd:long"&gt;43539&lt;/D&gt;&lt;D xsi:type="xsd:long"&gt;43571&lt;/D&gt;&lt;D xsi:type="xsd:long"&gt;43601&lt;/D&gt;&lt;D xsi:type="xsd:long"&gt;43630&lt;/D&gt;&lt;D xsi:type="xsd:long"&gt;43662&lt;/D&gt;&lt;D xsi:type="xsd:long"&gt;43693&lt;/D&gt;&lt;D xsi:type="xsd:long"&gt;43724&lt;/D&gt;&lt;D xsi:type="xsd:long"&gt;43754&lt;/D&gt;&lt;D xsi:type="xsd:long"&gt;43784&lt;/D&gt;&lt;D xsi:type="xsd:long"&gt;43815&lt;/D&gt;&lt;D xsi:type="xsd:long"&gt;43846&lt;/D&gt;&lt;D xsi:type="xsd:long"&gt;43875&lt;/D&gt;&lt;D xsi:type="xsd:long"&gt;43906&lt;/D&gt;&lt;D xsi:type="xsd:long"&gt;43937&lt;/D&gt;&lt;D xsi:type="xsd:long"&gt;43966&lt;/D&gt;&lt;D xsi:type="xsd:long"&gt;43998&lt;/D&gt;&lt;D xsi:type="xsd:long"&gt;44028&lt;/D&gt;&lt;D xsi:type="xsd:long"&gt;44057&lt;/D&gt;&lt;D xsi:type="xsd:long"&gt;44090&lt;/D&gt;&lt;D xsi:type="xsd:long"&gt;44120&lt;/D&gt;&lt;D xsi:type="xsd:long"&gt;44151&lt;/D&gt;&lt;D xsi:type="xsd:long"&gt;44181&lt;/D&gt;&lt;D xsi:type="xsd:long"&gt;44211&lt;/D&gt;&lt;D xsi:type="xsd:long"&gt;44243&lt;/D&gt;&lt;D xsi:type="xsd:long"&gt;44271&lt;/D&gt;&lt;D xsi:type="xsd:long"&gt;44302&lt;/D&gt;&lt;D xsi:type="xsd:long"&gt;44330&lt;/D&gt;&lt;D xsi:type="xsd:long"&gt;44363&lt;/D&gt;&lt;D xsi:type="xsd:long"&gt;44393&lt;/D&gt;&lt;D xsi:type="xsd:long"&gt;44424&lt;/D&gt;&lt;D xsi:type="xsd:long"&gt;44455&lt;/D&gt;&lt;D xsi:type="xsd:long"&gt;44484&lt;/D&gt;&lt;D xsi:type="xsd:long"&gt;44516&lt;/D&gt;&lt;D xsi:type="xsd:long"&gt;44546&lt;/D&gt;&lt;D xsi:type="xsd:long"&gt;44575&lt;/D&gt;&lt;D xsi:type="xsd:long"&gt;44608&lt;/D&gt;&lt;D xsi:type="xsd:long"&gt;44636&lt;/D&gt;&lt;D xsi:type="xsd:long"&gt;44665&lt;/D&gt;&lt;D xsi:type="xsd:long"&gt;44697&lt;/D&gt;&lt;D xsi:type="xsd:long"&gt;44728&lt;/D&gt;&lt;D xsi:type="xsd:long"&gt;44757&lt;/D&gt;&lt;D xsi:type="xsd:long"&gt;44789&lt;/D&gt;&lt;D xsi:type="xsd:long"&gt;44820&lt;/D&gt;&lt;D xsi:type="xsd:long"&gt;44848&lt;/D&gt;&lt;D xsi:type="xsd:long"&gt;44881&lt;/D&gt;&lt;D xsi:type="xsd:long"&gt;44911&lt;/D&gt;&lt;D xsi:type="xsd:long"&gt;44939&lt;/D&gt;&lt;D xsi:type="xsd:long"&gt;44973&lt;/D&gt;&lt;D xsi:type="xsd:long"&gt;45001&lt;/D&gt;&lt;D xsi:type="xsd:long"&gt;45030&lt;/D&gt;&lt;D xsi:type="xsd:long"&gt;45062&lt;/D&gt;&lt;D xsi:type="xsd:long"&gt;45093&lt;/D&gt;&lt;D xsi:type="xsd:long"&gt;45121&lt;/D&gt;&lt;D xsi:type="xsd:long"&gt;45154&lt;/D&gt;&lt;D xsi:type="xsd:long"&gt;45184&lt;/D&gt;&lt;D xsi:type="xsd:long"&gt;45215&lt;/D&gt;&lt;D xsi:type="xsd:long"&gt;45246&lt;/D&gt;&lt;D xsi:type="xsd:long"&gt;45275&lt;/D&gt;&lt;D xsi:type="xsd:long"&gt;45307&lt;/D&gt;&lt;D xsi:type="xsd:long"&gt;45338&lt;/D&gt;&lt;D xsi:type="xsd:long"&gt;45366&lt;/D&gt;&lt;D xsi:type="xsd:long"&gt;45398&lt;/D&gt;&lt;D xsi:type="xsd:long"&gt;45428&lt;/D&gt;&lt;D xsi:type="xsd:long"&gt;45457&lt;/D&gt;&lt;D xsi:type="xsd:long"&gt;45489&lt;/D&gt;&lt;D xsi:type="xsd:long"&gt;45520&lt;/D&gt;&lt;/FQL&gt;&lt;FQL&gt;&lt;Q&gt;EWQ^FMA_PE(LTMA,-10AY,0,AM,"PORTAGG","MEANR")&lt;/Q&gt;&lt;R&gt;121&lt;/R&gt;&lt;C&gt;1&lt;/C&gt;&lt;D xsi:type="xsd:double"&gt;15.073004984053&lt;/D&gt;&lt;D xsi:type="xsd:double"&gt;15.4356810322396&lt;/D&gt;&lt;D xsi:type="xsd:double"&gt;14.1363984006021&lt;/D&gt;&lt;D xsi:type="xsd:double"&gt;14.87478269779&lt;/D&gt;&lt;D xsi:type="xsd:double"&gt;14.5486477510934&lt;/D&gt;&lt;D xsi:type="xsd:double"&gt;15.3428384201067&lt;/D&gt;&lt;D xsi:type="xsd:double"&gt;16.7149799557503&lt;/D&gt;&lt;D xsi:type="xsd:double"&gt;17.5866328178089&lt;/D&gt;&lt;D xsi:type="xsd:double"&gt;17.6734587094016&lt;/D&gt;&lt;D xsi:type="xsd:double"&gt;17.4250425999342&lt;/D&gt;&lt;D xsi:type="xsd:double"&gt;17.1030920099733&lt;/D&gt;&lt;D xsi:type="xsd:double"&gt;17.4074524152145&lt;/D&gt;&lt;D xsi:type="xsd:double"&gt;16.8660987859848&lt;/D&gt;&lt;D xsi:type="xsd:double"&gt;16.0342945889533&lt;/D&gt;&lt;D xsi:type="xsd:double"&gt;15.9960417350144&lt;/D&gt;&lt;D xsi:type="xsd:double"&gt;16.0525224525061&lt;/D&gt;&lt;D xsi:type="xsd:double"&gt;15.484296906528&lt;/D&gt;&lt;D xsi:type="xsd:double"&gt;14.0278255720747&lt;/D&gt;&lt;D xsi:type="xsd:double"&gt;14.3700980426644&lt;/D&gt;&lt;D xsi:type="xsd:double"&gt;15.1954833000797&lt;/D&gt;&lt;D xsi:type="xsd:double"&gt;15.2350730975719&lt;/D&gt;&lt;D xsi:type="xsd:double"&gt;15.0520123495646&lt;/D&gt;&lt;D xsi:type="xsd:double"&gt;14.7013576963997&lt;/D&gt;&lt;D xsi:type="xsd:double"&gt;14.9937074801397&lt;/D&gt;&lt;D xsi:type="xsd:double"&gt;15.0133956545616&lt;/D&gt;&lt;D xsi:type="xsd:double"&gt;14.6746970155932&lt;/D&gt;&lt;D xsi:type="xsd:double"&gt;14.9304309377164&lt;/D&gt;&lt;D xsi:type="xsd:double"&gt;14.7871062546546&lt;/D&gt;&lt;D xsi:type="xsd:double"&gt;15.6390211508184&lt;/D&gt;&lt;D xsi:type="xsd:double"&gt;15.9757532534259&lt;/D&gt;&lt;D xsi:type="xsd:double"&gt;15.6339106270661&lt;/D&gt;&lt;D xsi:type="xsd:double"&gt;15.6148432630188&lt;/D&gt;&lt;D xsi:type="xsd:double"&gt;15.6146239154482&lt;/D&gt;&lt;D xsi:type="xsd:double"&gt;15.8822143721315&lt;/D&gt;&lt;D xsi:type="xsd:double"&gt;15.7158219457954&lt;/D&gt;&lt;D xsi:type="xsd:double"&gt;15.735855693338&lt;/D&gt;&lt;D xsi:type="xsd:double"&gt;15.5922171640052&lt;/D&gt;&lt;D xsi:type="xsd:double"&gt;15.7119950511108&lt;/D&gt;&lt;D xsi:type="xsd:double"&gt;16.0520235945002&lt;/D&gt;&lt;D xsi:type="xsd:double"&gt;15.895385039404&lt;/D&gt;&lt;D xsi:type="xsd:double"&gt;16.0467060225535&lt;/D&gt;&lt;D xsi:type="xsd:double"&gt;16.5886903232973&lt;/D&gt;&lt;D xsi:type="xsd:double"&gt;15.7154374416483&lt;/D&gt;&lt;D xsi:type="xsd:double"&gt;15.5723302975611&lt;/D&gt;&lt;D xsi:type="xsd:double"&gt;15.5136481217748&lt;/D&gt;&lt;D xsi:type="xsd:double"&gt;15.5969444159841&lt;/D&gt;&lt;D xsi:type="xsd:double"&gt;15.4131642136325&lt;/D&gt;&lt;D xsi:type="xsd:double"&gt;15.2651372147256&lt;/D&gt;&lt;D xsi:type="xsd:double"&gt;14.9633100523706&lt;/D&gt;&lt;D xsi:type="xsd:double"&gt;14.9025032781051&lt;/D&gt;&lt;D xsi:type="xsd:double"&gt;14.38648832423&lt;/D&gt;&lt;D xsi:type="xsd:double"&gt;13.9356086321765&lt;/D&gt;&lt;D xsi:type="xsd:double"&gt;13.3503723782391&lt;/D&gt;&lt;D xsi:type="xsd:double"&gt;13.220666668918&lt;/D&gt;&lt;D xsi:type="xsd:double"&gt;14.1935261736236&lt;/D&gt;&lt;D xsi:type="xsd:double"&gt;14.6086515016695&lt;/D&gt;&lt;D xsi:type="xsd:double"&gt;14.6514070004147&lt;/D&gt;&lt;D xsi:type="xsd:double"&gt;14.5822902356039&lt;/D&gt;&lt;D xsi:type="xsd:double"&gt;14.4685640919284&lt;/D&gt;&lt;D xsi:type="xsd:double"&gt;14.8772692019579&lt;/D&gt;&lt;D xsi:type="xsd:double"&gt;14.4682298079344&lt;/D&gt;&lt;D xsi:type="xsd:double"&gt;14.9960347047105&lt;/D&gt;&lt;D xsi:type="xsd:double"&gt;15.3587497053601&lt;/D&gt;&lt;D xsi:type="xsd:double"&gt;16.1053543746291&lt;/D&gt;&lt;D xsi:type="xsd:double"&gt;16.4313694489242&lt;/D&gt;&lt;D xsi:type="xsd:double"&gt;16.673210072327&lt;/D&gt;&lt;D xsi:type="xsd:double"&gt;16.7237668912914&lt;/D&gt;&lt;D xsi:type="xsd:double"&gt;13.956781788711&lt;/D&gt;&lt;D xsi:type="xsd:double"&gt;15.0226773132463&lt;/D&gt;&lt;D xsi:type="xsd:double"&gt;15.9100011692137&lt;/D&gt;&lt;D xsi:type="xsd:double"&gt;18.0519022289757&lt;/D&gt;&lt;D xsi:type="xsd:double"&gt;19.966740084539&lt;/D&gt;&lt;D xsi:type="xsd:double"&gt;22.0032088030201&lt;/D&gt;&lt;D xsi:type="xsd:double"&gt;23.5542167750921&lt;/D&gt;&lt;D xsi:type="xsd:double"&gt;24.2611290213217&lt;/D&gt;&lt;D xsi:type="xsd:double"&gt;27.2195111003981&lt;/D&gt;&lt;D xsi:type="xsd:double"&gt;28.2679908658037&lt;/D&gt;&lt;D xsi:type="xsd:double"&gt;28.716677222971&lt;/D&gt;&lt;D xsi:type="xsd:double"&gt;27.8433481473282&lt;/D&gt;&lt;D xsi:type="xsd:double"&gt;26.7374231880951&lt;/D&gt;&lt;D xsi:type="xsd:double"&gt;25.9388652289891&lt;/D&gt;&lt;D xsi:type="xsd:double"&gt;25.0290128216003&lt;/D&gt;&lt;D xsi:type="xsd:double"&gt;24.363829995541&lt;/D&gt;&lt;D xsi:type="xsd:double"&gt;22.8820188772029&lt;/D&gt;&lt;D xsi:type="xsd:double"&gt;21.7587992700278&lt;/D&gt;&lt;D xsi:type="xsd:double"&gt;20.3802082751973&lt;/D&gt;&lt;D xsi:type="xsd:double"&gt;19.3079381267966&lt;/D&gt;&lt;D xsi:type="xsd:double"&gt;18.5997077619702&lt;/D&gt;&lt;D xsi:type="xsd:double"&gt;17.3191700145283&lt;/D&gt;&lt;D xsi:type="xsd:double"&gt;16.9770690425997&lt;/D&gt;&lt;D xsi:type="xsd:double"&gt;16.0214479975912&lt;/D&gt;&lt;D xsi:type="xsd:double"&gt;15.3539524747918&lt;/D&gt;&lt;D xsi:type="xsd:double"&gt;15.069955793171&lt;/D&gt;&lt;D xsi:type="xsd:double"&gt;14.4676635893303&lt;/D&gt;&lt;D xsi:type="xsd:double"&gt;13.7102018246582&lt;/D&gt;&lt;D xsi:type="xsd:double"&gt;13.305462875801&lt;/D&gt;&lt;D xsi:type="xsd:double"&gt;13.2310144782106&lt;/D&gt;&lt;D xsi:type="xsd:double"&gt;12.238306011742&lt;/D&gt;&lt;D xsi:type="xsd:double"&gt;11.5014207035218&lt;/D&gt;&lt;D xsi:type="xsd:double"&gt;12.1863788833715&lt;/D&gt;&lt;D xsi:type="xsd:double"&gt;11.6279759830321&lt;/D&gt;&lt;D xsi:type="xsd:double"&gt;12.6038589516598&lt;/D&gt;&lt;D xsi:type="xsd:double"&gt;13.0198970181541&lt;/D&gt;&lt;D xsi:type="xsd:double"&gt;12.8413596270769&lt;/D&gt;&lt;D xsi:type="xsd:double"&gt;13.1399715042298&lt;/D&gt;&lt;D xsi:type="xsd:double"&gt;13.1495537145426&lt;/D&gt;&lt;D xsi:type="xsd:double"&gt;13.2783376427617&lt;/D&gt;&lt;D xsi:type="xsd:double"&gt;13.3424486720199&lt;/D&gt;&lt;D xsi:type="xsd:double"&gt;13.2240303330679&lt;/D&gt;&lt;D xsi:type="xsd:double"&gt;13.3470216470006&lt;/D&gt;&lt;D xsi:type="xsd:double"&gt;12.7920081723764&lt;/D&gt;&lt;D xsi:type="xsd:double"&gt;13.1369302045999&lt;/D&gt;&lt;D xsi:type="xsd:double"&gt;14.0540100746979&lt;/D&gt;&lt;D xsi:type="xsd:double"&gt;13.9679791058565&lt;/D&gt;&lt;D xsi:type="xsd:double"&gt;15.1599865542163&lt;/D&gt;&lt;D xsi:type="xsd:double"&gt;15.5307691455507&lt;/D&gt;&lt;D xsi:type="xsd:double"&gt;15.362325111836&lt;/D&gt;&lt;D xsi:type="xsd:double"&gt;15.5120019872143&lt;/D&gt;&lt;D xsi:type="xsd:double"&gt;14.9184201975226&lt;/D&gt;&lt;D xsi:type="xsd:double"&gt;14.9491359124933&lt;/D&gt;&lt;D xsi:type="xsd:double"&gt;14.7498546270238&lt;/D&gt;&lt;/FQL&gt;&lt;FQL&gt;&lt;Q&gt;DDR3512M-FDS^FG_PRICE_CHANGE(0,-1AM)&lt;/Q&gt;&lt;R&gt;1&lt;/R&gt;&lt;C&gt;1&lt;/C&gt;&lt;D xsi:type="xsd:double"&gt;-5.04623655913978&lt;/D&gt;&lt;/FQL&gt;&lt;FQL&gt;&lt;Q&gt;EWD^FMA_PE(NTMA,-10AY,0,AM,"PORTAGG","MEANR")&lt;/Q&gt;&lt;R&gt;121&lt;/R&gt;&lt;C&gt;1&lt;/C&gt;&lt;D xsi:type="xsd:double"&gt;15.0521725222958&lt;/D&gt;&lt;D xsi:type="xsd:double"&gt;14.6950227973146&lt;/D&gt;&lt;D xsi:type="xsd:double"&gt;13.2205410635012&lt;/D&gt;&lt;D xsi:type="xsd:double"&gt;15.281563447189&lt;/D&gt;&lt;D xsi:type="xsd:double"&gt;15.2130226606854&lt;/D&gt;&lt;D xsi:type="xsd:double"&gt;15.6294680213848&lt;/D&gt;&lt;D xsi:type="xsd:double"&gt;16.760723561582&lt;/D&gt;&lt;D xsi:type="xsd:double"&gt;17.3247666307389&lt;/D&gt;&lt;D xsi:type="xsd:double"&gt;16.992316924997&lt;/D&gt;&lt;D xsi:type="xsd:double"&gt;15.8326662680484&lt;/D&gt;&lt;D xsi:type="xsd:double"&gt;15.7645053365449&lt;/D&gt;&lt;D xsi:type="xsd:double"&gt;16.3169280294981&lt;/D&gt;&lt;D xsi:type="xsd:double"&gt;15.8671863887204&lt;/D&gt;&lt;D xsi:type="xsd:double"&gt;14.7460486989678&lt;/D&gt;&lt;D xsi:type="xsd:double"&gt;14.7821973688787&lt;/D&gt;&lt;D xsi:type="xsd:double"&gt;15.0920426057979&lt;/D&gt;&lt;D xsi:type="xsd:double"&gt;14.7356580298663&lt;/D&gt;&lt;D xsi:type="xsd:double"&gt;13.5975182581164&lt;/D&gt;&lt;D xsi:type="xsd:double"&gt;14.5960444962135&lt;/D&gt;&lt;D xsi:type="xsd:double"&gt;15.3601479971604&lt;/D&gt;&lt;D xsi:type="xsd:double"&gt;15.3026492275642&lt;/D&gt;&lt;D xsi:type="xsd:double"&gt;14.697170753877&lt;/D&gt;&lt;D xsi:type="xsd:double"&gt;14.0189225927965&lt;/D&gt;&lt;D xsi:type="xsd:double"&gt;15.0147137725576&lt;/D&gt;&lt;D xsi:type="xsd:double"&gt;15.4378175248458&lt;/D&gt;&lt;D xsi:type="xsd:double"&gt;15.3242835708722&lt;/D&gt;&lt;D xsi:type="xsd:double"&gt;16.0690224409378&lt;/D&gt;&lt;D xsi:type="xsd:double"&gt;16.0049931696675&lt;/D&gt;&lt;D xsi:type="xsd:double"&gt;16.7511997174863&lt;/D&gt;&lt;D xsi:type="xsd:double"&gt;16.5547418345694&lt;/D&gt;&lt;D xsi:type="xsd:double"&gt;16.4801777596002&lt;/D&gt;&lt;D xsi:type="xsd:double"&gt;16.8871937140627&lt;/D&gt;&lt;D xsi:type="xsd:double"&gt;16.8858483378652&lt;/D&gt;&lt;D xsi:type="xsd:double"&gt;18.3328690108693&lt;/D&gt;&lt;D xsi:type="xsd:double"&gt;16.8378806596828&lt;/D&gt;&lt;D xsi:type="xsd:double"&gt;16.8567057163582&lt;/D&gt;&lt;D xsi:type="xsd:double"&gt;15.8365372092733&lt;/D&gt;&lt;D xsi:type="xsd:double"&gt;16.1628726121903&lt;/D&gt;&lt;D xsi:type="xsd:double"&gt;16.8018439138404&lt;/D&gt;&lt;D xsi:type="xsd:double"&gt;16.8515067679638&lt;/D&gt;&lt;D xsi:type="xsd:double"&gt;16.3142436737457&lt;/D&gt;&lt;D xsi:type="xsd:double"&gt;16.609755348823&lt;/D&gt;&lt;D xsi:type="xsd:double"&gt;16.1561197240843&lt;/D&gt;&lt;D xsi:type="xsd:double"&gt;16.2175354668837&lt;/D&gt;&lt;D xsi:type="xsd:double"&gt;15.6618309766234&lt;/D&gt;&lt;D xsi:type="xsd:double"&gt;15.9986602241049&lt;/D&gt;&lt;D xsi:type="xsd:double"&gt;15.3852770529363&lt;/D&gt;&lt;D xsi:type="xsd:double"&gt;15.3719808419192&lt;/D&gt;&lt;D xsi:type="xsd:double"&gt;15.4588379906944&lt;/D&gt;&lt;D xsi:type="xsd:double"&gt;15.6168419148551&lt;/D&gt;&lt;D xsi:type="xsd:double"&gt;14.7425290864146&lt;/D&gt;&lt;D xsi:type="xsd:double"&gt;14.1007755286879&lt;/D&gt;&lt;D xsi:type="xsd:double"&gt;13.8125056883614&lt;/D&gt;&lt;D xsi:type="xsd:double"&gt;13.5590707579988&lt;/D&gt;&lt;D xsi:type="xsd:double"&gt;14.9294651026098&lt;/D&gt;&lt;D xsi:type="xsd:double"&gt;15.0133507635527&lt;/D&gt;&lt;D xsi:type="xsd:double"&gt;15.3278481477546&lt;/D&gt;&lt;D xsi:type="xsd:double"&gt;15.126076415903&lt;/D&gt;&lt;D xsi:type="xsd:double"&gt;14.7606030206701&lt;/D&gt;&lt;D xsi:type="xsd:double"&gt;15.1389001626293&lt;/D&gt;&lt;D xsi:type="xsd:double"&gt;13.5166288379433&lt;/D&gt;&lt;D xsi:type="xsd:double"&gt;14.7096910274571&lt;/D&gt;&lt;D xsi:type="xsd:double"&gt;15.2596106609769&lt;/D&gt;&lt;D xsi:type="xsd:double"&gt;15.8572599222848&lt;/D&gt;&lt;D xsi:type="xsd:double"&gt;16.1475111041932&lt;/D&gt;&lt;D xsi:type="xsd:double"&gt;16.370238090293&lt;/D&gt;&lt;D xsi:type="xsd:double"&gt;17.0135057231596&lt;/D&gt;&lt;D xsi:type="xsd:double"&gt;11.9026664528379&lt;/D&gt;&lt;D xsi:type="xsd:double"&gt;15.7667170827312&lt;/D&gt;&lt;D xsi:type="xsd:double"&gt;16.9810875295517&lt;/D&gt;&lt;D xsi:type="xsd:double"&gt;19.0485718860247&lt;/D&gt;&lt;D xsi:type="xsd:double"&gt;19.942392047886&lt;/D&gt;&lt;D xsi:type="xsd:double"&gt;18.5641630027403&lt;/D&gt;&lt;D xsi:type="xsd:double"&gt;18.5442101088809&lt;/D&gt;&lt;D xsi:type="xsd:double"&gt;17.3785723952257&lt;/D&gt;&lt;D xsi:type="xsd:double"&gt;17.264805080378&lt;/D&gt;&lt;D xsi:type="xsd:double"&gt;17.2155766984233&lt;/D&gt;&lt;D xsi:type="xsd:double"&gt;18.7186615072194&lt;/D&gt;&lt;D xsi:type="xsd:double"&gt;18.9332538307374&lt;/D&gt;&lt;D xsi:type="xsd:double"&gt;20.1654666267604&lt;/D&gt;&lt;D xsi:type="xsd:double"&gt;20.7635328598566&lt;/D&gt;&lt;D xsi:type="xsd:double"&gt;18.125656023409&lt;/D&gt;&lt;D xsi:type="xsd:double"&gt;18.8451553300958&lt;/D&gt;&lt;D xsi:type="xsd:double"&gt;18.6009314553249&lt;/D&gt;&lt;D xsi:type="xsd:double"&gt;18.4566028630503&lt;/D&gt;&lt;D xsi:type="xsd:double"&gt;18.5807427769405&lt;/D&gt;&lt;D xsi:type="xsd:double"&gt;18.4247497078707&lt;/D&gt;&lt;D xsi:type="xsd:double"&gt;18.9806874876662&lt;/D&gt;&lt;D xsi:type="xsd:double"&gt;18.8880908124059&lt;/D&gt;&lt;D xsi:type="xsd:double"&gt;17.5088930333866&lt;/D&gt;&lt;D xsi:type="xsd:double"&gt;16.1642258012674&lt;/D&gt;&lt;D xsi:type="xsd:double"&gt;15.5414081289669&lt;/D&gt;&lt;D xsi:type="xsd:double"&gt;15.0236532300201&lt;/D&gt;&lt;D xsi:type="xsd:double"&gt;15.8448760006051&lt;/D&gt;&lt;D xsi:type="xsd:double"&gt;14.2394700984031&lt;/D&gt;&lt;D xsi:type="xsd:double"&gt;14.3975046827923&lt;/D&gt;&lt;D xsi:type="xsd:double"&gt;15.2061761906756&lt;/D&gt;&lt;D xsi:type="xsd:double"&gt;13.6285537776343&lt;/D&gt;&lt;D xsi:type="xsd:double"&gt;13.1514911118875&lt;/D&gt;&lt;D xsi:type="xsd:double"&gt;12.9054866482315&lt;/D&gt;&lt;D xsi:type="xsd:double"&gt;12.7426217439397&lt;/D&gt;&lt;D xsi:type="xsd:double"&gt;13.6589372063601&lt;/D&gt;&lt;D xsi:type="xsd:double"&gt;14.2556819058803&lt;/D&gt;&lt;D xsi:type="xsd:double"&gt;13.2910026878924&lt;/D&gt;&lt;D xsi:type="xsd:double"&gt;13.9201951136746&lt;/D&gt;&lt;D xsi:type="xsd:double"&gt;13.4766568322133&lt;/D&gt;&lt;D xsi:type="xsd:double"&gt;13.8328967500453&lt;/D&gt;&lt;D xsi:type="xsd:double"&gt;13.3865921843589&lt;/D&gt;&lt;D xsi:type="xsd:double"&gt;12.854898412632&lt;/D&gt;&lt;D xsi:type="xsd:double"&gt;13.0759801560556&lt;/D&gt;&lt;D xsi:type="xsd:double"&gt;13.0963368640199&lt;/D&gt;&lt;D xsi:type="xsd:double"&gt;13.203538245257&lt;/D&gt;&lt;D xsi:type="xsd:double"&gt;15.6541221045383&lt;/D&gt;&lt;D xsi:type="xsd:double"&gt;15.2404878650801&lt;/D&gt;&lt;D xsi:type="xsd:double"&gt;16.0428926950517&lt;/D&gt;&lt;D xsi:type="xsd:double"&gt;16.7422910308327&lt;/D&gt;&lt;D xsi:type="xsd:double"&gt;16.0524526177943&lt;/D&gt;&lt;D xsi:type="xsd:double"&gt;16.3936139399142&lt;/D&gt;&lt;D xsi:type="xsd:double"&gt;15.8519694290206&lt;/D&gt;&lt;D xsi:type="xsd:double"&gt;16.5362061520468&lt;/D&gt;&lt;D xsi:type="xsd:double"&gt;15.5830060585929&lt;/D&gt;&lt;/FQL&gt;&lt;FQL&gt;&lt;Q&gt;PASP-FDS^FG_PRICE_CHANGE(0,-1AM)&lt;/Q&gt;&lt;R&gt;1&lt;/R&gt;&lt;C&gt;1&lt;/C&gt;&lt;D xsi:type="xsd:double"&gt;-0.631578947368416&lt;/D&gt;&lt;/FQL&gt;&lt;FQL&gt;&lt;Q&gt;PLATI-FDS^FG_PRICE_CHANGE(0,-1AM)&lt;/Q&gt;&lt;R&gt;1&lt;/R&gt;&lt;C&gt;1&lt;/C&gt;&lt;D xsi:type="xsd:double"&gt;-4.15821501014199&lt;/D&gt;&lt;/FQL&gt;&lt;FQL&gt;&lt;Q&gt;W-FDS^FG_PRICE_CHANGE(0,-1AM)&lt;/Q&gt;&lt;R&gt;1&lt;/R&gt;&lt;C&gt;1&lt;/C&gt;&lt;D xsi:type="xsd:double"&gt;-0.141309467734341&lt;/D&gt;&lt;/FQL&gt;&lt;FQL&gt;&lt;Q&gt;COPP-FDS^FG_PRICE_CHANGE(0,-1AM)&lt;/Q&gt;&lt;R&gt;1&lt;/R&gt;&lt;C&gt;1&lt;/C&gt;&lt;D xsi:type="xsd:double"&gt;-7.12196219621961&lt;/D&gt;&lt;/FQL&gt;&lt;FQL&gt;&lt;Q&gt;EWI^FG_PRICE_MAVG(0,,,,60)&lt;/Q&gt;&lt;R&gt;1&lt;/R&gt;&lt;C&gt;1&lt;/C&gt;&lt;D xsi:type="xsd:double"&gt;37.055332&lt;/D&gt;&lt;/FQL&gt;&lt;FQL&gt;&lt;Q&gt;SPY^FG_PRICE_MAVG(0,,,,60)&lt;/Q&gt;&lt;R&gt;1&lt;/R&gt;&lt;C&gt;1&lt;/C&gt;&lt;D xsi:type="xsd:double"&gt;542.1533&lt;/D&gt;&lt;/FQL&gt;&lt;FQL&gt;&lt;Q&gt;EWJ^FG_PRICE_MAVG(0,,,,60)&lt;/Q&gt;&lt;R&gt;1&lt;/R&gt;&lt;C&gt;1&lt;/C&gt;&lt;D xsi:type="xsd:double"&gt;68.3145&lt;/D&gt;&lt;/FQL&gt;&lt;FQL&gt;&lt;Q&gt;ENZL^FG_PRICE_MAVG(0,,,,60)&lt;/Q&gt;&lt;R&gt;1&lt;/R&gt;&lt;C&gt;1&lt;/C&gt;&lt;D xsi:type="xsd:double"&gt;45.990974&lt;/D&gt;&lt;/FQL&gt;&lt;FQL&gt;&lt;Q&gt;SPY^PERCENT_CHANGE(FMA_EPS(+1,0,,,,"PORTAGG","MEAN"),FMA_EPS(+1,-3AM,,,,"PORTAGG","MEAN"))&lt;/Q&gt;&lt;R&gt;1&lt;/R&gt;&lt;C&gt;1&lt;/C&gt;&lt;D xsi:type="xsd:double"&gt;-0.686644705922494&lt;/D&gt;&lt;/FQL&gt;&lt;FQL&gt;&lt;Q&gt;URTH^FG_TOTAL_RETURNC(0,-3AM)&lt;/Q&gt;&lt;R&gt;1&lt;/R&gt;&lt;C&gt;1&lt;/C&gt;&lt;D xsi:type="xsd:double"&gt;3.7544012&lt;/D&gt;&lt;/FQL&gt;&lt;FQL&gt;&lt;Q&gt;TRYBR10Y-FDS^FG_YIELD(-10AY,0,Y,,"YTM")&lt;/Q&gt;&lt;R&gt;10&lt;/R&gt;&lt;C&gt;1&lt;/C&gt;&lt;D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xsi:type="xsd:double"&gt;10.455909&lt;/D&gt;&lt;/FQL&gt;&lt;FQL&gt;&lt;Q&gt;CAGDPY@NL^EE_ACTUAL_ANNUAL(MED,0)&lt;/Q&gt;&lt;R&gt;1&lt;/R&gt;&lt;C&gt;1&lt;/C&gt;&lt;D xsi:type="xsd:double"&gt;9.85408501996988&lt;/D&gt;&lt;/FQL&gt;&lt;FQL&gt;&lt;Q&gt;CAGDPY@CA^EE_ACTUAL_ANNUAL(MED,0)&lt;/Q&gt;&lt;R&gt;1&lt;/R&gt;&lt;C&gt;1&lt;/C&gt;&lt;D xsi:type="xsd:double"&gt;-0.725414399026327&lt;/D&gt;&lt;/FQL&gt;&lt;FQL&gt;&lt;Q&gt;USDITL^FG_PRICE_CHANGE(0,-6AM)&lt;/Q&gt;&lt;R&gt;1&lt;/R&gt;&lt;C&gt;1&lt;/C&gt;&lt;D xsi:type="xsd:double"&gt;-1.9970834&lt;/D&gt;&lt;/FQL&gt;&lt;FQL&gt;&lt;Q&gt;USDANG^FG_PRICE_CHANGE(0,-6AM)&lt;/Q&gt;&lt;R&gt;1&lt;/R&gt;&lt;C&gt;1&lt;/C&gt;&lt;D xsi:type="xsd:double"&gt;0&lt;/D&gt;&lt;/FQL&gt;&lt;FQL&gt;&lt;Q&gt;USDGBP^FG_PRICE_CHANGE(0,-6AM)&lt;/Q&gt;&lt;R&gt;1&lt;/R&gt;&lt;C&gt;1&lt;/C&gt;&lt;D xsi:type="xsd:double"&gt;-2.3697793&lt;/D&gt;&lt;/FQL&gt;&lt;FQL&gt;&lt;Q&gt;USDJPY^FG_PRICE_CHANGE(0,-6AM)&lt;/Q&gt;&lt;R&gt;1&lt;/R&gt;&lt;C&gt;1&lt;/C&gt;&lt;D xsi:type="xsd:double"&gt;-1.4909983&lt;/D&gt;&lt;/FQL&gt;&lt;FQL&gt;&lt;Q&gt;USDCAD^FG_PRICE_CHANGE(0,-6AM)&lt;/Q&gt;&lt;R&gt;1&lt;/R&gt;&lt;C&gt;1&lt;/C&gt;&lt;D xsi:type="xsd:double"&gt;1.73558&lt;/D&gt;&lt;/FQL&gt;&lt;FQL&gt;&lt;Q&gt;USDNZD^FG_PRICE_CHANGE(0,-6AM)&lt;/Q&gt;&lt;R&gt;1&lt;/R&gt;&lt;C&gt;1&lt;/C&gt;&lt;D xsi:type="xsd:double"&gt;1.5190482&lt;/D&gt;&lt;/FQL&gt;&lt;FQL&gt;&lt;Q&gt;EWC^FMA_EPS(NTMA,-20AY,0,CY,,"PORTAGG","MEANR")&lt;/Q&gt;&lt;R&gt;20&lt;/R&gt;&lt;C&gt;1&lt;/C&gt;&lt;D xsi:type="xsd:double"&gt;1.20309203563583&lt;/D&gt;&lt;D xsi:type="xsd:doubl</t>
        </r>
      </text>
    </comment>
    <comment ref="A12" authorId="0" shapeId="0" xr:uid="{BF1ADD56-B9AB-4173-95AD-EE6A38353C0E}">
      <text>
        <r>
          <rPr>
            <b/>
            <sz val="9"/>
            <color indexed="81"/>
            <rFont val="Tahoma"/>
            <charset val="1"/>
          </rPr>
          <t>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xsi:type="xsd:double"&gt;2.07393921799229&lt;/D&gt;&lt;D xsi:type="xsd:double"&gt;1.95784087398727&lt;/D&gt;&lt;D xsi:type="xsd:double"&gt;2.66448337817763&lt;/D&gt;&lt;D xsi:type="xsd:double"&gt;2.74920456102042&lt;/D&gt;&lt;D xsi:type="xsd:double"&gt;2.68263358415049&lt;/D&gt;&lt;/FQL&gt;&lt;FQL&gt;&lt;Q&gt;ENZL^P_PRICE_RETURNS_PR('52W',2,-10AY,0,AM)&lt;/Q&gt;&lt;R&gt;121&lt;/R&gt;&lt;C&gt;1&lt;/C&gt;&lt;D xsi:type="xsd:double"&gt;19.13451&lt;/D&gt;&lt;D xsi:type="xsd:double"&gt;11.7804165&lt;/D&gt;&lt;D xsi:type="xsd:double"&gt;1.8572927&lt;/D&gt;&lt;D xsi:type="xsd:double"&gt;6.8191767&lt;/D&gt;&lt;D xsi:type="xsd:double"&gt;9.223318&lt;/D&gt;&lt;D xsi:type="xsd:double"&gt;7.896459&lt;/D&gt;&lt;D xsi:type="xsd:double"&gt;7.020557&lt;/D&gt;&lt;D xsi:type="xsd:double"&gt;2.1357536&lt;/D&gt;&lt;D xsi:type="xsd:double"&gt;2.665019&lt;/D&gt;&lt;D xsi:type="xsd:double"&gt;-3.2295883&lt;/D&gt;&lt;D xsi:type="xsd:double"&gt;-7.8624306&lt;/D&gt;&lt;D xsi:type="xsd:double"&gt;-14.092583&lt;/D&gt;&lt;D xsi:type="xsd:double"&gt;-12.296224&lt;/D&gt;&lt;D xsi:type="xsd:double"&gt;-14.273113&lt;/D&gt;&lt;D xsi:type="xsd:double"&gt;-2.4872541&lt;/D&gt;&lt;D xsi:type="xsd:double"&gt;-10.860741&lt;/D&gt;&lt;D xsi:type="xsd:double"&gt;-3.212452&lt;/D&gt;&lt;D xsi:type="xsd:double"&gt;-11.685556&lt;/D&gt;&lt;D xsi:type="xsd:double"&gt;-8.306766&lt;/D&gt;&lt;D xsi:type="xsd:double"&gt;0.43729544&lt;/D&gt;&lt;D xsi:type="xsd:double"&gt;6.05011&lt;/D&gt;&lt;D xsi:type="xsd:double"&gt;9.282017&lt;/D&gt;&lt;D xsi:type="xsd:double"&gt;19.695389&lt;/D&gt;&lt;D xsi:type="xsd:double"&gt;33.502365&lt;/D&gt;&lt;D xsi:type="xsd:double"&gt;43.43884&lt;/D&gt;&lt;D xsi:type="xsd:double"&gt;46.31208&lt;/D&gt;&lt;D xsi:type="xsd:double"&gt;29.49593&lt;/D&gt;&lt;D xsi:type="xsd:double"&gt;23.450397&lt;/D&gt;&lt;D xsi:type="xsd:double"&gt;13.190007&lt;/D&gt;&lt;D xsi:type="xsd:double"&gt;26.470364&lt;/D&gt;&lt;D xsi:type="xsd:double"&gt;28.936398&lt;/D&gt;&lt;D xsi:type="xsd:double"&gt;12.300181&lt;/D&gt;&lt;D xsi:type="xsd:double"&gt;6.8704367&lt;/D&gt;&lt;D xsi:type="xsd:double"&gt;8.454633&lt;/D&gt;&lt;D xsi:type="xsd:double"&gt;12.827587&lt;/D&gt;&lt;D xsi:type="xsd:double"&gt;10.395026&lt;/D&gt;&lt;D xsi:type="xsd:double"&gt;7.2950125&lt;/D&gt;&lt;D xsi:type="xsd:double"&gt;6.897497&lt;/D&gt;&lt;D xsi:type="xsd:double"&gt;14.73304&lt;/D&gt;&lt;D xsi:type="xsd:double"&gt;14.0254135&lt;/D&gt;&lt;D xsi:type="xsd:double"&gt;22.421001&lt;/D&gt;&lt;D xsi:type="xsd:double"&gt;18.56805&lt;/D&gt;&lt;D xsi:type="xsd:double"&gt;15.894151&lt;/D&gt;&lt;D xsi:type="xsd:double"&gt;23.003054&lt;/D&gt;&lt;D xsi:type="xsd:double"&gt;22.817516&lt;/D&gt;&lt;D xsi:type="xsd:double"&gt;14.97426&lt;/D&gt;&lt;D xsi:type="xsd:double"&gt;14.47649&lt;/D&gt;&lt;D xsi:type="xsd:double"&gt;6.4531207&lt;/D&gt;&lt;D xsi:type="xsd:double"&gt;3.5268426&lt;/D&gt;&lt;D xsi:type="xsd:double"&gt;6.997621&lt;/D&gt;&lt;D xsi:type="xsd:double"&gt;0.48154593&lt;/D&gt;&lt;D xsi:type="xsd:double"&gt;10.682285&lt;/D&gt;&lt;D xsi:type="xsd:double"&gt;2.063322&lt;/D&gt;&lt;D xsi:type="xsd:double"&gt;3.2530427&lt;/D&gt;&lt;D xsi:type="xsd:double"&gt;7.3292017&lt;/D&gt;&lt;D xsi:type="xsd:double"&gt;5.368066&lt;/D&gt;&lt;D xsi:type="xsd:double"&gt;8.113885&lt;/D&gt;&lt;D xsi:type="xsd:double"&gt;13.137698&lt;/D&gt;&lt;D xsi:type="xsd:double"&gt;4.49239&lt;/D&gt;&lt;D xsi:type="xsd:double"&gt;16.986858&lt;/D&gt;&lt;D xsi:type="xsd:double"&gt;14.179587&lt;/D&gt;&lt;D xsi:type="xsd:double"&gt;12.839484&lt;/D&gt;&lt;D xsi:type="xsd:double"&gt;19.426834&lt;/D&gt;&lt;D xsi:type="xsd:double"&gt;14.980125&lt;/D&gt;&lt;D xsi:type="xsd:double"&gt;24.813211&lt;/D&gt;&lt;D xsi:type="xsd:double"&gt;26.530993&lt;/D&gt;&lt;D xsi:type="xsd:double"&gt;20.12123&lt;/D&gt;&lt;D xsi:type="xsd:double"&gt;-14.400774&lt;/D&gt;&lt;D xsi:type="xsd:double"&gt;-4.7437787&lt;/D&gt;&lt;D xsi:type="xsd:double"&gt;-1.9391298&lt;/D&gt;&lt;D xsi:type="xsd:double"&gt;9.416032&lt;/D&gt;&lt;D xsi:type="xsd:double"&gt;8.197856&lt;/D&gt;&lt;D xsi:type="xsd:double"&gt;11.014641&lt;/D&gt;&lt;D xsi:type="xsd:double"&gt;15.972984&lt;/D&gt;&lt;D xsi:type="xsd:double"&gt;18.294704&lt;/D&gt;&lt;D xsi:type="xsd:double"&gt;26.895845&lt;/D&gt;&lt;D xsi:type="xsd:double"&gt;22.913467&lt;/D&gt;&lt;D xsi:type="xsd:double"&gt;17.366196&lt;/D&gt;&lt;D xsi:type="xsd:double"&gt;16.3185&lt;/D&gt;&lt;D xsi:type="xsd:double"&gt;59.32795&lt;/D&gt;&lt;D xsi:type="xsd:double"&gt;36.742176&lt;/D&gt;&lt;D xsi:type="xsd:double"&gt;28.694702&lt;/D&gt;&lt;D xsi:type="xsd:double"&gt;16.913605&lt;/D&gt;&lt;D xsi:type="xsd:double"&gt;9.674692&lt;/D&gt;&lt;D xsi:type="xsd:double"&gt;9.852732&lt;/D&gt;&lt;D xsi:type="xsd:double"&gt;9.100449&lt;/D&gt;&lt;D xsi:type="xsd:double"&gt;4.7096252&lt;/D&gt;&lt;D xsi:type="xsd:double"&gt;-5.055934&lt;/D&gt;&lt;D xsi:type="xsd:double"&gt;-11.333513&lt;/D&gt;&lt;D xsi:type="xsd:double"&gt;-12.01542&lt;/D&gt;&lt;D xsi:type="xsd:double"&gt;-15.257179&lt;/D&gt;&lt;D xsi:type="xsd:double"&gt;-13.449955&lt;/D&gt;&lt;D xsi:type="xsd:double"&gt;-14.920771&lt;/D&gt;&lt;D xsi:type="xsd:double"&gt;-24.053455&lt;/D&gt;&lt;D xsi:type="xsd:double"&gt;-27.120882&lt;/D&gt;&lt;D xsi:type="xsd:double"&gt;-24.099535&lt;/D&gt;&lt;D xsi:type="xsd:double"&gt;-16.487194&lt;/D&gt;&lt;D xsi:type="xsd:double"&gt;-25.360292&lt;/D&gt;&lt;D xsi:type="xsd:double"&gt;-34.83468&lt;/D&gt;&lt;D xsi:type="xsd:double"&gt;-23.201096&lt;/D&gt;&lt;D xsi:type="xsd:double"&gt;-14.105469&lt;/D&gt;&lt;D xsi:type="xsd:double"&gt;-11.444986&lt;/D&gt;&lt;D xsi:type="xsd:double"&gt;-3.8680673&lt;/D&gt;&lt;D xsi:type="xsd:double"&gt;-10.689187&lt;/D&gt;&lt;D xsi:type="xsd:double"&gt;-5.663413&lt;/D&gt;&lt;D xsi:type="xsd:double"&gt;9.138846&lt;/D&gt;&lt;D xsi:type="xsd:double"&gt;13.760889&lt;/D&gt;&lt;D xsi:type="xsd:double"&gt;14.919019&lt;/D&gt;&lt;D xsi:type="xsd:double"&gt;-5.903035&lt;/D&gt;&lt;D xsi:type="xsd:double"&gt;-2.3837984&lt;/D&gt;&lt;D xsi:type="xsd:double"&gt;11.558258&lt;/D&gt;&lt;D xsi:type="xsd:double"&gt;-1.9018948&lt;/D&gt;&lt;D xsi:type="xsd:double"&gt;-1.6382992&lt;/D&gt;&lt;D xsi:type="xsd:double"&gt;-4.6711683&lt;/D&gt;&lt;D xsi:type="xsd:double"&gt;-7.915759&lt;/D&gt;&lt;D xsi:type="xsd:double"&gt;-2.147746&lt;/D&gt;&lt;D xsi:type="xsd:double"&gt;-8.062607&lt;/D&gt;&lt;D xsi:type="xsd:double"&gt;-6.2439203&lt;/D&gt;&lt;D xsi:type="xsd:double"&gt;-2.8884947&lt;/D&gt;&lt;D xsi:type="xsd:double"&gt;-5.560565&lt;/D&gt;&lt;D xsi:type="xsd:double"&gt;7.4403763&lt;/D&gt;&lt;/FQL&gt;&lt;FQL&gt;&lt;Q&gt;EWI^FMA_DIV_YLD(NTMA,-10AY,0,AM,"PORTAGG","MEANR")&lt;/Q&gt;&lt;R&gt;121&lt;/R&gt;&lt;C&gt;1&lt;/C&gt;&lt;D xsi:type="xsd:double"&gt;3.74477886904525&lt;/D&gt;&lt;D xsi:type="xsd:double"&gt;3.5780732765578&lt;/D&gt;&lt;D xsi:type="xsd:double"&gt;4.21523035568319&lt;/D&gt;&lt;D xsi:type="xsd:double"&gt;4.02290992528502&lt;/D&gt;&lt;D xsi:type="xsd:double"&gt;4.12403538707835&lt;/D&gt;&lt;D xsi:type="xsd:double"&gt;4.04382352170221&lt;/D&gt;&lt;D xsi:type="xsd:double"&gt;3.63234371246209&lt;/D&gt;&lt;D xsi:type="xsd:double"&gt;3.15466142911985&lt;/D&gt;&lt;D xsi:type="xsd:double"&gt;3.10720401533853&lt;/D&gt;&lt;D xsi:type="xsd:double"&gt;3.15673449409564&lt;/D&gt;&lt;D xsi:type="xsd:double"&gt;3.38803617922021&lt;/D&gt;&lt;D xsi:type="xsd:double"&gt;3.15108996000318&lt;/D&gt;&lt;D xsi:type="xsd:double"&gt;3.15805107064817&lt;/D&gt;&lt;D xsi:type="xsd:double"&gt;3.37894911581184&lt;/D&gt;&lt;D xsi:type="xsd:double"&gt;3.55207073737418&lt;/D&gt;&lt;D xsi:type="xsd:double"&gt;3.69940913585726&lt;/D&gt;&lt;D xsi:type="xsd:double"&gt;3.8455250746795&lt;/D&gt;&lt;D xsi:type="xsd:double"&gt;4.30985214745065&lt;/D&gt;&lt;D xsi:type="xsd:double"&gt;4.69395300694595&lt;/D&gt;&lt;D xsi:type="xsd:double"&gt;4.23127295235496&lt;/D&gt;&lt;D xsi:type="xsd:double"&gt;4.40030855249208&lt;/D&gt;&lt;D xsi:type="xsd:double"&gt;4.53599858086554&lt;/D&gt;&lt;D xsi:type="xsd:double"&gt;5.00044609487856&lt;/D&gt;&lt;D xsi:type="xsd:double"&gt;4.76373736596518&lt;/D&gt;&lt;D xsi:type="xsd:double"&gt;4.74469576618962&lt;/D&gt;&lt;D xsi:type="xsd:double"&gt;5.01482055046861&lt;/D&gt;&lt;D xsi:type="xsd:double"&gt;4.9375960449522&lt;/D&gt;&lt;D xsi:type="xsd:double"&gt;4.81461791501279&lt;/D&gt;&lt;D xsi:type="xsd:double"&gt;4.33500027503235&lt;/D&gt;&lt;D xsi:type="xsd:double"&gt;4.28902672126053&lt;/D&gt;&lt;D xsi:type="xsd:double"&gt;4.40993309223779&lt;/D&gt;&lt;D xsi:type="xsd:double"&gt;3.9790514848362&lt;/D&gt;&lt;D xsi:type="xsd:double"&gt;4.05345804219064&lt;/D&gt;&lt;D xsi:type="xsd:double"&gt;3.72386794640257&lt;/D&gt;&lt;D xsi:type="xsd:double"&gt;3.7853080044945&lt;/D&gt;&lt;D xsi:type="xsd:double"&gt;3.74476470191503&lt;/D&gt;&lt;D xsi:type="xsd:double"&gt;3.73267756496011&lt;/D&gt;&lt;D xsi:type="xsd:double"&gt;3.7286494614683&lt;/D&gt;&lt;D xsi:type="xsd:double"&gt;3.80773713458313&lt;/D&gt;&lt;D xsi:type="xsd:double"&gt;3.89943153506198&lt;/D&gt;&lt;D xsi:type="xsd:double"&gt;3.92823341587911&lt;/D&gt;&lt;D xsi:type="xsd:double"&gt;3.74815284476927&lt;/D&gt;&lt;D xsi:type="xsd:double"&gt;3.92503073918298&lt;/D&gt;&lt;D xsi:type="xsd:double"&gt;4.01384244607288&lt;/D&gt;&lt;D xsi:type="xsd:double"&gt;3.97801125818045&lt;/D&gt;&lt;D xsi:type="xsd:double"&gt;3.98314863830409&lt;/D&gt;&lt;D xsi:type="xsd:double"&gt;4.36124904132261&lt;/D&gt;&lt;D xsi:type="xsd:double"&gt;4.48285041958681&lt;/D&gt;&lt;D xsi:type="xsd:double"&gt;4.67758306795066&lt;/D&gt;&lt;D xsi:type="xsd:double"&gt;4.65340551184904&lt;/D&gt;&lt;D xsi:type="xsd:double"&gt;4.92208649545204&lt;/D&gt;&lt;D xsi:type="xsd:double"&gt;5.17219035349407&lt;/D&gt;&lt;D xsi:type="xsd:double"&gt;5.234511278456&lt;/D&gt;&lt;D xsi:type="xsd:double"&gt;5.13012951804044&lt;/D&gt;&lt;D xsi:type="xsd:double"&gt;4.919361234089&lt;/D&gt;&lt;D xsi:type="xsd:double"&gt;4.73641934350289&lt;/D&gt;&lt;D xsi:type="xsd:double"&gt;4.6118389200996&lt;/D&gt;&lt;D xsi:type="xsd:double"&gt;4.81913661105357&lt;/D&gt;&lt;D xsi:type="xsd:double"&gt;4.96082340470295&lt;/D&gt;&lt;D xsi:type="xsd:double"&gt;4.63529152331214&lt;/D&gt;&lt;D xsi:type="xsd:double"&gt;5.10238955572681&lt;/D&gt;&lt;D xsi:type="xsd:double"&gt;4.75430526434662&lt;/D&gt;&lt;D xsi:type="xsd:double"&gt;4.68275415814597&lt;/D&gt;&lt;D xsi:type="xsd:double"&gt;4.50596041302835&lt;/D&gt;&lt;D xsi:type="xsd:double"&gt;4.49352646461674&lt;/D&gt;&lt;D xsi:type="xsd:double"&gt;4.43998529263103&lt;/D&gt;&lt;D xsi:type="xsd:double"&gt;4.44293913230754&lt;/D&gt;&lt;D xsi:type="xsd:double"&gt;7.23582927081489&lt;/D&gt;&lt;D xsi:type="xsd:double"&gt;5.91145743609971&lt;/D&gt;&lt;D xsi:type="xsd:double"&gt;5.17046189557959&lt;/D&gt;&lt;D xsi:type="xsd:double"&gt;4.21464298731297&lt;/D&gt;&lt;D xsi:type="xsd:double"&gt;4.20685983913989&lt;/D&gt;&lt;D xsi:type="xsd:double"&gt;3.93919472595609&lt;/D&gt;&lt;D xsi:type="xsd:double"&gt;4.02380108752566&lt;/D&gt;&lt;D xsi:type="xsd:double"&gt;4.13893151430475&lt;/D&gt;&lt;D xsi:type="xsd:double"&gt;3.97244542942506&lt;/D&gt;&lt;D xsi:type="xsd:double"&gt;3.9427395755856&lt;/D&gt;&lt;D xsi:type="xsd:double"&gt;3.9855176020305&lt;/D&gt;&lt;D xsi:type="xsd:double"&gt;3.91745689307976&lt;/D&gt;&lt;D xsi:type="xsd:double"&gt;4.02318085692217&lt;/D&gt;&lt;D xsi:type="xsd:double"&gt;4.06134480810066&lt;/D&gt;&lt;D xsi:type="xsd:double"&gt;4.1706429096372&lt;/D&gt;&lt;D xsi:type="xsd:double"&gt;4.02603296242779&lt;/D&gt;&lt;D xsi:type="xsd:double"&gt;4.24017078880966&lt;/D&gt;&lt;D xsi:type="xsd:double"&gt;4.26214503650137&lt;/D&gt;&lt;D xsi:type="xsd:double"&gt;4.50743194860365&lt;/D&gt;&lt;D xsi:type="xsd:double"&gt;4.39499279928703&lt;/D&gt;&lt;D xsi:type="xsd:double"&gt;4.29785021474073&lt;/D&gt;&lt;D xsi:type="xsd:double"&gt;4.66900140925524&lt;/D&gt;&lt;D xsi:type="xsd:double"&gt;4.59371642495364&lt;/D&gt;&lt;D xsi:type="xsd:double"&gt;4.806510162708&lt;/D&gt;&lt;D xsi:type="xsd:double"&gt;5.20049987222571&lt;/D&gt;&lt;D xsi:type="xsd:double"&gt;5.03558338301538&lt;/D&gt;&lt;D xsi:type="xsd:double"&gt;5.18309748733508&lt;/D&gt;&lt;D xsi:type="xsd:double"&gt;5.83068806108662&lt;/D&gt;&lt;D xsi:type="xsd:double"&gt;6.07793457865442&lt;/D&gt;&lt;D xsi:type="xsd:double"&gt;5.56378503204279&lt;/D&gt;&lt;D xsi:type="xsd:double"&gt;5.64208214212667&lt;/D&gt;&lt;D xsi:type="xsd:double"&gt;6.14511238023485&lt;/D&gt;&lt;D xsi:type="xsd:double"&gt;5.4207764356323&lt;/D&gt;&lt;D xsi:type="xsd:double"&gt;5.93596553972739&lt;/D&gt;&lt;D xsi:type="xsd:double"&gt;5.43108017361592&lt;/D&gt;&lt;D xsi:type="xsd:double"&gt;5.35678478372325&lt;/D&gt;&lt;D xsi:type="xsd:double"&gt;5.66022385182901&lt;/D&gt;&lt;D xsi:type="xsd:double"&gt;5.29321499500373&lt;/D&gt;&lt;D xsi:type="xsd:double"&gt;5.56118196569848&lt;/D&gt;&lt;D xsi:type="xsd:double"&gt;5.31858362174296&lt;/D&gt;&lt;D xsi:type="xsd:double"&gt;5.24764498462923&lt;/D&gt;&lt;D xsi:type="xsd:double"&gt;5.57588612512125&lt;/D&gt;&lt;D xsi:type="xsd:double"&gt;5.36814292405018&lt;/D&gt;&lt;D xsi:type="xsd:double"&gt;5.55702014180105&lt;/D&gt;&lt;D xsi:type="xsd:double"&gt;5.5368582175356&lt;/D&gt;&lt;D xsi:type="xsd:double"&gt;5.46603007772352&lt;/D&gt;&lt;D xsi:type="xsd:double"&gt;5.4186132402305&lt;/D&gt;&lt;D xsi:type="xsd:double"&gt;5.4424091050176&lt;/D&gt;&lt;D xsi:type="xsd:double"&gt;5.16384700672087&lt;/D&gt;&lt;D xsi:type="xsd:double"&gt;5.3338906508841&lt;/D&gt;&lt;D xsi:type="xsd:double"&gt;5.09351799782283&lt;/D&gt;&lt;D xsi:type="xsd:double"&gt;5.53862937939487&lt;/D&gt;&lt;D xsi:type="xsd:double"&gt;5.2945649443899&lt;/D&gt;&lt;D xsi:type="xsd:double"&gt;5.58452656171265&lt;/D&gt;&lt;/FQL&gt;&lt;FQL&gt;&lt;Q&gt;EWN^FMA_PE(NTMA,-10AY,0,AM,"PORTAGG","MEANR")&lt;/Q&gt;&lt;R&gt;121&lt;/R&gt;&lt;C&gt;1&lt;/C&gt;&lt;D xsi:type="xsd:double"&gt;13.8064364414521&lt;/D&gt;&lt;D xsi:type="xsd:double"&gt;14.5536665081857&lt;/D&gt;&lt;D xsi:type="xsd:double"&gt;13.1653559741783&lt;/D&gt;&lt;D xsi:type="xsd:double"&gt;14.7453221406543&lt;/D&gt;&lt;D xsi:type="xsd:double"&gt;14.3395988932407&lt;/D&gt;&lt;D xsi:type="xsd:double"&gt;15.0926858747339&lt;/D&gt;&lt;D xsi:type="xsd:double"&gt;16.1618023240271&lt;/D&gt;&lt;D xsi:type="xsd:double"&gt;17.6873211633653&lt;/D&gt;&lt;D xsi:type="xsd:double"&gt;17.5315602533384&lt;/D&gt;&lt;D xsi:type="xsd:double"&gt;16.8797772619537&lt;/D&gt;&lt;D xsi:type="xsd:double"&gt;16.2455201672733&lt;/D&gt;&lt;D xsi:type="xsd:double"&gt;17.1085278822144&lt;/D&gt;&lt;D xsi:type="xsd:double"&gt;15.8954448349697&lt;/D&gt;&lt;D xsi:type="xsd:double"&gt;14.8490229210997&lt;/D&gt;&lt;D xsi:type="xsd:double"&gt;15.1715846055331&lt;/D&gt;&lt;D xsi:type="xsd:double"&gt;15.9017273130881&lt;/D&gt;&lt;D xsi:type="xsd:double"&gt;15.4380521319928&lt;/D&gt;&lt;D xsi:type="xsd:double"&gt;14.1271977719314&lt;/D&gt;&lt;D xsi:type="xsd:double"&gt;14.0242810450136&lt;/D&gt;&lt;D xsi:type="xsd:double"&gt;15.3355464912107&lt;/D&gt;&lt;D xsi:type="xsd:double"&gt;15.3767111388957&lt;/D&gt;&lt;D xsi:type="xsd:double"&gt;14.7234166298832&lt;/D&gt;&lt;D xsi:type="xsd:double"&gt;13.9186693114669&lt;/D&gt;&lt;D xsi:type="xsd:double"&gt;14.5185581145417&lt;/D&gt;&lt;D xsi:type="xsd:double"&gt;14.8905568591338&lt;/D&gt;&lt;D xsi:type="xsd:double"&gt;14.4750377367676&lt;/D&gt;&lt;D xsi:type="xsd:double"&gt;14.7400104948729&lt;/D&gt;&lt;D xsi:type="xsd:double"&gt;14.5090448735567&lt;/D&gt;&lt;D xsi:type="xsd:double"&gt;14.946536712276&lt;/D&gt;&lt;D xsi:type="xsd:double"&gt;15.0630903257718&lt;/D&gt;&lt;D xsi:type="xsd:double"&gt;15.4308607690246&lt;/D&gt;&lt;D xsi:type="xsd:double"&gt;16.0634140545885&lt;/D&gt;&lt;D xsi:type="xsd:double"&gt;16.115731773968&lt;/D&gt;&lt;D xsi:type="xsd:double"&gt;16.5405783743137&lt;/D&gt;&lt;D xsi:type="xsd:double"&gt;16.0596069330318&lt;/D&gt;&lt;D xsi:type="xsd:double"&gt;15.9960624979577&lt;/D&gt;&lt;D xsi:type="xsd:double"&gt;15.9604976166503&lt;/D&gt;&lt;D xsi:type="xsd:double"&gt;15.8558988987342&lt;/D&gt;&lt;D xsi:type="xsd:double"&gt;16.1980301206007&lt;/D&gt;&lt;D xsi:type="xsd:double"&gt;15.9717961095658&lt;/D&gt;&lt;D xsi:type="xsd:double"&gt;16.065092497502&lt;/D&gt;&lt;D xsi:type="xsd:double"&gt;16.2609612332639&lt;/D&gt;&lt;D xsi:type="xsd:double"&gt;15.5175437484168&lt;/D&gt;&lt;D xsi:type="xsd:double"&gt;15.691995133409&lt;/D&gt;&lt;D xsi:type="xsd:double"&gt;15.6486645324208&lt;/D&gt;&lt;D xsi:type="xsd:double"&gt;15.7978607090926&lt;/D&gt;&lt;D xsi:type="xsd:double"&gt;15.9589231399567&lt;/D&gt;&lt;D xsi:type="xsd:double"&gt;15.7010530471233&lt;/D&gt;&lt;D xsi:type="xsd:double"&gt;15.4580375717138&lt;/D&gt;&lt;D xsi:type="xsd:double"&gt;14.9539043284919&lt;/D&gt;&lt;D xsi:type="xsd:double"&gt;14.2995103737609&lt;/D&gt;&lt;D xsi:type="xsd:double"&gt;14.1917440632078&lt;/D&gt;&lt;D xsi:type="xsd:double"&gt;13.6393486589638&lt;/D&gt;&lt;D xsi:type="xsd:double"&gt;13.387633611337&lt;/D&gt;&lt;D xsi:type="xsd:double"&gt;14.8547936676726&lt;/D&gt;&lt;D xsi:type="xsd:double"&gt;15.3325260907041&lt;/D&gt;&lt;D xsi:type="xsd:double"&gt;15.646487654386&lt;/D&gt;&lt;D xsi:type="xsd:double"&gt;15.4306629050418&lt;/D&gt;&lt;D xsi:type="xsd:double"&gt;15.2225767780979&lt;/D&gt;&lt;D xsi:type="xsd:double"&gt;15.6373370623856&lt;/D&gt;&lt;D xsi:type="xsd:double"&gt;15.0658976462051&lt;/D&gt;&lt;D xsi:type="xsd:double"&gt;15.9271163322477&lt;/D&gt;&lt;D xsi:type="xsd:double"&gt;16.1809702182823&lt;/D&gt;&lt;D xsi:type="xsd:double"&gt;16.793814303085&lt;/D&gt;&lt;D xsi:type="xsd:double"&gt;17.1646903802653&lt;/D&gt;&lt;D xsi:type="xsd:double"&gt;17.195491750882&lt;/D&gt;&lt;D xsi:type="xsd:double"&gt;18.2286011618853&lt;/D&gt;&lt;D xsi:type="xsd:double"&gt;12.1895314422891&lt;/D&gt;&lt;D xsi:type="xsd:double"&gt;16.1806287885403&lt;/D&gt;&lt;D xsi:type="xsd:double"&gt;17.0226619812205&lt;/D&gt;&lt;D xsi:type="xsd:double"&gt;19.4303777967625&lt;/D&gt;&lt;D xsi:type="xsd:double"&gt;20.1524046188296&lt;/D&gt;&lt;D xsi:type="xsd:double"&gt;19.8968791471879&lt;/D&gt;&lt;D xsi:type="xsd:double"&gt;19.6878147871995&lt;/D&gt;&lt;D xsi:type="xsd:double"&gt;19.9240630826034&lt;/D&gt;&lt;D xsi:type="xsd:double"&gt;20.6622936161615&lt;/D&gt;&lt;D xsi:type="xsd:double"&gt;20.4759681481792&lt;/D&gt;&lt;D xsi:type="xsd:double"&gt;21.2620503251552&lt;/D&gt;&lt;D xsi:type="xsd:double"&gt;22.8628981156201&lt;/D&gt;&lt;D xsi:type="xsd:double"&gt;21.9578869120283&lt;/D&gt;&lt;D xsi:type="xsd:double"&gt;22.8318427884251&lt;/D&gt;&lt;D xsi:type="xsd:double"&gt;21.1564630929629&lt;/D&gt;&lt;D xsi:type="xsd:double"&gt;21.6235172515058&lt;/D&gt;&lt;D xsi:type="xsd:double"&gt;21.0801283769239&lt;/D&gt;&lt;D xsi:type="xsd:double"&gt;21.5672980847888&lt;/D&gt;&lt;D xsi:type="xsd:double"&gt;21.8432715875179&lt;/D&gt;&lt;D xsi:type="xsd:double"&gt;20.8609094541609&lt;/D&gt;&lt;D xsi:type="xsd:double"&gt;21.6877322812706&lt;/D&gt;&lt;D xsi:type="xsd:double"&gt;19.9822794558024&lt;/D&gt;&lt;D xsi:type="xsd:double"&gt;19.7897495397844&lt;/D&gt;&lt;D xsi:type="xsd:double"&gt;18.4533822809135&lt;/D&gt;&lt;D xsi:type="xsd:double"&gt;17.682905905573&lt;/D&gt;&lt;D xsi:type="xsd:double"&gt;17.6621552140946&lt;/D&gt;&lt;D xsi:type="xsd:double"&gt;16.2648057202995&lt;/D&gt;&lt;D xsi:type="xsd:double"&gt;15.2958139181669&lt;/D&gt;&lt;D xsi:type="xsd:double"&gt;16.1955690905754&lt;/D&gt;&lt;D xsi:type="xsd:double"&gt;17.8856806971485&lt;/D&gt;&lt;D xsi:type="xsd:double"&gt;15.4635639000286&lt;/D&gt;&lt;D xsi:type="xsd:double"&gt;14.0284099573637&lt;/D&gt;&lt;D xsi:type="xsd:double"&gt;16.3067045762836&lt;/D&gt;&lt;D xsi:type="xsd:double"&gt;15.7371947614159&lt;/D&gt;&lt;D xsi:type="xsd:double"&gt;16.9773889745447&lt;/D&gt;&lt;D xsi:type="xsd:double"&gt;17.189205592442&lt;/D&gt;&lt;D xsi:type="xsd:double"&gt;15.8732717202232&lt;/D&gt;&lt;D xsi:type="xsd:double"&gt;16.3794092034811&lt;/D&gt;&lt;D xsi:type="xsd:double"&gt;15.6686354428422&lt;/D&gt;&lt;D xsi:type="xsd:double"&gt;15.8433561882161&lt;/D&gt;&lt;D xsi:type="xsd:double"&gt;16.2266079780253&lt;/D&gt;&lt;D xsi:type="xsd:double"&gt;15.0838954215944&lt;/D&gt;&lt;D xsi:type="xsd:double"&gt;14.052853540314&lt;/D&gt;&lt;D xsi:type="xsd:double"&gt;13.4846404896921&lt;/D&gt;&lt;D xsi:type="xsd:double"&gt;14.5491101469692&lt;/D&gt;&lt;D xsi:type="xsd:double"&gt;15.3102962951797&lt;/D&gt;&lt;D xsi:type="xsd:double"&gt;14.7013727731116&lt;/D&gt;&lt;D xsi:type="xsd:double"&gt;16.375279434954&lt;/D&gt;&lt;D xsi:type="xsd:double"&gt;15.9000570265375&lt;/D&gt;&lt;D xsi:type="xsd:double"&gt;15.9143516944266&lt;/D&gt;&lt;D xsi:type="xsd:double"&gt;16.3609798976647&lt;/D&gt;&lt;D xsi:type="xsd:double"&gt;16.3818261319541&lt;/D&gt;&lt;D xsi:type="xsd:double"&gt;16.5549138826389&lt;/D&gt;&lt;D xsi:type="xsd:double"&gt;14.8162664926652&lt;/D&gt;&lt;/FQL&gt;&lt;FQL&gt;&lt;Q&gt;SPY^FMA_PE(LTMA,-10AY,0,AM,"PORTAGG","MEANR")&lt;/Q&gt;&lt;R&gt;121&lt;/R&gt;&lt;C&gt;1&lt;/C&gt;&lt;D xsi:type="xsd:double"&gt;16.273149728354&lt;/D&gt;&lt;D xsi:type="xsd:double"&gt;16.537337868685&lt;/D&gt;&lt;D xsi:type="xsd:double"&gt;15.6845752217644&lt;/D&gt;&lt;D xsi:type="xsd:double"&gt;16.8936009190974&lt;/D&gt;&lt;D xsi:type="xsd:double"&gt;16.5043372584317&lt;/D&gt;&lt;D xsi:type="xsd:double"&gt;16.9591436776908&lt;/D&gt;&lt;D xsi:type="xsd:double"&gt;17.5494875429706&lt;/D&gt;&lt;D xsi:type="xsd:double"&gt;17.5430314028849&lt;/D&gt;&lt;D xsi:type="xsd:double"&gt;17.5633653959452&lt;/D&gt;&lt;D xsi:type="xsd:double"&gt;17.5736238276499&lt;/D&gt;&lt;D xsi:type="xsd:double"&gt;17.4615608784303&lt;/D&gt;&lt;D xsi:type="xsd:double"&gt;17.6038591089704&lt;/D&gt;&lt;D xsi:type="xsd:double"&gt;17.4701055353205&lt;/D&gt;&lt;D xsi:type="xsd:double"&gt;16.9244625115158&lt;/D&gt;&lt;D xsi:type="xsd:double"&gt;17.1847933276884&lt;/D&gt;&lt;D xsi:type="xsd:double"&gt;17.2308596848028&lt;/D&gt;&lt;D xsi:type="xsd:double"&gt;17.3600143656938&lt;/D&gt;&lt;D xsi:type="xsd:double"&gt;15.7767110477485&lt;/D&gt;&lt;D xsi:type="xsd:double"&gt;16.2966838906097&lt;/D&gt;&lt;D xsi:type="xsd:double"&gt;16.18819342752&lt;/D&gt;&lt;D xsi:type="xsd:double"&gt;16.4452153070474&lt;/D&gt;&lt;D xsi:type="xsd:double"&gt;16.565182572191&lt;/D&gt;&lt;D xsi:type="xsd:double"&gt;16.7457386377851&lt;/D&gt;&lt;D xsi:type="xsd:double"&gt;17.2451747052816&lt;/D&gt;&lt;D xsi:type="xsd:double"&gt;17.5146088223823&lt;/D&gt;&lt;D xsi:type="xsd:double"&gt;17.4840399970967&lt;/D&gt;&lt;D xsi:type="xsd:double"&gt;17.5949663885182&lt;/D&gt;&lt;D xsi:type="xsd:double"&gt;18.0160380074902&lt;/D&gt;&lt;D xsi:type="xsd:double"&gt;18.8285687523753&lt;/D&gt;&lt;D xsi:type="xsd:double"&gt;19.0233107786646&lt;/D&gt;&lt;D xsi:type="xsd:double"&gt;19.4298000752775&lt;/D&gt;&lt;D xsi:type="xsd:double"&gt;19.4458937113447&lt;/D&gt;&lt;D xsi:type="xsd:double"&gt;19.2070548104936&lt;/D&gt;&lt;D xsi:type="xsd:double"&gt;19.1934305704863&lt;/D&gt;&lt;D xsi:type="xsd:double"&gt;19.1742879317122&lt;/D&gt;&lt;D xsi:type="xsd:double"&gt;19.2019749054996&lt;/D&gt;&lt;D xsi:type="xsd:double"&gt;19.1051890951033&lt;/D&gt;&lt;D xsi:type="xsd:double"&gt;19.2113118273692&lt;/D&gt;&lt;D xsi:type="xsd:double"&gt;19.5685638688675&lt;/D&gt;&lt;D xsi:type="xsd:double"&gt;19.6172793634385&lt;/D&gt;&lt;D xsi:type="xsd:double"&gt;20.2450393810298&lt;/D&gt;&lt;D xsi:type="xsd:double"&gt;20.8866829634217&lt;/D&gt;&lt;D xsi:type="xsd:double"&gt;20.0308807036986&lt;/D&gt;&lt;D xsi:type="xsd:double"&gt;19.7085349609422&lt;/D&gt;&lt;D xsi:type="xsd:double"&gt;19.3286560949483&lt;/D&gt;&lt;D xsi:type="xsd:double"&gt;19.0560762003129&lt;/D&gt;&lt;D xsi:type="xsd:double"&gt;18.9389962373342&lt;/D&gt;&lt;D xsi:type="xsd:double"&gt;18.7170306458944&lt;/D&gt;&lt;D xsi:type="xsd:double"&gt;18.5599899693127&lt;/D&gt;&lt;D xsi:type="xsd:double"&gt;18.6182054680109&lt;/D&gt;&lt;D xsi:type="xsd:double"&gt;17.9829653433857&lt;/D&gt;&lt;D xsi:type="xsd:double"&gt;17.2553677944083&lt;/D&gt;&lt;D xsi:type="xsd:double"&gt;16.2170730943309&lt;/D&gt;&lt;D xsi:type="xsd:double"&gt;16.1650828736977&lt;/D&gt;&lt;D xsi:type="xsd:double"&gt;17.0772159171718&lt;/D&gt;&lt;D xsi:type="xsd:double"&gt;17.1282845755884&lt;/D&gt;&lt;D xsi:type="xsd:double"&gt;17.2484788778956&lt;/D&gt;&lt;D xsi:type="xsd:double"&gt;17.1791975277533&lt;/D&gt;&lt;D xsi:type="xsd:double"&gt;17.2155347367706&lt;/D&gt;&lt;D xsi:type="xsd:double"&gt;17.6623888475178&lt;/D&gt;&lt;D xsi:type="xsd:double"&gt;17.3653734233629&lt;/D&gt;&lt;D xsi:type="xsd:double"&gt;17.8730326725191&lt;/D&gt;&lt;D xsi:type="xsd:double"&gt;18.04259468266&lt;/D&gt;&lt;D xsi:type="xsd:double"&gt;18.8397622166037&lt;/D&gt;&lt;D xsi:type="xsd:double"&gt;19.4910289143967&lt;/D&gt;&lt;D xsi:type="xsd:double"&gt;20.3608583647128&lt;/D&gt;&lt;D xsi:type="xsd:double"&gt;20.5215638574211&lt;/D&gt;&lt;D xsi:type="xsd:double"&gt;17.2491523301683&lt;/D&gt;&lt;D xsi:type="xsd:double"&gt;18.5759451943222&lt;/D&gt;&lt;D xsi:type="xsd:double"&gt;19.6292390351708&lt;/D&gt;&lt;D xsi:type="xsd:double"&gt;21.0150962478512&lt;/D&gt;&lt;D xsi:type="xsd:double"&gt;21.9746774592349&lt;/D&gt;&lt;D xsi:type="xsd:double"&gt;22.7727949133176&lt;/D&gt;&lt;D xsi:type="xsd:double"&gt;23.3707477123825&lt;/D&gt;&lt;D xsi:type="xsd:double"&gt;24.3645956722093&lt;/D&gt;&lt;D xsi:type="xsd:double"&gt;25.1821690131242&lt;/D&gt;&lt;D xsi:type="xsd:double"&gt;26.1642402005555&lt;/D&gt;&lt;D xsi:type="xsd:double"&gt;27.1287538995556&lt;/D&gt;&lt;D xsi:type="xsd:double"&gt;27.3510660625307&lt;/D&gt;&lt;D xsi:type="xsd:double"&gt;26.1823256654081&lt;/D&gt;&lt;D xsi:type="xsd:double"&gt;25.9954653381383&lt;/D&gt;&lt;D xsi:type="xsd:double"&gt;25.30444738217&lt;/D&gt;&lt;D xsi:type="xsd:double"&gt;24.8696750540724&lt;/D&gt;&lt;D xsi:type="xsd:double"&gt;24.5509958358575&lt;/D&gt;&lt;D xsi:type="xsd:double"&gt;24.1076739435933&lt;/D&gt;&lt;D xsi:type="xsd:double"&gt;23.6488490079479&lt;/D&gt;&lt;D xsi:type="xsd:double"&gt;23.183022109574&lt;/D&gt;&lt;D xsi:type="xsd:double"&gt;23.430392363286&lt;/D&gt;&lt;D xsi:type="xsd:double"&gt;22.8888268399775&lt;/D&gt;&lt;D xsi:type="xsd:double"&gt;22.6077894797438&lt;/D&gt;&lt;D xsi:type="xsd:double"&gt;21.2980255744315&lt;/D&gt;&lt;D xsi:type="xsd:double"&gt;20.6042707625537&lt;/D&gt;&lt;D xsi:type="xsd:double"&gt;20.4553189098729&lt;/D&gt;&lt;D xsi:type="xsd:double"&gt;19.6690091950069&lt;/D&gt;&lt;D xsi:type="xsd:double"&gt;18.6573593007739&lt;/D&gt;&lt;D xsi:type="xsd:double"&gt;18.7548639480362&lt;/D&gt;&lt;D xsi:type="xsd:double"&gt;19.7472076170718&lt;/D&gt;&lt;D xsi:type="xsd:double"&gt;18.2616896176935&lt;/D&gt;&lt;D xsi:type="xsd:double"&gt;17.1314232345278&lt;/D&gt;&lt;D xsi:type="xsd:double"&gt;18.2928140466051&lt;/D&gt;&lt;D xsi:type="xsd:double"&gt;17.5851735732217&lt;/D&gt;&lt;D xsi:type="xsd:double"&gt;18.1304510074269&lt;/D&gt;&lt;D xsi:type="xsd:double"&gt;18.5780068487594&lt;/D&gt;&lt;D xsi:type="xsd:double"&gt;18.0346928830745&lt;/D&gt;&lt;D xsi:type="xsd:double"&gt;18.2908395996942&lt;/D&gt;&lt;D xsi:type="xsd:double"&gt;18.2764324877093&lt;/D&gt;&lt;D xsi:type="xsd:double"&gt;18.9218126934613&lt;/D&gt;&lt;D xsi:type="xsd:double"&gt;19.3814592935226&lt;/D&gt;&lt;D xsi:type="xsd:double"&gt;19.212923889971&lt;/D&gt;&lt;D xsi:type="xsd:double"&gt;19.4669263058968&lt;/D&gt;&lt;D xsi:type="xsd:double"&gt;19.4129506321446&lt;/D&gt;&lt;D xsi:type="xsd:double"&gt;20.1396800523953&lt;/D&gt;&lt;D xsi:type="xsd:double"&gt;21.2524858453139&lt;/D&gt;&lt;D xsi:type="xsd:double"&gt;21.7128109743665&lt;/D&gt;&lt;D xsi:type="xsd:double"&gt;22.455042863466&lt;/D&gt;&lt;D xsi:type="xsd:double"&gt;22.697934440035&lt;/D&gt;&lt;D xsi:type="xsd:double"&gt;22.4616735711977&lt;/D&gt;&lt;D xsi:type="xsd:double"&gt;22.6081977181174&lt;/D&gt;&lt;D xsi:type="xsd:double"&gt;22.7125676778867&lt;/D&gt;&lt;D xsi:type="xsd:double"&gt;23.2204392951315&lt;/D&gt;&lt;D xsi:type="xsd:double"&gt;22.9718230459848&lt;/D&gt;&lt;/FQL&gt;&lt;FQL&gt;&lt;Q&gt;DDR3512M-FDS^FG_PRICE_MAVG(0,,,,30)&lt;/Q&gt;&lt;R&gt;1&lt;/R&gt;&lt;C&gt;1&lt;/C&gt;&lt;D xsi:type="xsd:double"&gt;0.90866166&lt;/D&gt;&lt;/FQL&gt;&lt;FQL&gt;&lt;Q&gt;PASP-FDS^FG_PRICE_MAVG(0,,,,30)&lt;/Q&gt;&lt;R&gt;1&lt;/R&gt;&lt;C&gt;1&lt;/C&gt;&lt;D xsi:type="xsd:double"&gt;943.3&lt;/D&gt;&lt;/FQL&gt;&lt;FQL&gt;&lt;Q&gt;PLATI-FDS^FG_PRICE_MAVG(0,,,,30)&lt;/Q&gt;&lt;R&gt;1&lt;/R&gt;&lt;C&gt;1&lt;/C&gt;&lt;D xsi:type="xsd:double"&gt;964.1&lt;/D&gt;&lt;/FQL&gt;&lt;FQL&gt;&lt;Q&gt;W-FDS^FG_PRICE_MAVG(0,,,,30)&lt;/Q&gt;&lt;R&gt;1&lt;/R&gt;&lt;C&gt;1&lt;/C&gt;&lt;D xsi:type="xsd:double"&gt;5.3784165&lt;/D&gt;&lt;/FQL&gt;&lt;FQL&gt;&lt;Q&gt;COPP-FDS^FG_PRICE_MAVG(0,,,,30)&lt;/Q&gt;&lt;R&gt;1&lt;/R&gt;&lt;C&gt;1&lt;/C&gt;&lt;D xsi:type="xsd:double"&gt;4.203&lt;/D&gt;&lt;/FQL&gt;&lt;FQL&gt;&lt;Q&gt;EWI^FG_PRICE_MAVG(0,,,,30)&lt;/Q&gt;&lt;R&gt;1&lt;/R&gt;&lt;C&gt;1&lt;/C&gt;&lt;D xsi:type="xsd:double"&gt;36.811&lt;/D&gt;&lt;/FQL&gt;&lt;FQL&gt;&lt;Q&gt;SPY^FG_PRICE_MAVG(0,,,,30)&lt;/Q&gt;&lt;R&gt;1&lt;/R&gt;&lt;C&gt;1&lt;/C&gt;&lt;D xsi:type="xsd:double"&gt;545.6043&lt;/D&gt;&lt;/FQL&gt;&lt;FQL&gt;&lt;Q&gt;EWJ^FG_PRICE_MAVG(0,,,,30)&lt;/Q&gt;&lt;R&gt;1&lt;/R&gt;&lt;C&gt;1&lt;/C&gt;&lt;D xsi:type="xsd:double"&gt;68.533&lt;/D&gt;&lt;/FQL&gt;&lt;FQL&gt;&lt;Q&gt;ENZL^FG_PRICE_MAVG(0,,,,30)&lt;/Q&gt;&lt;R&gt;1&lt;/R&gt;&lt;C&gt;1&lt;/C&gt;&lt;D xsi:type="xsd:double"&gt;46.28219&lt;/D&gt;&lt;/FQL&gt;&lt;FQL&gt;&lt;Q&gt;FXI^FG_TOTAL_RETURNC(0,-12AM)&lt;/Q&gt;&lt;R&gt;1&lt;/R&gt;&lt;C&gt;1&lt;/C&gt;&lt;D xsi:type="xsd:double"&gt;1.8596768&lt;/D&gt;&lt;/FQL&gt;&lt;FQL&gt;&lt;Q&gt;EWI^FMA_ROE(NTMA,-20AY,NOW,FY,"PORTAGG","MEANR")&lt;/Q&gt;&lt;R&gt;20&lt;/R&gt;&lt;C&gt;1&lt;/C&gt;&lt;D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xsi:type="xsd:double"&gt;13.3572149047324&lt;/D&gt;&lt;/FQL&gt;&lt;FQL&gt;&lt;Q&gt;TRYVN10Y-FDS^FG_YIELD(-10AY,0,Y,,"YTM")&lt;/Q&gt;&lt;R&gt;10&lt;/R&gt;&lt;C&gt;1&lt;/C&gt;&lt;D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xsi:type="xsd:double"&gt;4.07638232764083&lt;/D&gt;&lt;D xsi:type="xsd:double"&gt;3.67789544317284&lt;/D&gt;&lt;D xsi:type="xsd:double"&gt;4.61613854439477&lt;/D&gt;&lt;D xsi:type="xsd:double"&gt;4.46089540048153&lt;/D&gt;&lt;D xsi:type="xsd:double"&gt;4.56673185665912&lt;/D&gt;&lt;/FQL&gt;&lt;FQL&gt;&lt;Q&gt;PASP-FDS^MAX(FG_PRICE(0,-5AY))&lt;/Q&gt;&lt;R&gt;1&lt;/R&gt;&lt;C&gt;1&lt;/C&gt;&lt;D xsi:type="xsd:double"&gt;3158.12&lt;/D&gt;&lt;/FQL&gt;&lt;FQL&gt;&lt;Q&gt;COPP-FDS^FG_PRICE_CHANGE(0,-3AM)&lt;/Q&gt;&lt;R&gt;1&lt;/R&gt;&lt;C&gt;1&lt;/C&gt;&lt;D xsi:type="xsd:double"&gt;-15.6275551921504&lt;/D&gt;&lt;/FQL&gt;&lt;FQL&gt;&lt;Q&gt;VWO^P_PRICE(0)/P_PRICE_HIGH_PR(0,,,,,,"PRICE","INTRA","52W")&lt;/Q&gt;&lt;R&gt;1&lt;/R&gt;&lt;C&gt;1&lt;/C&gt;&lt;D xsi:type="xsd:double"&gt;0.9782395&lt;/D&gt;&lt;/FQL&gt;&lt;FQL&gt;&lt;Q&gt;QQQ^FG_TOTAL_RETURNC(0,-3AM)&lt;/Q&gt;&lt;R&gt;1&lt;/R&gt;&lt;C&gt;1&lt;/C&gt;&lt;D xsi:type="xsd:double"&gt;5.2686453&lt;/D&gt;&lt;/FQL&gt;&lt;FQL&gt;&lt;Q&gt;EWA^FG_TOTAL_RETURNC(0,-1AM)&lt;/Q&gt;&lt;R&gt;1&lt;/R&gt;&lt;C&gt;1&lt;/C&gt;&lt;D xsi:type="xsd:double"&gt;-2.5009751&lt;/D&gt;&lt;/FQL&gt;&lt;FQL&gt;&lt;Q&gt;VGK^FMA_COS_UP("EPS","1M",+1,0,,,"PORTAGG","MEANR")&lt;/Q&gt;&lt;R&gt;1&lt;/R&gt;&lt;C&gt;1&lt;/C&gt;&lt;D xsi:type="xsd:double"&gt;466&lt;/D&gt;&lt;/FQL&gt;&lt;FQL&gt;&lt;Q&gt;EWI^FMA_RBICS_REV_CURRENT(30, LOC, "PORTAGG")&lt;/Q&gt;&lt;R&gt;1&lt;/R&gt;&lt;C&gt;1&lt;/C&gt;&lt;D xsi:type="xsd:double"&gt;38.7145820793369&lt;/D&gt;&lt;/FQL&gt;&lt;FQL&gt;&lt;Q&gt;REFJPTON-FDS^PROPER_NAME(0,,,"SECURITY","NAME")&lt;/Q&gt;&lt;R&gt;1&lt;/R&gt;&lt;C&gt;1&lt;/C&gt;&lt;D xsi:type="xsd:string"&gt;Japan Policy Rate&lt;/D&gt;&lt;/FQL&gt;&lt;FQL&gt;&lt;Q&gt;TRYCH10Y-FDS^PCTCHG(FG_YIELD(0,,,,"YTM"),FG_YIELD(-3AM,,,,"YTM"))&lt;/Q&gt;&lt;R&gt;1&lt;/R&gt;&lt;C&gt;1&lt;/C&gt;&lt;D xsi:type="xsd:double"&gt;-39.804474&lt;/D&gt;&lt;/FQL&gt;&lt;FQL&gt;&lt;Q&gt;TRYUS10Y-FDS^FG_YIELD_NAME&lt;/Q&gt;&lt;R&gt;1&lt;/R&gt;&lt;C&gt;1&lt;/C&gt;&lt;D xsi:type="xsd:string"&gt;US Benchmark Bond - 10 Year&lt;/D&gt;&lt;/FQL&gt;&lt;FQL&gt;&lt;Q&gt;EWD^FMA_DIV_YLD(NTMA,NOW,NOW,M,"PORTAGG","MEANR")&lt;/Q&gt;&lt;R&gt;1&lt;/R&gt;&lt;C&gt;1&lt;/C&gt;&lt;D xsi:type="xsd:double"&gt;3.18163844987392&lt;/D&gt;&lt;/FQL&gt;&lt;FQL&gt;&lt;Q&gt;SPY^JULIAN(FMA_DIV_YLD(NTMA,NOW,NOW,M,"PORTAGG","MEANR").DATES)&lt;/Q&gt;&lt;R&gt;1&lt;/R&gt;&lt;C&gt;1&lt;/C&gt;&lt;D xsi:type="xsd:long"&gt;45504&lt;/D&gt;&lt;/FQL&gt;&lt;FQL&gt;&lt;Q&gt;EWJ^FMA_PE(NTMA,0,,,"PORTAGG","MEANR")&lt;/Q&gt;&lt;R&gt;1&lt;/R&gt;&lt;C&gt;1&lt;/C&gt;&lt;D xsi:type="xsd:double"&gt;13.9752992897754&lt;/D&gt;&lt;/FQL&gt;&lt;FQL&gt;&lt;Q&gt;EWD^FMA_PE(NTMA,0,,,"PORTAGG","MEANR")&lt;/Q&gt;&lt;R&gt;1&lt;/R&gt;&lt;C&gt;1&lt;/C&gt;&lt;D xsi:type="xsd:double"&gt;15.5830060585929&lt;/D&gt;&lt;/FQL&gt;&lt;FQL&gt;&lt;Q&gt;EWD^FMA_PE(LTM,0,,,"PORTAGG","MEANR")&lt;/Q&gt;&lt;R&gt;1&lt;/R&gt;&lt;C&gt;1&lt;/C&gt;&lt;D xsi:type="xsd:double"&gt;13.6702042724635&lt;/D&gt;&lt;/FQL&gt;&lt;FQL&gt;&lt;Q&gt;EWJ^FMA_PE(LTM,0,,,"PORTAGG","MEANR")&lt;/Q&gt;&lt;R&gt;1&lt;/R&gt;&lt;C&gt;1&lt;/C&gt;&lt;D xsi:type="xsd:double"&gt;16.6147104248048&lt;/D&gt;&lt;/FQL&gt;&lt;FQL&gt;&lt;Q&gt;EWG^FG_PRICE(0)&lt;/Q&gt;&lt;R&gt;1&lt;/R&gt;&lt;C&gt;1&lt;/C&gt;&lt;D xsi:type="xsd:double"&gt;31.4&lt;/D&gt;&lt;/FQL&gt;&lt;FQL&gt;&lt;Q&gt;EWN^P_PRICE(0)/P_PRICE_HIGH_PR(0,,,,,,"PRICE","INTRA","52W")&lt;/Q&gt;&lt;R&gt;1&lt;/R&gt;&lt;C&gt;1&lt;/C&gt;&lt;D xsi:type="xsd:double"&gt;0.9392797&lt;/D&gt;&lt;/FQL&gt;&lt;FQL&gt;&lt;Q&gt;QQQ^PERCENT_CHANGE(FMA_EPS(+1,0,,,,"PORTAGG","MEAN"),FMA_EPS(+1,-3AM,,,,"PORTAGG","MEAN"))&lt;/Q&gt;&lt;R&gt;1&lt;/R&gt;&lt;C&gt;1&lt;/C&gt;&lt;D xsi:type="xsd:double"&gt;-2.25516098920915&lt;/D&gt;&lt;/FQL&gt;&lt;FQL&gt;&lt;Q&gt;EWJ^FG_TOTAL_RETURNC(0,-6AM)&lt;/Q&gt;&lt;R&gt;1&lt;/R&gt;&lt;C&gt;1&lt;/C&gt;&lt;D xsi:type="xsd:double"&gt;3.3394098&lt;/D&gt;&lt;/FQL&gt;&lt;FQL&gt;&lt;Q&gt;EWA^PERCENT_CHANGE(FMA_EPS(+1,0,,,,"PORTAGG","MEAN"),FMA_EPS(+1,-3AM,,,,"PORTAGG","MEAN"))&lt;/Q&gt;&lt;R&gt;1&lt;/R&gt;&lt;C&gt;1&lt;/C&gt;&lt;D xsi:type="xsd:double"&gt;-3.82540319169538&lt;/D&gt;&lt;/FQL&gt;&lt;FQL&gt;&lt;Q&gt;EWG^FMA_COS_UP("EPS","1M",+1,0,,,"PORTAGG","MEANR")&lt;/Q&gt;&lt;R&gt;1&lt;/R&gt;&lt;C&gt;1&lt;/C&gt;&lt;D xsi:type="xsd:double"&gt;27&lt;/D&gt;&lt;/FQL&gt;&lt;FQL&gt;&lt;Q&gt;EWN^FMA_RBICS_REV_CURRENT(30, LOC, "PORTAGG")&lt;/Q&gt;&lt;R&gt;1&lt;/R&gt;&lt;C&gt;1&lt;/C&gt;&lt;D xsi:type="xsd:double"&gt;25.4058816390782&lt;/D&gt;&lt;/FQL&gt;&lt;FQL&gt;&lt;Q&gt;TRYNL10Y-FDS^FG_YIELD_NAME&lt;/Q&gt;&lt;R&gt;1&lt;/R&gt;&lt;C&gt;1&lt;/C&gt;&lt;D xsi:type="xsd:string"&gt;Netherlands Benchmark Bond - 10 Year&lt;/D&gt;&lt;/FQL&gt;&lt;FQL&gt;&lt;Q&gt;REFSEREPO-FDS^(SUBARRAY(NOT_NA(NO_REPEAT_F(FG_YIELD(NOW,-10AY,D))),0,1)-SUBARRAY(NOT_NA(NO_REPEAT_F(FG_YIELD(NOW,-10AY,D))),1,1))*100&lt;/Q&gt;&lt;R&gt;1&lt;/R&gt;&lt;C&gt;1&lt;/C&gt;&lt;D xsi:type="xsd:double"&gt;-25&lt;/D&gt;&lt;/FQL&gt;&lt;FQL&gt;&lt;Q&gt;CC_AU^IMF_IFS_RCPI_Q(0)&lt;/Q&gt;&lt;R&gt;0&lt;/R&gt;&lt;C&gt;0&lt;/C&gt;&lt;/FQL&gt;&lt;FQL&gt;&lt;Q&gt;EWG^P_PRICE_RETURNS_PR('52W',2,-10AY,0,AM)&lt;/Q&gt;&lt;R&gt;121&lt;/R&gt;&lt;C&gt;1&lt;/C&gt;&lt;D xsi:type="xsd:double"&gt;8.605194&lt;/D&gt;&lt;D xsi:type="xsd:double"&gt;7.9964757&lt;/D&gt;&lt;D xsi:type="xsd:double"&gt;-9.032792&lt;/D&gt;&lt;D xsi:type="xsd:double"&gt;-6.7468405&lt;/D&gt;&lt;D xsi:type="xsd:double"&gt;-7.3830423&lt;/D&gt;&lt;D xsi:type="xsd:double"&gt;-10.803318&lt;/D&gt;&lt;D xsi:type="xsd:double"&gt;-5.3738475&lt;/D&gt;&lt;D xsi:type="xsd:double"&gt;1.9491792&lt;/D&gt;&lt;D xsi:type="xsd:double"&gt;-0.24162531&lt;/D&gt;&lt;D xsi:type="xsd:double"&gt;-1.1940658&lt;/D&gt;&lt;D xsi:type="xsd:double"&gt;-7.7230573&lt;/D&gt;&lt;D xsi:type="xsd:double"&gt;-4.674375&lt;/D&gt;&lt;D xsi:type="xsd:double"&gt;-0.67080855&lt;/D&gt;&lt;D xsi:type="xsd:double"&gt;-7.045698&lt;/D&gt;&lt;D xsi:type="xsd:double"&gt;4.6057343&lt;/D&gt;&lt;D xsi:type="xsd:double"&gt;-0.75879693&lt;/D&gt;&lt;D xsi:type="xsd:double"&gt;-1.6445756&lt;/D&gt;&lt;D xsi:type="xsd:double"&gt;-11.127215&lt;/D&gt;&lt;D xsi:type="xsd:double"&gt;-18.304926&lt;/D&gt;&lt;D xsi:type="xsd:double"&gt;-13.254631&lt;/D&gt;&lt;D xsi:type="xsd:double"&gt;-13.544965&lt;/D&gt;&lt;D xsi:type="xsd:double"&gt;-14.396596&lt;/D&gt;&lt;D xsi:type="xsd:double"&gt;-12.783032&lt;/D&gt;&lt;D xsi:type="xsd:double"&gt;-11.95367&lt;/D&gt;&lt;D xsi:type="xsd:double"&gt;-2.7152538&lt;/D&gt;&lt;D xsi:type="xsd:double"&gt;-1.6178787&lt;/D&gt;&lt;D xsi:type="xsd:double"&gt;1.3290048&lt;/D&gt;&lt;D xsi:type="xsd:double"&gt;-2.2507608&lt;/D&gt;&lt;D xsi:type="xsd:double"&gt;1.0761023&lt;/D&gt;&lt;D xsi:type="xsd:double"&gt;14.591969&lt;/D&gt;&lt;D xsi:type="xsd:double"&gt;20.824945&lt;/D&gt;&lt;D xsi:type="xsd:double"&gt;14.389992&lt;/D&gt;&lt;D xsi:type="xsd:double"&gt;12.05883&lt;/D&gt;&lt;D xsi:type="xsd:double"&gt;24.013638&lt;/D&gt;&lt;D xsi:type="xsd:double"&gt;29.606606&lt;/D&gt;&lt;D xsi:type="xsd:double"&gt;27.693785&lt;/D&gt;&lt;D xsi:type="xsd:double"&gt;18.0488&lt;/D&gt;&lt;D xsi:type="xsd:double"&gt;25.114202&lt;/D&gt;&lt;D xsi:type="xsd:double"&gt;29.684425&lt;/D&gt;&lt;D xsi:type="xsd:double"&gt;33.76559&lt;/D&gt;&lt;D xsi:type="xsd:double"&gt;29.45745&lt;/D&gt;&lt;D xsi:type="xsd:double"&gt;30.243313&lt;/D&gt;&lt;D xsi:type="xsd:double"&gt;23.059929&lt;/D&gt;&lt;D xsi:type="xsd:double"&gt;17.056633&lt;/D&gt;&lt;D xsi:type="xsd:double"&gt;19.45076&lt;/D&gt;&lt;D xsi:type="xsd:double"&gt;8.135462&lt;/D&gt;&lt;D xsi:type="xsd:double"&gt;7.1614146&lt;/D&gt;&lt;D xsi:type="xsd:double"&gt;1.6822219&lt;/D&gt;&lt;D xsi:type="xsd:double"&gt;-2.8832316&lt;/D&gt;&lt;D xsi:type="xsd:double"&gt;-4.525411&lt;/D&gt;&lt;D xsi:type="xsd:double"&gt;-10.3609085&lt;/D&gt;&lt;D xsi:type="xsd:double"&gt;-14.788002&lt;/D&gt;&lt;D xsi:type="xsd:double"&gt;-20.14672&lt;/D&gt;&lt;D xsi:type="xsd:double"&gt;-22.715027&lt;/D&gt;&lt;D xsi:type="xsd:double"&gt;-17.68616&lt;/D&gt;&lt;D xsi:type="xsd:double"&gt;-13.488806&lt;/D&gt;&lt;D xsi:type="xsd:double"&gt;-11.593604&lt;/D&gt;&lt;D xsi:type="xsd:double"&gt;-11.690164&lt;/D&gt;&lt;D xsi:type="xsd:double"&gt;-12.983852&lt;/D&gt;&lt;D xsi:type="xsd:double"&gt;-7.5366917&lt;/D&gt;&lt;D xsi:type="xsd:double"&gt;-9.895086&lt;/D&gt;&lt;D xsi:type="xsd:double"&gt;-5.9045734&lt;/D&gt;&lt;D xsi:type="xsd:double"&gt;-0.024408102&lt;/D&gt;&lt;D xsi:type="xsd:double"&gt;9.289026&lt;/D&gt;&lt;D xsi:type="xsd:double"&gt;19.28848&lt;/D&gt;&lt;D xsi:type="xsd:double"&gt;17.395449&lt;/D&gt;&lt;D xsi:type="xsd:double"&gt;15.82396&lt;/D&gt;&lt;D xsi:type="xsd:double"&gt;-30.227201&lt;/D&gt;&lt;D xsi:type="xsd:double"&gt;-19.94183&lt;/D&gt;&lt;D xsi:type="xsd:double"&gt;-16.825449&lt;/D&gt;&lt;D xsi:type="xsd:double"&gt;1.6751885&lt;/D&gt;&lt;D xsi:type="xsd:double"&gt;4.2881966&lt;/D&gt;&lt;D xsi:type="xsd:double"&gt;17.903221&lt;/D&gt;&lt;D xsi:type="xsd:double"&gt;12.44315&lt;/D&gt;&lt;D xsi:type="xsd:double"&gt;7.466924&lt;/D&gt;&lt;D xsi:type="xsd:double"&gt;4.6266794&lt;/D&gt;&lt;D xsi:type="xsd:double"&gt;9.240282&lt;/D&gt;&lt;D xsi:type="xsd:double"&gt;9.577454&lt;/D&gt;&lt;D xsi:type="xsd:double"&gt;14.463282&lt;/D&gt;&lt;D xsi:type="xsd:double"&gt;80.70528&lt;/D&gt;&lt;D xsi:type="xsd:double"&gt;63.62219&lt;/D&gt;&lt;D xsi:type="xsd:double"&gt;60.853447&lt;/D&gt;&lt;D xsi:type="xsd:double"&gt;34.003628&lt;/D&gt;&lt;D xsi:type="xsd:double"&gt;23.540474&lt;/D&gt;&lt;D xsi:type="xsd:double"&gt;22.117733&lt;/D&gt;&lt;D xsi:type="xsd:double"&gt;17.536413&lt;/D&gt;&lt;D xsi:type="xsd:double"&gt;18.320156&lt;/D&gt;&lt;D xsi:type="xsd:double"&gt;16.576422&lt;/D&gt;&lt;D xsi:type="xsd:double"&gt;4.572189&lt;/D&gt;&lt;D xsi:type="xsd:double"&gt;5.068624&lt;/D&gt;&lt;D xsi:type="xsd:double"&gt;0.215137&lt;/D&gt;&lt;D xsi:type="xsd:double"&gt;-10.289902&lt;/D&gt;&lt;D xsi:type="xsd:double"&gt;-19.425518&lt;/D&gt;&lt;D xsi:type="xsd:double"&gt;-25.36813&lt;/D&gt;&lt;D xsi:type="xsd:double"&gt;-30.726469&lt;/D&gt;&lt;D xsi:type="xsd:double"&gt;-3</t>
        </r>
      </text>
    </comment>
    <comment ref="A13" authorId="0" shapeId="0" xr:uid="{1B390D65-DC7F-4C62-8A34-260168297D00}">
      <text>
        <r>
          <rPr>
            <b/>
            <sz val="9"/>
            <color indexed="81"/>
            <rFont val="Tahoma"/>
            <charset val="1"/>
          </rPr>
          <t>3.77373&lt;/D&gt;&lt;D xsi:type="xsd:double"&gt;-28.932459&lt;/D&gt;&lt;D xsi:type="xsd:double"&gt;-34.979935&lt;/D&gt;&lt;D xsi:type="xsd:double"&gt;-37.36657&lt;/D&gt;&lt;D xsi:type="xsd:double"&gt;-24.364197&lt;/D&gt;&lt;D xsi:type="xsd:double"&gt;-21.52124&lt;/D&gt;&lt;D xsi:type="xsd:double"&gt;-14.040482&lt;/D&gt;&lt;D xsi:type="xsd:double"&gt;-10.220265&lt;/D&gt;&lt;D xsi:type="xsd:double"&gt;-4.4661283&lt;/D&gt;&lt;D xsi:type="xsd:double"&gt;10.604024&lt;/D&gt;&lt;D xsi:type="xsd:double"&gt;15.172124&lt;/D&gt;&lt;D xsi:type="xsd:double"&gt;26.388&lt;/D&gt;&lt;D xsi:type="xsd:double"&gt;39.898228&lt;/D&gt;&lt;D xsi:type="xsd:double"&gt;18.434858&lt;/D&gt;&lt;D xsi:type="xsd:double"&gt;28.49902&lt;/D&gt;&lt;D xsi:type="xsd:double"&gt;32.642982&lt;/D&gt;&lt;D xsi:type="xsd:double"&gt;14.693964&lt;/D&gt;&lt;D xsi:type="xsd:double"&gt;20.972336&lt;/D&gt;&lt;D xsi:type="xsd:double"&gt;6.004989&lt;/D&gt;&lt;D xsi:type="xsd:double"&gt;8.099461&lt;/D&gt;&lt;D xsi:type="xsd:double"&gt;21.041452&lt;/D&gt;&lt;D xsi:type="xsd:double"&gt;5.7837367&lt;/D&gt;&lt;D xsi:type="xsd:double"&gt;15.496981&lt;/D&gt;&lt;D xsi:type="xsd:double"&gt;7.6744914&lt;/D&gt;&lt;D xsi:type="xsd:double"&gt;10.96158&lt;/D&gt;&lt;D xsi:type="xsd:double"&gt;16.201485&lt;/D&gt;&lt;/FQL&gt;&lt;FQL&gt;&lt;Q&gt;EWC^FG_PRICE_MAVG(0,,,,200)&lt;/Q&gt;&lt;R&gt;1&lt;/R&gt;&lt;C&gt;1&lt;/C&gt;&lt;D xsi:type="xsd:double"&gt;36.84455&lt;/D&gt;&lt;/FQL&gt;&lt;FQL&gt;&lt;Q&gt;EWI^SIZE(FG_CONSTITUENTS)&lt;/Q&gt;&lt;R&gt;1&lt;/R&gt;&lt;C&gt;1&lt;/C&gt;&lt;D xsi:type="xsd:long"&gt;26&lt;/D&gt;&lt;/FQL&gt;&lt;FQL&gt;&lt;Q&gt;SPY^FMA_RBICS_REV_CURRENT(30, LOC, "PORTAGG")&lt;/Q&gt;&lt;R&gt;1&lt;/R&gt;&lt;C&gt;1&lt;/C&gt;&lt;D xsi:type="xsd:double"&gt;12.5765138366263&lt;/D&gt;&lt;/FQL&gt;&lt;FQL&gt;&lt;Q&gt;REFSEREPO-FDS^FG_YIELD(NOW,,,0)&lt;/Q&gt;&lt;R&gt;1&lt;/R&gt;&lt;C&gt;1&lt;/C&gt;&lt;D xsi:type="xsd:double"&gt;3.75&lt;/D&gt;&lt;/FQL&gt;&lt;FQL&gt;&lt;Q&gt;REFEUREFI-FDS^(SUBARRAY(NOT_NA(NO_REPEAT_F(FG_YIELD(NOW,-10AY,D))),0,1)-SUBARRAY(NOT_NA(NO_REPEAT_F(FG_YIELD(NOW,-10AY,D))),1,1))*100&lt;/Q&gt;&lt;R&gt;1&lt;/R&gt;&lt;C&gt;1&lt;/C&gt;&lt;D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xsi:type="xsd:double"&gt;-25&lt;/D&gt;&lt;/FQL&gt;&lt;FQL&gt;&lt;Q&gt;TRYCH10Y-FDS^PCTCHG(FG_YIELD(0,,,,"YTM"),FG_YIELD(-1AM,,,,"YTM"))&lt;/Q&gt;&lt;R&gt;1&lt;/R&gt;&lt;C&gt;1&lt;/C&gt;&lt;D xsi:type="xsd:double"&gt;-23.581562&lt;/D&gt;&lt;/FQL&gt;&lt;FQL&gt;&lt;Q&gt;USO^FG_TOTAL_RETURNC(0,-3AM)&lt;/Q&gt;&lt;R&gt;1&lt;/R&gt;&lt;C&gt;1&lt;/C&gt;&lt;D xsi:type="xsd:double"&gt;0.091803074&lt;/D&gt;&lt;/FQL&gt;&lt;FQL&gt;&lt;Q&gt;VWO^P_PRICE(0)/P_PRICE_HIGH_PR(0,,,USD,,,"PRICE","INTRA","52W")&lt;/Q&gt;&lt;R&gt;1&lt;/R&gt;&lt;C&gt;1&lt;/C&gt;&lt;D xsi:type="xsd:double"&gt;0.9782395&lt;/D&gt;&lt;/FQL&gt;&lt;FQL&gt;&lt;Q&gt;USO^FG_TOTAL_RETURNC(0,-1AM)&lt;/Q&gt;&lt;R&gt;1&lt;/R&gt;&lt;C&gt;1&lt;/C&gt;&lt;D xsi:type="xsd:double"&gt;-3.465718&lt;/D&gt;&lt;/FQL&gt;&lt;FQL&gt;&lt;Q&gt;PASP-FDS^FG_PRICE_CHANGE(0,-6AM)&lt;/Q&gt;&lt;R&gt;1&lt;/R&gt;&lt;C&gt;1&lt;/C&gt;&lt;D xsi:type="xsd:double"&gt;-1.15183246073298&lt;/D&gt;&lt;/FQL&gt;&lt;FQL&gt;&lt;Q&gt;TIOS-FDS^FG_PRICE_CHANGE(0,-6AM)&lt;/Q&gt;&lt;R&gt;1&lt;/R&gt;&lt;C&gt;1&lt;/C&gt;&lt;D xsi:type="xsd:double"&gt;-23.7760074251682&lt;/D&gt;&lt;/FQL&gt;&lt;FQL&gt;&lt;Q&gt;EWC^FG_PRICE_MAVG(0,,,,60)&lt;/Q&gt;&lt;R&gt;1&lt;/R&gt;&lt;C&gt;1&lt;/C&gt;&lt;D xsi:type="xsd:double"&gt;37.755665&lt;/D&gt;&lt;/FQL&gt;&lt;FQL&gt;&lt;Q&gt;FXI^FG_TOTAL_RETURNC(0,-1AM)&lt;/Q&gt;&lt;R&gt;1&lt;/R&gt;&lt;C&gt;1&lt;/C&gt;&lt;D xsi:type="xsd:double"&gt;-0.9394944&lt;/D&gt;&lt;/FQL&gt;&lt;FQL&gt;&lt;Q&gt;VWO^PERCENT_CHANGE(FMA_EPS(+1,0,,,,"PORTAGG","MEAN"),FMA_EPS(+1,-3AM,,,,"PORTAGG","MEAN"))&lt;/Q&gt;&lt;R&gt;1&lt;/R&gt;&lt;C&gt;1&lt;/C&gt;&lt;D xsi:type="xsd:double"&gt;-0.251208888876792&lt;/D&gt;&lt;/FQL&gt;&lt;FQL&gt;&lt;Q&gt;EWN^FG_TOTAL_RETURNC(0,-3AM)&lt;/Q&gt;&lt;R&gt;1&lt;/R&gt;&lt;C&gt;1&lt;/C&gt;&lt;D xsi:type="xsd:double"&gt;-2.152449&lt;/D&gt;&lt;/FQL&gt;&lt;FQL&gt;&lt;Q&gt;QQQ^PERCENT_CHANGE(FMA_EPS(+1,0,,,,"PORTAGG","MEAN"),FMA_EPS(+1,-1AM,,,,"PORTAGG","MEAN"))&lt;/Q&gt;&lt;R&gt;1&lt;/R&gt;&lt;C&gt;1&lt;/C&gt;&lt;D xsi:type="xsd:double"&gt;-2.8564710321309&lt;/D&gt;&lt;/FQL&gt;&lt;FQL&gt;&lt;Q&gt;EWJ^FMA_PCT_ABOVE_MAVG(200,0,,,,"PORTAGG")&lt;/Q&gt;&lt;R&gt;1&lt;/R&gt;&lt;C&gt;1&lt;/C&gt;&lt;D xsi:type="xsd:double"&gt;41.1764705882353&lt;/D&gt;&lt;/FQL&gt;&lt;FQL&gt;&lt;Q&gt;EWA^PERCENT_CHANGE(FMA_EPS(+1,0,,,,"PORTAGG","MEAN"),FMA_EPS(+1,-1AM,,,,"PORTAGG","MEAN"))&lt;/Q&gt;&lt;R&gt;1&lt;/R&gt;&lt;C&gt;1&lt;/C&gt;&lt;D xsi:type="xsd:double"&gt;-2.60185201207044&lt;/D&gt;&lt;/FQL&gt;&lt;FQL&gt;&lt;Q&gt;EWC^SIZE(FG_CONSTITUENTS)&lt;/Q&gt;&lt;R&gt;1&lt;/R&gt;&lt;C&gt;1&lt;/C&gt;&lt;D xsi:type="xsd:long"&gt;88&lt;/D&gt;&lt;/FQL&gt;&lt;FQL&gt;&lt;Q&gt;QQQ^FMA_RBICS_REV_CURRENT(30, LOC, "PORTAGG")&lt;/Q&gt;&lt;R&gt;1&lt;/R&gt;&lt;C&gt;1&lt;/C&gt;&lt;D xsi:type="xsd:double"&gt;0.834681122892295&lt;/D&gt;&lt;/FQL&gt;&lt;FQL&gt;&lt;Q&gt;TRYFR10Y-FDS^FG_YIELD_NAME&lt;/Q&gt;&lt;R&gt;1&lt;/R&gt;&lt;C&gt;1&lt;/C&gt;&lt;D xsi:type="xsd:string"&gt;France Benchmark Bond - 10 Year&lt;/D&gt;&lt;/FQL&gt;&lt;FQL&gt;&lt;Q&gt;TRYJP10Y-FDS^PCTCHG(FG_YIELD(0,,,,"YTM"),FG_YIELD(-3AM,,,,"YTM"))&lt;/Q&gt;&lt;R&gt;1&lt;/R&gt;&lt;C&gt;1&lt;/C&gt;&lt;D xsi:type="xsd:double"&gt;-4.1308823&lt;/D&gt;&lt;/FQL&gt;&lt;FQL&gt;&lt;Q&gt;TRYCH10Y-FDS^FG_YIELD(0,,,,"YTM")&lt;/Q&gt;&lt;R&gt;1&lt;/R&gt;&lt;C&gt;1&lt;/C&gt;&lt;D xsi:type="xsd:double"&gt;0.431&lt;/D&gt;&lt;/FQL&gt;&lt;FQL&gt;&lt;Q&gt;CC_NZ^IMF_IFS_RCPI_Q(0)&lt;/Q&gt;&lt;R&gt;1&lt;/R&gt;&lt;C&gt;1&lt;/C&gt;&lt;D xsi:type="xsd:double"&gt;3.330626&lt;/D&gt;&lt;/FQL&gt;&lt;FQL&gt;&lt;Q&gt;ENZL^FMA_EVAL_EBIT(LTMA,NOW,NOW,M,"PORTAGG","MEANR")&lt;/Q&gt;&lt;R&gt;1&lt;/R&gt;&lt;C&gt;1&lt;/C&gt;&lt;D xsi:type="xsd:double"&gt;20.9784513508998&lt;/D&gt;&lt;/FQL&gt;&lt;FQL&gt;&lt;Q&gt;CAGDPY@SE^EE_ACTUAL_ANNUAL(MED,0)&lt;/Q&gt;&lt;R&gt;1&lt;/R&gt;&lt;C&gt;1&lt;/C&gt;&lt;D xsi:type="xsd:double"&gt;6.4686639012956&lt;/D&gt;&lt;/FQL&gt;&lt;FQL&gt;&lt;Q&gt;EWC^P_PRICE_RETURNS_PR('52W',2,-10AY,0,AM)&lt;/Q&gt;&lt;R&gt;121&lt;/R&gt;&lt;C&gt;1&lt;/C&gt;&lt;D xsi:type="xsd:double"&gt;17.024124&lt;/D&gt;&lt;D xsi:type="xsd:double"&gt;17.14412&lt;/D&gt;&lt;D xsi:type="xsd:double"&gt;2.3330212&lt;/D&gt;&lt;D xsi:type="xsd:double"&gt;5.032742&lt;/D&gt;&lt;D xsi:type="xsd:double"&gt;-1.6264081&lt;/D&gt;&lt;D xsi:type="xsd:double"&gt;-3.1264842&lt;/D&gt;&lt;D xsi:type="xsd:double"&gt;-0.9020865&lt;/D&gt;&lt;D xsi:type="xsd:double"&gt;-5.6856513&lt;/D&gt;&lt;D xsi:type="xsd:double"&gt;-0.1609981&lt;/D&gt;&lt;D xsi:type="xsd:double"&gt;-3.2829225&lt;/D&gt;&lt;D xsi:type="xsd:double"&gt;-10.871637&lt;/D&gt;&lt;D xsi:type="xsd:double"&gt;-17.5179&lt;/D&gt;&lt;D xsi:type="xsd:double"&gt;-19.750845&lt;/D&gt;&lt;D xsi:type="xsd:double"&gt;-24.101513&lt;/D&gt;&lt;D xsi:type="xsd:double"&gt;-11.991156&lt;/D&gt;&lt;D xsi:type="xsd:double"&gt;-22.401827&lt;/D&gt;&lt;D xsi:type="xsd:double"&gt;-17.93716&lt;/D&gt;&lt;D xsi:type="xsd:double"&gt;-27.594692&lt;/D&gt;&lt;D xsi:type="xsd:double"&gt;-24.6329&lt;/D&gt;&lt;D xsi:type="xsd:double"&gt;-10.809231&lt;/D&gt;&lt;D xsi:type="xsd:double"&gt;-14.714593&lt;/D&gt;&lt;D xsi:type="xsd:double"&gt;-13.501846&lt;/D&gt;&lt;D xsi:type="xsd:double"&gt;-9.843058&lt;/D&gt;&lt;D xsi:type="xsd:double"&gt;-0.8186698&lt;/D&gt;&lt;D xsi:type="xsd:double"&gt;5.127239&lt;/D&gt;&lt;D xsi:type="xsd:double"&gt;5.3344846&lt;/D&gt;&lt;D xsi:type="xsd:double"&gt;4.801643&lt;/D&gt;&lt;D xsi:type="xsd:double"&gt;12.321674&lt;/D&gt;&lt;D xsi:type="xsd:double"&gt;22.752619&lt;/D&gt;&lt;D xsi:type="xsd:double"&gt;42.5112&lt;/D&gt;&lt;D xsi:type="xsd:double"&gt;36.7831&lt;/D&gt;&lt;D xsi:type="xsd:double"&gt;16.4495&lt;/D&gt;&lt;D xsi:type="xsd:double"&gt;11.446857&lt;/D&gt;&lt;D xsi:type="xsd:double"&gt;9.446705&lt;/D&gt;&lt;D xsi:type="xsd:double"&gt;10.862279&lt;/D&gt;&lt;D xsi:type="xsd:double"&gt;10.408342&lt;/D&gt;&lt;D xsi:type="xsd:double"&gt;7.810712&lt;/D&gt;&lt;D xsi:type="xsd:double"&gt;16.037512&lt;/D&gt;&lt;D xsi:type="xsd:double"&gt;16.854609&lt;/D&gt;&lt;D xsi:type="xsd:double"&gt;16.712845&lt;/D&gt;&lt;D xsi:type="xsd:double"&gt;11.312938&lt;/D&gt;&lt;D xsi:type="xsd:double"&gt;13.784302&lt;/D&gt;&lt;D xsi:type="xsd:double"&gt;3.6932707&lt;/D&gt;&lt;D xsi:type="xsd:double"&gt;5.15635&lt;/D&gt;&lt;D xsi:type="xsd:double"&gt;7.395923&lt;/D&gt;&lt;D xsi:type="xsd:double"&gt;13.320112&lt;/D&gt;&lt;D xsi:type="xsd:double"&gt;11.34994&lt;/D&gt;&lt;D xsi:type="xsd:double"&gt;7.4207067&lt;/D&gt;&lt;D xsi:type="xsd:double"&gt;6.405127&lt;/D&gt;&lt;D xsi:type="xsd:double"&gt;1.1568189&lt;/D&gt;&lt;D xsi:type="xsd:double"&gt;-3.0596256&lt;/D&gt;&lt;D xsi:type="xsd:double"&gt;-5.9004126&lt;/D&gt;&lt;D xsi:type="xsd:double"&gt;-11.274642&lt;/D&gt;&lt;D xsi:type="xsd:double"&gt;-11.722737&lt;/D&gt;&lt;D xsi:type="xsd:double"&gt;-1.0908008&lt;/D&gt;&lt;D xsi:type="xsd:double"&gt;2.666533&lt;/D&gt;&lt;D xsi:type="xsd:double"&gt;4.124546&lt;/D&gt;&lt;D xsi:type="xsd:double"&gt;-1.3049126&lt;/D&gt;&lt;D xsi:type="xsd:double"&gt;-0.8790016&lt;/D&gt;&lt;D xsi:type="xsd:double"&gt;2.3150563&lt;/D&gt;&lt;D xsi:type="xsd:double"&gt;-0.45426488&lt;/D&gt;&lt;D xsi:type="xsd:double"&gt;4.915142&lt;/D&gt;&lt;D xsi:type="xsd:double"&gt;5.8205843&lt;/D&gt;&lt;D xsi:type="xsd:double"&gt;14.284145&lt;/D&gt;&lt;D xsi:type="xsd:double"&gt;20.933664&lt;/D&gt;&lt;D xsi:type="xsd:double"&gt;19.808662&lt;/D&gt;&lt;D xsi:type="xsd:double"&gt;15.713251&lt;/D&gt;&lt;D xsi:type="xsd:double"&gt;-26.549847&lt;/D&gt;&lt;D xsi:type="xsd:double"&gt;-19.543648&lt;/D&gt;&lt;D xsi:type="xsd:double"&gt;-13.183373&lt;/D&gt;&lt;D xsi:type="xsd:double"&gt;-4.3085394&lt;/D&gt;&lt;D xsi:type="xsd:double"&gt;-5.2925467&lt;/D&gt;&lt;D xsi:type="xsd:double"&gt;5.490446&lt;/D&gt;&lt;D xsi:type="xsd:double"&gt;-1.3183355&lt;/D&gt;&lt;D xsi:type="xsd:double"&gt;1.0293007&lt;/D&gt;&lt;D xsi:type="xsd:double"&gt;0.90886354&lt;/D&gt;&lt;D xsi:type="xsd:double"&gt;7.850361&lt;/D&gt;&lt;D xsi:type="xsd:double"&gt;7.257855&lt;/D&gt;&lt;D xsi:type="xsd:double"&gt;10.356116&lt;/D&gt;&lt;D xsi:type="xsd:double"&gt;77.717125&lt;/D&gt;&lt;D xsi:type="xsd:double"&gt;61.244953&lt;/D&gt;&lt;D xsi:type="xsd:double"&gt;59.30877&lt;/D&gt;&lt;D xsi:type="xsd:double"&gt;48.18146&lt;/D&gt;&lt;D xsi:type="xsd:double"&gt;38.35926&lt;/D&gt;&lt;D xsi:type="xsd:double"&gt;35.148083&lt;/D&gt;&lt;D xsi:type="xsd:double"&gt;35.7844&lt;/D&gt;&lt;D xsi:type="xsd:double"&gt;40.505745&lt;/D&gt;&lt;D xsi:type="xsd:double"&gt;38.405098&lt;/D&gt;&lt;D xsi:type="xsd:double"&gt;21.797121&lt;/D&gt;&lt;D xsi:type="xsd:double"&gt;23.967922&lt;/D&gt;&lt;D xsi:type="xsd:double"&gt;19.475067&lt;/D&gt;&lt;D xsi:type="xsd:double"&gt;14.271569&lt;/D&gt;&lt;D xsi:type="xsd:double"&gt;15.282261&lt;/D&gt;&lt;D xsi:type="xsd:double"&gt;0.25800467&lt;/D&gt;&lt;D xsi:type="xsd:double"&gt;-8.950031&lt;/D&gt;&lt;D xsi:type="xsd:double"&gt;-10.082084&lt;/D&gt;&lt;D xsi:type="xsd:double"&gt;-1.2986481&lt;/D&gt;&lt;D xsi:type="xsd:double"&gt;-8.034897&lt;/D&gt;&lt;D xsi:type="xsd:double"&gt;-19.673275&lt;/D&gt;&lt;D xsi:type="xsd:double"&gt;-11.174411&lt;/D&gt;&lt;D xsi:type="xsd:double"&gt;-10.896492&lt;/D&gt;&lt;D xsi:type="xsd:double"&gt;-8.838081&lt;/D&gt;&lt;D xsi:type="xsd:double"&gt;-7.157898&lt;/D&gt;&lt;D xsi:type="xsd:double"&gt;-13.967067&lt;/D&gt;&lt;D xsi:type="xsd:double"&gt;-8.682812&lt;/D&gt;&lt;D xsi:type="xsd:double"&gt;-2.214706&lt;/D&gt;&lt;D xsi:type="xsd:double"&gt;5.64878&lt;/D&gt;&lt;D xsi:type="xsd:double"&gt;12.685657&lt;/D&gt;&lt;D xsi:type="xsd:double"&gt;-4.2134643&lt;/D&gt;&lt;D xsi:type="xsd:double"&gt;6.3758016&lt;/D&gt;&lt;D xsi:type="xsd:double"&gt;13.012767&lt;/D&gt;&lt;D xsi:type="xsd:double"&gt;0.79967976&lt;/D&gt;&lt;D xsi:type="xsd:double"&gt;10.781706&lt;/D&gt;&lt;D xsi:type="xsd:double"&gt;5.8015227&lt;/D&gt;&lt;D xsi:type="xsd:double"&gt;6.7855477&lt;/D&gt;&lt;D xsi:type="xsd:double"&gt;19.528353&lt;/D&gt;&lt;D xsi:type="xsd:double"&gt;5.7688&lt;/D&gt;&lt;D xsi:type="xsd:double"&gt;13.109863&lt;/D&gt;&lt;D xsi:type="xsd:double"&gt;8.687651&lt;/D&gt;&lt;D xsi:type="xsd:double"&gt;13.326824&lt;/D&gt;&lt;D xsi:type="xsd:double"&gt;18.56581&lt;/D&gt;&lt;/FQL&gt;&lt;FQL&gt;&lt;Q&gt;TIOS-FDS^FG_PRICE_CHANGE(0,-3AM)&lt;/Q&gt;&lt;R&gt;1&lt;/R&gt;&lt;C&gt;1&lt;/C&gt;&lt;D xsi:type="xsd:double"&gt;-15.6611039794608&lt;/D&gt;&lt;/FQL&gt;&lt;FQL&gt;&lt;Q&gt;EWA^FG_PRICE_MAVG(0,,,,200)&lt;/Q&gt;&lt;R&gt;1&lt;/R&gt;&lt;C&gt;1&lt;/C&gt;&lt;D xsi:type="xsd:double"&gt;23.90375&lt;/D&gt;&lt;/FQL&gt;&lt;FQL&gt;&lt;Q&gt;FXI^PERCENT_CHANGE(FMA_EPS(+1,0,,,,"PORTAGG","MEAN"),FMA_EPS(+1,-3AM,,,,"PORTAGG","MEAN"))&lt;/Q&gt;&lt;R&gt;1&lt;/R&gt;&lt;C&gt;1&lt;/C&gt;&lt;D xsi:type="xsd:double"&gt;2.01982040308954&lt;/D&gt;&lt;/FQL&gt;&lt;FQL&gt;&lt;Q&gt;EWG^FG_TOTAL_RETURNC(0,-12AM)&lt;/Q&gt;&lt;R&gt;1&lt;/R&gt;&lt;C&gt;1&lt;/C&gt;&lt;D xsi:type="xsd:double"&gt;16.201485&lt;/D&gt;&lt;/FQL&gt;&lt;FQL&gt;&lt;Q&gt;EWI^FMA_COS_DOWN("EPS","1M",+1,0,,,"PORTAGG","MEANR")&lt;/Q&gt;&lt;R&gt;1&lt;/R&gt;&lt;C&gt;1&lt;/C&gt;&lt;D xsi:type="xsd:double"&gt;8&lt;/D&gt;&lt;/FQL&gt;&lt;FQL&gt;&lt;Q&gt;EWC^FMA_COS_DOWN("EPS","1M",+1,0,,,"PORTAGG","MEANR")&lt;/Q&gt;&lt;R&gt;1&lt;/R&gt;&lt;C&gt;1&lt;/C&gt;&lt;D xsi:type="xsd:double"&gt;39&lt;/D&gt;&lt;/FQL&gt;&lt;FQL&gt;&lt;Q&gt;EWU^FMA_RBICS_REV_CURRENT(30, LOC, "PORTAGG")&lt;/Q&gt;&lt;R&gt;1&lt;/R&gt;&lt;C&gt;1&lt;/C&gt;&lt;D xsi:type="xsd:double"&gt;19.9086912855245&lt;/D&gt;&lt;/FQL&gt;&lt;FQL&gt;&lt;Q&gt;REFSEREPO-FDS^PROPER_NAME(0,,,"SECURITY","NAME")&lt;/Q&gt;&lt;R&gt;1&lt;/R&gt;&lt;C&gt;1&lt;/C&gt;&lt;D xsi:type="xsd:string"&gt;Sweden Repo Rate&lt;/D&gt;&lt;/FQL&gt;&lt;FQL&gt;&lt;Q&gt;REFEUREFI-FDS^FG_YIELD(NOW,,,0)&lt;/Q&gt;&lt;R&gt;1&lt;/R&gt;&lt;C&gt;1&lt;/C&gt;&lt;D xsi:type="xsd:double"&gt;4.25&lt;/D&gt;&lt;/FQL&gt;&lt;FQL&gt;&lt;Q&gt;VWO^FMA_EVAL_EBIT(LTMA,NOW,NOW,M,"PORTAGG","MEANR")&lt;/Q&gt;&lt;R&gt;1&lt;/R&gt;&lt;C&gt;1&lt;/C&gt;&lt;D xsi:type="xsd:double"&gt;14.4188626352092&lt;/D&gt;&lt;/FQL&gt;&lt;FQL&gt;&lt;Q&gt;EWD^JULIAN(FMA_DIV_YLD(NTMA,NOW,NOW,M,"PORTAGG","MEANR").DATES)&lt;/Q&gt;&lt;R&gt;1&lt;/R&gt;&lt;C&gt;1&lt;/C&gt;&lt;D xsi:type="xsd:long"&gt;45504&lt;/D&gt;&lt;/FQL&gt;&lt;FQL&gt;&lt;Q&gt;QQQ^FMA_EVAL_EBITDA(NTMA,0,,,"PORTAGG","MEANR")&lt;/Q&gt;&lt;R&gt;1&lt;/R&gt;&lt;C&gt;1&lt;/C&gt;&lt;D xsi:type="xsd:double"&gt;16.5258156115049&lt;/D&gt;&lt;/FQL&gt;&lt;FQL&gt;&lt;Q&gt;EWJ^JULIAN(FMA_DIV_YLD(NTMA,NOW,NOW,M,"PORTAGG","MEANR").DATES)&lt;/Q&gt;&lt;R&gt;1&lt;/R&gt;&lt;C&gt;1&lt;/C&gt;&lt;D xsi:type="xsd:long"&gt;45504&lt;/D&gt;&lt;/FQL&gt;&lt;FQL&gt;&lt;Q&gt;ENZL^FG_FCF_YIELD_NTM(0)&lt;/Q&gt;&lt;R&gt;1&lt;/R&gt;&lt;C&gt;1&lt;/C&gt;&lt;D xsi:type="xsd:double"&gt;1.03455282970187&lt;/D&gt;&lt;/FQL&gt;&lt;FQL&gt;&lt;Q&gt;DBA^P_PRICE(0)/P_PRICE_HIGH_PR(0,,,USD,,,"PRICE","INTRA","52W")&lt;/Q&gt;&lt;R&gt;1&lt;/R&gt;&lt;C&gt;1&lt;/C&gt;&lt;D xsi:type="xsd:double"&gt;0.8964481&lt;/D&gt;&lt;/FQL&gt;&lt;FQL&gt;&lt;Q&gt;ENZL^FMA_PE(LTM,0,,,"PORTAGG","MEANR")&lt;/Q&gt;&lt;R&gt;1&lt;/R&gt;&lt;C&gt;1&lt;/C&gt;&lt;D xsi:type="xsd:double"&gt;33.7234852328244&lt;/D&gt;&lt;/FQL&gt;&lt;FQL&gt;&lt;Q&gt;UUP^FG_TOTAL_RETURNC(0,-1AM)&lt;/Q&gt;&lt;R&gt;1&lt;/R&gt;&lt;C&gt;1&lt;/C&gt;&lt;D xsi:type="xsd:double"&gt;-1.1482239&lt;/D&gt;&lt;/FQL&gt;&lt;FQL&gt;&lt;Q&gt;CC_GB^IMF_IFS_RCPI_Q(0)&lt;/Q&gt;&lt;R&gt;1&lt;/R&gt;&lt;C&gt;1&lt;/C&gt;&lt;D xsi:type="xsd:double"&gt;2.8697004&lt;/D&gt;&lt;/FQL&gt;&lt;FQL&gt;&lt;Q&gt;CC_DE^IMF_IFS_RCPI_Q(0)&lt;/Q&gt;&lt;R&gt;1&lt;/R&gt;&lt;C&gt;1&lt;/C&gt;&lt;D xsi:type="xsd:double"&gt;2.2863681&lt;/D&gt;&lt;/FQL&gt;&lt;FQL&gt;&lt;Q&gt;PASP-FDS^FG_PRICE_CHANGE(0,-3AM)&lt;/Q&gt;&lt;R&gt;1&lt;/R&gt;&lt;C&gt;1&lt;/C&gt;&lt;D xsi:type="xsd:double"&gt;-7.8125&lt;/D&gt;&lt;/FQL&gt;&lt;FQL&gt;&lt;Q&gt;FXI^PERCENT_CHANGE(FMA_EPS(+1,0,,,,"PORTAGG","MEAN"),FMA_EPS(+1,-1AM,,,,"PORTAGG","MEAN"))&lt;/Q&gt;&lt;R&gt;1&lt;/R&gt;&lt;C&gt;1&lt;/C&gt;&lt;D xsi:type="xsd:double"&gt;-0.690716546387292&lt;/D&gt;&lt;/FQL&gt;&lt;FQL&gt;&lt;Q&gt;VWO^FMA_PCT_ABOVE_MAVG(200,0,,,,"PORTAGG")&lt;/Q&gt;&lt;R&gt;1&lt;/R&gt;&lt;C&gt;1&lt;/C&gt;&lt;D xsi:type="xsd:double"&gt;40.2891670263271&lt;/D&gt;&lt;/FQL&gt;&lt;FQL&gt;&lt;Q&gt;EWN^FG_TOTAL_RETURNC(0,-1AM)&lt;/Q&gt;&lt;R&gt;1&lt;/R&gt;&lt;C&gt;1&lt;/C&gt;&lt;D xsi:type="xsd:double"&gt;-4.7427773&lt;/D&gt;&lt;/FQL&gt;&lt;FQL&gt;&lt;Q&gt;QQQ^FMA_PCT_ABOVE_MAVG(200,0,,,,"PORTAGG")&lt;/Q&gt;&lt;R&gt;1&lt;/R&gt;&lt;C&gt;1&lt;/C&gt;&lt;D xsi:type="xsd:double"&gt;64.7058823529412&lt;/D&gt;&lt;/FQL&gt;&lt;FQL&gt;&lt;Q&gt;EWG^P_PRICE(0)/P_PRICE_HIGH_PR(0,,,,,,"PRICE","INTRA","52W")&lt;/Q&gt;&lt;R&gt;1&lt;/R&gt;&lt;C&gt;1&lt;/C&gt;&lt;D xsi:type="xsd:double"&gt;0.95885175&lt;/D&gt;&lt;/FQL&gt;&lt;FQL&gt;&lt;Q&gt;EWA^FMA_PCT_ABOVE_MAVG(200,0,,,,"PORTAGG")&lt;/Q&gt;&lt;R&gt;1&lt;/R&gt;&lt;C&gt;1&lt;/C&gt;&lt;D xsi:type="xsd:double"&gt;67.7966101694915&lt;/D&gt;&lt;/FQL&gt;&lt;FQL&gt;&lt;Q&gt;EWI^FMA_COS_UP("EPS","1M",+1,0,,,"PORTAGG","MEANR")&lt;/Q&gt;&lt;R&gt;1&lt;/R&gt;&lt;C&gt;1&lt;/C&gt;&lt;D xsi:type="xsd:double"&gt;15&lt;/D&gt;&lt;/FQL&gt;&lt;FQL&gt;&lt;Q&gt;EWL^FMA_RBICS_REV_CURRENT(30, LOC, "PORTAGG")&lt;/Q&gt;&lt;R&gt;1&lt;/R&gt;&lt;C&gt;1&lt;/C&gt;&lt;D xsi:type="xsd:double"&gt;17.4105902747196&lt;/D&gt;&lt;/FQL&gt;&lt;FQL&gt;&lt;Q&gt;REFCATARG-FDS^(SUBARRAY(NOT_NA(NO_REPEAT_F(FG_YIELD(NOW,-10AY,D))),0,1)-SUBARRAY(NOT_NA(NO_REPEAT_F(FG_YIELD(NOW,-10AY,D))),1,1))*100&lt;/Q&gt;&lt;R&gt;1&lt;/R&gt;&lt;C&gt;1&lt;/C&gt;&lt;D xsi:type="xsd:double"&gt;-25&lt;/D&gt;&lt;/FQL&gt;&lt;FQL&gt;&lt;Q&gt;TRYJP10Y-FDS^PCTCHG(FG_YIELD(0,,,,"YTM"),FG_YIELD(-1AM,,,,"YTM"))&lt;/Q&gt;&lt;R&gt;1&lt;/R&gt;&lt;C&gt;1&lt;/C&gt;&lt;D xsi:type="xsd:double"&gt;-14.01969&lt;/D&gt;&lt;/FQL&gt;&lt;FQL&gt;&lt;Q&gt;TRYJP10Y-FDS^FG_YIELD(0,,,,"YTM")&lt;/Q&gt;&lt;R&gt;1&lt;/R&gt;&lt;C&gt;1&lt;/C&gt;&lt;D xsi:type="xsd:double"&gt;0.8819&lt;/D&gt;&lt;/FQL&gt;&lt;FQL&gt;&lt;Q&gt;QQQ^FMA_DIV_YLD(NTMA,NOW,NOW,M,"PORTAGG","MEANR")&lt;/Q&gt;&lt;R&gt;1&lt;/R&gt;&lt;C&gt;1&lt;/C&gt;&lt;D xsi:type="xsd:double"&gt;0.851882293139089&lt;/D&gt;&lt;/FQL&gt;&lt;FQL&gt;&lt;Q&gt;EWG^FMA_EVAL_EBIT(LTMA,NOW,NOW,M,"PORTAGG","MEANR")&lt;/Q&gt;&lt;R&gt;1&lt;/R&gt;&lt;C&gt;1&lt;/C&gt;&lt;D xsi:type="xsd:double"&gt;13.5846084637074&lt;/D&gt;&lt;/FQL&gt;&lt;FQL&gt;&lt;Q&gt;ENZL^FMA_DIV_YLD(NTMA,NOW,NOW,M,"PORTAGG","MEANR")&lt;/Q&gt;&lt;R&gt;1&lt;/R&gt;&lt;C&gt;1&lt;/C&gt;&lt;D xsi:type="xsd:double"&gt;2.62513801696002&lt;/D&gt;&lt;/FQL&gt;&lt;FQL&gt;&lt;Q&gt;EWU^FMA_EVAL_EBIT(LTMA,NOW,NOW,M,"PORTAGG","MEANR")&lt;/Q&gt;&lt;R&gt;1&lt;/R&gt;&lt;C&gt;1&lt;/C&gt;&lt;D xsi:type="xsd:double"&gt;10.718382251084&lt;/D&gt;&lt;/FQL&gt;&lt;FQL&gt;&lt;Q&gt;TRYCA10Y-FDS^PCTCHG(FG_YIELD(0,,,,"YTM"),FG_YIELD(-1AM,,,,"YTM"))&lt;/Q&gt;&lt;R&gt;1&lt;/R&gt;&lt;C&gt;1&lt;/C&gt;&lt;D xsi:type="xsd:double"&gt;-8.389097&lt;/D&gt;&lt;/FQL&gt;&lt;FQL&gt;&lt;Q&gt;EWG^FMA_PE(NTMA,0,,,"PORTAGG","MEANR")&lt;/Q&gt;&lt;R&gt;1&lt;/R&gt;&lt;C&gt;1&lt;/C&gt;&lt;D xsi:type="xsd:double"&gt;11.4666036268199&lt;/D&gt;&lt;/FQL&gt;&lt;FQL&gt;&lt;Q&gt;EWC^FG_FCF_YIELD_NTM(0)&lt;/Q&gt;&lt;R&gt;1&lt;/R&gt;&lt;C&gt;1&lt;/C&gt;&lt;D xsi:type="xsd:double"&gt;6.06053285066062&lt;/D&gt;&lt;/FQL&gt;&lt;FQL&gt;&lt;Q&gt;EWJ^FG_FCF_YIELD_NTM(0)&lt;/Q&gt;&lt;R&gt;1&lt;/R&gt;&lt;C&gt;1&lt;/C&gt;&lt;D xsi:type="xsd:double"&gt;4.19363911047175&lt;/D&gt;&lt;/FQL&gt;&lt;FQL&gt;&lt;Q&gt;EWU^FG_TOTAL_RETURNC(0,-12AM)&lt;/Q&gt;&lt;R&gt;1&lt;/R&gt;&lt;C&gt;1&lt;/C&gt;&lt;D xsi:type="xsd:double"&gt;20.142387&lt;/D&gt;&lt;/FQL&gt;&lt;FQL&gt;&lt;Q&gt;ENZL^FG_TOTAL_RETURNC(0,-6AM)&lt;/Q&gt;&lt;R&gt;1&lt;/R&gt;&lt;C&gt;1&lt;/C&gt;&lt;D xsi:type="xsd:double"&gt;6.2650084&lt;/D&gt;&lt;/FQL&gt;&lt;FQL&gt;&lt;Q&gt;EWC^FMA_COS_UP("EPS","1M",+1,0,,,"PORTAGG","MEANR")&lt;/Q&gt;&lt;R&gt;1&lt;/R&gt;&lt;C&gt;1&lt;/C&gt;&lt;D xsi:type="xsd:double"&gt;43&lt;/D&gt;&lt;/FQL&gt;&lt;FQL&gt;&lt;Q&gt;EWJ^FMA_RBICS_REV_CURRENT(30, LOC, "PORTAGG")&lt;/Q&gt;&lt;R&gt;1&lt;/R&gt;&lt;C&gt;1&lt;/C&gt;&lt;D xsi:type="xsd:double"&gt;19.3945730460787&lt;/D&gt;&lt;/FQL&gt;&lt;FQL&gt;&lt;Q&gt;REFCATARG-FDS^PROPER_NAME(0,,,"SECURITY","NAME")&lt;/Q&gt;&lt;R&gt;1&lt;/R&gt;&lt;C&gt;1&lt;/C&gt;&lt;D xsi:type="xsd:string"&gt;Canada Target Rate&lt;/D&gt;&lt;/FQL&gt;&lt;FQL&gt;&lt;Q&gt;TRYJP10Y-FDS^FG_YIELD_NAME&lt;/Q&gt;&lt;R&gt;1&lt;/R&gt;&lt;C&gt;1&lt;/C&gt;&lt;D xsi:type="xsd:string"&gt;Japan Benchmark Bond - 10 Year&lt;/D&gt;&lt;/FQL&gt;&lt;FQL&gt;&lt;Q&gt;VWO^FMA_EVAL_EBITDA(NTMA,0,,,"PORTAGG","MEANR")&lt;/Q&gt;&lt;R&gt;1&lt;/R&gt;&lt;C&gt;1&lt;/C&gt;&lt;D xsi:type="xsd:double"&gt;9.07542359797461&lt;/D&gt;&lt;/FQL&gt;&lt;FQL&gt;&lt;Q&gt;EWN^FMA_EVAL_EBIT(LTMA,NOW,NOW,M,"PORTAGG","MEANR")&lt;/Q&gt;&lt;R&gt;1&lt;/R&gt;&lt;C&gt;1&lt;/C&gt;&lt;D xsi:type="xsd:double"&gt;21.741520738377&lt;/D&gt;&lt;/FQL&gt;&lt;FQL&gt;&lt;Q&gt;QQQ^FMA_PE(NTMA,0,,,"PORTAGG","MEANR")&lt;/Q&gt;&lt;R&gt;1&lt;/R&gt;&lt;C&gt;1&lt;/C&gt;&lt;D xsi:type="xsd:double"&gt;26.4615144898674&lt;/D&gt;&lt;/FQL&gt;&lt;FQL&gt;&lt;Q&gt;ENZL^FMA_PE(NTMA,0,,,"PORTAGG","MEANR")&lt;/Q&gt;&lt;R&gt;1&lt;/R&gt;&lt;C&gt;1&lt;/C&gt;&lt;D xsi:type="xsd:double"&gt;25.8743994410416&lt;/D&gt;&lt;/FQL&gt;&lt;FQL&gt;&lt;Q&gt;TRYDE10Y-FDS^PCTCHG(FG_YIELD(0,,,,"YTM"),FG_YIELD(-3AM,,,,"YTM"))&lt;/Q&gt;&lt;R&gt;1&lt;/R&gt;&lt;C&gt;1&lt;/C&gt;&lt;D xsi:type="xsd:double"&gt;-7.6702237&lt;/D&gt;&lt;/FQL&gt;&lt;FQL&gt;&lt;Q&gt;DBA^FG_TOTAL_RETURNC(0,-6AM)&lt;/Q&gt;&lt;R&gt;1&lt;/R&gt;&lt;C&gt;1&lt;/C&gt;&lt;D xsi:type="xsd:double"&gt;9.958506&lt;/D&gt;&lt;/FQL&gt;&lt;FQL&gt;&lt;Q&gt;TRYCA10Y-FDS^PCTCHG(FG_YIELD(0,,,,"YTM"),FG_YIELD(-3AM,,,,"YTM"))&lt;/Q&gt;&lt;R&gt;1&lt;/R&gt;&lt;C&gt;1&lt;/C&gt;&lt;D xsi:type="xsd:double"&gt;-14.075154&lt;/D&gt;&lt;/FQL&gt;&lt;FQL&gt;&lt;Q&gt;VGK^FMA_EVAL_EBITDA(NTMA,0,,,"PORTAGG","MEANR")&lt;/Q&gt;&lt;R&gt;1&lt;/R&gt;&lt;C&gt;1&lt;/C&gt;&lt;D xsi:type="xsd:double"&gt;8.80440966657383&lt;/D&gt;&lt;/FQL&gt;&lt;FQL&gt;&lt;Q&gt;EWA^FMA_EVAL_EBITDA(NTMA,0,,,"PORTAGG","MEANR")&lt;/Q&gt;&lt;R&gt;1&lt;/R&gt;&lt;C&gt;1&lt;/C&gt;&lt;D xsi:type="xsd:double"&gt;8.62864195217848&lt;/D&gt;&lt;/FQL&gt;&lt;FQL&gt;&lt;Q&gt;TRYUS10Y-FDS^PCTCHG(FG_YIELD(0,,,,"YTM"),FG_YIELD(-1AM,,,,"YTM"))&lt;/Q&gt;&lt;R&gt;1&lt;/R&gt;&lt;C&gt;1&lt;/C&gt;&lt;D xsi:type="xsd:double"&gt;-6.6083736&lt;/D&gt;&lt;/FQL&gt;&lt;FQL&gt;&lt;Q&gt;TRYIT10Y-FDS^FG_YIELD_NAME&lt;/Q&gt;&lt;R&gt;1&lt;/R&gt;&lt;C&gt;1&lt;/C&gt;&lt;D xsi:type="xsd:string"&gt;Italy Benchmark Bond - 10 Year&lt;/D&gt;&lt;/FQL&gt;&lt;FQL&gt;&lt;Q&gt;CAGDPY@DE^EE_ACTUAL_ANNUAL(MED,0)&lt;/Q&gt;&lt;R&gt;1&lt;/R&gt;&lt;C&gt;1&lt;/C&gt;&lt;D xsi:type="xsd:double"&gt;6.04937241486179&lt;/D&gt;&lt;/FQL&gt;&lt;FQL&gt;&lt;Q&gt;EWA^FG_TOTAL_RETURNC(-10AY,0,AM)&lt;/Q&gt;&lt;R&gt;121&lt;/R&gt;&lt;C&gt;1&lt;/C&gt;&lt;D xsi:type="xsd:double"&gt;0.18782616&lt;/D&gt;&lt;D xsi:type="xsd:double"&gt;-3.0746162&lt;/D&gt;&lt;D xsi:type="xsd:double"&gt;-7.2727323&lt;/D&gt;&lt;D xsi:type="xsd:double"&gt;4.2136073&lt;/D&gt;&lt;D xsi:type="xsd:double"&gt;-11.569256&lt;/D&gt;&lt;D xsi:type="xsd:double"&gt;4.324472&lt;/D&gt;&lt;D xsi:type="xsd:double"&gt;4.077065&lt;/D&gt;&lt;D xsi:type="xsd:double"&gt;-1.5927613&lt;/D&gt;&lt;D xsi:type="xsd:double"&gt;3.7620187&lt;/D&gt;&lt;D xsi:type="xsd:double"&gt;-0.08431077&lt;/D&gt;&lt;D xsi:type="xsd:double"&gt;-6.4135017&lt;/D&gt;&lt;D xsi:type="xsd:double"&gt;-2.3329735&lt;/D&gt;&lt;D xsi:type="xsd:double"&gt;-6.0992837&lt;/D&gt;&lt;D xsi:type="xsd:double"&gt;-4.8338413&lt;/D&gt;&lt;D xsi:type="xsd:double"&gt;3.5449743&lt;/D&gt;&lt;D xsi:type="xsd:double"&gt;-6.6898346&lt;/D&gt;&lt;D xsi:type="xsd:double"&gt;2.131343&lt;/D&gt;&lt;D xsi:type="xsd:double"&gt;-10.43539&lt;/D&gt;&lt;D xsi:type="xsd:double"&gt;6.5846086&lt;/D&gt;&lt;D xsi:type="xsd:double"&gt;12.64435&lt;/D&gt;&lt;D xsi:type="xsd:double"&gt;1.8964529&lt;/D&gt;&lt;D xsi:type="xsd:double"&gt;-0.85512996&lt;/D&gt;&lt;D xsi:type="xsd:double"&gt;-3.855902&lt;/D&gt;&lt;D xsi:type="xsd:double"&gt;9.071005&lt;/D&gt;&lt;D xsi:type="xsd:double"&gt;2.9931307&lt;/D&gt;&lt;D xsi:type="xsd:double"&gt;-5.7170033&lt;/D&gt;&lt;D xsi:type="xsd:double"&gt;4.598284&lt;/D&gt;&lt;D xsi:type="xsd:double"&gt;-2.6086986&lt;/D&gt;&lt;D xsi:type="xsd:double"&gt;2.0337343&lt;/D&gt;&lt;D xsi:type="xsd:double"&gt;6.966543&lt;/D&gt;&lt;D xsi:type="xsd:double"&gt;3.966403&lt;/D&gt;&lt;D xsi:type="xsd:double"&gt;0.763011&lt;/D&gt;&lt;D xsi:type="xsd:double"&gt;-0.08909106&lt;/D&gt;&lt;D xsi:type="xsd:double"&gt;-1.8724918&lt;/D&gt;&lt;D xsi:type="xsd:double"&gt;0.6815076&lt;/D&gt;&lt;D xsi:type="xsd:double"&gt;2.6599169&lt;/D&gt;&lt;D xsi:type="xsd:double"&gt;2.3809552&lt;/D&gt;&lt;D xsi:type="xsd:double"&gt;0.4826665&lt;/D&gt;&lt;D xsi:type="xsd:double"&gt;0.3930092&lt;/D&gt;&lt;D xsi:type="xsd:double"&gt;-0.69595575&lt;/D&gt;&lt;D xsi:type="xsd:double"&gt;1.3578653&lt;/D&gt;&lt;D xsi:type="xsd:double"&gt;3.8792133&lt;/D&gt;&lt;D xsi:type="xsd:double"&gt;-2.0460367&lt;/D&gt;&lt;D xsi:type="xsd:double"&gt;-0.9138346&lt;/D&gt;&lt;D xsi:type="xsd:double"&gt;-1.2736082&lt;/D&gt;&lt;D xsi:type="xsd:double"&gt;1.5569448&lt;/D&gt;&lt;D xsi:type="xsd:double"&gt;-1.4892697&lt;/D&gt;&lt;D xsi:type="xsd:double"&gt;2.817285&lt;/D&gt;&lt;D xsi:type="xsd:double"&gt;0.044095516&lt;/D&gt;&lt;D xsi:type="xsd:double"&gt;-3.6579967&lt;/D&gt;&lt;D xsi:type="xsd:double"&gt;-4.162854&lt;/D&gt;&lt;D xsi:type="xsd:double"&gt;0.33413172&lt;/D&gt;&lt;D xsi:type="xsd:double"&gt;-4.662222&lt;/D&gt;&lt;D xsi:type="xsd:double"&gt;5.2586794&lt;/D&gt;&lt;D xsi:type="xsd:double"&gt;3.7912369&lt;/D&gt;&lt;D xsi:type="xsd:double"&gt;1.7552257&lt;/D&gt;&lt;D xsi:type="xsd:double"&gt;2.1911383&lt;/D&gt;&lt;D xsi:type="xsd:double"&gt;-1.5054762&lt;/D&gt;&lt;D xsi:type="xsd:double"&gt;2.8716922&lt;/D&gt;&lt;D xsi:type="xsd:double"&gt;3.329277&lt;/D&gt;&lt;D xsi:type="xsd:double"&gt;-5.602491&lt;/D&gt;&lt;D xsi:type="xsd:double"&gt;5.9350014&lt;/D&gt;&lt;D xsi:type="xsd:double"&gt;-0.7558942&lt;/D&gt;&lt;D xsi:type="xsd:double"&gt;2.1953344&lt;/D&gt;&lt;D xsi:type="xsd:double"&gt;2.0439506&lt;/D&gt;&lt;D xsi:type="xsd:double"&gt;3.155136&lt;/D&gt;&lt;D xsi:type="xsd:double"&gt;-2.081573&lt;/D&gt;&lt;D xsi:type="xsd:double"&gt;-37.180042&lt;/D&gt;&lt;D xsi:type="xsd:double"&gt;13.328732&lt;/D&gt;&lt;D xsi:type="xsd:double"&gt;1.523459&lt;/D&gt;&lt;D xsi:type="xsd:double"&gt;18.05104&lt;/D&gt;&lt;D xsi:type="xsd:double"&gt;2.218783&lt;/D&gt;&lt;D xsi:type="xsd:double"&gt;3.836453&lt;/D&gt;&lt;D xsi:type="xsd:double"&gt;-0.3403008&lt;/D&gt;&lt;D xsi:type="xsd:double"&gt;1.219511&lt;/D&gt;&lt;D xsi:type="xsd:double"&gt;8.5301285&lt;/D&gt;&lt;D xsi:type="xsd:double"&gt;7.341957&lt;/D&gt;&lt;D xsi:type="xsd:double"&gt;2.0025134&lt;/D&gt;&lt;D xsi:type="xsd:double"&gt;3.5991788&lt;/D&gt;&lt;D xsi:type="xsd:double"&gt;-0.59218407&lt;/D&gt;&lt;D xsi:type="xsd:double"&gt;4.2891145&lt;/D&gt;&lt;D xsi:type="xsd:double"&gt;0.91394186&lt;/D&gt;&lt;D xsi:type="xsd:double"&gt;2.8859973&lt;/D&gt;&lt;D xsi:type="xsd:double"&gt;-4.7973213&lt;/D&gt;&lt;D xsi:type="xsd:double"&gt;2.8515577&lt;/D&gt;&lt;D xsi:type="xsd:double"&gt;-1.5571594&lt;/D&gt;&lt;D xsi:type="xsd:double"&gt;0.9259224&lt;/D&gt;&lt;D xsi:type="xsd:double"&gt;-0.84097385&lt;/D&gt;&lt;D xsi:type="xsd:double"&gt;-3.6339521&lt;/D&gt;&lt;D xsi:type="xsd:double"&gt;1.9969702&lt;/D&gt;&lt;D xsi:type="xsd:double"&gt;-0.9756088&lt;/D&gt;&lt;D xsi:type="xsd:double"&gt;3.119874&lt;/D&gt;&lt;D xsi:type="xsd:double"&gt;5.0557256&lt;/D&gt;&lt;D xsi:type="xsd:double"&gt;-10.117472&lt;/D&gt;&lt;D xsi:type="xsd:double"&gt;-7.8235207&lt;/D&gt;&lt;D xsi:type="xsd:double"&gt;-0.5193591&lt;/D&gt;&lt;D xsi:type="xsd:double"&gt;9.634554&lt;/D&gt;&lt;D xsi:type="xsd:double"&gt;-8.0519495&lt;/D&gt;&lt;D xsi:type="xsd:double"&gt;-7.8154445&lt;/D&gt;&lt;D xsi:type="xsd:double"&gt;16.036774&lt;/D&gt;&lt;D xsi:type="xsd:double"&gt;-0.42437315&lt;/D&gt;&lt;D xsi:type="xsd:double"&gt;8.104467&lt;/D&gt;&lt;D xsi:type="xsd:double"&gt;-0.7080376&lt;/D&gt;&lt;D xsi:type="xsd:double"&gt;-7.2986546&lt;/D&gt;&lt;D xsi:type="xsd:double"&gt;6.153846&lt;/D&gt;&lt;D xsi:type="xsd:double"&gt;-3.1116784&lt;/D&gt;&lt;D xsi:type="xsd:double"&gt;4.5797586&lt;/D&gt;&lt;D xsi:type="xsd:double"&gt;-0.12859106&lt;/D&gt;&lt;D xsi:type="xsd:double"&gt;-7.1673813&lt;/D&gt;&lt;D xsi:type="xsd:double"&gt;2.820158&lt;/D&gt;&lt;D xsi:type="xsd:double"&gt;-3.3722997&lt;/D&gt;&lt;D xsi:type="xsd:double"&gt;2.280128&lt;/D&gt;&lt;D xsi:type="xsd:double"&gt;8.416748&lt;/D&gt;&lt;D xsi:type="xsd:double"&gt;-1.0661423&lt;/D&gt;&lt;D xsi:type="xsd:double"&gt;2.7272701&lt;/D&gt;&lt;D xsi:type="xsd:double"&gt;1.2642264&lt;/D&gt;&lt;D xsi:type="xsd:double"&gt;-3.2875597&lt;/D&gt;&lt;D xsi:type="xsd:double"&gt;8.132529&lt;/D&gt;&lt;D xsi:type="xsd:double"&gt;-2.2705197&lt;/D&gt;&lt;D xsi:type="xsd:double"&gt;6.226647&lt;/D&gt;&lt;D xsi:type="xsd:double"&gt;-2.5009751&lt;/D&gt;&lt;/FQL&gt;&lt;FQL&gt;&lt;Q&gt;EWA^FG_PRICE(0)&lt;/Q&gt;&lt;R&gt;1&lt;/R&gt;&lt;C&gt;1&lt;/C&gt;&lt;D xsi:type="xsd:double"&gt;24.95&lt;/D&gt;&lt;/FQL&gt;&lt;FQL&gt;&lt;Q&gt;SPY^P_PRICE(0)/P_PRICE_LOW_PR(0,,,,,,"PRICE","INTRA","52W")-1&lt;/Q&gt;&lt;R&gt;1&lt;/R&gt;&lt;C&gt;1&lt;/C&gt;&lt;D xsi:type="xsd:double"&gt;0.35458565&lt;/D&gt;&lt;/FQL&gt;&lt;FQL&gt;&lt;Q&gt;VGK^FG_TOTAL_RETURNC(0,-12AM)&lt;/Q&gt;&lt;R&gt;1&lt;/R&gt;&lt;C&gt;1&lt;/C&gt;&lt;D xsi:type="xsd:double"&gt;17.651367&lt;/D&gt;&lt;/FQL&gt;&lt;FQL&gt;&lt;Q&gt;EWN^PERCENT_CHANGE(FMA_EPS(+1,0,,,,"PORTAGG","MEAN"),FMA_EPS(+1,-3AM,,,,"PORTAGG","MEAN"))&lt;/Q&gt;&lt;R&gt;1&lt;/R&gt;&lt;C&gt;1&lt;/C&gt;&lt;D xsi:type="xsd:double"&gt;0.109079423660764&lt;/D&gt;&lt;/FQL&gt;&lt;FQL&gt;&lt;Q&gt;EWG^FG_TOTAL_RETURNC(0,-6AM)&lt;/Q&gt;&lt;R&gt;1&lt;/R&gt;&lt;C&gt;1&lt;/C&gt;&lt;D xsi:type="xsd:double"&gt;9.029174&lt;/D&gt;&lt;/FQL&gt;&lt;FQL&gt;&lt;Q&gt;ENZL^FG_TOTAL_RETURNC(0,-3AM)&lt;/Q&gt;&lt;R&gt;1&lt;/R&gt;&lt;C&gt;1&lt;/C&gt;&lt;D xsi:type="xsd:double"&gt;6.4750195&lt;/D&gt;&lt;/FQL&gt;&lt;FQL&gt;&lt;Q&gt;EWD^SIZE(FG_CONSTITUENTS)&lt;/Q&gt;&lt;R&gt;1&lt;/R&gt;&lt;C&gt;1&lt;/C&gt;&lt;D xsi:type="xsd:long"&gt;45&lt;/D&gt;&lt;/FQL&gt;&lt;FQL&gt;&lt;Q&gt;REFAUCASH-FDS^(SUBARRAY(NOT_NA(NO_REPEAT_F(FG_YIELD(NOW,-10AY,D))),0,1)-SUBARRAY(NOT_NA(NO_REPEAT_F(FG_YIELD(NOW,-10AY,D))),1,1))*100&lt;/Q&gt;&lt;R&gt;1&lt;/R&gt;&lt;C&gt;1&lt;/C&gt;&lt;D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xsi:type="xsd:double"&gt;25&lt;/D&gt;&lt;/FQL&gt;&lt;FQL&gt;&lt;Q&gt;EWN^FMA_EVAL_EBITDA(NTMA,0,,,"PORTAGG","MEANR")&lt;/Q&gt;&lt;R&gt;1&lt;/R&gt;&lt;C&gt;1&lt;/C&gt;&lt;D xsi:type="xsd:double"&gt;12.1570529157978&lt;/D&gt;&lt;/FQL&gt;&lt;FQL&gt;&lt;Q&gt;QQQ^FMA_PE(LTM,0,,,"PORTAGG","MEANR")&lt;/Q&gt;&lt;R&gt;1&lt;/R&gt;&lt;C&gt;1&lt;/C&gt;&lt;D xsi:type="xsd:double"&gt;35.0891349259561&lt;/D&gt;&lt;/FQL&gt;&lt;FQL&gt;&lt;Q&gt;EWG^FMA_EVAL_EBITDA(NTMA,0,,,"PORTAGG","MEANR")&lt;/Q&gt;&lt;R&gt;1&lt;/R&gt;&lt;C&gt;1&lt;/C&gt;&lt;D xsi:type="xsd:double"&gt;8.34943586780527&lt;/D&gt;&lt;/FQL&gt;&lt;FQL&gt;&lt;Q&gt;VWO^FG_PE_NTM(0,,,90,0)&lt;/Q&gt;&lt;R&gt;1&lt;/R&gt;&lt;C&gt;1&lt;/C&gt;&lt;D xsi:type="xsd:double"&gt;13.0065338290949&lt;/D&gt;&lt;/FQL&gt;&lt;FQL&gt;&lt;Q&gt;CC_US^IMF_IFS_RCPI_Q(0)&lt;/Q&gt;&lt;R&gt;1&lt;/R&gt;&lt;C&gt;1&lt;/C&gt;&lt;D xsi:type="xsd:double"&gt;3.19889&lt;/D&gt;&lt;/FQL&gt;&lt;FQL&gt;&lt;Q&gt;EWG^FMA_DIV_YLD(NTMA,NOW,NOW,M,"PORTAGG","MEANR")&lt;/Q&gt;&lt;R&gt;1&lt;/R&gt;&lt;C&gt;1&lt;/C&gt;&lt;D xsi:type="xsd:double"&gt;3.40055584457229&lt;/D&gt;&lt;/FQL&gt;&lt;FQL&gt;&lt;Q&gt;DBA^FG_TOTAL_RETURNC(0,-1AM)&lt;/Q&gt;&lt;R&gt;1&lt;/R&gt;&lt;C&gt;1&lt;/C&gt;&lt;D xsi:type="xsd:double"&gt;-0.20920038&lt;/D&gt;&lt;/FQL&gt;&lt;FQL&gt;&lt;Q&gt;EWG^PERCENT_CHANGE(FMA_EPS(+1,0,,,,"PORTAGG","MEAN"),FMA_EPS(+1,-3AM,,,,"PORTAGG","MEAN"))&lt;/Q&gt;&lt;R&gt;1&lt;/R&gt;&lt;C&gt;1&lt;/C&gt;&lt;D xsi:type="xsd:double"&gt;-2.31462052507834&lt;/D&gt;&lt;/FQL&gt;&lt;FQL&gt;&lt;Q&gt;TRYNZ10Y-FDS^FG_YIELD_NAME&lt;/Q&gt;&lt;R&gt;1&lt;/R&gt;&lt;C&gt;1&lt;/C&gt;&lt;D xsi:type="xsd:string"&gt;New Zealand Benchmark Bond - 10 Year&lt;/D&gt;&lt;/FQL&gt;&lt;FQL&gt;&lt;Q&gt;EWI^FMA_EVAL_EBITDA(NTMA,0,,,"PORTAGG","MEANR")&lt;/Q&gt;&lt;R&gt;1&lt;/R&gt;&lt;C&gt;1&lt;/C&gt;&lt;D xsi:type="xsd:double"&gt;6.84759953396108&lt;/D&gt;&lt;/FQL&gt;&lt;FQL&gt;&lt;Q&gt;EWD^FMA_EVAL_EBITDA(NTMA,0,,,"PORTAGG","MEANR")&lt;/Q&gt;&lt;R&gt;1&lt;/R&gt;&lt;C&gt;1&lt;/C&gt;&lt;D xsi:type="xsd:double"&gt;10.6206866548706&lt;/D&gt;&lt;/FQL&gt;&lt;FQL&gt;&lt;Q&gt;NI-FDS^FG_PRICE_CHANGE(0,-3AM)&lt;/Q&gt;&lt;R&gt;1&lt;/R&gt;&lt;C&gt;1&lt;/C&gt;&lt;D xsi:type="xsd:double"&gt;-17.7398500129299&lt;/D&gt;&lt;/FQL&gt;&lt;FQL&gt;&lt;Q&gt;EWI^FG_PRICE_MAVG(0,,,,200)&lt;/Q&gt;&lt;R&gt;1&lt;/R&gt;&lt;C&gt;1&lt;/C&gt;&lt;D xsi:type="xsd:double"&gt;35.5632&lt;/D&gt;&lt;/FQL&gt;&lt;FQL&gt;&lt;Q&gt;EWN^PERCENT_CHANGE(FMA_EPS(+1,0,,,,"PORTAGG","MEAN"),FMA_EPS(+1,-1AM,,,,"PORTAGG","MEAN"))&lt;/Q&gt;&lt;R&gt;1&lt;/R&gt;&lt;C&gt;1&lt;/C&gt;&lt;D xsi:type="xsd:double"&gt;2.74178017246081&lt;/D&gt;&lt;/FQL&gt;&lt;FQL&gt;&lt;Q&gt;EWU^P_PRICE(0)/P_PRICE_LOW_PR(0,,,,,,"PRICE","INTRA","52W")-1&lt;/Q&gt;&lt;R&gt;1&lt;/R&gt;&lt;C&gt;1&lt;/C&gt;&lt;D xsi:type="xsd:double"&gt;0.21068358&lt;/D&gt;&lt;/FQL&gt;&lt;FQL&gt;&lt;Q&gt;ENZL^FG_TOTAL_RETURNC(0,-1AM)&lt;/Q&gt;&lt;R&gt;1&lt;/R&gt;&lt;C&gt;1&lt;/C&gt;&lt;D xsi:type="xsd:double"&gt;2.9304743&lt;/D&gt;&lt;/FQL&gt;&lt;FQL&gt;&lt;Q&gt;EWA^SIZE(FG_CONSTITUENTS)&lt;/Q&gt;&lt;R&gt;1&lt;/R&gt;&lt;C&gt;1&lt;/C&gt;&lt;D xsi:type="xsd:long"&gt;60&lt;/D&gt;&lt;/FQL&gt;&lt;FQL&gt;&lt;Q&gt;EWG^FMA_RBICS_REV_CURRENT(30, LOC, "PORTAGG")&lt;/Q&gt;&lt;R&gt;1&lt;/R&gt;&lt;C&gt;1&lt;/C&gt;&lt;D xsi:type="xsd:double"&gt;22.7047771550907&lt;/D&gt;&lt;/FQL&gt;&lt;FQL&gt;&lt;Q&gt;TRYGB10Y-FDS^FG_YIELD_NAME&lt;/Q&gt;&lt;R&gt;1&lt;/R&gt;&lt;C&gt;1&lt;/C&gt;&lt;D xsi:type="xsd:string"&gt;United Kingdom Benchmark Bond - 10 Year&lt;/D&gt;&lt;/FQL&gt;&lt;FQL&gt;&lt;Q&gt;REFAUCASH-FDS^FG_YIELD(NOW,,,0)&lt;/Q&gt;&lt;R&gt;1&lt;/R&gt;&lt;C&gt;1&lt;/C&gt;&lt;D xsi:type="xsd:double"&gt;4.35&lt;/D&gt;&lt;/FQL&gt;&lt;FQL&gt;&lt;Q&gt;TRYDE10Y-FDS^PCTCHG(FG_YIELD(0,,,,"YTM"),FG_YIELD(-1AM,,,,"YTM"))&lt;/Q&gt;&lt;R&gt;1&lt;/R&gt;&lt;C&gt;1&lt;/C&gt;&lt;D xsi:type="xsd:double"&gt;-7.594425&lt;/D&gt;&lt;/FQL&gt;&lt;FQL&gt;&lt;Q&gt;TRYDE10Y-FDS^FG_YIELD(0,,,,"YTM")&lt;/Q&gt;&lt;R&gt;1&lt;/R&gt;&lt;C&gt;1&lt;/C&gt;&lt;D xsi:type="xsd:double"&gt;2.251&lt;/D&gt;&lt;/FQL&gt;&lt;FQL&gt;&lt;Q&gt;VWO^FG_FCF_YIELD_NTM(0)&lt;/Q&gt;&lt;R&gt;1&lt;/R&gt;&lt;C&gt;1&lt;/C&gt;&lt;D xsi:type="xsd:double"&gt;5.35216303707632&lt;/D&gt;&lt;/FQL&gt;&lt;FQL&gt;&lt;Q&gt;QQQ^JULIAN(FMA_DIV_YLD(NTMA,NOW,NOW,M,"PORTAGG","MEANR").DATES)&lt;/Q&gt;&lt;R&gt;1&lt;/R&gt;&lt;C&gt;1&lt;/C&gt;&lt;D xsi:type="xsd:long"&gt;45504&lt;/D&gt;&lt;/FQL&gt;&lt;FQL&gt;&lt;Q&gt;ENZL^JULIAN(FMA_DIV_YLD(NTMA,NOW,NOW,M,"PORTAGG","MEANR").DATES)&lt;/Q&gt;&lt;R&gt;1&lt;/R&gt;&lt;C&gt;1&lt;/C&gt;&lt;D xsi:type="xsd:long"&gt;45504&lt;/D&gt;&lt;/FQL&gt;&lt;FQL&gt;&lt;Q&gt;DBA^FG_TOTAL_RETURNC(0,-3AM)&lt;/Q&gt;&lt;R&gt;1&lt;/R&gt;&lt;C&gt;1&lt;/C&gt;&lt;D xsi:type="xsd:double"&gt;1.4893651&lt;/D&gt;&lt;/FQL&gt;&lt;FQL&gt;&lt;Q&gt;EWN^FG_FCF_YIELD_NTM(0)&lt;/Q&gt;&lt;R&gt;1&lt;/R&gt;&lt;C&gt;1&lt;/C&gt;&lt;D xsi:type="xsd:double"&gt;4.17820702185231&lt;/D&gt;&lt;/FQL&gt;&lt;FQL&gt;&lt;Q&gt;VWO^JULIAN(FMA_DIV_YLD(NTMA,NOW,NOW,M,"PORTAGG","MEANR").DATES)&lt;/Q&gt;&lt;R&gt;1&lt;/R&gt;&lt;C&gt;1&lt;/C&gt;&lt;D xsi:type="xsd:long"&gt;45471&lt;/D&gt;&lt;/FQL&gt;&lt;FQL&gt;&lt;Q&gt;EWU^FMA_EVAL_EBITDA(NTMA,0,,,"PORTAGG","MEANR")&lt;/Q&gt;&lt;R&gt;1&lt;/R&gt;&lt;C&gt;1&lt;/C&gt;&lt;D xsi:type="xsd:double"&gt;7.54458096919728&lt;/D&gt;&lt;/FQL&gt;&lt;FQL&gt;&lt;Q&gt;TRYNL10Y-FDS^FG_YIELD(0,,,,"YTM")&lt;/Q&gt;&lt;R&gt;1&lt;/R&gt;&lt;C&gt;1&lt;/C&gt;&lt;D xsi:type="xsd:double"&gt;2.541&lt;/D&gt;&lt;/FQL&gt;&lt;FQL&gt;&lt;Q&gt;SPY^FG_TOTAL_RETURNC(0,-6AM)&lt;/Q&gt;&lt;R&gt;1&lt;/R&gt;&lt;C&gt;1&lt;/C&gt;&lt;D xsi:type="xsd:double"&gt;11.677515&lt;/D&gt;&lt;/FQL&gt;&lt;FQL&gt;&lt;Q&gt;ENZL^FG_TOTAL_RETURNC(-10AY,0,AM)&lt;/Q&gt;&lt;R&gt;121&lt;/R&gt;&lt;C&gt;1&lt;/C&gt;&lt;D xsi:type="xsd:double"&gt;-3.050685&lt;/D&gt;&lt;D xsi:type="xsd:double"&gt;-1.2388527&lt;/D&gt;&lt;D xsi:type="xsd:double"&gt;-3.7129939&lt;/D&gt;&lt;D xsi:type="xsd:double"&gt;7.2173&lt;/D&gt;&lt;D xsi:type="xsd:double"&gt;-1.9441128&lt;/D&gt;&lt;D xsi:type="xsd:double"&gt;3.747964&lt;/D&gt;&lt;D xsi:type="xsd:double"&gt;-2.136296&lt;/D&gt;&lt;D xsi:type="xsd:double"&gt;1.4551997&lt;/D&gt;&lt;D xsi:type="xsd:double"&gt;2.498138&lt;/D&gt;&lt;D xsi:type="xsd:double"&gt;-4.0540576&lt;/D&gt;&lt;D xsi:type="xsd:double"&gt;-5.4044247&lt;/D&gt;&lt;D xsi:type="xsd:double"&gt;-7.507902&lt;/D&gt;&lt;D xsi:type="xsd:double"&gt;-1.562959&lt;/D&gt;&lt;D xsi:type="xsd:double"&gt;-2.9358864&lt;/D&gt;&lt;D xsi:type="xsd:double"&gt;9.524691&lt;/D&gt;&lt;D xsi:type="xsd:double"&gt;-1.9895196&lt;/D&gt;&lt;D xsi:type="xsd:double"&gt;6.469238&lt;/D&gt;&lt;D xsi:type="xsd:double"&gt;-5.1719723&lt;/D&gt;&lt;D xsi:type="xsd:double"&gt;1.4337063&lt;/D&gt;&lt;D xsi:type="xsd:double"&gt;11.13019&lt;/D&gt;&lt;D xsi:type="xsd:double"&gt;7.3120475&lt;/D&gt;&lt;D xsi:type="xsd:double"&gt;-0.28790236&lt;/D&gt;&lt;D xsi:type="xsd:double"&gt;3.6094785&lt;/D&gt;&lt;D xsi:type="xsd:double"&gt;4.0738106&lt;/D&gt;&lt;D xsi:type="xsd:double"&gt;4.836154&lt;/D&gt;&lt;D xsi:type="xsd:double"&gt;-0.99158883&lt;/D&gt;&lt;D xsi:type="xsd:double"&gt;-4.7463536&lt;/D&gt;&lt;D xsi:type="xsd:double"&gt;-4.9142895&lt;/D&gt;&lt;D xsi:type="xsd:double"&gt;-2.3798048&lt;/D&gt;&lt;D xsi:type="xsd:double"&gt;6.9192767&lt;/D&gt;&lt;D xsi:type="xsd:double"&gt;2.4779558&lt;/D&gt;&lt;D xsi:type="xsd:double"&gt;-3.2085478&lt;/D&gt;&lt;D xsi:type="xsd:double"&gt;1.6334414&lt;/D&gt;&lt;D xsi:type="xsd:double"&gt;1.6780853&lt;/D&gt;&lt;D xsi:type="xsd:double"&gt;7.7870727&lt;/D&gt;&lt;D xsi:type="xsd:double"&gt;2.6584387&lt;/D&gt;&lt;D xsi:type="xsd:double"&gt;1.0699749&lt;/D&gt;&lt;D xsi:type="xsd:double"&gt;-1.1221647&lt;/D&gt;&lt;D xsi:type="xsd:double"&gt;1.9914389&lt;/D&gt;&lt;D xsi:type="xsd:double"&gt;-5.50074&lt;/D&gt;&lt;D xsi:type="xsd:double"&gt;6.0208917&lt;/D&gt;&lt;D xsi:type="xsd:double"&gt;2.3694277&lt;/D&gt;&lt;D xsi:type="xsd:double"&gt;0.16690493&lt;/D&gt;&lt;D xsi:type="xsd:double"&gt;2.7286053&lt;/D&gt;&lt;D xsi:type="xsd:double"&gt;1.4801264&lt;/D&gt;&lt;D xsi:type="xsd:double"&gt;-4.815185&lt;/D&gt;&lt;D xsi:type="xsd:double"&gt;6.0243487&lt;/D&gt;&lt;D xsi:type="xsd:double"&gt;-3.3696592&lt;/D&gt;&lt;D xsi:type="xsd:double"&gt;-1.7083347&lt;/D&gt;&lt;D xsi:type="xsd:double"&gt;1.8863916&lt;/D&gt;&lt;D xsi:type="xsd:double"&gt;-3.9317667&lt;/D&gt;&lt;D xsi:type="xsd:double"&gt;4.0926814&lt;/D&gt;&lt;D xsi:type="xsd:double"&gt;-2.829206&lt;/D&gt;&lt;D xsi:type="xsd:double"&gt;4.1959405&lt;/D&gt;&lt;D xsi:type="xsd:double"&gt;4.09956&lt;/D&gt;&lt;D xsi:type="xsd:double"&gt;1.5270233&lt;/D&gt;&lt;D xsi:type="xsd:double"&gt;3.4533978&lt;/D&gt;&lt;D xsi:type="xsd:double"&gt;-0.3921628&lt;/D&gt;&lt;D xsi:type="xsd:double"&gt;-1.7284453&lt;/D&gt;&lt;D xsi:type="xsd:double"&gt;7.800555&lt;/D&gt;&lt;D xsi:type="xsd:double"&gt;-4.066986&lt;/D&gt;&lt;D xsi:type="xsd:double"&gt;0.6905794&lt;/D&gt;&lt;D xsi:type="xsd:double"&gt;1.6764998&lt;/D&gt;&lt;D xsi:type="xsd:double"&gt;-0.07494092&lt;/D&gt;&lt;D xsi:type="xsd:double"&gt;5.7889223&lt;/D&gt;&lt;D xsi:type="xsd:double"&gt;5.6299686&lt;/D&gt;&lt;D xsi:type="xsd:double"&gt;-1.9880056&lt;/D&gt;&lt;D xsi:type="xsd:double"&gt;-27.050179&lt;/D&gt;&lt;D xsi:type="xsd:double"&gt;15.124631&lt;/D&gt;&lt;D xsi:type="xsd:double"&gt;2.1861434&lt;/D&gt;&lt;D xsi:type="xsd:double"&gt;10.031486&lt;/D&gt;&lt;D xsi:type="xsd:double"&gt;6.600356&lt;/D&gt;&lt;D xsi:type="xsd:double"&gt;-0.68205595&lt;/D&gt;&lt;D xsi:type="xsd:double"&gt;4.2479277&lt;/D&gt;&lt;D xsi:type="xsd:double"&gt;3.7120104&lt;/D&gt;&lt;D xsi:type="xsd:double"&gt;7.1905494&lt;/D&gt;&lt;D xsi:type="xsd:double"&gt;2.4689436&lt;/D&gt;&lt;D xsi:type="xsd:double"&gt;-0.32998323&lt;/D&gt;&lt;D xsi:type="xsd:double"&gt;-1.7005205&lt;/D&gt;&lt;D xsi:type="xsd:double"&gt;-0.076550245&lt;/D&gt;&lt;D xsi:type="xsd:double"&gt;-1.1950314&lt;/D&gt;&lt;D xsi:type="xsd:double"&gt;-2.418977&lt;/D&gt;&lt;D xsi:type="xsd:double"&gt;-1.4841378&lt;/D&gt;&lt;D xsi:type="xsd:double"&gt;0&lt;/D&gt;&lt;D xsi:type="xsd:double"&gt;-0.52083135&lt;/D&gt;&lt;D xsi:type="xsd:double"&gt;3.534031&lt;/D&gt;&lt;D xsi:type="xsd:double"&gt;-0.31605363&lt;/D&gt;&lt;D xsi:type="xsd:double"&gt;-2.9486358&lt;/D&gt;&lt;D xsi:type="xsd:double"&gt;-4.306179&lt;/D&gt;&lt;D xsi:type="xsd:double"&gt;0.03466606&lt;/D&gt;&lt;D xsi:type="xsd:double"&gt;-6.3929377&lt;/D&gt;&lt;D xsi:type="xsd:double"&gt;2.0544171&lt;/D&gt;&lt;D xsi:type="xsd:double"&gt;-3.6271334&lt;/D&gt;&lt;D xsi:type="xsd:double"&gt;-12.213016&lt;/D&gt;&lt;D xsi:type="xsd:double"&gt;-5.4631233&lt;/D&gt;&lt;D xsi:type="xsd:double"&gt;3.7393928&lt;/D&gt;&lt;D xsi:type="xsd:double"&gt;9.885001&lt;/D&gt;&lt;D xsi:type="xsd:double"&gt;-7.4662867&lt;/D&gt;&lt;D xsi:type="xsd:double"&gt;-13.397127&lt;/D&gt;&lt;D xsi:type="xsd:double"&gt;14.942241&lt;/D&gt;&lt;D xsi:type="xsd:double"&gt;7.0272446&lt;/D&gt;&lt;D xsi:type="xsd:double"&gt;3.6512852&lt;/D&gt;&lt;D xsi:type="xsd:double"&gt;1.108253&lt;/D&gt;&lt;D xsi:type="xsd:double"&gt;-5.1869273&lt;/D&gt;&lt;D xsi:type="xsd:double"&gt;1.7960429&lt;/D&gt;&lt;D xsi:type="xsd:double"&gt;1.5615463&lt;/D&gt;&lt;D xsi:type="xsd:double"&gt;-1.4594734&lt;/D&gt;&lt;D xsi:type="xsd:double"&gt;4.2161226&lt;/D&gt;&lt;D xsi:type="xsd:double"&gt;-9.524745&lt;/D&gt;&lt;D xsi:type="xsd:double"&gt;-4.297805&lt;/D&gt;&lt;D xsi:type="xsd:double"&gt;-0.7257879&lt;/D&gt;&lt;D xsi:type="xsd:double"&gt;1.0738015&lt;/D&gt;&lt;D xsi:type="xsd:double"&gt;6.9846272&lt;/D&gt;&lt;D xsi:type="xsd:double"&gt;0.7653594&lt;/D&gt;&lt;D xsi:type="xsd:double"&gt;-2.333051&lt;/D&gt;&lt;D xsi:type="xsd:double"&gt;-1.1615217&lt;/D&gt;&lt;D xsi:type="xsd:double"&gt;-2.505535&lt;/D&gt;&lt;D xsi:type="xsd:double"&gt;3.5706162&lt;/D&gt;&lt;D xsi:type="xsd:double"&gt;1.1271477&lt;/D&gt;&lt;D xsi:type="xsd:double"&gt;2.2906542&lt;/D&gt;&lt;D xsi:type="xsd:double"&gt;2.9304743&lt;/D&gt;&lt;/FQL&gt;&lt;FQL&gt;&lt;Q&gt;PLATI-FDS^MAX(FG_PRICE(0,-5AY))&lt;/Q&gt;&lt;R&gt;1&lt;/R&gt;&lt;C&gt;1&lt;/C&gt;&lt;D xsi:type="xsd:double"&gt;1272.59&lt;/D&gt;&lt;/FQL&gt;&lt;FQL&gt;&lt;Q&gt;ENZL^FG_PRICE_MAVG(0,,,,200)&lt;/Q&gt;&lt;R&gt;1&lt;/R&gt;&lt;C&gt;1&lt;/C&gt;&lt;D xsi:type="xsd:double"&gt;45.799683&lt;/D&gt;&lt;/FQL&gt;&lt;FQL&gt;&lt;Q&gt;VGK^P_PRICE(0)/P_PRICE_LOW_PR(0,,,,,,"PRICE","INTRA","52W")-1&lt;/Q&gt;&lt;R&gt;1&lt;/R&gt;&lt;C&gt;1&lt;/C&gt;&lt;D xsi:type="xsd:double"&gt;0.24990916&lt;/D&gt;&lt;/FQL&gt;&lt;FQL&gt;&lt;Q&gt;EWG^FG_TOTAL_RETURNC(0,-3AM)&lt;/Q&gt;&lt;R&gt;1&lt;/R&gt;&lt;C&gt;1&lt;/C&gt;&lt;D xsi:type="xsd:double"&gt;-0.54246783&lt;/D&gt;&lt;/FQL&gt;&lt;FQL&gt;&lt;Q&gt;ENZL^PERCENT_CHANGE(FMA_EPS(+1,0,,,,"PORTAGG","MEAN"),FMA_EPS(+1,-1AM,,,,"PORTAGG","MEAN"))&lt;/Q&gt;&lt;R&gt;1&lt;/R&gt;&lt;C&gt;1&lt;/C&gt;&lt;D xsi:type="xsd:double"&gt;-1.88729989760953&lt;/D&gt;&lt;/FQL&gt;&lt;FQL&gt;&lt;Q&gt;EWD^FMA_COS_DOWN("EPS","1M",+1,0,,,"PORTAGG","MEANR")&lt;/Q&gt;&lt;R&gt;1&lt;/R&gt;&lt;C&gt;1&lt;/C&gt;&lt;D xsi:type="xsd:double"&gt;22&lt;/D&gt;&lt;/FQL&gt;&lt;FQL&gt;&lt;Q&gt;EWA^FMA_COS_DOWN("EPS","1M",+1,0,,,"PORTAGG","MEANR")&lt;/Q&gt;&lt;R&gt;1&lt;/R&gt;&lt;C&gt;1&lt;/C&gt;&lt;D xsi:type="xsd:double"&gt;37&lt;/D&gt;&lt;/FQL&gt;&lt;FQL&gt;&lt;Q&gt;REFAUCASH-FDS^PROPER_NAME(0,,,"SECURITY","NAME")&lt;/Q&gt;&lt;R&gt;1&lt;/R&gt;&lt;C&gt;1&lt;/C&gt;&lt;D xsi:type="xsd:string"&gt;Australia Target Cash Rate&lt;/D&gt;&lt;/FQL&gt;&lt;FQL&gt;&lt;Q&gt;EWG^FG_FCF_YIELD_NTM(0)&lt;/Q&gt;&lt;R&gt;1&lt;/R&gt;&lt;C&gt;1&lt;/C&gt;&lt;D xsi:type="xsd:double"&gt;6.07744550026886&lt;/D&gt;&lt;/FQL&gt;&lt;FQL&gt;&lt;Q&gt;REFNZOCR-FDS^FG_YIELD(NOW,,,0)&lt;/Q&gt;&lt;R&gt;1&lt;/R&gt;&lt;C&gt;1&lt;/C&gt;&lt;D xsi:type="xsd:double"&gt;5.25&lt;/D&gt;&lt;/FQL&gt;&lt;FQL&gt;&lt;Q&gt;EWN^FMA_PE(NTMA,0,,,"PORTAGG","MEANR")&lt;/Q&gt;&lt;R&gt;1&lt;/R&gt;&lt;C&gt;1&lt;/C&gt;&lt;D xsi:type="xsd:double"&gt;14.8162664926652&lt;/D&gt;&lt;/FQL&gt;&lt;FQL&gt;&lt;Q&gt;QQQ^P_PRICE(0)/P_PRICE_HIGH_PR(0,,,USD,,,"PRICE","INTRA","52W")&lt;/Q&gt;&lt;R&gt;1&lt;/R&gt;&lt;C&gt;1&lt;/C&gt;&lt;D xsi:type="xsd:double"&gt;0.9434183&lt;/D&gt;&lt;/FQL&gt;&lt;FQL&gt;&lt;Q&gt;CC_JP^IMF_IFS_RCPI_Q(0)&lt;/Q&gt;&lt;R&gt;1&lt;/R&gt;&lt;C&gt;1&lt;/C&gt;&lt;D xsi:type="xsd:double"&gt;2.7266946&lt;/D&gt;&lt;/FQL&gt;&lt;FQL&gt;&lt;Q&gt;TLT^FG_TOTAL_RETURNC(0,-1AM)&lt;/Q&gt;&lt;R&gt;1&lt;/R&gt;&lt;C&gt;1&lt;/C&gt;&lt;D xsi:type="xsd:double"&gt;3.8142562&lt;/D&gt;&lt;/FQL&gt;&lt;FQL&gt;&lt;Q&gt;QQQ^P_PRICE(0)/P_PRICE_HIGH_PR(0,,,,,,"PRICE","INTRA","52W")&lt;/Q&gt;&lt;R&gt;1&lt;/R&gt;&lt;C&gt;1&lt;/C&gt;&lt;D xsi:type="xsd:double"&gt;0.9434183&lt;/D&gt;&lt;/FQL&gt;&lt;FQL&gt;&lt;Q&gt;USDITL^STD(FG_PRICE_CHANGE(0,-3AY,M))&lt;/Q&gt;&lt;R&gt;1&lt;/R&gt;&lt;C&gt;1&lt;/C&gt;&lt;D xsi:type="xsd:double"&gt;2.14381118993651&lt;/D&gt;&lt;/FQL&gt;&lt;FQL&gt;&lt;Q&gt;EWC^FMA_DIV_YLD(NTMA,-10AY,0,AM,"PORTAGG","MEANR")&lt;/Q&gt;&lt;R&gt;121&lt;/R&gt;&lt;C&gt;1&lt;/C&gt;&lt;D xsi:type="xsd:double"&gt;2.79609921799111&lt;/D&gt;&lt;D xsi:type="xsd:double"&gt;2.76239348538444&lt;/D&gt;&lt;D xsi:type="xsd:double"&gt;3.08340408845863&lt;/D&gt;&lt;D xsi:type="xsd:double"&gt;2.92683205402861&lt;/D&gt;&lt;D xsi:type="xsd:double"&gt;3.11738383640913&lt;/D&gt;&lt;D xsi:type="xsd:double"&gt;3.02490215774651&lt;/D&gt;&lt;D xsi:type="xsd:double"&gt;2.83919569314153&lt;/D&gt;&lt;D xsi:type="xsd:double"&gt;2.91859170077337&lt;/D&gt;&lt;D xsi:type="xsd:double"&gt;2.82429623122784&lt;/D&gt;&lt;D xsi:type="xsd:double"&gt;2.87728232371908&lt;/D&gt;&lt;D xsi:type="xsd:double"&gt;2.95456687760276&lt;/D&gt;&lt;D xsi:type="xsd:double"&gt;2.98958903117155&lt;/D&gt;&lt;D xsi:type="xsd:double"&gt;3.06878136022445&lt;/D&gt;&lt;D xsi:type="xsd:double"&gt;3.1831746051834&lt;/D&gt;&lt;D xsi:type="xsd:double"&gt;3.17867320621897&lt;/D&gt;&lt;D xsi:type="xsd:double"&gt;3.32042337011003&lt;/D&gt;&lt;D xsi:type="xsd:double"&gt;3.34242959622342&lt;/D&gt;&lt;D xsi:type="xsd:double"&gt;3.64412404871095&lt;/D&gt;&lt;D xsi:type="xsd:double"&gt;3.40918607746421&lt;/D&gt;&lt;D xsi:type="xsd:double"&gt;3.14668686144517&lt;/D&gt;&lt;D xsi:type="xsd:double"&gt;3.11844869880289&lt;/D&gt;&lt;D xsi:type="xsd:double"&gt;3.06282018647717&lt;/D&gt;&lt;D xsi:type="xsd:double"&gt;3.10583223349568&lt;/D&gt;&lt;D xsi:type="xsd:double"&gt;2.99632552911268&lt;/D&gt;&lt;D xs</t>
        </r>
      </text>
    </comment>
    <comment ref="A14" authorId="0" shapeId="0" xr:uid="{5F311BC4-CAA5-413D-B835-47CC2A4A9D3B}">
      <text>
        <r>
          <rPr>
            <b/>
            <sz val="9"/>
            <color indexed="81"/>
            <rFont val="Tahoma"/>
            <charset val="1"/>
          </rPr>
          <t>i:type="xsd:double"&gt;2.95477815317667&lt;/D&gt;&lt;D xsi:type="xsd:double"&gt;3.00052497913214&lt;/D&gt;&lt;D xsi:type="xsd:double"&gt;2.96368497944282&lt;/D&gt;&lt;D xsi:type="xsd:double"&gt;2.93603428178864&lt;/D&gt;&lt;D xsi:type="xsd:double"&gt;2.8392288205718&lt;/D&gt;&lt;D xsi:type="xsd:double"&gt;2.81112142195296&lt;/D&gt;&lt;D xsi:type="xsd:double"&gt;2.77597129103482&lt;/D&gt;&lt;D xsi:type="xsd:double"&gt;2.89992476917417&lt;/D&gt;&lt;D xsi:type="xsd:double"&gt;2.93663049030182&lt;/D&gt;&lt;D xsi:type="xsd:double"&gt;2.9555150842386&lt;/D&gt;&lt;D xsi:type="xsd:double"&gt;3.03561012837462&lt;/D&gt;&lt;D xsi:type="xsd:double"&gt;3.04078888631953&lt;/D&gt;&lt;D xsi:type="xsd:double"&gt;3.0646313133737&lt;/D&gt;&lt;D xsi:type="xsd:double"&gt;3.07622990165703&lt;/D&gt;&lt;D xsi:type="xsd:double"&gt;2.95227047654868&lt;/D&gt;&lt;D xsi:type="xsd:double"&gt;2.93540322988947&lt;/D&gt;&lt;D xsi:type="xsd:double"&gt;2.92599443589103&lt;/D&gt;&lt;D xsi:type="xsd:double"&gt;2.9003732070453&lt;/D&gt;&lt;D xsi:type="xsd:double"&gt;3.11203558435758&lt;/D&gt;&lt;D xsi:type="xsd:double"&gt;3.10563011661686&lt;/D&gt;&lt;D xsi:type="xsd:double"&gt;3.21518323969989&lt;/D&gt;&lt;D xsi:type="xsd:double"&gt;3.05660653718118&lt;/D&gt;&lt;D xsi:type="xsd:double"&gt;3.05347109642868&lt;/D&gt;&lt;D xsi:type="xsd:double"&gt;3.04201752208602&lt;/D&gt;&lt;D xsi:type="xsd:double"&gt;3.10661324346765&lt;/D&gt;&lt;D xsi:type="xsd:double"&gt;3.18150356099117&lt;/D&gt;&lt;D xsi:type="xsd:double"&gt;3.30484913284995&lt;/D&gt;&lt;D xsi:type="xsd:double"&gt;3.39395448359306&lt;/D&gt;&lt;D xsi:type="xsd:double"&gt;3.52405817682192&lt;/D&gt;&lt;D xsi:type="xsd:double"&gt;3.41507736286724&lt;/D&gt;&lt;D xsi:type="xsd:double"&gt;3.30233583513369&lt;/D&gt;&lt;D xsi:type="xsd:double"&gt;3.2621944306028&lt;/D&gt;&lt;D xsi:type="xsd:double"&gt;3.19040545399894&lt;/D&gt;&lt;D xsi:type="xsd:double"&gt;3.28648922036319&lt;/D&gt;&lt;D xsi:type="xsd:double"&gt;3.33309653485573&lt;/D&gt;&lt;D xsi:type="xsd:double"&gt;3.30845685089084&lt;/D&gt;&lt;D xsi:type="xsd:double"&gt;3.43608433709241&lt;/D&gt;&lt;D xsi:type="xsd:double"&gt;3.30824873857925&lt;/D&gt;&lt;D xsi:type="xsd:double"&gt;3.36710042334026&lt;/D&gt;&lt;D xsi:type="xsd:double"&gt;3.24121717299692&lt;/D&gt;&lt;D xsi:type="xsd:double"&gt;3.25126513666875&lt;/D&gt;&lt;D xsi:type="xsd:double"&gt;3.22387666370772&lt;/D&gt;&lt;D xsi:type="xsd:double"&gt;3.2083159761728&lt;/D&gt;&lt;D xsi:type="xsd:double"&gt;4.68247408410709&lt;/D&gt;&lt;D xsi:type="xsd:double"&gt;4.16542081781605&lt;/D&gt;&lt;D xsi:type="xsd:double"&gt;3.80079386087974&lt;/D&gt;&lt;D xsi:type="xsd:double"&gt;3.54258384324696&lt;/D&gt;&lt;D xsi:type="xsd:double"&gt;3.4390150007181&lt;/D&gt;&lt;D xsi:type="xsd:double"&gt;3.35474142934162&lt;/D&gt;&lt;D xsi:type="xsd:double"&gt;3.40741591314833&lt;/D&gt;&lt;D xsi:type="xsd:double"&gt;3.39720943577472&lt;/D&gt;&lt;D xsi:type="xsd:double"&gt;3.28647843690131&lt;/D&gt;&lt;D xsi:type="xsd:double"&gt;3.10972392077716&lt;/D&gt;&lt;D xsi:type="xsd:double"&gt;3.03471458206327&lt;/D&gt;&lt;D xsi:type="xsd:double"&gt;2.92013441454684&lt;/D&gt;&lt;D xsi:type="xsd:double"&gt;2.83392024738641&lt;/D&gt;&lt;D xsi:type="xsd:double"&gt;2.7377678768976&lt;/D&gt;&lt;D xsi:type="xsd:double"&gt;2.73044371267063&lt;/D&gt;&lt;D xsi:type="xsd:double"&gt;2.55615523465514&lt;/D&gt;&lt;D xsi:type="xsd:double"&gt;2.7423913748421&lt;/D&gt;&lt;D xsi:type="xsd:double"&gt;2.69263084347066&lt;/D&gt;&lt;D xsi:type="xsd:double"&gt;2.75340356594811&lt;/D&gt;&lt;D xsi:type="xsd:double"&gt;2.71414416229898&lt;/D&gt;&lt;D xsi:type="xsd:double"&gt;2.68303500111127&lt;/D&gt;&lt;D xsi:type="xsd:double"&gt;2.84117499254922&lt;/D&gt;&lt;D xsi:type="xsd:double"&gt;2.76472550600423&lt;/D&gt;&lt;D xsi:type="xsd:double"&gt;2.80992272153986&lt;/D&gt;&lt;D xsi:type="xsd:double"&gt;2.84685525552471&lt;/D&gt;&lt;D xsi:type="xsd:double"&gt;2.84438195246633&lt;/D&gt;&lt;D xsi:type="xsd:double"&gt;3.18730420669065&lt;/D&gt;&lt;D xsi:type="xsd:double"&gt;3.39794267757767&lt;/D&gt;&lt;D xsi:type="xsd:double"&gt;3.52693570596011&lt;/D&gt;&lt;D xsi:type="xsd:double"&gt;3.28808219123308&lt;/D&gt;&lt;D xsi:type="xsd:double"&gt;3.45322396694688&lt;/D&gt;&lt;D xsi:type="xsd:double"&gt;3.65889703986375&lt;/D&gt;&lt;D xsi:type="xsd:double"&gt;3.34383375662431&lt;/D&gt;&lt;D xsi:type="xsd:double"&gt;3.46249639683191&lt;/D&gt;&lt;D xsi:type="xsd:double"&gt;3.35626827084282&lt;/D&gt;&lt;D xsi:type="xsd:double"&gt;3.27801063049412&lt;/D&gt;&lt;D xsi:type="xsd:double"&gt;3.46107696683138&lt;/D&gt;&lt;D xsi:type="xsd:double"&gt;3.25414713795405&lt;/D&gt;&lt;D xsi:type="xsd:double"&gt;3.28993769867635&lt;/D&gt;&lt;D xsi:type="xsd:double"&gt;3.2994765641901&lt;/D&gt;&lt;D xsi:type="xsd:double"&gt;3.21671047969568&lt;/D&gt;&lt;D xsi:type="xsd:double"&gt;3.51240976022536&lt;/D&gt;&lt;D xsi:type="xsd:double"&gt;3.43828310067102&lt;/D&gt;&lt;D xsi:type="xsd:double"&gt;3.6265099140433&lt;/D&gt;&lt;D xsi:type="xsd:double"&gt;3.52938933148508&lt;/D&gt;&lt;D xsi:type="xsd:double"&gt;3.43543309169582&lt;/D&gt;&lt;D xsi:type="xsd:double"&gt;3.35574661875121&lt;/D&gt;&lt;D xsi:type="xsd:double"&gt;3.28432229911472&lt;/D&gt;&lt;D xsi:type="xsd:double"&gt;3.15286422142072&lt;/D&gt;&lt;D xsi:type="xsd:double"&gt;3.16751531155384&lt;/D&gt;&lt;D xsi:type="xsd:double"&gt;3.04665532741072&lt;/D&gt;&lt;D xsi:type="xsd:double"&gt;3.37932120633341&lt;/D&gt;&lt;D xsi:type="xsd:double"&gt;3.20629639833084&lt;/D&gt;&lt;D xsi:type="xsd:double"&gt;3.2251372009338&lt;/D&gt;&lt;/FQL&gt;&lt;FQL&gt;&lt;Q&gt;VGK^P_PRICE(0)/P_PRICE_HIGH_PR(0,,,,,,"PRICE","INTRA","52W")&lt;/Q&gt;&lt;R&gt;1&lt;/R&gt;&lt;C&gt;1&lt;/C&gt;&lt;D xsi:type="xsd:double"&gt;0.97375304&lt;/D&gt;&lt;/FQL&gt;&lt;FQL&gt;&lt;Q&gt;EWN^FMA_PCT_ABOVE_MAVG(200,0,,,,"PORTAGG")&lt;/Q&gt;&lt;R&gt;1&lt;/R&gt;&lt;C&gt;1&lt;/C&gt;&lt;D xsi:type="xsd:double"&gt;49.0566037735849&lt;/D&gt;&lt;/FQL&gt;&lt;FQL&gt;&lt;Q&gt;EWU^P_PRICE(0)/P_PRICE_HIGH_PR(0,,,,,,"PRICE","INTRA","52W")&lt;/Q&gt;&lt;R&gt;1&lt;/R&gt;&lt;C&gt;1&lt;/C&gt;&lt;D xsi:type="xsd:double"&gt;0.9925201&lt;/D&gt;&lt;/FQL&gt;&lt;FQL&gt;&lt;Q&gt;EWG^FG_TOTAL_RETURNC(0,-1AM)&lt;/Q&gt;&lt;R&gt;1&lt;/R&gt;&lt;C&gt;1&lt;/C&gt;&lt;D xsi:type="xsd:double"&gt;-0.7271588&lt;/D&gt;&lt;/FQL&gt;&lt;FQL&gt;&lt;Q&gt;EWN^FMA_COS_UP("EPS","1M",+1,0,,,"PORTAGG","MEANR")&lt;/Q&gt;&lt;R&gt;1&lt;/R&gt;&lt;C&gt;1&lt;/C&gt;&lt;D xsi:type="xsd:double"&gt;26&lt;/D&gt;&lt;/FQL&gt;&lt;FQL&gt;&lt;Q&gt;EWC^FMA_RBICS_REV_CURRENT(30, LOC, "PORTAGG")&lt;/Q&gt;&lt;R&gt;1&lt;/R&gt;&lt;C&gt;1&lt;/C&gt;&lt;D xsi:type="xsd:double"&gt;39.9876322956145&lt;/D&gt;&lt;/FQL&gt;&lt;FQL&gt;&lt;Q&gt;TRYCA10Y-FDS^FG_YIELD_NAME&lt;/Q&gt;&lt;R&gt;1&lt;/R&gt;&lt;C&gt;1&lt;/C&gt;&lt;D xsi:type="xsd:string"&gt;Canada Benchmark Bond - 10 Year&lt;/D&gt;&lt;/FQL&gt;&lt;FQL&gt;&lt;Q&gt;REFNZOCR-FDS^(SUBARRAY(NOT_NA(NO_REPEAT_F(FG_YIELD(NOW,-10AY,D))),0,1)-SUBARRAY(NOT_NA(NO_REPEAT_F(FG_YIELD(NOW,-10AY,D))),1,1))*100&lt;/Q&gt;&lt;R&gt;1&lt;/R&gt;&lt;C&gt;1&lt;/C&gt;&lt;D xsi:type="xsd:double"&gt;-25&lt;/D&gt;&lt;/FQL&gt;&lt;FQL&gt;&lt;Q&gt;VGK^P_PRICE(0)/P_PRICE_HIGH_PR(0,,,USD,,,"PRICE","INTRA","52W")&lt;/Q&gt;&lt;R&gt;1&lt;/R&gt;&lt;C&gt;1&lt;/C&gt;&lt;D xsi:type="xsd:double"&gt;0.97375304&lt;/D&gt;&lt;/FQL&gt;&lt;FQL&gt;&lt;Q&gt;EWJ^FMA_EVAL_EBITDA(NTMA,0,,,"PORTAGG","MEANR")&lt;/Q&gt;&lt;R&gt;1&lt;/R&gt;&lt;C&gt;1&lt;/C&gt;&lt;D xsi:type="xsd:double"&gt;9.64827995052018&lt;/D&gt;&lt;/FQL&gt;&lt;FQL&gt;&lt;Q&gt;TRYGB10Y-FDS^PCTCHG(FG_YIELD(0,,,,"YTM"),FG_YIELD(-1AM,,,,"YTM"))&lt;/Q&gt;&lt;R&gt;1&lt;/R&gt;&lt;C&gt;1&lt;/C&gt;&lt;D xsi:type="xsd:double"&gt;-3.8244643&lt;/D&gt;&lt;/FQL&gt;&lt;FQL&gt;&lt;Q&gt;EWD^FG_PRICE(0)&lt;/Q&gt;&lt;R&gt;1&lt;/R&gt;&lt;C&gt;1&lt;/C&gt;&lt;D xsi:type="xsd:double"&gt;40.26&lt;/D&gt;&lt;/FQL&gt;&lt;FQL&gt;&lt;Q&gt;SPY^FG_TOTAL_RETURNC(0,-3AM)&lt;/Q&gt;&lt;R&gt;1&lt;/R&gt;&lt;C&gt;1&lt;/C&gt;&lt;D xsi:type="xsd:double"&gt;5.1846504&lt;/D&gt;&lt;/FQL&gt;&lt;FQL&gt;&lt;Q&gt;EWU^FG_TOTAL_RETURNC(0,-6AM)&lt;/Q&gt;&lt;R&gt;1&lt;/R&gt;&lt;C&gt;1&lt;/C&gt;&lt;D xsi:type="xsd:double"&gt;13.845169&lt;/D&gt;&lt;/FQL&gt;&lt;FQL&gt;&lt;Q&gt;ENZL^FMA_PCT_ABOVE_MAVG(200,0,,,,"PORTAGG")&lt;/Q&gt;&lt;R&gt;1&lt;/R&gt;&lt;C&gt;1&lt;/C&gt;&lt;D xsi:type="xsd:double"&gt;57.1428571428571&lt;/D&gt;&lt;/FQL&gt;&lt;FQL&gt;&lt;Q&gt;EWQ^SIZE(FG_CONSTITUENTS)&lt;/Q&gt;&lt;R&gt;1&lt;/R&gt;&lt;C&gt;1&lt;/C&gt;&lt;D xsi:type="xsd:long"&gt;62&lt;/D&gt;&lt;/FQL&gt;&lt;FQL&gt;&lt;Q&gt;EWA^FMA_COS_UP("EPS","1M",+1,0,,,"PORTAGG","MEANR")&lt;/Q&gt;&lt;R&gt;1&lt;/R&gt;&lt;C&gt;1&lt;/C&gt;&lt;D xsi:type="xsd:double"&gt;18&lt;/D&gt;&lt;/FQL&gt;&lt;FQL&gt;&lt;Q&gt;EWA^FMA_RBICS_REV_CURRENT(30, LOC, "PORTAGG")&lt;/Q&gt;&lt;R&gt;1&lt;/R&gt;&lt;C&gt;1&lt;/C&gt;&lt;D xsi:type="xsd:double"&gt;43.3292251971782&lt;/D&gt;&lt;/FQL&gt;&lt;FQL&gt;&lt;Q&gt;TRYAU10Y-FDS^FG_YIELD_NAME&lt;/Q&gt;&lt;R&gt;1&lt;/R&gt;&lt;C&gt;1&lt;/C&gt;&lt;D xsi:type="xsd:string"&gt;Australia Benchmark Bond - 10 Year&lt;/D&gt;&lt;/FQL&gt;&lt;FQL&gt;&lt;Q&gt;TRYCA10Y-FDS^FG_YIELD(0,,,,"YTM")&lt;/Q&gt;&lt;R&gt;1&lt;/R&gt;&lt;C&gt;1&lt;/C&gt;&lt;D xsi:type="xsd:double"&gt;3.0664&lt;/D&gt;&lt;/FQL&gt;&lt;FQL&gt;&lt;Q&gt;VGK^FMA_EVAL_EBIT(LTMA,NOW,NOW,M,"PORTAGG","MEANR")&lt;/Q&gt;&lt;R&gt;1&lt;/R&gt;&lt;C&gt;1&lt;/C&gt;&lt;D xsi:type="xsd:double"&gt;13.2220871239882&lt;/D&gt;&lt;/FQL&gt;&lt;FQL&gt;&lt;Q&gt;EWN^FMA_DIV_YLD(NTMA,NOW,NOW,M,"PORTAGG","MEANR")&lt;/Q&gt;&lt;R&gt;1&lt;/R&gt;&lt;C&gt;1&lt;/C&gt;&lt;D xsi:type="xsd:double"&gt;2.5472359746539&lt;/D&gt;&lt;/FQL&gt;&lt;FQL&gt;&lt;Q&gt;EWU^FG_FCF_YIELD_NTM(0)&lt;/Q&gt;&lt;R&gt;1&lt;/R&gt;&lt;C&gt;1&lt;/C&gt;&lt;D xsi:type="xsd:double"&gt;6.31110004612834&lt;/D&gt;&lt;/FQL&gt;&lt;FQL&gt;&lt;Q&gt;EWQ^FMA_COS_DOWN("EPS","1M",+1,0,,,"PORTAGG","MEANR")&lt;/Q&gt;&lt;R&gt;1&lt;/R&gt;&lt;C&gt;1&lt;/C&gt;&lt;D xsi:type="xsd:double"&gt;34&lt;/D&gt;&lt;/FQL&gt;&lt;FQL&gt;&lt;Q&gt;EWI^JULIAN(FMA_DIV_YLD(NTMA,NOW,NOW,M,"PORTAGG","MEANR").DATES)&lt;/Q&gt;&lt;R&gt;1&lt;/R&gt;&lt;C&gt;1&lt;/C&gt;&lt;D xsi:type="xsd:long"&gt;45504&lt;/D&gt;&lt;/FQL&gt;&lt;FQL&gt;&lt;Q&gt;PLATI-FDS^FG_PRICE_CHANGE(0,-6AM)&lt;/Q&gt;&lt;R&gt;1&lt;/R&gt;&lt;C&gt;1&lt;/C&gt;&lt;D xsi:type="xsd:double"&gt;5&lt;/D&gt;&lt;/FQL&gt;&lt;FQL&gt;&lt;Q&gt;EWN^FG_PRICE_MAVG(0,,,,200)&lt;/Q&gt;&lt;R&gt;1&lt;/R&gt;&lt;C&gt;1&lt;/C&gt;&lt;D xsi:type="xsd:double"&gt;47.26966&lt;/D&gt;&lt;/FQL&gt;&lt;FQL&gt;&lt;Q&gt;EWQ^FG_TOTAL_RETURNC(0,-12AM)&lt;/Q&gt;&lt;R&gt;1&lt;/R&gt;&lt;C&gt;1&lt;/C&gt;&lt;D xsi:type="xsd:double"&gt;6.930506&lt;/D&gt;&lt;/FQL&gt;&lt;FQL&gt;&lt;Q&gt;EWJ^FMA_EVAL_EBIT(LTMA,NOW,NOW,M,"PORTAGG","MEANR")&lt;/Q&gt;&lt;R&gt;1&lt;/R&gt;&lt;C&gt;1&lt;/C&gt;&lt;D xsi:type="xsd:double"&gt;17.3646110491197&lt;/D&gt;&lt;/FQL&gt;&lt;FQL&gt;&lt;Q&gt;USDANG^STD(FG_PRICE_CHANGE(0,-3AY,M))&lt;/Q&gt;&lt;R&gt;1&lt;/R&gt;&lt;C&gt;1&lt;/C&gt;&lt;D xsi:type="xsd:double"&gt;0.0594600681310969&lt;/D&gt;&lt;/FQL&gt;&lt;FQL&gt;&lt;Q&gt;EWN^FG_PRICE_MAVG(0,,,,60)&lt;/Q&gt;&lt;R&gt;1&lt;/R&gt;&lt;C&gt;1&lt;/C&gt;&lt;D xsi:type="xsd:double"&gt;50.276585&lt;/D&gt;&lt;/FQL&gt;&lt;FQL&gt;&lt;Q&gt;SPY^FG_TOTAL_RETURNC(0,-1AM)&lt;/Q&gt;&lt;R&gt;1&lt;/R&gt;&lt;C&gt;1&lt;/C&gt;&lt;D xsi:type="xsd:double"&gt;-1.8677175&lt;/D&gt;&lt;/FQL&gt;&lt;FQL&gt;&lt;Q&gt;EWQ^FG_TOTAL_RETURNC(0,-3AM)&lt;/Q&gt;&lt;R&gt;1&lt;/R&gt;&lt;C&gt;1&lt;/C&gt;&lt;D xsi:type="xsd:double"&gt;-5.9432387&lt;/D&gt;&lt;/FQL&gt;&lt;FQL&gt;&lt;Q&gt;EWU^FG_TOTAL_RETURNC(0,-3AM)&lt;/Q&gt;&lt;R&gt;1&lt;/R&gt;&lt;C&gt;1&lt;/C&gt;&lt;D xsi:type="xsd:double"&gt;1.4855504&lt;/D&gt;&lt;/FQL&gt;&lt;FQL&gt;&lt;Q&gt;FXI^SIZE(FG_CONSTITUENTS)&lt;/Q&gt;&lt;R&gt;1&lt;/R&gt;&lt;C&gt;1&lt;/C&gt;&lt;D xsi:type="xsd:long"&gt;52&lt;/D&gt;&lt;/FQL&gt;&lt;FQL&gt;&lt;Q&gt;SPY^SIZE(FG_CONSTITUENTS)&lt;/Q&gt;&lt;R&gt;1&lt;/R&gt;&lt;C&gt;1&lt;/C&gt;&lt;D xsi:type="xsd:long"&gt;503&lt;/D&gt;&lt;/FQL&gt;&lt;FQL&gt;&lt;Q&gt;ENZL^SIZE(FG_CONSTITUENTS)&lt;/Q&gt;&lt;R&gt;1&lt;/R&gt;&lt;C&gt;1&lt;/C&gt;&lt;D xsi:type="xsd:long"&gt;14&lt;/D&gt;&lt;/FQL&gt;&lt;FQL&gt;&lt;Q&gt;ENZL^FMA_RBICS_REV_CURRENT(30, LOC, "PORTAGG")&lt;/Q&gt;&lt;R&gt;1&lt;/R&gt;&lt;C&gt;1&lt;/C&gt;&lt;D xsi:type="xsd:double"&gt;14.3368259139163&lt;/D&gt;&lt;/FQL&gt;&lt;FQL&gt;&lt;Q&gt;TRYAU10Y-FDS^PCTCHG(FG_YIELD(0,,,,"YTM"),FG_YIELD(-1AM,,,,"YTM"))&lt;/Q&gt;&lt;R&gt;1&lt;/R&gt;&lt;C&gt;1&lt;/C&gt;&lt;D xsi:type="xsd:double"&gt;-7.596424&lt;/D&gt;&lt;/FQL&gt;&lt;FQL&gt;&lt;Q&gt;VGK^FG_FCF_YIELD_NTM(0)&lt;/Q&gt;&lt;R&gt;1&lt;/R&gt;&lt;C&gt;1&lt;/C&gt;&lt;D xsi:type="xsd:double"&gt;5.31320281987265&lt;/D&gt;&lt;/FQL&gt;&lt;FQL&gt;&lt;Q&gt;EWU^FMA_DIV_YLD(NTMA,NOW,NOW,M,"PORTAGG","MEANR")&lt;/Q&gt;&lt;R&gt;1&lt;/R&gt;&lt;C&gt;1&lt;/C&gt;&lt;D xsi:type="xsd:double"&gt;3.83623131888061&lt;/D&gt;&lt;/FQL&gt;&lt;FQL&gt;&lt;Q&gt;PLATI-FDS^FG_PRICE_CHANGE(0,-3AM)&lt;/Q&gt;&lt;R&gt;1&lt;/R&gt;&lt;C&gt;1&lt;/C&gt;&lt;D xsi:type="xsd:double"&gt;-11.3508442776735&lt;/D&gt;&lt;/FQL&gt;&lt;FQL&gt;&lt;Q&gt;EWQ^FG_PRICE_MAVG(0,,,,200)&lt;/Q&gt;&lt;R&gt;1&lt;/R&gt;&lt;C&gt;1&lt;/C&gt;&lt;D xsi:type="xsd:double"&gt;39.229027&lt;/D&gt;&lt;/FQL&gt;&lt;FQL&gt;&lt;Q&gt;VGK^FMA_PCT_ABOVE_MAVG(200,0,,,,"PORTAGG")&lt;/Q&gt;&lt;R&gt;1&lt;/R&gt;&lt;C&gt;1&lt;/C&gt;&lt;D xsi:type="xsd:double"&gt;60.1114649681529&lt;/D&gt;&lt;/FQL&gt;&lt;FQL&gt;&lt;Q&gt;EWQ^FG_TOTAL_RETURNC(0,-1AM)&lt;/Q&gt;&lt;R&gt;1&lt;/R&gt;&lt;C&gt;1&lt;/C&gt;&lt;D xsi:type="xsd:double"&gt;-0.5638182&lt;/D&gt;&lt;/FQL&gt;&lt;FQL&gt;&lt;Q&gt;EWG^PERCENT_CHANGE(FMA_EPS(+1,0,,,,"PORTAGG","MEAN"),FMA_EPS(+1,-1AM,,,,"PORTAGG","MEAN"))&lt;/Q&gt;&lt;R&gt;1&lt;/R&gt;&lt;C&gt;1&lt;/C&gt;&lt;D xsi:type="xsd:double"&gt;-0.234023240039739&lt;/D&gt;&lt;/FQL&gt;&lt;FQL&gt;&lt;Q&gt;FXI^FMA_COS_DOWN("EPS","1M",+1,0,,,"PORTAGG","MEANR")&lt;/Q&gt;&lt;R&gt;1&lt;/R&gt;&lt;C&gt;1&lt;/C&gt;&lt;D xsi:type="xsd:double"&gt;26&lt;/D&gt;&lt;/FQL&gt;&lt;FQL&gt;&lt;Q&gt;ENZL^FMA_COS_UP("EPS","1M",+1,0,,,"PORTAGG","MEANR")&lt;/Q&gt;&lt;R&gt;1&lt;/R&gt;&lt;C&gt;1&lt;/C&gt;&lt;D xsi:type="xsd:double"&gt;4&lt;/D&gt;&lt;/FQL&gt;&lt;FQL&gt;&lt;Q&gt;REFNZOCR-FDS^PROPER_NAME(0,,,"SECURITY","NAME")&lt;/Q&gt;&lt;R&gt;1&lt;/R&gt;&lt;C&gt;1&lt;/C&gt;&lt;D xsi:type="xsd:string"&gt;New Zealand Official Cash Rate&lt;/D&gt;&lt;/FQL&gt;&lt;FQL&gt;&lt;Q&gt;TRYNZ10Y-FDS^PCTCHG(FG_YIELD(0,,,,"YTM"),FG_YIELD(-1AM,,,,"YTM"))&lt;/Q&gt;&lt;R&gt;1&lt;/R&gt;&lt;C&gt;1&lt;/C&gt;&lt;D xsi:type="xsd:double"&gt;-5.553009&lt;/D&gt;&lt;/FQL&gt;&lt;FQL&gt;&lt;Q&gt;VGK^FMA_DIV_YLD(NTMA,NOW,NOW,M,"PORTAGG","MEANR")&lt;/Q&gt;&lt;R&gt;1&lt;/R&gt;&lt;C&gt;1&lt;/C&gt;&lt;D xsi:type="xsd:double"&gt;3.52165449967514&lt;/D&gt;&lt;/FQL&gt;&lt;FQL&gt;&lt;Q&gt;EWN^FMA_PE(LTM,0,,,"PORTAGG","MEANR")&lt;/Q&gt;&lt;R&gt;1&lt;/R&gt;&lt;C&gt;1&lt;/C&gt;&lt;D xsi:type="xsd:double"&gt;21.4259854607037&lt;/D&gt;&lt;/FQL&gt;&lt;FQL&gt;&lt;Q&gt;EWG^FMA_PE(LTM,0,,,"PORTAGG","MEANR")&lt;/Q&gt;&lt;R&gt;1&lt;/R&gt;&lt;C&gt;1&lt;/C&gt;&lt;D xsi:type="xsd:double"&gt;14.5431532300279&lt;/D&gt;&lt;/FQL&gt;&lt;FQL&gt;&lt;Q&gt;EWC^FMA_EVAL_EBIT(LTMA,NOW,NOW,M,"PORTAGG","MEANR")&lt;/Q&gt;&lt;R&gt;1&lt;/R&gt;&lt;C&gt;1&lt;/C&gt;&lt;D xsi:type="xsd:double"&gt;16.1864141181083&lt;/D&gt;&lt;/FQL&gt;&lt;FQL&gt;&lt;Q&gt;EWU^FMA_COS_DOWN("EPS","1M",+1,0,,,"PORTAGG","MEANR")&lt;/Q&gt;&lt;R&gt;1&lt;/R&gt;&lt;C&gt;1&lt;/C&gt;&lt;D xsi:type="xsd:double"&gt;41&lt;/D&gt;&lt;/FQL&gt;&lt;FQL&gt;&lt;Q&gt;EWA^FMA_PE(NTMA,0,,,"PORTAGG","MEANR")&lt;/Q&gt;&lt;R&gt;1&lt;/R&gt;&lt;C&gt;1&lt;/C&gt;&lt;D xsi:type="xsd:double"&gt;17.1036307265672&lt;/D&gt;&lt;/FQL&gt;&lt;FQL&gt;&lt;Q&gt;EWI^FMA_PE(NTMA,-10AY,0,AM,"PORTAGG","MEANR")&lt;/Q&gt;&lt;R&gt;121&lt;/R&gt;&lt;C&gt;1&lt;/C&gt;&lt;D xsi:type="xsd:double"&gt;13.0386173985438&lt;/D&gt;&lt;D xsi:type="xsd:double"&gt;13.8288748823898&lt;/D&gt;&lt;D xsi:type="xsd:double"&gt;11.8026050763357&lt;/D&gt;&lt;D xsi:type="xsd:double"&gt;12.566323629492&lt;/D&gt;&lt;D xsi:type="xsd:double"&gt;12.249040374154&lt;/D&gt;&lt;D xsi:type="xsd:double"&gt;12.9713912814776&lt;/D&gt;&lt;D xsi:type="xsd:double"&gt;14.62394735332&lt;/D&gt;&lt;D xsi:type="xsd:double"&gt;15.6682586347601&lt;/D&gt;&lt;D xsi:type="xsd:double"&gt;16.0604617587713&lt;/D&gt;&lt;D xsi:type="xsd:double"&gt;15.8818995502097&lt;/D&gt;&lt;D xsi:type="xsd:double"&gt;14.8238715000992&lt;/D&gt;&lt;D xsi:type="xsd:double"&gt;15.5350965615758&lt;/D&gt;&lt;D xsi:type="xsd:double"&gt;15.2929084118395&lt;/D&gt;&lt;D xsi:type="xsd:double"&gt;14.5294884754056&lt;/D&gt;&lt;D xsi:type="xsd:double"&gt;14.6660591370084&lt;/D&gt;&lt;D xsi:type="xsd:double"&gt;14.4954400382812&lt;/D&gt;&lt;D xsi:type="xsd:double"&gt;14.0255686341448&lt;/D&gt;&lt;D xsi:type="xsd:double"&gt;12.9375630811572&lt;/D&gt;&lt;D xsi:type="xsd:double"&gt;12.1784656474047&lt;/D&gt;&lt;D xsi:type="xsd:double"&gt;13.5582936736588&lt;/D&gt;&lt;D xsi:type="xsd:double"&gt;13.2821762419877&lt;/D&gt;&lt;D xsi:type="xsd:double"&gt;13.5545697080891&lt;/D&gt;&lt;D xsi:type="xsd:double"&gt;11.9356926695756&lt;/D&gt;&lt;D xsi:type="xsd:double"&gt;12.3935258935753&lt;/D&gt;&lt;D xsi:type="xsd:double"&gt;12.5803707719184&lt;/D&gt;&lt;D xsi:type="xsd:double"&gt;11.6759630743512&lt;/D&gt;&lt;D xsi:type="xsd:double"&gt;11.7829982941884&lt;/D&gt;&lt;D xsi:type="xsd:double"&gt;11.6351652550286&lt;/D&gt;&lt;D xsi:type="xsd:double"&gt;13.4700170878655&lt;/D&gt;&lt;D xsi:type="xsd:double"&gt;13.4553553952506&lt;/D&gt;&lt;D xsi:type="xsd:double"&gt;13.1637717816934&lt;/D&gt;&lt;D xsi:type="xsd:double"&gt;13.5295350513745&lt;/D&gt;&lt;D xsi:type="xsd:double"&gt;12.9901808620348&lt;/D&gt;&lt;D xsi:type="xsd:double"&gt;13.9697669882837&lt;/D&gt;&lt;D xsi:type="xsd:double"&gt;13.356857243235&lt;/D&gt;&lt;D xsi:type="xsd:double"&gt;13.5759248046259&lt;/D&gt;&lt;D xsi:type="xsd:double"&gt;13.4615028725006&lt;/D&gt;&lt;D xsi:type="xsd:double"&gt;13.4115433631384&lt;/D&gt;&lt;D xsi:type="xsd:double"&gt;13.5215260899196&lt;/D&gt;&lt;D xsi:type="xsd:double"&gt;13.1950811247301&lt;/D&gt;&lt;D xsi:type="xsd:double"&gt;13.2084720865987&lt;/D&gt;&lt;D xsi:type="xsd:double"&gt;13.6383878956964&lt;/D&gt;&lt;D xsi:type="xsd:double"&gt;12.7056101915544&lt;/D&gt;&lt;D xsi:type="xsd:double"&gt;12.70020595427&lt;/D&gt;&lt;D xsi:type="xsd:double"&gt;12.820069939293&lt;/D&gt;&lt;D xsi:type="xsd:double"&gt;12.6182971541364&lt;/D&gt;&lt;D xsi:type="xsd:double"&gt;11.6888328349106&lt;/D&gt;&lt;D xsi:type="xsd:double"&gt;11.3800393884653&lt;/D&gt;&lt;D xsi:type="xsd:double"&gt;10.7526949408193&lt;/D&gt;&lt;D xsi:type="xsd:double"&gt;10.7260255709366&lt;/D&gt;&lt;D xsi:type="xsd:double"&gt;10.1129146886518&lt;/D&gt;&lt;D xsi:type="xsd:double"&gt;9.58884661010097&lt;/D&gt;&lt;D xsi:type="xsd:double"&gt;9.49309686499545&lt;/D&gt;&lt;D xsi:type="xsd:double"&gt;9.7788904758192&lt;/D&gt;&lt;D xsi:type="xsd:double"&gt;10.3589539345726&lt;/D&gt;&lt;D xsi:type="xsd:double"&gt;10.6705866578494&lt;/D&gt;&lt;D xsi:type="xsd:double"&gt;10.9123608085454&lt;/D&gt;&lt;D xsi:type="xsd:double"&gt;10.4757576119529&lt;/D&gt;&lt;D xsi:type="xsd:double"&gt;10.1996098077383&lt;/D&gt;&lt;D xsi:type="xsd:double"&gt;10.9488944485688&lt;/D&gt;&lt;D xsi:type="xsd:double"&gt;10.0166494519419&lt;/D&gt;&lt;D xsi:type="xsd:double"&gt;10.7808121515061&lt;/D&gt;&lt;D xsi:type="xsd:double"&gt;10.9598586537165&lt;/D&gt;&lt;D xsi:type="xsd:double"&gt;11.3768361901244&lt;/D&gt;&lt;D xsi:type="xsd:double"&gt;11.4254642087284&lt;/D&gt;&lt;D xsi:type="xsd:double"&gt;11.5660982154679&lt;/D&gt;&lt;D xsi:type="xsd:double"&gt;11.8433227288521&lt;/D&gt;&lt;D xsi:type="xsd:double"&gt;7.52269483186945&lt;/D&gt;&lt;D xsi:type="xsd:double"&gt;10.8702328629536&lt;/D&gt;&lt;D xsi:type="xsd:double"&gt;14.359446378954&lt;/D&gt;&lt;D xsi:type="xsd:double"&gt;17.5495759585547&lt;/D&gt;&lt;D xsi:type="xsd:double"&gt;17.8235612613643&lt;/D&gt;&lt;D xsi:type="xsd:double"&gt;16.5140518104341&lt;/D&gt;&lt;D xsi:type="xsd:double"&gt;15.6931504244766&lt;/D&gt;&lt;D xsi:type="xsd:double"&gt;14.6175666502017&lt;/D&gt;&lt;D xsi:type="xsd:double"&gt;14.9477193752262&lt;/D&gt;&lt;D xsi:type="xsd:double"&gt;14.8996712126463&lt;/D&gt;&lt;D xsi:type="xsd:double"&gt;14.5483480324116&lt;/D&gt;&lt;D xsi:type="xsd:double"&gt;14.2941496463946&lt;/D&gt;&lt;D xsi:type="xsd:double"&gt;14.0694540996466&lt;/D&gt;&lt;D xsi:type="xsd:double"&gt;13.9800235170131&lt;/D&gt;&lt;D xsi:type="xsd:double"&gt;13.3196482716872&lt;/D&gt;&lt;D xsi:type="xsd:double"&gt;13.8269266040926&lt;/D&gt;&lt;D xsi:type="xsd:double"&gt;12.968662598616&lt;/D&gt;&lt;D xsi:type="xsd:double"&gt;12.3284068247208&lt;/D&gt;&lt;D xsi:type="xsd:double"&gt;11.7037795137397&lt;/D&gt;&lt;D xsi:type="xsd:double"&gt;11.7498462835517&lt;/D&gt;&lt;D xsi:type="xsd:double"&gt;11.8294821835114&lt;/D&gt;&lt;D xsi:type="xsd:double"&gt;10.8967312024627&lt;/D&gt;&lt;D xsi:type="xsd:double"&gt;11.077434246242&lt;/D&gt;&lt;D xsi:type="xsd:double"&gt;10.654279510034&lt;/D&gt;&lt;D xsi:type="xsd:double"&gt;9.60777046456629&lt;/D&gt;&lt;D xsi:type="xsd:double"&gt;9.73310447423821&lt;/D&gt;&lt;D xsi:type="xsd:double"&gt;9.16572929612224&lt;/D&gt;&lt;D xsi:type="xsd:double"&gt;7.87310050970064&lt;/D&gt;&lt;D xsi:type="xsd:double"&gt;7.47688408055032&lt;/D&gt;&lt;D xsi:type="xsd:double"&gt;7.75452787278004&lt;/D&gt;&lt;D xsi:type="xsd:double"&gt;7.68022288790052&lt;/D&gt;&lt;D xsi:type="xsd:double"&gt;7.30226109134474&lt;/D&gt;&lt;D xsi:type="xsd:double"&gt;8.29964472312996&lt;/D&gt;&lt;D xsi:type="xsd:double"&gt;7.59605159606092&lt;/D&gt;&lt;D xsi:type="xsd:double"&gt;8.21542692016361&lt;/D&gt;&lt;D xsi:type="xsd:double"&gt;8.52435591878545&lt;/D&gt;&lt;D xsi:type="xsd:double"&gt;8.10937577142377&lt;/D&gt;&lt;D xsi:type="xsd:double"&gt;8.77301863021218&lt;/D&gt;&lt;D xsi:type="xsd:double"&gt;8.31279980770768&lt;/D&gt;&lt;D xsi:type="xsd:double"&gt;8.79828247641717&lt;/D&gt;&lt;D xsi:type="xsd:double"&gt;8.82770551554842&lt;/D&gt;&lt;D xsi:type="xsd:double"&gt;8.22617090814103&lt;/D&gt;&lt;D xsi:type="xsd:double"&gt;8.49895664906106&lt;/D&gt;&lt;D xsi:type="xsd:double"&gt;8.19883240721131&lt;/D&gt;&lt;D xsi:type="xsd:double"&gt;8.23393902382804&lt;/D&gt;&lt;D xsi:type="xsd:double"&gt;8.8535870516537&lt;/D&gt;&lt;D xsi:type="xsd:double"&gt;8.97596431120255&lt;/D&gt;&lt;D xsi:type="xsd:double"&gt;9.00212194058697&lt;/D&gt;&lt;D xsi:type="xsd:double"&gt;9.62361714977697&lt;/D&gt;&lt;D xsi:type="xsd:double"&gt;9.43669904348398&lt;/D&gt;&lt;D xsi:type="xsd:double"&gt;9.95382953658455&lt;/D&gt;&lt;D xsi:type="xsd:double"&gt;9.21599240583638&lt;/D&gt;&lt;D xsi:type="xsd:double"&gt;9.67060798713912&lt;/D&gt;&lt;D xsi:type="xsd:double"&gt;9.35971715863598&lt;/D&gt;&lt;/FQL&gt;&lt;FQL&gt;&lt;Q&gt;SPY^PERCENT_CHANGE(FMA_EPS(+1,0,,,,"PORTAGG","MEAN"),FMA_EPS(+1,-1AM,,,,"PORTAGG","MEAN"))&lt;/Q&gt;&lt;R&gt;1&lt;/R&gt;&lt;C&gt;1&lt;/C&gt;&lt;D xsi:type="xsd:double"&gt;-0.301641300615054&lt;/D&gt;&lt;/FQL&gt;&lt;FQL&gt;&lt;Q&gt;EWI^FG_TOTAL_RETURNC(0,-12AM)&lt;/Q&gt;&lt;R&gt;1&lt;/R&gt;&lt;C&gt;1&lt;/C&gt;&lt;D xsi:type="xsd:double"&gt;23.0484&lt;/D&gt;&lt;/FQL&gt;&lt;FQL&gt;&lt;Q&gt;EWQ^PERCENT_CHANGE(FMA_EPS(+1,0,,,,"PORTAGG","MEAN"),FMA_EPS(+1,-3AM,,,,"PORTAGG","MEAN"))&lt;/Q&gt;&lt;R&gt;1&lt;/R&gt;&lt;C&gt;1&lt;/C&gt;&lt;D xsi:type="xsd:double"&gt;-2.85826662388115&lt;/D&gt;&lt;/FQL&gt;&lt;FQL&gt;&lt;Q&gt;EWU^FG_TOTAL_RETURNC(0,-1AM)&lt;/Q&gt;&lt;R&gt;1&lt;/R&gt;&lt;C&gt;1&lt;/C&gt;&lt;D xsi:type="xsd:double"&gt;1.8704653&lt;/D&gt;&lt;/FQL&gt;&lt;FQL&gt;&lt;Q&gt;EWG^FMA_PCT_ABOVE_MAVG(200,0,,,,"PORTAGG")&lt;/Q&gt;&lt;R&gt;1&lt;/R&gt;&lt;C&gt;1&lt;/C&gt;&lt;D xsi:type="xsd:double"&gt;44.8275862068966&lt;/D&gt;&lt;/FQL&gt;&lt;FQL&gt;&lt;Q&gt;SPY^FMA_COS_DOWN("EPS","1M",+1,0,,,"PORTAGG","MEANR")&lt;/Q&gt;&lt;R&gt;1&lt;/R&gt;&lt;C&gt;1&lt;/C&gt;&lt;D xsi:type="xsd:double"&gt;188&lt;/D&gt;&lt;/FQL&gt;&lt;FQL&gt;&lt;Q&gt;EWI^FG_ROE(0)&lt;/Q&gt;&lt;R&gt;1&lt;/R&gt;&lt;C&gt;1&lt;/C&gt;&lt;D xsi:type="xsd:double"&gt;12.8099556964093&lt;/D&gt;&lt;/FQL&gt;&lt;FQL&gt;&lt;Q&gt;TRYIT10Y-FDS^PCTCHG(FG_YIELD(0,,,,"YTM"),FG_YIELD(-3AM,,,,"YTM"))&lt;/Q&gt;&lt;R&gt;1&lt;/R&gt;&lt;C&gt;1&lt;/C&gt;&lt;D xsi:type="xsd:double"&gt;-1.9433205&lt;/D&gt;&lt;/FQL&gt;&lt;FQL&gt;&lt;Q&gt;TRYAU10Y-FDS^FG_YIELD(0,,,,"YTM")&lt;/Q&gt;&lt;R&gt;1&lt;/R&gt;&lt;C&gt;1&lt;/C&gt;&lt;D xsi:type="xsd:double"&gt;3.929&lt;/D&gt;&lt;/FQL&gt;&lt;FQL&gt;&lt;Q&gt;EWU^FMA_PE(NTMA,0,,,"PORTAGG","MEANR")&lt;/Q&gt;&lt;R&gt;1&lt;/R&gt;&lt;C&gt;1&lt;/C&gt;&lt;D xsi:type="xsd:double"&gt;11.5414386627185&lt;/D&gt;&lt;/FQL&gt;&lt;FQL&gt;&lt;Q&gt;EWI^P_PRICE(0)/P_PRICE_LOW_PR(0,,,,,,"PRICE","INTRA","52W")-1&lt;/Q&gt;&lt;R&gt;1&lt;/R&gt;&lt;C&gt;1&lt;/C&gt;&lt;D xsi:type="xsd:double"&gt;0.28244007&lt;/D&gt;&lt;/FQL&gt;&lt;FQL&gt;&lt;Q&gt;EWL^FG_TOTAL_RETURNC(0,-12AM)&lt;/Q&gt;&lt;R&gt;1&lt;/R&gt;&lt;C&gt;1&lt;/C&gt;&lt;D xsi:type="xsd:double"&gt;13.675821&lt;/D&gt;&lt;/FQL&gt;&lt;FQL&gt;&lt;Q&gt;FXI^FMA_COS_UP("EPS","1M",+1,0,,,"PORTAGG","MEANR")&lt;/Q&gt;&lt;R&gt;1&lt;/R&gt;&lt;C&gt;1&lt;/C&gt;&lt;D xsi:type="xsd:double"&gt;20&lt;/D&gt;&lt;/FQL&gt;&lt;FQL&gt;&lt;Q&gt;EWD^FG_ROE(0)&lt;/Q&gt;&lt;R&gt;1&lt;/R&gt;&lt;C&gt;1&lt;/C&gt;&lt;D xsi:type="xsd:double"&gt;17.0212977245008&lt;/D&gt;&lt;/FQL&gt;&lt;FQL&gt;&lt;Q&gt;VGK^FG_PE_NTM(0,,,90,0)&lt;/Q&gt;&lt;R&gt;1&lt;/R&gt;&lt;C&gt;1&lt;/C&gt;&lt;D xsi:type="xsd:double"&gt;13.1801804676669&lt;/D&gt;&lt;/FQL&gt;&lt;FQL&gt;&lt;Q&gt;EWN^JULIAN(FMA_DIV_YLD(NTMA,NOW,NOW,M,"PORTAGG","MEANR").DATES)&lt;/Q&gt;&lt;R&gt;1&lt;/R&gt;&lt;C&gt;1&lt;/C&gt;&lt;D xsi:type="xsd:long"&gt;45504&lt;/D&gt;&lt;/FQL&gt;&lt;FQL&gt;&lt;Q&gt;EWU^FMA_PE(LTM,0,,,"PORTAGG","MEANR")&lt;/Q&gt;&lt;R&gt;1&lt;/R&gt;&lt;C&gt;1&lt;/C&gt;&lt;D xsi:type="xsd:double"&gt;13.7985240976146&lt;/D&gt;&lt;/FQL&gt;&lt;FQL&gt;&lt;Q&gt;EWC^FMA_EVAL_EBITDA(NTMA,0,,,"PORTAGG","MEANR")&lt;/Q&gt;&lt;R&gt;1&lt;/R&gt;&lt;C&gt;1&lt;/C&gt;&lt;D xsi:type="xsd:double"&gt;9.77188247658788&lt;/D&gt;&lt;/FQL&gt;&lt;FQL&gt;&lt;Q&gt;EWJ^P_PRICE(0)/P_PRICE_HIGH_PR(0,,,USD,,,"PRICE","INTRA","52W")&lt;/Q&gt;&lt;R&gt;1&lt;/R&gt;&lt;C&gt;1&lt;/C&gt;&lt;D xsi:type="xsd:double"&gt;0.9626032&lt;/D&gt;&lt;/FQL&gt;&lt;FQL&gt;&lt;Q&gt;UUP^P_PRICE(0)/P_PRICE_HIGH_PR(0,,,USD,,,"PRICE","INTRA","52W")&lt;/Q&gt;&lt;R&gt;1&lt;/R&gt;&lt;C&gt;1&lt;/C&gt;&lt;D xsi:type="xsd:double"&gt;0.94181997&lt;/D&gt;&lt;/FQL&gt;&lt;FQL&gt;&lt;Q&gt;EWQ^FMA_EVAL_EBITDA(NTMA,0,,,"PORTAGG","MEANR")&lt;/Q&gt;&lt;R&gt;1&lt;/R&gt;&lt;C&gt;1&lt;/C&gt;&lt;D xsi:type="xsd:double"&gt;8.92100961878888&lt;/D&gt;&lt;/FQL&gt;&lt;FQL&gt;&lt;Q&gt;UUP^FG_TOTAL_RETURNC(0,-6AM)&lt;/Q&gt;&lt;R&gt;1&lt;/R&gt;&lt;C&gt;1&lt;/C&gt;&lt;D xsi:type="xsd:double"&gt;1.1391997&lt;/D&gt;&lt;/FQL&gt;&lt;FQL&gt;&lt;Q&gt;EWC^FG_ROE(0)&lt;/Q&gt;&lt;R&gt;1&lt;/R&gt;&lt;C&gt;1&lt;/C&gt;&lt;D xsi:type="xsd:double"&gt;10.9163800326979&lt;/D&gt;&lt;/FQL&gt;&lt;FQL&gt;&lt;Q&gt;TRYFR10Y-FDS^PCTCHG(FG_YIELD(0,,,,"YTM"),FG_YIELD(-1AM,,,,"YTM"))&lt;/Q&gt;&lt;R&gt;1&lt;/R&gt;&lt;C&gt;1&lt;/C&gt;&lt;D xsi:type="xsd:double"&gt;-3.4304192&lt;/D&gt;&lt;/FQL&gt;&lt;FQL&gt;&lt;Q&gt;EWA^FMA_DIV_YLD(NTMA,NOW,NOW,M,"PORTAGG","MEANR")&lt;/Q&gt;&lt;R&gt;1&lt;/R&gt;&lt;C&gt;1&lt;/C&gt;&lt;D xsi:type="xsd:double"&gt;3.77622152151114&lt;/D&gt;&lt;/FQL&gt;&lt;FQL&gt;&lt;Q&gt;EWA^FG_TOTAL_RETURNC(0,-3AM)&lt;/Q&gt;&lt;R&gt;1&lt;/R&gt;&lt;C&gt;1&lt;/C&gt;&lt;D xsi:type="xsd:double"&gt;1.2183666&lt;/D&gt;&lt;/FQL&gt;&lt;FQL&gt;&lt;Q&gt;ENZL^FMA_PE(NTMA,-10AY,0,AM,"PORTAGG","MEANR")&lt;/Q&gt;&lt;R&gt;121&lt;/R&gt;&lt;C&gt;1&lt;/C&gt;&lt;D xsi:type="xsd:double"&gt;17.0640200899694&lt;/D&gt;&lt;D xsi:type="xsd:double"&gt;17.0341245968389&lt;/D&gt;&lt;D xsi:type="xsd:double"&gt;16.7302512051919&lt;/D&gt;&lt;D xsi:type="xsd:double"&gt;18.0887700874356&lt;/D&gt;&lt;D xsi:type="xsd:double"&gt;17.9743574826411&lt;/D&gt;&lt;D xsi:type="xsd:double"&gt;18.5478301470677&lt;/D&gt;&lt;D xsi:type="xsd:double"&gt;19.1156929591577&lt;/D&gt;&lt;D xsi:type="xsd:double"&gt;19.0475060095657&lt;/D&gt;&lt;D xsi:type="xsd:double"&gt;18.5215327668944&lt;/D&gt;&lt;D xsi:type="xsd:double"&gt;18.1577481272639&lt;/D&gt;&lt;D xsi:type="xsd:double"&gt;18.0542279757561&lt;/D&gt;&lt;D xsi:type="xsd:double"&gt;18.0773175241054&lt;/D&gt;&lt;D xsi:type="xsd:double"&gt;17.6332274882663&lt;/D&gt;&lt;D xsi:type="xsd:double"&gt;17.4506575992936&lt;/D&gt;&lt;D xsi:type="xsd:double"&gt;17.6236065596109&lt;/D&gt;&lt;D xsi:type="xsd:double"&gt;17.7891486678597&lt;/D&gt;&lt;D xsi:type="xsd:double"&gt;17.8731074211231&lt;/D&gt;&lt;D xsi:type="xsd:double"&gt;17.7346036848985&lt;/D&gt;&lt;D xsi:type="xsd:double"&gt;17.1496034973417&lt;/D&gt;&lt;D xsi:type="xsd:double"&gt;18.2722995704497&lt;/D&gt;&lt;D xsi:type="xsd:double"&gt;18.8865434485466&lt;/D&gt;&lt;D xsi:type="xsd:double"&gt;19.2064760656178&lt;/D&gt;&lt;D xsi:type="xsd:double"&gt;19.0378773433585&lt;/D&gt;&lt;D xsi:type="xsd:double"&gt;19.4934640363663&lt;/D&gt;&lt;D xsi:type="xsd:double"&gt;20.2194074223236&lt;/D&gt;&lt;D xsi:type="xsd:double"&gt;20.1995497998947&lt;/D&gt;&lt;D xsi:type="xsd:double"&gt;19.5570707349898&lt;/D&gt;&lt;D xsi:type="xsd:double"&gt;18.632286717867&lt;/D&gt;&lt;D xsi:type="xsd:double"&gt;18.1634957042499&lt;/D&gt;&lt;D xsi:type="xsd:double"&gt;18.8846328835275&lt;/D&gt;&lt;D xsi:type="xsd:double"&gt;18.9688462448322&lt;/D&gt;&lt;D xsi:type="xsd:double"&gt;18.7471037774736&lt;/D&gt;&lt;D xsi:type="xsd:double"&gt;19.1344785577349&lt;/D&gt;&lt;D xsi:type="xsd:double"&gt;19.486240618906&lt;/D&gt;&lt;D xsi:type="xsd:double"&gt;19.5568107789944&lt;/D&gt;&lt;D xsi:type="xsd:double"&gt;19.5406576428484&lt;/D&gt;&lt;D xsi:type="xsd:double"&gt;20.1635517115282&lt;/D&gt;&lt;D xsi:type="xsd:double"&gt;19.6407115554074&lt;/D&gt;&lt;D xsi:type="xsd:double"&gt;20.0499256824714&lt;/D&gt;&lt;D xsi:type="xsd:double"&gt;20.201307470814&lt;/D&gt;&lt;D xsi:type="xsd:double"&gt;20.8536530945937&lt;/D&gt;&lt;D xsi:type="xsd:double"&gt;20.4579057258749&lt;/D&gt;&lt;D xsi:type="xsd:double"&gt;20.2818365986933&lt;/D&gt;&lt;D xsi:type="xsd:double"&gt;20.4977190042163&lt;/D&gt;&lt;D xsi:type="xsd:double"&gt;20.1675798613072&lt;/D&gt;&lt;D xsi:type="xsd:double"&gt;20.2651524617574&lt;/D&gt;&lt;D xsi:type="xsd:double"&gt;21.3804673046245&lt;/D&gt;&lt;D xsi:type="xsd:double"&gt;21.1409582138457&lt;/D&gt;&lt;D xsi:type="xsd:double"&gt;21.2151690559474&lt;/D&gt;&lt;D xsi:type="xsd:double"&gt;21.6314765735712&lt;/D&gt;&lt;D xsi:type="xsd:double"&gt;20.2455425515248&lt;/D&gt;&lt;D xsi:type="xsd:double"&gt;20.0735276404331&lt;/D&gt;&lt;D xsi:type="xsd:double"&gt;19.8036342433682&lt;/D&gt;&lt;D xsi:type="xsd:double"&gt;20.4931995986364&lt;/D&gt;&lt;D xsi:type="xsd:double"&gt;21.018988736511&lt;/D&gt;&lt;D xsi:type="xsd:double"&gt;21.6177622744923&lt;/D&gt;&lt;D xsi:type="xsd:double"&gt;22.4737219934503&lt;/D&gt;&lt;D xsi:type="xsd:double"&gt;23.0556579946941&lt;/D&gt;&lt;D xsi:type="xsd:double"&gt;23.0706827575816&lt;/D&gt;&lt;D xsi:type="xsd:double"&gt;24.191847187093&lt;/D&gt;&lt;D xsi:type="xsd:double"&gt;24.0303312312609&lt;/D&gt;&lt;D xsi:type="xsd:double"&gt;25.8060186908723&lt;/D&gt;&lt;D xsi:type="xsd:double"&gt;25.8102968824726&lt;/D&gt;&lt;D xsi:type="xsd:double"&gt;24.6853752436586&lt;/D&gt;&lt;D xsi:type="xsd:double"&gt;25.4270366360189&lt;/D&gt;&lt;D xsi:type="xsd:double"&gt;26.2023932143187&lt;/D&gt;&lt;D xsi:type="xsd:double"&gt;26.9623565295904&lt;/D&gt;&lt;D xsi:type="xsd:double"&gt;21.7684167298187&lt;/D&gt;&lt;D xsi:type="xsd:double"&gt;28.1347287606861&lt;/D&gt;&lt;D xsi:type="xsd:double"&gt;30.4586867154365&lt;/D&gt;&lt;D xsi:type="xsd:double"&gt;29.8578998324413&lt;/D&gt;&lt;D xsi:type="xsd:double"&gt;31.7319903751903&lt;/D&gt;&lt;D xsi:type="xsd:double"&gt;31.6471773114076&lt;/D&gt;&lt;D xsi:type="xsd:double"&gt;32.1907214391622&lt;/D&gt;&lt;D xsi:type="xsd:double"&gt;33.0706454167922&lt;/D&gt;&lt;D xsi:type="xsd:double"&gt;33.2712358599136&lt;/D&gt;&lt;D xsi:type="xsd:double"&gt;32.8188138503704&lt;/D&gt;&lt;D xsi:type="xsd:double"&gt;33.6408252776016&lt;/D&gt;&lt;D xsi:type="xsd:double"&gt;32.1505151930022&lt;/D&gt;&lt;D xsi:type="xsd:double"&gt;33.0111907398619&lt;/D&gt;&lt;D xsi:type="xsd:double"&gt;32.3808061431811&lt;/D&gt;&lt;D xsi:type="xsd:double"&gt;32.2486049547337&lt;/D&gt;&lt;D xsi:type="xsd:double"&gt;33.1123603581491&lt;/D&gt;&lt;D xsi:type="xsd:double"&gt;34.2078054989961&lt;/D&gt;&lt;D xsi:type="xsd:double"&gt;33.759776767319&lt;/D&gt;&lt;D xsi:type="xsd:double"&gt;34.4844482958163&lt;/D&gt;&lt;D xsi:type="xsd:double"&gt;33.6539615726834&lt;/D&gt;&lt;D xsi:type="xsd:double"&gt;32.9744780911616&lt;/D&gt;&lt;D xsi:type="xsd:double"&gt;32.0281995758889&lt;/D&gt;&lt;D xsi:type="xsd:double"&gt;31.1557608205407&lt;/D&gt;&lt;D xsi:type="xsd:double"&gt;29.8587730991169&lt;/D&gt;&lt;D xsi:type="xsd:double"&gt;28.7379376770919&lt;/D&gt;&lt;D xsi:type="xsd:double"&gt;28.2102626122451&lt;/D&gt;&lt;D xsi:type="xsd:double"&gt;27.2178545582884&lt;/D&gt;&lt;D xsi:type="xsd:double"&gt;25.1188405679088&lt;/D&gt;&lt;D xsi:type="xsd:double"&gt;25.9082971592332&lt;/D&gt;&lt;D xsi:type="xsd:double"&gt;26.94127176057&lt;/D&gt;&lt;D xsi:type="xsd:double"&gt;26.2433274484386&lt;/D&gt;&lt;D xsi:type="xsd:double"&gt;23.3419069846685&lt;/D&gt;&lt;D xsi:type="xsd:double"&gt;23.3142239474001&lt;/D&gt;&lt;D xsi:type="xsd:double"&gt;23.4464203034505&lt;/D&gt;&lt;D xsi:type="xsd:double"&gt;23.5995512556761&lt;/D&gt;&lt;D xsi:type="xsd:double"&gt;24.8043514335296&lt;/D&gt;&lt;D xsi:type="xsd:double"&gt;22.6633295958524&lt;/D&gt;&lt;D xsi:type="xsd:double"&gt;23.2708380093378&lt;/D&gt;&lt;D xsi:type="xsd:double"&gt;23.5616687380488&lt;/D&gt;&lt;D xsi:type="xsd:double"&gt;20.8172027291688&lt;/D&gt;&lt;D xsi:type="xsd:double"&gt;21.1091961032779&lt;/D&gt;&lt;D xsi:type="xsd:double"&gt;20.3395616142493&lt;/D&gt;&lt;D xsi:type="xsd:double"&gt;20.2764060189715&lt;/D&gt;&lt;D xsi:type="xsd:double"&gt;19.674100844015&lt;/D&gt;&lt;D xsi:type="xsd:double"&gt;20.2227142506854&lt;/D&gt;&lt;D xsi:type="xsd:double"&gt;22.5581462534968&lt;/D&gt;&lt;D xsi:type="xsd:double"&gt;22.7095763229251&lt;/D&gt;&lt;D xsi:type="xsd:double"&gt;22.2964802939291&lt;/D&gt;&lt;D xsi:type="xsd:double"&gt;24.8757284096406&lt;/D&gt;&lt;D xsi:type="xsd:double"&gt;24.7730176784478&lt;/D&gt;&lt;D xsi:type="xsd:double"&gt;25.4977334054817&lt;/D&gt;&lt;D xsi:type="xsd:double"&gt;24.3758710559105&lt;/D&gt;&lt;D xsi:type="xsd:double"&gt;25.0907051356053&lt;/D&gt;&lt;D xsi:type="xsd:double"&gt;25.8743994410416&lt;/D&gt;&lt;/FQL&gt;&lt;FQL&gt;&lt;Q&gt;CPALM-FDS^FG_PRICE_CHANGE(0,-3AM)&lt;/Q&gt;&lt;R&gt;1&lt;/R&gt;&lt;C&gt;1&lt;/C&gt;&lt;D xsi:type="xsd:double"&gt;1.28171592989799&lt;/D&gt;&lt;/FQL&gt;&lt;FQL&gt;&lt;Q&gt;EWQ^FG_PRICE(0)&lt;/Q&gt;&lt;R&gt;1&lt;/R&gt;&lt;C&gt;1&lt;/C&gt;&lt;D xsi:type="xsd:double"&gt;38.8&lt;/D&gt;&lt;/FQL&gt;&lt;FQL&gt;&lt;Q&gt;EWL^P_PRICE(0)/P_PRICE_LOW_PR(0,,,,,,"PRICE","INTRA","52W")-1&lt;/Q&gt;&lt;R&gt;1&lt;/R&gt;&lt;C&gt;1&lt;/C&gt;&lt;D xsi:type="xsd:double"&gt;0.22166061&lt;/D&gt;&lt;/FQL&gt;&lt;FQL&gt;&lt;Q&gt;EWC^FG_TOTAL_RETURNC(0,-12AM)&lt;/Q&gt;&lt;R&gt;1&lt;/R&gt;&lt;C&gt;1&lt;/C&gt;&lt;D xsi:type="xsd:double"&gt;18.56581&lt;/D&gt;&lt;/FQL&gt;&lt;FQL&gt;&lt;Q&gt;SPY^FMA_COS_UP("EPS","1M",+1,0,,,"PORTAGG","MEANR")&lt;/Q&gt;&lt;R&gt;1&lt;/R&gt;&lt;C&gt;1&lt;/C&gt;&lt;D xsi:type="xsd:double"&gt;271&lt;/D&gt;&lt;/FQL&gt;&lt;FQL&gt;&lt;Q&gt;REFFFUND-FDS^PROPER_NAME(0,,,"SECURITY","NAME")&lt;/Q&gt;&lt;R&gt;1&lt;/R&gt;&lt;C&gt;1&lt;/C&gt;&lt;D xsi:type="xsd:string"&gt;US Federal Funds Target Rate&lt;/D&gt;&lt;/FQL&gt;&lt;FQL&gt;&lt;Q&gt;TRYIT10Y-FDS^PCTCHG(FG_YIELD(0,,,,"YTM"),FG_YIELD(-1AM,,,,"YTM"))&lt;/Q&gt;&lt;R&gt;1&lt;/R&gt;&lt;C&gt;1&lt;/C&gt;&lt;D xsi:type="xsd:double"&gt;-2.1809394&lt;/D&gt;&lt;/FQL&gt;&lt;FQL&gt;&lt;Q&gt;TRYIT10Y-FDS^FG_YIELD(0,,,,"YTM")&lt;/Q&gt;&lt;R&gt;1&lt;/R&gt;&lt;C&gt;1&lt;/C&gt;&lt;D xsi:type="xsd:double"&gt;3.633&lt;/D&gt;&lt;/FQL&gt;&lt;FQL&gt;&lt;Q&gt;GLD^P_PRICE(0)/P_PRICE_HIGH_PR(0,,,USD,,,"PRICE","INTRA","52W")&lt;/Q&gt;&lt;R&gt;1&lt;/R&gt;&lt;C&gt;1&lt;/C&gt;&lt;D xsi:type="xsd:double"&gt;0.9998707&lt;/D&gt;&lt;/FQL&gt;&lt;FQL&gt;&lt;Q&gt;GLD^FG_TOTAL_RETURNC(0,-6AM)&lt;/Q&gt;&lt;R&gt;1&lt;/R&gt;&lt;C&gt;1&lt;/C&gt;&lt;D xsi:type="xsd:double"&gt;24.498236&lt;/D&gt;&lt;/FQL&gt;&lt;FQL&gt;&lt;Q&gt;EWL^FG_FCF_YIELD_NTM(0)&lt;/Q&gt;&lt;R&gt;1&lt;/R&gt;&lt;C&gt;1&lt;/C&gt;&lt;D xsi:type="xsd:double"&gt;4.75817396710433&lt;/D&gt;&lt;/FQL&gt;&lt;FQL&gt;&lt;Q&gt;GLD^FG_TOTAL_RETURNC(0,-1AM)&lt;/Q&gt;&lt;R&gt;1&lt;/R&gt;&lt;C&gt;1&lt;/C&gt;&lt;D xsi:type="xsd:double"&gt;1.6207457&lt;/D&gt;&lt;/FQL&gt;&lt;FQL&gt;&lt;Q&gt;W-FDS^MAX(FG_PRICE(0,-5AY))&lt;/Q&gt;&lt;R&gt;1&lt;/R&gt;&lt;C&gt;1&lt;/C&gt;&lt;D xsi:type="xsd:double"&gt;14.2525&lt;/D&gt;&lt;/FQL&gt;&lt;FQL&gt;&lt;Q&gt;EWI^FG_TOTAL_RETURNC(0,-3AM)&lt;/Q&gt;&lt;R&gt;1&lt;/R&gt;&lt;C&gt;1&lt;/C&gt;&lt;D xsi:type="xsd:double"&gt;-2.7505338&lt;/D&gt;&lt;/FQL&gt;&lt;FQL&gt;&lt;Q&gt;EWL^P_PRICE(0)/P_PRICE_HIGH_PR(0,,,,,,"PRICE","INTRA","52W")&lt;/Q&gt;&lt;R&gt;1&lt;/R&gt;&lt;C&gt;1&lt;/C&gt;&lt;D xsi:type="xsd:double"&gt;0.99940926&lt;/D&gt;&lt;/FQL&gt;&lt;FQL&gt;&lt;Q&gt;QQQ^SIZE(FG_CONSTITUENTS)&lt;/Q&gt;&lt;R&gt;1&lt;/R&gt;&lt;C&gt;1&lt;/C&gt;&lt;D xsi:type="xsd:long"&gt;102&lt;/D&gt;&lt;/FQL&gt;&lt;FQL&gt;&lt;Q&gt;EWN^FG_ROE(0)&lt;/Q&gt;&lt;R&gt;1&lt;/R&gt;&lt;C&gt;1&lt;/C&gt;&lt;D xsi:type="xsd:double"&gt;10.8872004044461&lt;/D&gt;&lt;/FQL&gt;&lt;FQL&gt;&lt;Q&gt;TRYNZ10Y-FDS^FG_YIELD(0,,,,"YTM")&lt;/Q&gt;&lt;R&gt;1&lt;/R&gt;&lt;C&gt;1&lt;/C&gt;&lt;D xsi:type="xsd:double"&gt;4.1296&lt;/D&gt;&lt;/FQL&gt;&lt;FQL&gt;&lt;Q&gt;VGK^FG_PE(0)&lt;/Q&gt;&lt;R&gt;1&lt;/R&gt;&lt;C&gt;1&lt;/C&gt;&lt;D xsi:type="xsd:double"&gt;14.2394767926223&lt;/D&gt;&lt;/FQL&gt;&lt;FQL&gt;&lt;Q&gt;EWQ^FMA_DIV_YLD(NTMA,NOW,NOW,M,"PORTAGG","MEANR")&lt;/Q&gt;&lt;R&gt;1&lt;/R&gt;&lt;C&gt;1&lt;/C&gt;&lt;D xsi:type="xsd:double"&gt;3.36374699550191&lt;/D&gt;&lt;/FQL&gt;&lt;FQL&gt;&lt;Q&gt;EWU^JULIAN(FMA_DIV_YLD(NTMA,NOW,NOW,M,"PORTAGG","MEANR").DATES)&lt;/Q&gt;&lt;R&gt;1&lt;/R&gt;&lt;C&gt;1&lt;/C&gt;&lt;D xsi:type="xsd:long"&gt;45504&lt;/D&gt;&lt;/FQL&gt;&lt;FQL&gt;&lt;Q&gt;EWC^FMA_DIV_YLD(NTMA,NOW,NOW,M,"PORTAGG","MEANR")&lt;/Q&gt;&lt;R&gt;1&lt;/R&gt;&lt;C&gt;1&lt;/C&gt;&lt;D xsi:type="xsd:double"&gt;3.17891549157968&lt;/D&gt;&lt;/FQL&gt;&lt;FQL&gt;&lt;Q&gt;UUP^FG_TOTAL_RETURNC(0,-3AM)&lt;/Q&gt;&lt;R&gt;1&lt;/R&gt;&lt;C&gt;1&lt;/C&gt;&lt;D xsi:type="xsd:double"&gt;-0.5252063&lt;/D&gt;&lt;/FQL&gt;&lt;FQL&gt;&lt;Q&gt;EWQ^FMA_PE(NTMA,0,,,"PORTAGG","MEANR")&lt;/Q&gt;&lt;R&gt;1&lt;/R&gt;&lt;C&gt;1&lt;/C&gt;&lt;D xsi:type="xsd:double"&gt;13.3243137118773&lt;/D&gt;&lt;/FQL&gt;&lt;FQL&gt;&lt;Q&gt;EWL^FMA_DIV_YLD(NTMA,NOW,NOW,M,"PORTAGG","MEANR")&lt;/Q&gt;&lt;R&gt;1&lt;/R&gt;&lt;C&gt;1&lt;/C&gt;&lt;D xsi:type="xsd:double"&gt;3.13806934766237&lt;/D&gt;&lt;/FQL&gt;&lt;FQL&gt;&lt;Q&gt;ENZL^FG_ROE(0)&lt;/Q&gt;&lt;R&gt;1&lt;/R&gt;&lt;C&gt;1&lt;/C&gt;&lt;D xsi:type="xsd:double"&gt;4.96208902768566&lt;/D&gt;&lt;/FQL&gt;&lt;FQL&gt;&lt;Q&gt;USDGBP^STD(FG_PRICE_CHANGE(0,-3AY,M))&lt;/Q&gt;&lt;R&gt;1&lt;/R&gt;&lt;C&gt;1&lt;/C&gt;&lt;D xsi:type="xsd:double"&gt;2.35418337899108&lt;/D&gt;&lt;/FQL&gt;&lt;FQL&gt;&lt;Q&gt;SPY^FG_PRICE_MAVG(0,,,,200)&lt;/Q&gt;&lt;R&gt;1&lt;/R&gt;&lt;C&gt;1&lt;/C&gt;&lt;D xsi:type="xsd:double"&gt;505.144&lt;/D&gt;&lt;/FQL&gt;&lt;FQL&gt;&lt;Q&gt;EWL^FG_TOTAL_RETURNC(0,-3AM)&lt;/Q&gt;&lt;R&gt;1&lt;/R&gt;&lt;C&gt;1&lt;/C&gt;&lt;D xsi:type="xsd:double"&gt;6.154871&lt;/D&gt;&lt;/FQL&gt;&lt;FQL&gt;&lt;Q&gt;EWC^P_PRICE(0)/P_PRICE_LOW_PR(0,,,,,,"PRICE","INTRA","52W")-1&lt;/Q&gt;&lt;R&gt;1&lt;/R&gt;&lt;C&gt;1&lt;/C&gt;&lt;D xsi:type="xsd:double"&gt;0.25023878&lt;/D&gt;&lt;/FQL&gt;&lt;FQL&gt;&lt;Q&gt;TRYSE10Y-FDS^PCTCHG(FG_YIELD(0,,,,"YTM"),FG_YIELD(-3AM,,,,"YTM"))&lt;/Q&gt;&lt;R&gt;1&lt;/R&gt;&lt;C&gt;1&lt;/C&gt;&lt;D xsi:type="xsd:double"&gt;-13.705801&lt;/D&gt;&lt;/FQL&gt;&lt;FQL&gt;&lt;Q&gt;VGK^JULIAN(FMA_DIV_YLD(NTMA,NOW,NOW,M,"PORTAGG","MEANR").DATES)&lt;/Q&gt;&lt;R&gt;1&lt;/R&gt;&lt;C&gt;1&lt;/C&gt;&lt;D xsi:type="xsd:long"&gt;45471&lt;/D&gt;&lt;/FQL&gt;&lt;FQL&gt;&lt;Q&gt;EWC^FMA_PE(NTMA,0,,,"PORTAGG","MEANR")&lt;/Q&gt;&lt;R&gt;1&lt;/R&gt;&lt;C&gt;1&lt;/C&gt;&lt;D xsi:type="xsd:double"&gt;14.2279723835365&lt;/D&gt;&lt;/FQL&gt;&lt;FQL&gt;&lt;Q&gt;EWA^FMA_EVAL_EBIT(LTMA,NOW,NOW,M,"PORTAGG","MEANR")&lt;/Q&gt;&lt;R&gt;1&lt;/R&gt;&lt;C&gt;1&lt;/C&gt;&lt;D xsi:type="xsd:double"&gt;12.63658742452&lt;/D&gt;&lt;/FQL&gt;&lt;FQL&gt;&lt;Q&gt;SPY^FMA_PE(NTMA,0,,,"PORTAGG","MEANR")&lt;/Q&gt;&lt;R&gt;1&lt;/R&gt;&lt;C&gt;1&lt;/C&gt;&lt;D xsi:type="xsd:double"&gt;21.0093189191788&lt;/D&gt;&lt;/FQL&gt;&lt;FQL&gt;&lt;Q&gt;EWD^PERCENT_CHANGE(FMA_EPS(+1,0,,,,"PORTAGG","MEAN"),FMA_EPS(+1,-1AM,,,,"PORTAGG","MEAN"))&lt;/Q&gt;&lt;R&gt;1&lt;/R&gt;&lt;C&gt;1&lt;/C&gt;&lt;D xsi:type="xsd:double"&gt;1.5498400959577&lt;/D&gt;&lt;/FQL&gt;&lt;FQL&gt;&lt;Q&gt;EWD^FMA_PE(LTMA,-10AY,0,AM,"PORTAGG","MEANR")&lt;/Q&gt;&lt;R&gt;121&lt;/R&gt;&lt;C&gt;1&lt;/C&gt;&lt;D xsi:type="xsd:double"&gt;15.8467368467113&lt;/D&gt;&lt;D xsi:type="xsd:double"&gt;15.9558625735944&lt;/D&gt;&lt;D xsi:type="xsd:double"&gt;14.9543258481942&lt;/D&gt;&lt;D xsi:type="xsd:double"&gt;16.6901899666018&lt;/D&gt;&lt;D xsi:type="xsd:double"&gt;17.048064177246&lt;/D&gt;&lt;D xsi:type="xsd:double"&gt;17.5544061642548&lt;/D&gt;&lt;D xsi:type="xsd:double"&gt;19.8055481475861&lt;/D&gt;&lt;D xsi:type="xsd:double"&gt;20.1576731537497&lt;/D&gt;&lt;D xsi:type="xsd:double"&gt;19.8219474632278&lt;/D&gt;&lt;D xsi:type="xsd:double"&gt;19.1114074178986&lt;/D&gt;&lt;D xsi:type="xsd:double"&gt;18.8199751531896&lt;/D&gt;&lt;D xsi:type="xsd:double"&gt;18.8338914133012&lt;/D&gt;&lt;D xsi:type="xsd:double"&gt;18.3313752336614&lt;/D&gt;&lt;D xsi:type="xsd:double"&gt;17.172437233431&lt;/D&gt;&lt;D xsi:type="xsd:double"&gt;16.7426664253363&lt;/D&gt;&lt;D xsi:type="xsd:double"&gt;16.5761244365088&lt;/D&gt;&lt;D xsi:type="xsd:double"&gt;16.0560396300526&lt;/D&gt;&lt;D xsi:type="xsd:double"&gt;14.3421430706431&lt;/D&gt;&lt;D xsi:type="xsd:double"&gt;14.7432067654417&lt;/D&gt;&lt;D xsi:type="xsd:double"&gt;15.6235376754082&lt;/D&gt;&lt;D xsi:type="xsd:double"&gt;15.6474832747269&lt;/D&gt;&lt;D xsi:type="xsd:double"&gt;15.4429262470632&lt;/D&gt;&lt;D xsi:type="xsd:double"&gt;15.13813574604&lt;/D&gt;&lt;D xsi:type="xsd:double"&gt;15.625956962513&lt;/D&gt;&lt;D xsi:type="xsd:double"&gt;15.998193610726&lt;/D&gt;&lt;D xsi:type="xsd:double"&gt;15.9985532918426&lt;/D&gt;&lt;D xsi:type="xsd:double"&gt;16.991402583098&lt;/D&gt;&lt;D xsi:type="xsd:double"&gt;17.0955159813632&lt;/D&gt;&lt;D xsi:type="xsd:double"&gt;18.3076274568384&lt;/D&gt;&lt;D xsi:type="xsd:double"&gt;18.2725905117401&lt;/D&gt;&lt;D xsi:type="xsd:double"&gt;17.507353131223&lt;/D&gt;&lt;D xsi:type="xsd:double"&gt;17.5219169483573&lt;/D&gt;&lt;D xsi:type="xsd:double"&gt;17.5466888677906&lt;/D&gt;&lt;D xsi:type="xsd:double"&gt;18.1626938427503&lt;/D&gt;&lt;D xsi:type="xsd:double"&gt;17.6291685266696&lt;/D&gt;&lt;D xsi:type="xsd:double"&gt;17.754015336923&lt;/D&gt;&lt;D xsi:type="xsd:double"&gt;16.9057491067252&lt;/D&gt;&lt;D xsi:type="xsd:double"&gt;17.1160699356948&lt;/D&gt;&lt;D xsi:type="xsd:double"&gt;17.5569014970603&lt;/D&gt;&lt;D xsi:type="xsd:double"&gt;18.211301589655&lt;/D&gt;&lt;D xsi:type="xsd:double"&gt;17.9363220514309&lt;/D&gt;&lt;D xsi:type="xsd:double"&gt;18.1579874905449&lt;/D&gt;&lt;D xsi:type="xsd:double"&gt;16.7432305380009&lt;/D&gt;&lt;D xsi:type="xsd:double"&gt;16.9421789863474&lt;/D&gt;&lt;D xsi:type="xsd:double"&gt;16.7668742055576&lt;/D&gt;&lt;D xsi:type="xsd:double"&gt;16.8230965156004&lt;/D&gt;&lt;D xsi:type="xsd:double"&gt;16.5028487680024&lt;/D&gt;&lt;D xsi:type="xsd:double"&gt;16.4610141023495&lt;/D&gt;&lt;D xsi:type="xsd:double"&gt;16.5205923976459&lt;/D&gt;&lt;D xsi:type="xsd:double"&gt;16.6834820016777&lt;/D&gt;&lt;D xsi:type="xsd:double"&gt;15.8200523332528&lt;/D&gt;&lt;D xsi:type="xsd:double"&gt;14.9035903354192&lt;/D&gt;&lt;D xsi:type="xsd:double"&gt;14.3820283354306&lt;/D&gt;&lt;D xsi:type="xsd:double"&gt;15.0298177002092&lt;/D&gt;&lt;D xsi:type="xsd:double"&gt;18.4479125766109&lt;/D&gt;&lt;D xsi:type="xsd:double"&gt;18.0511342966918&lt;/D&gt;&lt;D xsi:type="xsd:double"&gt;17.8420120255882&lt;/D&gt;&lt;D xsi:type="xsd:double"&gt;17.5598975828206&lt;/D&gt;&lt;D xsi:type="xsd:double"&gt;17.1475509181977&lt;/D&gt;&lt;D xsi:type="xsd:double"&gt;17.0705017433031&lt;/D&gt;&lt;D xsi:type="xsd:double"&gt;15.7827561307167&lt;/D&gt;&lt;D xsi:type="xsd:double"&gt;16.3513595172793&lt;/D&gt;&lt;D xsi:type="xsd:double"&gt;16.5616069610031&lt;/D&gt;&lt;D xsi:type="xsd:double"&gt;16.2161605321635&lt;/D&gt;&lt;D xsi:type="xsd:double"&gt;16.2444828735296&lt;/D&gt;&lt;D xsi:type="xsd:double"&gt;16.7986879022776&lt;/D&gt;&lt;D xsi:type="xsd:double"&gt;14.4328542457544&lt;/D&gt;&lt;D xsi:type="xsd:double"&gt;12.352232157742&lt;/D&gt;&lt;D xsi:type="xsd:double"&gt;13.7870634492115&lt;/D&gt;&lt;D xsi:type="xsd:double"&gt;14.7482421051689&lt;/D&gt;&lt;D xsi:type="xsd:double"&gt;16.5510723743453&lt;/D&gt;&lt;D xsi:type="xsd:double"&gt;18.1620016609282&lt;/D&gt;&lt;D xsi:type="xsd:double"&gt;17.545144135662&lt;/D&gt;&lt;D xsi:type="xsd:double"&gt;17.9906984525651&lt;/D&gt;&lt;D xsi:type="xsd:double"&gt;16.3466894408457&lt;/D&gt;&lt;D xsi:type="xsd:double"&gt;16.5654776152272&lt;/D&gt;&lt;D xsi:type="xsd:double"&gt;17.1525465084288&lt;/D&gt;&lt;D xsi:type="xsd:double"&gt;18.5501347110363&lt;/D&gt;&lt;D xsi:type="xsd:double"&gt;17.</t>
        </r>
      </text>
    </comment>
    <comment ref="A15" authorId="0" shapeId="0" xr:uid="{4D638D46-38EC-4EBB-802D-8BA90A1050C1}">
      <text>
        <r>
          <rPr>
            <b/>
            <sz val="9"/>
            <color indexed="81"/>
            <rFont val="Tahoma"/>
            <charset val="1"/>
          </rPr>
          <t>7347108682397&lt;/D&gt;&lt;D xsi:type="xsd:double"&gt;17.9683776749166&lt;/D&gt;&lt;D xsi:type="xsd:double"&gt;18.4927555106075&lt;/D&gt;&lt;D xsi:type="xsd:double"&gt;17.5620535084894&lt;/D&gt;&lt;D xsi:type="xsd:double"&gt;17.9959496654959&lt;/D&gt;&lt;D xsi:type="xsd:double"&gt;17.7452544360977&lt;/D&gt;&lt;D xsi:type="xsd:double"&gt;17.4910281344679&lt;/D&gt;&lt;D xsi:type="xsd:double"&gt;17.5125185130632&lt;/D&gt;&lt;D xsi:type="xsd:double"&gt;17.4586745368411&lt;/D&gt;&lt;D xsi:type="xsd:double"&gt;16.8363972437051&lt;/D&gt;&lt;D xsi:type="xsd:double"&gt;16.2323494269337&lt;/D&gt;&lt;D xsi:type="xsd:double"&gt;15.885902990212&lt;/D&gt;&lt;D xsi:type="xsd:double"&gt;12.2370708842814&lt;/D&gt;&lt;D xsi:type="xsd:double"&gt;11.9482313316926&lt;/D&gt;&lt;D xsi:type="xsd:double"&gt;12.2079750016278&lt;/D&gt;&lt;D xsi:type="xsd:double"&gt;13.3224931578709&lt;/D&gt;&lt;D xsi:type="xsd:double"&gt;13.0990640303301&lt;/D&gt;&lt;D xsi:type="xsd:double"&gt;13.7600378546787&lt;/D&gt;&lt;D xsi:type="xsd:double"&gt;15.050524539738&lt;/D&gt;&lt;D xsi:type="xsd:double"&gt;14.5486997183062&lt;/D&gt;&lt;D xsi:type="xsd:double"&gt;14.6503522510919&lt;/D&gt;&lt;D xsi:type="xsd:double"&gt;14.0159293067956&lt;/D&gt;&lt;D xsi:type="xsd:double"&gt;15.2740205501084&lt;/D&gt;&lt;D xsi:type="xsd:double"&gt;16.6364783151136&lt;/D&gt;&lt;D xsi:type="xsd:double"&gt;26.3678927819856&lt;/D&gt;&lt;D xsi:type="xsd:double"&gt;24.9134620225227&lt;/D&gt;&lt;D xsi:type="xsd:double"&gt;23.9486430647459&lt;/D&gt;&lt;D xsi:type="xsd:double"&gt;22.5967582312796&lt;/D&gt;&lt;D xsi:type="xsd:double"&gt;21.5562268102151&lt;/D&gt;&lt;D xsi:type="xsd:double"&gt;20.2700255071073&lt;/D&gt;&lt;D xsi:type="xsd:double"&gt;18.5987757926757&lt;/D&gt;&lt;D xsi:type="xsd:double"&gt;17.4346348008194&lt;/D&gt;&lt;D xsi:type="xsd:double"&gt;16.2094178005298&lt;/D&gt;&lt;D xsi:type="xsd:double"&gt;15.7617440423907&lt;/D&gt;&lt;D xsi:type="xsd:double"&gt;18.2413426775017&lt;/D&gt;&lt;D xsi:type="xsd:double"&gt;17.1415565400356&lt;/D&gt;&lt;D xsi:type="xsd:double"&gt;15.4670100612724&lt;/D&gt;&lt;D xsi:type="xsd:double"&gt;15.9356212336064&lt;/D&gt;&lt;D xsi:type="xsd:double"&gt;15.8763614335441&lt;/D&gt;&lt;D xsi:type="xsd:double"&gt;16.1110733764282&lt;/D&gt;&lt;D xsi:type="xsd:double"&gt;15.9635383846393&lt;/D&gt;&lt;D xsi:type="xsd:double"&gt;16.5962640960198&lt;/D&gt;&lt;D xsi:type="xsd:double"&gt;16.1711553167912&lt;/D&gt;&lt;/FQL&gt;&lt;FQL&gt;&lt;Q&gt;EWI^PERCENT_CHANGE(FMA_EPS(+1,0,,,,"PORTAGG","MEAN"),FMA_EPS(+1,-3AM,,,,"PORTAGG","MEAN"))&lt;/Q&gt;&lt;R&gt;1&lt;/R&gt;&lt;C&gt;1&lt;/C&gt;&lt;D xsi:type="xsd:double"&gt;-2.59013553514201&lt;/D&gt;&lt;/FQL&gt;&lt;FQL&gt;&lt;Q&gt;EWC^FG_TOTAL_RETURNC(0,-1AM)&lt;/Q&gt;&lt;R&gt;1&lt;/R&gt;&lt;C&gt;1&lt;/C&gt;&lt;D xsi:type="xsd:double"&gt;0.6149173&lt;/D&gt;&lt;/FQL&gt;&lt;FQL&gt;&lt;Q&gt;QQQ^FMA_COS_DOWN("EPS","1M",+1,0,,,"PORTAGG","MEANR")&lt;/Q&gt;&lt;R&gt;1&lt;/R&gt;&lt;C&gt;1&lt;/C&gt;&lt;D xsi:type="xsd:double"&gt;38&lt;/D&gt;&lt;/FQL&gt;&lt;FQL&gt;&lt;Q&gt;EWQ^FG_ROE(0)&lt;/Q&gt;&lt;R&gt;1&lt;/R&gt;&lt;C&gt;1&lt;/C&gt;&lt;D xsi:type="xsd:double"&gt;12.1904058253283&lt;/D&gt;&lt;/FQL&gt;&lt;FQL&gt;&lt;Q&gt;REFGBBANK-FDS^(SUBARRAY(NOT_NA(NO_REPEAT_F(FG_YIELD(NOW,-10AY,D))),0,1)-SUBARRAY(NOT_NA(NO_REPEAT_F(FG_YIELD(NOW,-10AY,D))),1,1))*100&lt;/Q&gt;&lt;R&gt;1&lt;/R&gt;&lt;C&gt;1&lt;/C&gt;&lt;D xsi:type="xsd:double"&gt;-25&lt;/D&gt;&lt;/FQL&gt;&lt;FQL&gt;&lt;Q&gt;TRYSE10Y-FDS^PCTCHG(FG_YIELD(0,,,,"YTM"),FG_YIELD(-1AM,,,,"YTM"))&lt;/Q&gt;&lt;R&gt;1&lt;/R&gt;&lt;C&gt;1&lt;/C&gt;&lt;D xsi:type="xsd:double"&gt;-5.088812&lt;/D&gt;&lt;/FQL&gt;&lt;FQL&gt;&lt;Q&gt;TRYSE10Y-FDS^FG_YIELD(0,,,,"YTM")&lt;/Q&gt;&lt;R&gt;1&lt;/R&gt;&lt;C&gt;1&lt;/C&gt;&lt;D xsi:type="xsd:double"&gt;1.977&lt;/D&gt;&lt;/FQL&gt;&lt;FQL&gt;&lt;Q&gt;EWQ^FMA_PE(LTM,0,,,"PORTAGG","MEANR")&lt;/Q&gt;&lt;R&gt;1&lt;/R&gt;&lt;C&gt;1&lt;/C&gt;&lt;D xsi:type="xsd:double"&gt;16.2914922576744&lt;/D&gt;&lt;/FQL&gt;&lt;FQL&gt;&lt;Q&gt;EWL^FMA_EVAL_EBIT(LTMA,NOW,NOW,M,"PORTAGG","MEANR")&lt;/Q&gt;&lt;R&gt;1&lt;/R&gt;&lt;C&gt;1&lt;/C&gt;&lt;D xsi:type="xsd:double"&gt;16.7687950000665&lt;/D&gt;&lt;/FQL&gt;&lt;FQL&gt;&lt;Q&gt;EWC^FMA_PE(LTM,0,,,"PORTAGG","MEANR")&lt;/Q&gt;&lt;R&gt;1&lt;/R&gt;&lt;C&gt;1&lt;/C&gt;&lt;D xsi:type="xsd:double"&gt;17.7078884920281&lt;/D&gt;&lt;/FQL&gt;&lt;FQL&gt;&lt;Q&gt;SPY^P_PRICE(0)/P_PRICE_HIGH_PR(0,,,USD,,,"PRICE","INTRA","52W")&lt;/Q&gt;&lt;R&gt;1&lt;/R&gt;&lt;C&gt;1&lt;/C&gt;&lt;D xsi:type="xsd:double"&gt;0.98080194&lt;/D&gt;&lt;/FQL&gt;&lt;FQL&gt;&lt;Q&gt;EWJ^FG_PRICE_MAVG(0,,,,200)&lt;/Q&gt;&lt;R&gt;1&lt;/R&gt;&lt;C&gt;1&lt;/C&gt;&lt;D xsi:type="xsd:double"&gt;66.9138&lt;/D&gt;&lt;/FQL&gt;&lt;FQL&gt;&lt;Q&gt;W-FDS^FG_PRICE_CHANGE(0,-6AM)&lt;/Q&gt;&lt;R&gt;1&lt;/R&gt;&lt;C&gt;1&lt;/C&gt;&lt;D xsi:type="xsd:double"&gt;-5.44157002676183&lt;/D&gt;&lt;/FQL&gt;&lt;FQL&gt;&lt;Q&gt;EWL^FG_TOTAL_RETURNC(0,-1AM)&lt;/Q&gt;&lt;R&gt;1&lt;/R&gt;&lt;C&gt;1&lt;/C&gt;&lt;D xsi:type="xsd:double"&gt;2.4419785&lt;/D&gt;&lt;/FQL&gt;&lt;FQL&gt;&lt;Q&gt;EWC^PERCENT_CHANGE(FMA_EPS(+1,0,,,,"PORTAGG","MEAN"),FMA_EPS(+1,-3AM,,,,"PORTAGG","MEAN"))&lt;/Q&gt;&lt;R&gt;1&lt;/R&gt;&lt;C&gt;1&lt;/C&gt;&lt;D xsi:type="xsd:double"&gt;-0.34066240442576&lt;/D&gt;&lt;/FQL&gt;&lt;FQL&gt;&lt;Q&gt;QQQ^FG_ROE(0)&lt;/Q&gt;&lt;R&gt;1&lt;/R&gt;&lt;C&gt;1&lt;/C&gt;&lt;D xsi:type="xsd:double"&gt;22.4092141065459&lt;/D&gt;&lt;/FQL&gt;&lt;FQL&gt;&lt;Q&gt;REFGBBANK-FDS^FG_YIELD(NOW,,,0)&lt;/Q&gt;&lt;R&gt;1&lt;/R&gt;&lt;C&gt;1&lt;/C&gt;&lt;D xsi:type="xsd:double"&gt;5&lt;/D&gt;&lt;/FQL&gt;&lt;FQL&gt;&lt;Q&gt;CC_SE^IMF_IFS_RCPI_Q(0)&lt;/Q&gt;&lt;R&gt;1&lt;/R&gt;&lt;C&gt;1&lt;/C&gt;&lt;D xsi:type="xsd:double"&gt;3.39215&lt;/D&gt;&lt;/FQL&gt;&lt;FQL&gt;&lt;Q&gt;EWI^FMA_EVAL_EBIT(LTMA,NOW,NOW,M,"PORTAGG","MEANR")&lt;/Q&gt;&lt;R&gt;1&lt;/R&gt;&lt;C&gt;1&lt;/C&gt;&lt;D xsi:type="xsd:double"&gt;11.028496636399&lt;/D&gt;&lt;/FQL&gt;&lt;FQL&gt;&lt;Q&gt;EWQ^JULIAN(FMA_DIV_YLD(NTMA,NOW,NOW,M,"PORTAGG","MEANR").DATES)&lt;/Q&gt;&lt;R&gt;1&lt;/R&gt;&lt;C&gt;1&lt;/C&gt;&lt;D xsi:type="xsd:long"&gt;45504&lt;/D&gt;&lt;/FQL&gt;&lt;FQL&gt;&lt;Q&gt;EWL^FMA_EVAL_EBITDA(NTMA,0,,,"PORTAGG","MEANR")&lt;/Q&gt;&lt;R&gt;1&lt;/R&gt;&lt;C&gt;1&lt;/C&gt;&lt;D xsi:type="xsd:double"&gt;13.16724981748&lt;/D&gt;&lt;/FQL&gt;&lt;FQL&gt;&lt;Q&gt;EWC^JULIAN(FMA_DIV_YLD(NTMA,NOW,NOW,M,"PORTAGG","MEANR").DATES)&lt;/Q&gt;&lt;R&gt;1&lt;/R&gt;&lt;C&gt;1&lt;/C&gt;&lt;D xsi:type="xsd:long"&gt;45504&lt;/D&gt;&lt;/FQL&gt;&lt;FQL&gt;&lt;Q&gt;EWI^PERCENT_CHANGE(FMA_EPS(+1,0,,,,"PORTAGG","MEAN"),FMA_EPS(+1,-1AM,,,,"PORTAGG","MEAN"))&lt;/Q&gt;&lt;R&gt;1&lt;/R&gt;&lt;C&gt;1&lt;/C&gt;&lt;D xsi:type="xsd:double"&gt;-0.625431304360928&lt;/D&gt;&lt;/FQL&gt;&lt;FQL&gt;&lt;Q&gt;EWC^PERCENT_CHANGE(FMA_EPS(+1,0,,,,"PORTAGG","MEAN"),FMA_EPS(+1,-1AM,,,,"PORTAGG","MEAN"))&lt;/Q&gt;&lt;R&gt;1&lt;/R&gt;&lt;C&gt;1&lt;/C&gt;&lt;D xsi:type="xsd:double"&gt;0.528628050586544&lt;/D&gt;&lt;/FQL&gt;&lt;FQL&gt;&lt;Q&gt;REFGBBANK-FDS^PROPER_NAME(0,,,"SECURITY","NAME")&lt;/Q&gt;&lt;R&gt;1&lt;/R&gt;&lt;C&gt;1&lt;/C&gt;&lt;D xsi:type="xsd:string"&gt;UK Bank Rate&lt;/D&gt;&lt;/FQL&gt;&lt;FQL&gt;&lt;Q&gt;TRYNL10Y-FDS^PCTCHG(FG_YIELD(0,,,,"YTM"),FG_YIELD(-3AM,,,,"YTM"))&lt;/Q&gt;&lt;R&gt;1&lt;/R&gt;&lt;C&gt;1&lt;/C&gt;&lt;D xsi:type="xsd:double"&gt;-6.7522945&lt;/D&gt;&lt;/FQL&gt;&lt;FQL&gt;&lt;Q&gt;CC_FR^IMF_IFS_RCPI_Q(0)&lt;/Q&gt;&lt;R&gt;1&lt;/R&gt;&lt;C&gt;1&lt;/C&gt;&lt;D xsi:type="xsd:double"&gt;2.2093682&lt;/D&gt;&lt;/FQL&gt;&lt;FQL&gt;&lt;Q&gt;EWI^FMA_PE(NTMA,0,,,"PORTAGG","MEANR")&lt;/Q&gt;&lt;R&gt;1&lt;/R&gt;&lt;C&gt;1&lt;/C&gt;&lt;D xsi:type="xsd:double"&gt;9.35971715863598&lt;/D&gt;&lt;/FQL&gt;&lt;FQL&gt;&lt;Q&gt;TLT^FG_TOTAL_RETURNC(0,-3AM)&lt;/Q&gt;&lt;R&gt;1&lt;/R&gt;&lt;C&gt;1&lt;/C&gt;&lt;D xsi:type="xsd:double"&gt;6.9541574&lt;/D&gt;&lt;/FQL&gt;&lt;FQL&gt;&lt;Q&gt;USDJPY^STD(FG_PRICE_CHANGE(0,-3AY,M))&lt;/Q&gt;&lt;R&gt;1&lt;/R&gt;&lt;C&gt;1&lt;/C&gt;&lt;D xsi:type="xsd:double"&gt;3.28220732526&lt;/D&gt;&lt;/FQL&gt;&lt;FQL&gt;&lt;Q&gt;EWN^FMA_PE(LTMA,-10AY,0,AM,"PORTAGG","MEANR")&lt;/Q&gt;&lt;R&gt;121&lt;/R&gt;&lt;C&gt;1&lt;/C&gt;&lt;D xsi:type="xsd:double"&gt;16.1897218337818&lt;/D&gt;&lt;D xsi:type="xsd:double"&gt;16.6877854928651&lt;/D&gt;&lt;D xsi:type="xsd:double"&gt;15.4668372402144&lt;/D&gt;&lt;D xsi:type="xsd:double"&gt;17.2602401688342&lt;/D&gt;&lt;D xsi:type="xsd:double"&gt;16.9617681812302&lt;/D&gt;&lt;D xsi:type="xsd:double"&gt;18.0903629750486&lt;/D&gt;&lt;D xsi:type="xsd:double"&gt;19.2336068246071&lt;/D&gt;&lt;D xsi:type="xsd:double"&gt;20.1389863282739&lt;/D&gt;&lt;D xsi:type="xsd:double"&gt;19.9170438529173&lt;/D&gt;&lt;D xsi:type="xsd:double"&gt;19.5093799629052&lt;/D&gt;&lt;D xsi:type="xsd:double"&gt;19.0014156233868&lt;/D&gt;&lt;D xsi:type="xsd:double"&gt;19.284163367328&lt;/D&gt;&lt;D xsi:type="xsd:double"&gt;18.3055441095897&lt;/D&gt;&lt;D xsi:type="xsd:double"&gt;17.2440466564245&lt;/D&gt;&lt;D xsi:type="xsd:double"&gt;17.0951651431467&lt;/D&gt;&lt;D xsi:type="xsd:double"&gt;17.7304318431209&lt;/D&gt;&lt;D xsi:type="xsd:double"&gt;17.0663526988765&lt;/D&gt;&lt;D xsi:type="xsd:double"&gt;15.4322461669667&lt;/D&gt;&lt;D xsi:type="xsd:double"&gt;15.2647591222672&lt;/D&gt;&lt;D xsi:type="xsd:double"&gt;16.4217550494175&lt;/D&gt;&lt;D xsi:type="xsd:double"&gt;16.3943449715269&lt;/D&gt;&lt;D xsi:type="xsd:double"&gt;16.1280275462111&lt;/D&gt;&lt;D xsi:type="xsd:double"&gt;15.7097840906727&lt;/D&gt;&lt;D xsi:type="xsd:double"&gt;15.9679326579155&lt;/D&gt;&lt;D xsi:type="xsd:double"&gt;16.147997569841&lt;/D&gt;&lt;D xsi:type="xsd:double"&gt;15.7667852999638&lt;/D&gt;&lt;D xsi:type="xsd:double"&gt;15.8482008666429&lt;/D&gt;&lt;D xsi:type="xsd:double"&gt;15.5562786026509&lt;/D&gt;&lt;D xsi:type="xsd:double"&gt;16.0828483935714&lt;/D&gt;&lt;D xsi:type="xsd:double"&gt;16.4408764074805&lt;/D&gt;&lt;D xsi:type="xsd:double"&gt;16.4231816606853&lt;/D&gt;&lt;D xsi:type="xsd:double"&gt;16.5057542637552&lt;/D&gt;&lt;D xsi:type="xsd:double"&gt;16.5432632357665&lt;/D&gt;&lt;D xsi:type="xsd:double"&gt;16.7734238860261&lt;/D&gt;&lt;D xsi:type="xsd:double"&gt;16.6509615733331&lt;/D&gt;&lt;D xsi:type="xsd:double"&gt;16.6944146245128&lt;/D&gt;&lt;D xsi:type="xsd:double"&gt;16.7276863914699&lt;/D&gt;&lt;D xsi:type="xsd:double"&gt;16.8225910485489&lt;/D&gt;&lt;D xsi:type="xsd:double"&gt;17.2804654711991&lt;/D&gt;&lt;D xsi:type="xsd:double"&gt;17.2307310106858&lt;/D&gt;&lt;D xsi:type="xsd:double"&gt;17.3229362218578&lt;/D&gt;&lt;D xsi:type="xsd:double"&gt;17.5434959977671&lt;/D&gt;&lt;D xsi:type="xsd:double"&gt;16.5216428307624&lt;/D&gt;&lt;D xsi:type="xsd:double"&gt;16.6538081729037&lt;/D&gt;&lt;D xsi:type="xsd:double"&gt;16.6078470923308&lt;/D&gt;&lt;D xsi:type="xsd:double"&gt;16.6249655938397&lt;/D&gt;&lt;D xsi:type="xsd:double"&gt;16.7172467067895&lt;/D&gt;&lt;D xsi:type="xsd:double"&gt;16.6268603676618&lt;/D&gt;&lt;D xsi:type="xsd:double"&gt;16.5394395288418&lt;/D&gt;&lt;D xsi:type="xsd:double"&gt;16.2832623845787&lt;/D&gt;&lt;D xsi:type="xsd:double"&gt;15.7243314020097&lt;/D&gt;&lt;D xsi:type="xsd:double"&gt;15.5141100341062&lt;/D&gt;&lt;D xsi:type="xsd:double"&gt;14.906782510018&lt;/D&gt;&lt;D xsi:type="xsd:double"&gt;14.6524500454614&lt;/D&gt;&lt;D xsi:type="xsd:double"&gt;16.1285688908039&lt;/D&gt;&lt;D xsi:type="xsd:double"&gt;16.2048847857321&lt;/D&gt;&lt;D xsi:type="xsd:double"&gt;16.286156232401&lt;/D&gt;&lt;D xsi:type="xsd:double"&gt;16.2498886527787&lt;/D&gt;&lt;D xsi:type="xsd:double"&gt;16.2267685845179&lt;/D&gt;&lt;D xsi:type="xsd:double"&gt;16.5169025212323&lt;/D&gt;&lt;D xsi:type="xsd:double"&gt;16.228982432431&lt;/D&gt;&lt;D xsi:type="xsd:double"&gt;17.021795047751&lt;/D&gt;&lt;D xsi:type="xsd:double"&gt;17.2313629145876&lt;/D&gt;&lt;D xsi:type="xsd:double"&gt;18.0084996360855&lt;/D&gt;&lt;D xsi:type="xsd:double"&gt;18.6827685760579&lt;/D&gt;&lt;D xsi:type="xsd:double"&gt;18.741232185695&lt;/D&gt;&lt;D xsi:type="xsd:double"&gt;20.0281500792543&lt;/D&gt;&lt;D xsi:type="xsd:double"&gt;16.5397847353607&lt;/D&gt;&lt;D xsi:type="xsd:double"&gt;17.4320097929806&lt;/D&gt;&lt;D xsi:type="xsd:double"&gt;17.8380909301842&lt;/D&gt;&lt;D xsi:type="xsd:double"&gt;19.3195030663622&lt;/D&gt;&lt;D xsi:type="xsd:double"&gt;20.2313082697325&lt;/D&gt;&lt;D xsi:type="xsd:double"&gt;20.8915007357496&lt;/D&gt;&lt;D xsi:type="xsd:double"&gt;21.749540674935&lt;/D&gt;&lt;D xsi:type="xsd:double"&gt;22.6582798999587&lt;/D&gt;&lt;D xsi:type="xsd:double"&gt;24.7309409511559&lt;/D&gt;&lt;D xsi:type="xsd:double"&gt;26.4083753872388&lt;/D&gt;&lt;D xsi:type="xsd:double"&gt;28.2860812933856&lt;/D&gt;&lt;D xsi:type="xsd:double"&gt;30.3046010133506&lt;/D&gt;&lt;D xsi:type="xsd:double"&gt;28.7311273639059&lt;/D&gt;&lt;D xsi:type="xsd:double"&gt;28.4545424100345&lt;/D&gt;&lt;D xsi:type="xsd:double"&gt;27.3622205377843&lt;/D&gt;&lt;D xsi:type="xsd:double"&gt;26.9779107558383&lt;/D&gt;&lt;D xsi:type="xsd:double"&gt;26.2391932366508&lt;/D&gt;&lt;D xsi:type="xsd:double"&gt;25.9323707544535&lt;/D&gt;&lt;D xsi:type="xsd:double"&gt;25.6534828530021&lt;/D&gt;&lt;D xsi:type="xsd:double"&gt;24.5033950102325&lt;/D&gt;&lt;D xsi:type="xsd:double"&gt;24.5335886597532&lt;/D&gt;&lt;D xsi:type="xsd:double"&gt;22.2861852925822&lt;/D&gt;&lt;D xsi:type="xsd:double"&gt;21.8209922576343&lt;/D&gt;&lt;D xsi:type="xsd:double"&gt;19.9863165060518&lt;/D&gt;&lt;D xsi:type="xsd:double"&gt;18.373271671994&lt;/D&gt;&lt;D xsi:type="xsd:double"&gt;18.4235799508094&lt;/D&gt;&lt;D xsi:type="xsd:double"&gt;17.9699318343855&lt;/D&gt;&lt;D xsi:type="xsd:double"&gt;17.6500950681283&lt;/D&gt;&lt;D xsi:type="xsd:double"&gt;18.2656763546865&lt;/D&gt;&lt;D xsi:type="xsd:double"&gt;19.7644095043033&lt;/D&gt;&lt;D xsi:type="xsd:double"&gt;18.0711075356129&lt;/D&gt;&lt;D xsi:type="xsd:double"&gt;16.699435790248&lt;/D&gt;&lt;D xsi:type="xsd:double"&gt;18.4407829938161&lt;/D&gt;&lt;D xsi:type="xsd:double"&gt;18.0166292785971&lt;/D&gt;&lt;D xsi:type="xsd:double"&gt;19.3902702993623&lt;/D&gt;&lt;D xsi:type="xsd:double"&gt;21.6810559958198&lt;/D&gt;&lt;D xsi:type="xsd:double"&gt;20.3595063304116&lt;/D&gt;&lt;D xsi:type="xsd:double"&gt;20.1749445568688&lt;/D&gt;&lt;D xsi:type="xsd:double"&gt;19.5943517263031&lt;/D&gt;&lt;D xsi:type="xsd:double"&gt;19.3670693149027&lt;/D&gt;&lt;D xsi:type="xsd:double"&gt;19.3483048509049&lt;/D&gt;&lt;D xsi:type="xsd:double"&gt;18.1664378965573&lt;/D&gt;&lt;D xsi:type="xsd:double"&gt;17.2868271254716&lt;/D&gt;&lt;D xsi:type="xsd:double"&gt;16.3634336100538&lt;/D&gt;&lt;D xsi:type="xsd:double"&gt;16.474449837969&lt;/D&gt;&lt;D xsi:type="xsd:double"&gt;16.9924762611066&lt;/D&gt;&lt;D xsi:type="xsd:double"&gt;16.3141331060818&lt;/D&gt;&lt;D xsi:type="xsd:double"&gt;17.9061549456554&lt;/D&gt;&lt;D xsi:type="xsd:double"&gt;18.4043879530609&lt;/D&gt;&lt;D xsi:type="xsd:double"&gt;18.2644444457686&lt;/D&gt;&lt;D xsi:type="xsd:double"&gt;18.3554505506873&lt;/D&gt;&lt;D xsi:type="xsd:double"&gt;18.3503537415047&lt;/D&gt;&lt;D xsi:type="xsd:double"&gt;18.5054186486027&lt;/D&gt;&lt;D xsi:type="xsd:double"&gt;17.367002839806&lt;/D&gt;&lt;/FQL&gt;&lt;FQL&gt;&lt;Q&gt;QQQ^FG_PRICE(0)&lt;/Q&gt;&lt;R&gt;1&lt;/R&gt;&lt;C&gt;1&lt;/C&gt;&lt;D xsi:type="xsd:double"&gt;475.03&lt;/D&gt;&lt;/FQL&gt;&lt;FQL&gt;&lt;Q&gt;QQQ^FMA_COS_UP("EPS","1M",+1,0,,,"PORTAGG","MEANR")&lt;/Q&gt;&lt;R&gt;1&lt;/R&gt;&lt;C&gt;1&lt;/C&gt;&lt;D xsi:type="xsd:double"&gt;50&lt;/D&gt;&lt;/FQL&gt;&lt;FQL&gt;&lt;Q&gt;EWL^FG_ROE(0)&lt;/Q&gt;&lt;R&gt;1&lt;/R&gt;&lt;C&gt;1&lt;/C&gt;&lt;D xsi:type="xsd:double"&gt;19.3474297340195&lt;/D&gt;&lt;/FQL&gt;&lt;FQL&gt;&lt;Q&gt;TRYSE10Y-FDS^FG_YIELD_NAME&lt;/Q&gt;&lt;R&gt;1&lt;/R&gt;&lt;C&gt;1&lt;/C&gt;&lt;D xsi:type="xsd:string"&gt;Sweden Benchmark Bond - 10 Year&lt;/D&gt;&lt;/FQL&gt;&lt;FQL&gt;&lt;Q&gt;SPY^FMA_EVAL_EBIT(LTMA,NOW,NOW,M,"PORTAGG","MEANR")&lt;/Q&gt;&lt;R&gt;1&lt;/R&gt;&lt;C&gt;1&lt;/C&gt;&lt;D xsi:type="xsd:double"&gt;20.7443078832951&lt;/D&gt;&lt;/FQL&gt;&lt;FQL&gt;&lt;Q&gt;W-FDS^FG_PRICE_CHANGE(0,-3AM)&lt;/Q&gt;&lt;R&gt;1&lt;/R&gt;&lt;C&gt;1&lt;/C&gt;&lt;D xsi:type="xsd:double"&gt;-20.0904636260837&lt;/D&gt;&lt;/FQL&gt;&lt;FQL&gt;&lt;Q&gt;EWU^FG_PRICE_MAVG(0,,,,200)&lt;/Q&gt;&lt;R&gt;1&lt;/R&gt;&lt;C&gt;1&lt;/C&gt;&lt;D xsi:type="xsd:double"&gt;33.9067&lt;/D&gt;&lt;/FQL&gt;&lt;FQL&gt;&lt;Q&gt;URTH^P_PRICE(0)/P_PRICE_LOW_PR(0,,,,,,"PRICE","INTRA","52W")-1&lt;/Q&gt;&lt;R&gt;1&lt;/R&gt;&lt;C&gt;1&lt;/C&gt;&lt;D xsi:type="xsd:double"&gt;0.31394958&lt;/D&gt;&lt;/FQL&gt;&lt;FQL&gt;&lt;Q&gt;EWL^PERCENT_CHANGE(FMA_EPS(+1,0,,,,"PORTAGG","MEAN"),FMA_EPS(+1,-3AM,,,,"PORTAGG","MEAN"))&lt;/Q&gt;&lt;R&gt;1&lt;/R&gt;&lt;C&gt;1&lt;/C&gt;&lt;D xsi:type="xsd:double"&gt;2.31854196832673&lt;/D&gt;&lt;/FQL&gt;&lt;FQL&gt;&lt;Q&gt;EWA^FG_TOTAL_RETURNC(0,-12AM)&lt;/Q&gt;&lt;R&gt;1&lt;/R&gt;&lt;C&gt;1&lt;/C&gt;&lt;D xsi:type="xsd:double"&gt;20.019638&lt;/D&gt;&lt;/FQL&gt;&lt;FQL&gt;&lt;Q&gt;EWJ^SIZE(FG_CONSTITUENTS)&lt;/Q&gt;&lt;R&gt;1&lt;/R&gt;&lt;C&gt;1&lt;/C&gt;&lt;D xsi:type="xsd:long"&gt;205&lt;/D&gt;&lt;/FQL&gt;&lt;FQL&gt;&lt;Q&gt;EWU^SIZE(FG_CONSTITUENTS)&lt;/Q&gt;&lt;R&gt;1&lt;/R&gt;&lt;C&gt;1&lt;/C&gt;&lt;D xsi:type="xsd:long"&gt;81&lt;/D&gt;&lt;/FQL&gt;&lt;FQL&gt;&lt;Q&gt;EWJ^FG_ROE(0)&lt;/Q&gt;&lt;R&gt;1&lt;/R&gt;&lt;C&gt;1&lt;/C&gt;&lt;D xsi:type="xsd:double"&gt;9.34934263092504&lt;/D&gt;&lt;/FQL&gt;&lt;FQL&gt;&lt;Q&gt;DDR3512M-FDS^MAX(FG_PRICE(0,-5AY))&lt;/Q&gt;&lt;R&gt;1&lt;/R&gt;&lt;C&gt;1&lt;/C&gt;&lt;D xsi:type="xsd:double"&gt;3.3053632&lt;/D&gt;&lt;/FQL&gt;&lt;FQL&gt;&lt;Q&gt;EWU^FG_PRICE_MAVG(0,,,,60)&lt;/Q&gt;&lt;R&gt;1&lt;/R&gt;&lt;C&gt;1&lt;/C&gt;&lt;D xsi:type="xsd:double"&gt;35.586834&lt;/D&gt;&lt;/FQL&gt;&lt;FQL&gt;&lt;Q&gt;EWI^FMA_PCT_ABOVE_MAVG(200,0,,,,"PORTAGG")&lt;/Q&gt;&lt;R&gt;1&lt;/R&gt;&lt;C&gt;1&lt;/C&gt;&lt;D xsi:type="xsd:double"&gt;56&lt;/D&gt;&lt;/FQL&gt;&lt;FQL&gt;&lt;Q&gt;EWL^PERCENT_CHANGE(FMA_EPS(+1,0,,,,"PORTAGG","MEAN"),FMA_EPS(+1,-1AM,,,,"PORTAGG","MEAN"))&lt;/Q&gt;&lt;R&gt;1&lt;/R&gt;&lt;C&gt;1&lt;/C&gt;&lt;D xsi:type="xsd:double"&gt;3.20441180065938&lt;/D&gt;&lt;/FQL&gt;&lt;FQL&gt;&lt;Q&gt;URTH^FMA_COS_DOWN("EPS","1M",+1,0,,,"PORTAGG","MEANR")&lt;/Q&gt;&lt;R&gt;1&lt;/R&gt;&lt;C&gt;1&lt;/C&gt;&lt;D xsi:type="xsd:double"&gt;580&lt;/D&gt;&lt;/FQL&gt;&lt;FQL&gt;&lt;Q&gt;EWG^FG_ROE(0)&lt;/Q&gt;&lt;R&gt;1&lt;/R&gt;&lt;C&gt;1&lt;/C&gt;&lt;D xsi:type="xsd:double"&gt;10.763845408683&lt;/D&gt;&lt;/FQL&gt;&lt;FQL&gt;&lt;Q&gt;REFCHMPR-FDS^(SUBARRAY(NOT_NA(NO_REPEAT_F(FG_YIELD(NOW,-10AY,D))),0,1)-SUBARRAY(NOT_NA(NO_REPEAT_F(FG_YIELD(NOW,-10AY,D))),1,1))*100&lt;/Q&gt;&lt;R&gt;1&lt;/R&gt;&lt;C&gt;1&lt;/C&gt;&lt;D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xsi:type="xsd:double"&gt;-25&lt;/D&gt;&lt;/FQL&gt;&lt;FQL&gt;&lt;Q&gt;TRYNL10Y-FDS^PCTCHG(FG_YIELD(0,,,,"YTM"),FG_YIELD(-1AM,,,,"YTM"))&lt;/Q&gt;&lt;R&gt;1&lt;/R&gt;&lt;C&gt;1&lt;/C&gt;&lt;D xsi:type="xsd:double"&gt;-6.4777374&lt;/D&gt;&lt;/FQL&gt;&lt;FQL&gt;&lt;Q&gt;EWI^FG_FCF_YIELD_NTM(0)&lt;/Q&gt;&lt;R&gt;1&lt;/R&gt;&lt;C&gt;1&lt;/C&gt;&lt;D xsi:type="xsd:double"&gt;5.76339992315579&lt;/D&gt;&lt;/FQL&gt;&lt;FQL&gt;&lt;Q&gt;SPY^FMA_EVAL_EBITDA(NTMA,0,,,"PORTAGG","MEANR")&lt;/Q&gt;&lt;R&gt;1&lt;/R&gt;&lt;C&gt;1&lt;/C&gt;&lt;D xsi:type="xsd:double"&gt;14.4361096335549&lt;/D&gt;&lt;/FQL&gt;&lt;FQL&gt;&lt;Q&gt;GLD^FG_TOTAL_RETURNC(0,-3AM)&lt;/Q&gt;&lt;R&gt;1&lt;/R&gt;&lt;C&gt;1&lt;/C&gt;&lt;D xsi:type="xsd:double"&gt;5.4356217&lt;/D&gt;&lt;/FQL&gt;&lt;FQL&gt;&lt;Q&gt;EWA^P_PRICE(0)/P_PRICE_LOW_PR(0,,,,,,"PRICE","INTRA","52W")-1&lt;/Q&gt;&lt;R&gt;1&lt;/R&gt;&lt;C&gt;1&lt;/C&gt;&lt;D xsi:type="xsd:double"&gt;0.21945274&lt;/D&gt;&lt;/FQL&gt;&lt;FQL&gt;&lt;Q&gt;URTH^FMA_COS_UP("EPS","1M",+1,0,,,"PORTAGG","MEANR")&lt;/Q&gt;&lt;R&gt;1&lt;/R&gt;&lt;C&gt;1&lt;/C&gt;&lt;D xsi:type="xsd:double"&gt;696&lt;/D&gt;&lt;/FQL&gt;&lt;FQL&gt;&lt;Q&gt;USDCAD^STD(FG_PRICE_CHANGE(0,-3AY,M))&lt;/Q&gt;&lt;R&gt;1&lt;/R&gt;&lt;C&gt;1&lt;/C&gt;&lt;D xsi:type="xsd:double"&gt;1.78482769575188&lt;/D&gt;&lt;/FQL&gt;&lt;FQL&gt;&lt;Q&gt;EWL^FG_PRICE_MAVG(0,,,,200)&lt;/Q&gt;&lt;R&gt;1&lt;/R&gt;&lt;C&gt;1&lt;/C&gt;&lt;D xsi:type="xsd:double"&gt;47.3759&lt;/D&gt;&lt;/FQL&gt;&lt;FQL&gt;&lt;Q&gt;URTH^P_PRICE(0)/P_PRICE_HIGH_PR(0,,,,,,"PRICE","INTRA","52W")&lt;/Q&gt;&lt;R&gt;1&lt;/R&gt;&lt;C&gt;1&lt;/C&gt;&lt;D xsi:type="xsd:double"&gt;0.9823361&lt;/D&gt;&lt;/FQL&gt;&lt;FQL&gt;&lt;Q&gt;EWD^FG_TOTAL_RETURNC(0,-12AM)&lt;/Q&gt;&lt;R&gt;1&lt;/R&gt;&lt;C&gt;1&lt;/C&gt;&lt;D xsi:type="xsd:double"&gt;26.034092&lt;/D&gt;&lt;/FQL&gt;&lt;FQL&gt;&lt;Q&gt;BRENT-FDS^FG_PRICE_CHANGE(0,-3AM)&lt;/Q&gt;&lt;R&gt;1&lt;/R&gt;&lt;C&gt;1&lt;/C&gt;&lt;D xsi:type="xsd:double"&gt;0&lt;/D&gt;&lt;/FQL&gt;&lt;FQL&gt;&lt;Q&gt;EWL^FMA_PCT_ABOVE_MAVG(200,0,,,,"PORTAGG")&lt;/Q&gt;&lt;R&gt;1&lt;/R&gt;&lt;C&gt;1&lt;/C&gt;&lt;D xsi:type="xsd:double"&gt;58.695652173913&lt;/D&gt;&lt;/FQL&gt;&lt;FQL&gt;&lt;Q&gt;VWO^SIZE(FG_CONSTITUENTS)&lt;/Q&gt;&lt;R&gt;1&lt;/R&gt;&lt;C&gt;1&lt;/C&gt;&lt;D xsi:type="xsd:long"&gt;4764&lt;/D&gt;&lt;/FQL&gt;&lt;FQL&gt;&lt;Q&gt;EWA^FG_ROE(0)&lt;/Q&gt;&lt;R&gt;1&lt;/R&gt;&lt;C&gt;1&lt;/C&gt;&lt;D xsi:type="xsd:double"&gt;12.3961533148973&lt;/D&gt;&lt;/FQL&gt;&lt;FQL&gt;&lt;Q&gt;REFCHMPR-FDS^FG_YIELD(NOW,,,0)&lt;/Q&gt;&lt;R&gt;1&lt;/R&gt;&lt;C&gt;1&lt;/C&gt;&lt;D xsi:type="xsd:double"&gt;1.25&lt;/D&gt;&lt;/FQL&gt;&lt;FQL&gt;&lt;Q&gt;CC_CH^IMF_IFS_RCPI_Q(0)&lt;/Q&gt;&lt;R&gt;1&lt;/R&gt;&lt;C&gt;1&lt;/C&gt;&lt;D xsi:type="xsd:double"&gt;1.3619826&lt;/D&gt;&lt;/FQL&gt;&lt;FQL&gt;&lt;Q&gt;EWI^FMA_DIV_YLD(NTMA,NOW,NOW,M,"PORTAGG","MEANR")&lt;/Q&gt;&lt;R&gt;1&lt;/R&gt;&lt;C&gt;1&lt;/C&gt;&lt;D xsi:type="xsd:double"&gt;5.34259311522257&lt;/D&gt;&lt;/FQL&gt;&lt;FQL&gt;&lt;Q&gt;SPY^FG_FCF_YIELD_NTM(0)&lt;/Q&gt;&lt;R&gt;1&lt;/R&gt;&lt;C&gt;1&lt;/C&gt;&lt;D xsi:type="xsd:double"&gt;4.10500027653605&lt;/D&gt;&lt;/FQL&gt;&lt;FQL&gt;&lt;Q&gt;EWL^FMA_PE(LTM,0,,,"PORTAGG","MEANR")&lt;/Q&gt;&lt;R&gt;1&lt;/R&gt;&lt;C&gt;1&lt;/C&gt;&lt;D xsi:type="xsd:double"&gt;21.4636018977828&lt;/D&gt;&lt;/FQL&gt;&lt;FQL&gt;&lt;Q&gt;EWA^FG_FCF_YIELD_NTM(0)&lt;/Q&gt;&lt;R&gt;1&lt;/R&gt;&lt;C&gt;1&lt;/C&gt;&lt;D xsi:type="xsd:double"&gt;4.97869446882147&lt;/D&gt;&lt;/FQL&gt;&lt;FQL&gt;&lt;Q&gt;TLT^P_PRICE(0)/P_PRICE_HIGH_PR(0,,,USD,,,"PRICE","INTRA","52W")&lt;/Q&gt;&lt;R&gt;1&lt;/R&gt;&lt;C&gt;1&lt;/C&gt;&lt;D xsi:type="xsd:double"&gt;0.96887743&lt;/D&gt;&lt;/FQL&gt;&lt;FQL&gt;&lt;Q&gt;SPY^FMA_DIV_YLD(NTMA,NOW,NOW,M,"PORTAGG","MEANR")&lt;/Q&gt;&lt;R&gt;1&lt;/R&gt;&lt;C&gt;1&lt;/C&gt;&lt;D xsi:type="xsd:double"&gt;1.40219317536276&lt;/D&gt;&lt;/FQL&gt;&lt;FQL&gt;&lt;Q&gt;EWL^JULIAN(FMA_DIV_YLD(NTMA,NOW,NOW,M,"PORTAGG","MEANR").DATES)&lt;/Q&gt;&lt;R&gt;1&lt;/R&gt;&lt;C&gt;1&lt;/C&gt;&lt;D xsi:type="xsd:long"&gt;45504&lt;/D&gt;&lt;/FQL&gt;&lt;FQL&gt;&lt;Q&gt;TLT^FG_TOTAL_RETURNC(0,-6AM)&lt;/Q&gt;&lt;R&gt;1&lt;/R&gt;&lt;C&gt;1&lt;/C&gt;&lt;D xsi:type="xsd:double"&gt;7.151246&lt;/D&gt;&lt;/FQL&gt;&lt;FQL&gt;&lt;Q&gt;DDR3512M-FDS^FG_PRICE_CHANGE(0,-6AM)&lt;/Q&gt;&lt;R&gt;1&lt;/R&gt;&lt;C&gt;1&lt;/C&gt;&lt;D xsi:type="xsd:double"&gt;-9.06693492025554&lt;/D&gt;&lt;/FQL&gt;&lt;FQL&gt;&lt;Q&gt;COPP-FDS^MAX(FG_PRICE(0,-5AY))&lt;/Q&gt;&lt;R&gt;1&lt;/R&gt;&lt;C&gt;1&lt;/C&gt;&lt;D xsi:type="xsd:double"&gt;5.119&lt;/D&gt;&lt;/FQL&gt;&lt;FQL&gt;&lt;Q&gt;URTH^FG_TOTAL_RETURNC(0,-6AM)&lt;/Q&gt;&lt;R&gt;1&lt;/R&gt;&lt;C&gt;1&lt;/C&gt;&lt;D xsi:type="xsd:double"&gt;10.068071&lt;/D&gt;&lt;/FQL&gt;&lt;FQL&gt;&lt;Q&gt;EWD^P_PRICE(0)/P_PRICE_LOW_PR(0,,,,,,"PRICE","INTRA","52W")-1&lt;/Q&gt;&lt;R&gt;1&lt;/R&gt;&lt;C&gt;1&lt;/C&gt;&lt;D xsi:type="xsd:double"&gt;0.31204164&lt;/D&gt;&lt;/FQL&gt;&lt;FQL&gt;&lt;Q&gt;EWA^P_PRICE(0)/P_PRICE_HIGH_PR(0,,,,,,"PRICE","INTRA","52W")&lt;/Q&gt;&lt;R&gt;1&lt;/R&gt;&lt;C&gt;1&lt;/C&gt;&lt;D xsi:type="xsd:double"&gt;0.96818006&lt;/D&gt;&lt;/FQL&gt;&lt;FQL&gt;&lt;Q&gt;VWO^FMA_COS_UP("EPS","1M",+1,0,,,"PORTAGG","MEANR")&lt;/Q&gt;&lt;R&gt;1&lt;/R&gt;&lt;C&gt;1&lt;/C&gt;&lt;D xsi:type="xsd:double"&gt;818&lt;/D&gt;&lt;/FQL&gt;&lt;FQL&gt;&lt;Q&gt;EWU^FMA_COS_UP("EPS","1M",+1,0,,,"PORTAGG","MEANR")&lt;/Q&gt;&lt;R&gt;1&lt;/R&gt;&lt;C&gt;1&lt;/C&gt;&lt;D xsi:type="xsd:double"&gt;31&lt;/D&gt;&lt;/FQL&gt;&lt;FQL&gt;&lt;Q&gt;REFCHMPR-FDS^PROPER_NAME(0,,,"SECURITY","NAME")&lt;/Q&gt;&lt;R&gt;1&lt;/R&gt;&lt;C&gt;1&lt;/C&gt;&lt;D xsi:type="xsd:string"&gt;Swiss Policy Rate - Sight Deposit Rate&lt;/D&gt;&lt;/FQL&gt;&lt;FQL&gt;&lt;Q&gt;TRYFR10Y-FDS^FG_YIELD(0,,,,"YTM")&lt;/Q&gt;&lt;R&gt;1&lt;/R&gt;&lt;C&gt;1&lt;/C&gt;&lt;D xsi:type="xsd:double"&gt;2.984&lt;/D&gt;&lt;/FQL&gt;&lt;FQL&gt;&lt;Q&gt;USDNZD^STD(FG_PRICE_CHANGE(0,-3AY,M))&lt;/Q&gt;&lt;R&gt;1&lt;/R&gt;&lt;C&gt;1&lt;/C&gt;&lt;D xsi:type="xsd:double"&gt;3.47996847402444&lt;/D&gt;&lt;/FQL&gt;&lt;FQL&gt;&lt;Q&gt;EWL^FG_PRICE(0)&lt;/Q&gt;&lt;R&gt;1&lt;/R&gt;&lt;C&gt;1&lt;/C&gt;&lt;D xsi:type="xsd:double"&gt;50.76&lt;/D&gt;&lt;/FQL&gt;&lt;FQL&gt;&lt;Q&gt;EWA^FG_TOTAL_RETURNC(0,-6AM)&lt;/Q&gt;&lt;R&gt;1&lt;/R&gt;&lt;C&gt;1&lt;/C&gt;&lt;D xsi:type="xsd:double"&gt;7.1899533&lt;/D&gt;&lt;/FQL&gt;&lt;FQL&gt;&lt;Q&gt;DDR3512M-FDS^FG_PRICE_CHANGE(0,-3AM)&lt;/Q&gt;&lt;R&gt;1&lt;/R&gt;&lt;C&gt;1&lt;/C&gt;&lt;D xsi:type="xsd:double"&gt;-8.37347737195206&lt;/D&gt;&lt;/FQL&gt;&lt;FQL&gt;&lt;Q&gt;URTH^FG_TOTAL_RETURNC(0,-1AM)&lt;/Q&gt;&lt;R&gt;1&lt;/R&gt;&lt;C&gt;1&lt;/C&gt;&lt;D xsi:type="xsd:double"&gt;-1.6894937&lt;/D&gt;&lt;/FQL&gt;&lt;FQL&gt;&lt;Q&gt;EWD^PERCENT_CHANGE(FMA_EPS(+1,0,,,,"PORTAGG","MEAN"),FMA_EPS(+1,-3AM,,,,"PORTAGG","MEAN"))&lt;/Q&gt;&lt;R&gt;1&lt;/R&gt;&lt;C&gt;1&lt;/C&gt;&lt;D xsi:type="xsd:double"&gt;-1.17770696632146&lt;/D&gt;&lt;/FQL&gt;&lt;FQL&gt;&lt;Q&gt;VGK^SIZE(FG_CONSTITUENTS)&lt;/Q&gt;&lt;R&gt;1&lt;/R&gt;&lt;C&gt;1&lt;/C&gt;&lt;D xsi:type="xsd:long"&gt;1283&lt;/D&gt;&lt;/FQL&gt;&lt;FQL&gt;&lt;Q&gt;REFJPTON-FDS^(SUBARRAY(NOT_NA(NO_REPEAT_F(FG_YIELD(NOW,-10AY,D))),0,1)-SUBARRAY(NOT_NA(NO_REPEAT_F(FG_YIELD(NOW,-10AY,D))),1,1))*100&lt;/Q&gt;&lt;R&gt;1&lt;/R&gt;&lt;C&gt;1&lt;/C&gt;&lt;D xsi:type="xsd:double"&gt;15&lt;/D&gt;&lt;/FQL&gt;&lt;FQL&gt;&lt;Q&gt;TRYGB10Y-FDS^PCTCHG(FG_YIELD(0,,,,"YTM"),FG_YIELD(-3AM,,,,"YTM"))&lt;/Q&gt;&lt;R&gt;1&lt;/R&gt;&lt;C&gt;1&lt;/C&gt;&lt;D xsi:type="xsd:double"&gt;-3.3267617&lt;/D&gt;&lt;/FQL&gt;&lt;FQL&gt;&lt;Q&gt;EWL^FMA_EPS(NTMA,-20AY,0,CY,,"PORTAGG","MEANR")&lt;/Q&gt;&lt;R&gt;20&lt;/R&gt;&lt;C&gt;1&lt;/C&gt;&lt;D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xsi:type="xsd:double"&gt;2.36864078682371&lt;/D&gt;&lt;D xsi:type="xsd:double"&gt;2.66234515884581&lt;/D&gt;&lt;D xsi:type="xsd:double"&gt;2.58388720632297&lt;/D&gt;&lt;D xsi:type="xsd:double"&gt;2.86470858427176&lt;/D&gt;&lt;/FQL&gt;&lt;FQL&gt;&lt;Q&gt;COPP-FDS^FG_PRICE_CHANGE(0,-6AM)&lt;/Q&gt;&lt;R&gt;1&lt;/R&gt;&lt;C&gt;1&lt;/C&gt;&lt;D xsi:type="xsd:double"&gt;7.54299114121939&lt;/D&gt;&lt;/FQL&gt;&lt;FQL&gt;&lt;Q&gt;USO^P_PRICE(0)/P_PRICE_HIGH_PR(0,,,USD,,,"PRICE","INTRA","52W")&lt;/Q&gt;&lt;R&gt;1&lt;/R&gt;&lt;C&gt;1&lt;/C&gt;&lt;D xsi:type="xsd:double"&gt;0.9149982&lt;/D&gt;&lt;/FQL&gt;&lt;FQL&gt;&lt;Q&gt;VWO^P_PRICE(0)/P_PRICE_LOW_PR(0,,,,,,"PRICE","INTRA","52W")-1&lt;/Q&gt;&lt;R&gt;1&lt;/R&gt;&lt;C&gt;1&lt;/C&gt;&lt;D xsi:type="xsd:double"&gt;0.19423306&lt;/D&gt;&lt;/FQL&gt;&lt;FQL&gt;&lt;Q&gt;EWD^FMA_PCT_ABOVE_MAVG(200,0,,,,"PORTAGG")&lt;/Q&gt;&lt;R&gt;1&lt;/R&gt;&lt;C&gt;1&lt;/C&gt;&lt;D xsi:type="xsd:double"&gt;54.5454545454545&lt;/D&gt;&lt;/FQL&gt;&lt;FQL&gt;&lt;Q&gt;VGK^FMA_COS_DOWN("EPS","1M",+1,0,,,"PORTAGG","MEANR")&lt;/Q&gt;&lt;R&gt;1&lt;/R&gt;&lt;C&gt;1&lt;/C&gt;&lt;D xsi:type="xsd:double"&gt;488&lt;/D&gt;&lt;/FQL&gt;&lt;FQL&gt;&lt;Q&gt;EWG^FMA_COS_DOWN("EPS","1M",+1,0,,,"PORTAGG","MEANR")&lt;/Q&gt;&lt;R&gt;1&lt;/R&gt;&lt;C&gt;1&lt;/C&gt;&lt;D xsi:type="xsd:double"&gt;29&lt;/D&gt;&lt;/FQL&gt;&lt;FQL&gt;&lt;Q&gt;REFJPTON-FDS^FG_YIELD(NOW,,,0)&lt;/Q&gt;&lt;R&gt;1&lt;/R&gt;&lt;C&gt;1&lt;/C&gt;&lt;D xsi:type="xsd:double"&gt;0.25&lt;/D&gt;&lt;/FQL&gt;&lt;FQL&gt;&lt;Q&gt;CC_CA^IMF_IFS_RCPI_Q(0)&lt;/Q&gt;&lt;R&gt;1&lt;/R&gt;&lt;C&gt;1&lt;/C&gt;&lt;D xsi:type="xsd:double"&gt;2.7411842&lt;/D&gt;&lt;/FQL&gt;&lt;FQL&gt;&lt;Q&gt;EWD^FG_FCF_YIELD_NTM(0)&lt;/Q&gt;&lt;R&gt;1&lt;/R&gt;&lt;C&gt;1&lt;/C&gt;&lt;D xsi:type="xsd:double"&gt;5.24833127396306&lt;/D&gt;&lt;/FQL&gt;&lt;FQL&gt;&lt;Q&gt;SPY^FMA_PE(LTM,0,,,"PORTAGG","MEANR")&lt;/Q&gt;&lt;R&gt;1&lt;/R&gt;&lt;C&gt;1&lt;/C&gt;&lt;D xsi:type="xsd:double"&gt;25.8754509108385&lt;/D&gt;&lt;/FQL&gt;&lt;FQL&gt;&lt;Q&gt;EWJ^FMA_DIV_YLD(NTMA,NOW,NOW,M,"PORTAGG","MEANR")&lt;/Q&gt;&lt;R&gt;1&lt;/R&gt;&lt;C&gt;1&lt;/C&gt;&lt;D xsi:type="xsd:double"&gt;2.27785188763996&lt;/D&gt;&lt;/FQL&gt;&lt;FQL&gt;&lt;Q&gt;EWA^FMA_PE(LTM,0,,,"PORTAGG","MEANR")&lt;/Q&gt;&lt;R&gt;1&lt;/R&gt;&lt;C&gt;1&lt;/C&gt;&lt;D xsi:type="xsd:double"&gt;19.018126496452&lt;/D&gt;&lt;/FQL&gt;&lt;FQL&gt;&lt;Q&gt;USO^FG_TOTAL_RETURNC(0,-6AM)&lt;/Q&gt;&lt;R&gt;1&lt;/R&gt;&lt;C&gt;1&lt;/C&gt;&lt;D xsi:type="xsd:double"&gt;3.9640307&lt;/D&gt;&lt;/FQL&gt;&lt;FQL&gt;&lt;Q&gt;EWA^JULIAN(FMA_DIV_YLD(NTMA,NOW,NOW,M,"PORTAGG","MEANR").DATES)&lt;/Q&gt;&lt;R&gt;1&lt;/R&gt;&lt;C&gt;1&lt;/C&gt;&lt;D xsi:type="xsd:long"&gt;45504&lt;/D&gt;&lt;/FQL&gt;&lt;FQL&gt;&lt;Q&gt;QQQ^FMA_EVAL_EBIT(LTMA,NOW,NOW,M,"PORTAGG","MEANR")&lt;/Q&gt;&lt;R&gt;1&lt;/R&gt;&lt;C&gt;1&lt;/C&gt;&lt;D xsi:type="xsd:double"&gt;24.4050700050301&lt;/D&gt;&lt;/FQL&gt;&lt;FQL&gt;&lt;Q&gt;DUMMY^ECON_DATE(45400,,, 'MM/YYYY')&lt;/Q&gt;&lt;R&gt;1&lt;/R&gt;&lt;C&gt;1&lt;/C&gt;&lt;D xsi:type="xsd:string"&gt;04/2024&lt;/D&gt;&lt;/FQL&gt;&lt;FQL&gt;&lt;Q&gt;DUMMY^ECON_DATE(45491,,, 'MM/YYYY')&lt;/Q&gt;&lt;R&gt;1&lt;/R&gt;&lt;C&gt;1&lt;/C&gt;&lt;D xsi:type="xsd:string"&gt;07/2024&lt;/D&gt;&lt;/FQL&gt;&lt;FQL&gt;&lt;Q&gt;CC_AU^IMF_IFS_RCPI_Q(-1AM)&lt;/Q&gt;&lt;R&gt;0&lt;/R&gt;&lt;C&gt;0&lt;/C&gt;&lt;/FQL&gt;&lt;FQL&gt;&lt;Q&gt;DUMMY^ECON_EXPR_DATA('FDS_ECON[NTCPMIMFGSA@NZ]',07/2024,,Q)&lt;/Q&gt;&lt;R&gt;1&lt;/R&gt;&lt;C&gt;1&lt;/C&gt;&lt;D xsi:type="xsd:double"&gt;45.437874&lt;/D&gt;&lt;/FQL&gt;&lt;FQL&gt;&lt;Q&gt;DUMMY^ECON_EXPR_DATA('FDS_ECON[NTCPMIMFGSA@NZ]',04/2024,,Q)&lt;/Q&gt;&lt;R&gt;1&lt;/R&gt;&lt;C&gt;1&lt;/C&gt;&lt;D xsi:type="xsd:double"&gt;47.78823&lt;/D&gt;&lt;/FQL&gt;&lt;FQL&gt;&lt;Q&gt;DUMMY^ECON_EXPR_DATA('FDS_ECON[NTCPMIMFGSA@AU]',07/2024,,Q)&lt;/Q&gt;&lt;R&gt;1&lt;/R&gt;&lt;C&gt;1&lt;/C&gt;&lt;D xsi:type="xsd:double"&gt;48.811333&lt;/D&gt;&lt;/FQL&gt;&lt;FQL&gt;&lt;Q&gt;DUMMY^ECON_EXPR_DATA('FDS_ECON[NTCPMIMFGSA@AU]',04/2024,,Q)&lt;/Q&gt;&lt;R&gt;1&lt;/R&gt;&lt;C&gt;1&lt;/C&gt;&lt;D xsi:type="xsd:double"&gt;48.39547&lt;/D&gt;&lt;/FQL&gt;&lt;FQL&gt;&lt;Q&gt;DUMMY^ECON_EXPR_DATA('FDS_ECON[NTCPMIMFGSA@CA]',07/2024,,Q)&lt;/Q&gt;&lt;R&gt;1&lt;/R&gt;&lt;C&gt;1&lt;/C&gt;&lt;D xsi:type="xsd:double"&gt;49.331886&lt;/D&gt;&lt;/FQL&gt;&lt;FQL&gt;&lt;Q&gt;DUMMY^ECON_EXPR_DATA('FDS_ECON[NTCPMIMFGSA@CA]',04/2024,,Q)&lt;/Q&gt;&lt;R&gt;1&lt;/R&gt;&lt;C&gt;1&lt;/C&gt;&lt;D xsi:type="xsd:double"&gt;49.30091&lt;/D&gt;&lt;/FQL&gt;&lt;FQL&gt;&lt;Q&gt;DUMMY^ECON_EXPR_DATA('FDS_ECON[NTCPMIMFGSA@DE]',07/2024,,Q)&lt;/Q&gt;&lt;R&gt;1&lt;/R&gt;&lt;C&gt;1&lt;/C&gt;&lt;D xsi:type="xsd:double"&gt;43.782&lt;/D&gt;&lt;/FQL&gt;&lt;FQL&gt;&lt;Q&gt;DUMMY^ECON_EXPR_DATA('FDS_ECON[NTCPMIMFGSA@DE]',04/2024,,Q)&lt;/Q&gt;&lt;R&gt;1&lt;/R&gt;&lt;C&gt;1&lt;/C&gt;&lt;D xsi:type="xsd:double"&gt;43.319096&lt;/D&gt;&lt;/FQL&gt;&lt;FQL&gt;&lt;Q&gt;DUMMY^ECON_EXPR_DATA('FDS_ECON[NTCPMIMFGSA@JP]',07/2024,,Q)&lt;/Q&gt;&lt;R&gt;1&lt;/R&gt;&lt;C&gt;1&lt;/C&gt;&lt;D xsi:type="xsd:double"&gt;49.991356&lt;/D&gt;&lt;/FQL&gt;&lt;FQL&gt;&lt;Q&gt;DUMMY^ECON_EXPR_DATA('FDS_ECON[NTCPMIMFGSA@JP]',04/2024,,Q)&lt;/Q&gt;&lt;R&gt;1&lt;/R&gt;&lt;C&gt;1&lt;/C&gt;&lt;D xsi:type="xsd:double"&gt;47.808857&lt;/D&gt;&lt;/FQL&gt;&lt;FQL&gt;&lt;Q&gt;DUMMY^ECON_EXPR_DATA('FDS_ECON[NTCPMIMFGSA@CH]',07/2024,,Q)&lt;/Q&gt;&lt;R&gt;1&lt;/R&gt;&lt;C&gt;1&lt;/C&gt;&lt;D xsi:type="xsd:double"&gt;43.896877&lt;/D&gt;&lt;/FQL&gt;&lt;FQL&gt;&lt;Q&gt;DUMMY^ECON_EXPR_DATA('FDS_ECON[NTCPMIMFGSA@CH]',04/2024,,Q)&lt;/Q&gt;&lt;R&gt;1&lt;/R&gt;&lt;C&gt;1&lt;/C&gt;&lt;D xsi:type="xsd:double"&gt;44.08605&lt;/D&gt;&lt;/FQL&gt;&lt;FQL&gt;&lt;Q&gt;DUMMY^ECON_EXPR_DATA('FDS_ECON[NTCPMIMFGSA@GB]',07/2024,,Q)&lt;/Q&gt;&lt;R&gt;1&lt;/R&gt;&lt;C&gt;1&lt;/C&gt;&lt;D xsi:type="xsd:double"&gt;50.395269999999996&lt;/D&gt;&lt;/FQL&gt;&lt;FQL&gt;&lt;Q&gt;DUMMY^ECON_EXPR_DATA('FDS_ECON[NTCPMIMFGSA@GB]',04/2024,,Q)&lt;/Q&gt;&lt;R&gt;1&lt;/R&gt;&lt;C&gt;1&lt;/C&gt;&lt;D xsi:type="xsd:double"&gt;48.24796&lt;/D&gt;&lt;/FQL&gt;&lt;FQL&gt;&lt;Q&gt;DUMMY^ECON_EXPR_DATA('FDS_ECON[NTCPMIMFGMESA@US]',07/2024,,Q)&lt;/Q&gt;&lt;R&gt;1&lt;/R&gt;&lt;C&gt;1&lt;/C&gt;&lt;D xsi:type="xsd:double"&gt;50.939392&lt;/D&gt;&lt;/FQL&gt;&lt;FQL&gt;&lt;Q&gt;DUMMY^ECON_EXPR_DATA('FDS_ECON[NTCPMIMFGMESA@US]',04/2024,,Q)&lt;/Q&gt;&lt;R&gt;1&lt;/R&gt;&lt;C&gt;1&lt;/C&gt;&lt;D xsi:type="xsd:double"&gt;51.582687&lt;/D&gt;&lt;/FQL&gt;&lt;FQL&gt;&lt;Q&gt;DUMMY^ECON_EXPR_DATA('FDS_ECON[NTCPMIMFGSA@FR]',07/2024,,Q)&lt;/Q&gt;&lt;R&gt;1&lt;/R&gt;&lt;C&gt;1&lt;/C&gt;&lt;D xsi:type="xsd:double"&gt;45.684513&lt;/D&gt;&lt;/FQL&gt;&lt;FQL&gt;&lt;Q&gt;DUMMY^ECON_EXPR_DATA('FDS_ECON[NTCPMIMFGSA@FR]',04/2024,,Q)&lt;/Q&gt;&lt;R&gt;1&lt;/R&gt;&lt;C&gt;1&lt;/C&gt;&lt;D xsi:type="xsd:double"&gt;45.498753&lt;/D&gt;&lt;/FQL&gt;&lt;FQL&gt;&lt;Q&gt;DUMMY^ECON_EXPR_DATA('FDS_ECON[NTCPMIMFGSA@NL]',07/2024,,Q)&lt;/Q&gt;&lt;R&gt;1&lt;/R&gt;&lt;C&gt;1&lt;/C&gt;&lt;D xsi:type="xsd:double"&gt;51.49388&lt;/D&gt;&lt;/FQL&gt;&lt;FQL&gt;&lt;Q&gt;DUMMY^ECON_EXPR_DATA('FDS_ECON[NTCPMIMFGSA@NL]',04/2024,,Q)&lt;/Q&gt;&lt;R&gt;1&lt;/R&gt;&lt;C&gt;1&lt;/C&gt;&lt;D xsi:type="xsd:double"&gt;49.325874&lt;/D&gt;&lt;/FQL&gt;&lt;FQL&gt;&lt;Q&gt;DUMMY^ECON_EXPR_DATA('FDS_ECON[]',07/2024,,Q)&lt;/Q&gt;&lt;R&gt;0&lt;/R&gt;&lt;C&gt;0&lt;/C&gt;&lt;/FQL&gt;&lt;FQL&gt;&lt;Q&gt;DUMMY^ECON_EXPR_DATA('FDS_ECON[]',04/2024,,Q)&lt;/Q&gt;&lt;R&gt;0&lt;/R&gt;&lt;C&gt;0&lt;/C&gt;&lt;/FQL&gt;&lt;FQL&gt;&lt;Q&gt;DUMMY^ECON_EXPR_DATA('FDS_ECON[NTCPMIMFGSA@IT]',07/2024,,Q)&lt;/Q&gt;&lt;R&gt;1&lt;/R&gt;&lt;C&gt;1&lt;/C&gt;&lt;D xsi:type="xsd:double"&gt;46.215786&lt;/D&gt;&lt;/FQL&gt;&lt;FQL&gt;&lt;Q&gt;DUMMY^ECON_EXPR_DATA('FDS_ECON[NTCPMIMFGSA@IT]',04/2024,,Q)&lt;/Q&gt;&lt;R&gt;1&lt;/R&gt;&lt;C&gt;1&lt;/C&gt;&lt;D xsi:type="xsd:double"&gt;49.208153&lt;/D&gt;&lt;/FQL&gt;&lt;FQL&gt;&lt;Q&gt;DUMMY^ECON_EXPR_DATA('FDS_ECON[PMIDMMANHE]',07/2024,,Q)&lt;/Q&gt;&lt;R&gt;1&lt;/R&gt;&lt;C&gt;1&lt;/C&gt;&lt;D xsi:type="xsd:double"&gt;49.418633&lt;/D&gt;&lt;/FQL&gt;&lt;FQL&gt;&lt;Q&gt;DUMMY^ECON_EXPR_DATA('FDS_ECON[PMIDMMANHE]',04/2024,,Q)&lt;/Q&gt;&lt;R&gt;1&lt;/R&gt;&lt;C&gt;1&lt;/C&gt;&lt;D xsi:type="xsd:double"&gt;49.13539&lt;/D&gt;&lt;/FQL&gt;&lt;FQL&gt;&lt;Q&gt;DUMMY^ECON_EXPR_DATA('FDS_ECON[NTCPMIMFGSA@EME]',07/2024,,Q)&lt;/Q&gt;&lt;R&gt;1&lt;/R&gt;&lt;C&gt;1&lt;/C&gt;&lt;D xsi:type="xsd:double"&gt;52.007824&lt;/D&gt;&lt;/FQL&gt;&lt;FQL&gt;&lt;Q&gt;DUMMY^ECON_EXPR_DATA('FDS_ECON[NTCPMIMFGSA@EME]',04/2024,,Q)&lt;/Q&gt;&lt;R&gt;1&lt;/R&gt;&lt;C&gt;1&lt;/C&gt;&lt;D xsi:type="xsd:double"&gt;51.519516&lt;/D&gt;&lt;/FQL&gt;&lt;FQL&gt;&lt;Q&gt;CC_AU^IMF_IFS_RCPI_Q(-2AM)&lt;/Q&gt;&lt;R&gt;1&lt;/R&gt;&lt;C&gt;1&lt;/C&gt;&lt;D xsi:type="xsd:double"&gt;3.61991&lt;/D&gt;&lt;/FQL&gt;&lt;/Schema&gt;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<sst xmlns="http://schemas.openxmlformats.org/spreadsheetml/2006/main" count="2053" uniqueCount="915">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</sst>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3" fillId="0" borderId="4" xfId="0" applyNumberFormat="1" applyFont="1" applyBorder="1"/>
    <xf numFmtId="14" fontId="43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H20" sqref="H20"/>
    </sheetView>
  </sheetViews>
  <sheetFormatPr defaultRowHeight="14.5" x14ac:dyDescent="0.35"/>
  <cols>
    <col min="3" max="3" width="18.54296875" customWidth="1"/>
    <col min="4" max="4" width="26.81640625" customWidth="1"/>
    <col min="5" max="5" width="24.81640625" bestFit="1" customWidth="1"/>
    <col min="6" max="6" width="18.81640625" customWidth="1"/>
    <col min="7" max="7" width="27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1" t="s">
        <v>415</v>
      </c>
      <c r="D8" s="51" t="s">
        <v>55</v>
      </c>
    </row>
    <row r="9" spans="3:19" ht="15" thickBot="1" x14ac:dyDescent="0.4">
      <c r="M9" t="s">
        <v>473</v>
      </c>
      <c r="N9" s="66">
        <v>0.06</v>
      </c>
      <c r="S9" s="65"/>
    </row>
    <row r="10" spans="3:19" x14ac:dyDescent="0.35">
      <c r="C10" s="1" t="s">
        <v>416</v>
      </c>
      <c r="D10" s="62" t="s">
        <v>61</v>
      </c>
      <c r="E10" s="16" t="s">
        <v>9</v>
      </c>
      <c r="F10" s="16" t="s">
        <v>56</v>
      </c>
      <c r="G10" s="188" t="s">
        <v>57</v>
      </c>
    </row>
    <row r="11" spans="3:19" ht="15" thickBot="1" x14ac:dyDescent="0.4">
      <c r="D11" s="189" t="s">
        <v>82</v>
      </c>
      <c r="E11" s="68">
        <v>0.4</v>
      </c>
      <c r="F11" s="68">
        <v>0.3</v>
      </c>
      <c r="G11" s="190">
        <v>0.3</v>
      </c>
    </row>
    <row r="12" spans="3:19" s="19" customFormat="1" ht="15" thickBot="1" x14ac:dyDescent="0.4">
      <c r="D12" s="191" t="s">
        <v>81</v>
      </c>
      <c r="E12" s="192">
        <f>E11*$E$34</f>
        <v>0.4</v>
      </c>
      <c r="F12" s="192">
        <f t="shared" ref="F12:G12" si="0">F11*$E$34</f>
        <v>0.3</v>
      </c>
      <c r="G12" s="193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5" thickBot="1" x14ac:dyDescent="0.4">
      <c r="D13" s="20"/>
      <c r="E13" s="18"/>
      <c r="F13" s="18"/>
      <c r="G13" s="18"/>
      <c r="M13" s="54" t="s">
        <v>451</v>
      </c>
      <c r="N13" s="55">
        <f>(1/'Value -2 '!H11)</f>
        <v>4.75979256560825E-2</v>
      </c>
      <c r="O13" s="55">
        <f>N13*(1+N9)</f>
        <v>5.0453801195447449E-2</v>
      </c>
    </row>
    <row r="14" spans="3:19" x14ac:dyDescent="0.35">
      <c r="C14" s="1" t="s">
        <v>417</v>
      </c>
      <c r="D14" s="15" t="s">
        <v>78</v>
      </c>
      <c r="E14" s="194" t="s">
        <v>63</v>
      </c>
      <c r="F14" s="195" t="s">
        <v>64</v>
      </c>
      <c r="G14" s="195" t="s">
        <v>79</v>
      </c>
      <c r="H14" s="11" t="s">
        <v>77</v>
      </c>
      <c r="M14" s="56" t="s">
        <v>452</v>
      </c>
      <c r="N14" s="57">
        <f>(1/'Value -2 '!G11)</f>
        <v>3.8646669518757185E-2</v>
      </c>
      <c r="O14" s="58"/>
    </row>
    <row r="15" spans="3:19" x14ac:dyDescent="0.35">
      <c r="D15" s="189" t="s">
        <v>82</v>
      </c>
      <c r="E15" s="66">
        <v>0.2</v>
      </c>
      <c r="F15" s="66">
        <v>0.2</v>
      </c>
      <c r="G15" s="66">
        <v>0.3</v>
      </c>
      <c r="H15" s="196">
        <v>0.3</v>
      </c>
      <c r="M15" s="56"/>
      <c r="N15" s="58"/>
      <c r="O15" s="58"/>
    </row>
    <row r="16" spans="3:19" ht="15" thickBot="1" x14ac:dyDescent="0.4">
      <c r="D16" s="191" t="s">
        <v>81</v>
      </c>
      <c r="E16" s="192">
        <f t="shared" ref="E16:F16" si="1">E15*$F$34</f>
        <v>0</v>
      </c>
      <c r="F16" s="192">
        <f t="shared" si="1"/>
        <v>0</v>
      </c>
      <c r="G16" s="192">
        <f>G15*$F$34</f>
        <v>0</v>
      </c>
      <c r="H16" s="193">
        <f>H15*$F$34</f>
        <v>0</v>
      </c>
      <c r="M16" s="56" t="s">
        <v>453</v>
      </c>
      <c r="N16" s="57">
        <f>'LIQIDITY 2'!L11/100</f>
        <v>5.5E-2</v>
      </c>
      <c r="O16" s="64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6" t="s">
        <v>454</v>
      </c>
      <c r="N17" s="57">
        <f>'LIQIDITY 2'!E10/100</f>
        <v>3.8877999999999996E-2</v>
      </c>
      <c r="O17" s="58"/>
    </row>
    <row r="18" spans="3:22" x14ac:dyDescent="0.35">
      <c r="C18" s="1" t="s">
        <v>418</v>
      </c>
      <c r="D18" s="62" t="s">
        <v>70</v>
      </c>
      <c r="E18" s="127" t="s">
        <v>73</v>
      </c>
      <c r="F18" s="5"/>
      <c r="M18" s="56"/>
      <c r="N18" s="58"/>
      <c r="O18" s="58"/>
    </row>
    <row r="19" spans="3:22" x14ac:dyDescent="0.35">
      <c r="D19" s="189" t="s">
        <v>82</v>
      </c>
      <c r="E19" s="196">
        <v>1</v>
      </c>
      <c r="F19" s="5"/>
      <c r="G19" s="5"/>
      <c r="M19" s="56"/>
      <c r="N19" s="58"/>
      <c r="O19" s="58"/>
    </row>
    <row r="20" spans="3:22" ht="15" thickBot="1" x14ac:dyDescent="0.4">
      <c r="D20" s="191" t="s">
        <v>81</v>
      </c>
      <c r="E20" s="197">
        <f>E19*$G$34</f>
        <v>0</v>
      </c>
      <c r="F20" s="5"/>
      <c r="G20" s="5"/>
      <c r="M20" s="56"/>
      <c r="N20" s="58"/>
      <c r="O20" s="58"/>
    </row>
    <row r="21" spans="3:22" ht="15" thickBot="1" x14ac:dyDescent="0.4">
      <c r="G21" s="5"/>
      <c r="M21" s="56" t="s">
        <v>455</v>
      </c>
      <c r="N21" s="57">
        <f>N13-N16</f>
        <v>-7.4020743439175002E-3</v>
      </c>
      <c r="O21" s="57">
        <f>O13-O16</f>
        <v>5.4538011954474511E-3</v>
      </c>
    </row>
    <row r="22" spans="3:22" ht="15" thickBot="1" x14ac:dyDescent="0.4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8.7199256560825042E-3</v>
      </c>
      <c r="O22" s="57"/>
    </row>
    <row r="23" spans="3:22" x14ac:dyDescent="0.35">
      <c r="D23" s="189" t="s">
        <v>82</v>
      </c>
      <c r="E23" s="66">
        <v>0</v>
      </c>
      <c r="F23" s="196">
        <v>0</v>
      </c>
      <c r="G23" s="5"/>
      <c r="M23" s="9"/>
      <c r="N23" s="5"/>
      <c r="T23" s="9"/>
    </row>
    <row r="24" spans="3:22" ht="15" thickBot="1" x14ac:dyDescent="0.4">
      <c r="D24" s="191" t="s">
        <v>81</v>
      </c>
      <c r="E24" s="17">
        <f>E23*$H$34</f>
        <v>0</v>
      </c>
      <c r="F24" s="151">
        <f t="shared" ref="F24" si="2">F23*$H$34</f>
        <v>0</v>
      </c>
      <c r="G24" s="5"/>
      <c r="Q24" s="5"/>
      <c r="R24" s="53"/>
      <c r="T24" s="9"/>
      <c r="V24" s="9"/>
    </row>
    <row r="25" spans="3:22" ht="15" thickBot="1" x14ac:dyDescent="0.4"/>
    <row r="26" spans="3:22" x14ac:dyDescent="0.35">
      <c r="C26" s="114" t="s">
        <v>766</v>
      </c>
      <c r="D26" s="150" t="s">
        <v>767</v>
      </c>
      <c r="E26" s="10" t="s">
        <v>765</v>
      </c>
      <c r="F26" s="11" t="s">
        <v>768</v>
      </c>
    </row>
    <row r="27" spans="3:22" x14ac:dyDescent="0.35">
      <c r="D27" s="189" t="s">
        <v>82</v>
      </c>
      <c r="E27" s="66">
        <v>0.6</v>
      </c>
      <c r="F27" s="196">
        <v>0.4</v>
      </c>
    </row>
    <row r="28" spans="3:22" ht="15" thickBot="1" x14ac:dyDescent="0.4">
      <c r="D28" s="191" t="s">
        <v>81</v>
      </c>
      <c r="E28" s="17">
        <f>E27*$I$34</f>
        <v>0</v>
      </c>
      <c r="F28" s="151">
        <f>F27*$I$34</f>
        <v>0</v>
      </c>
    </row>
    <row r="29" spans="3:22" ht="15" thickBot="1" x14ac:dyDescent="0.4"/>
    <row r="30" spans="3:22" x14ac:dyDescent="0.35">
      <c r="C30" t="s">
        <v>859</v>
      </c>
      <c r="D30" s="15" t="s">
        <v>860</v>
      </c>
      <c r="E30" s="198">
        <v>0.2</v>
      </c>
    </row>
    <row r="31" spans="3:22" ht="15" thickBot="1" x14ac:dyDescent="0.4">
      <c r="D31" s="12"/>
      <c r="E31" s="151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9" t="s">
        <v>767</v>
      </c>
      <c r="J33" s="119" t="s">
        <v>860</v>
      </c>
    </row>
    <row r="34" spans="3:12" ht="15" thickBot="1" x14ac:dyDescent="0.4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35">
      <c r="C38" s="51" t="s">
        <v>419</v>
      </c>
      <c r="D38" s="51" t="s">
        <v>60</v>
      </c>
    </row>
    <row r="39" spans="3:12" x14ac:dyDescent="0.3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1" t="s">
        <v>398</v>
      </c>
      <c r="D42" s="51" t="s">
        <v>10</v>
      </c>
    </row>
    <row r="43" spans="3:12" x14ac:dyDescent="0.35">
      <c r="C43" t="s">
        <v>420</v>
      </c>
      <c r="D43" t="s">
        <v>414</v>
      </c>
      <c r="E43" s="5">
        <v>0.5</v>
      </c>
    </row>
    <row r="44" spans="3:12" x14ac:dyDescent="0.35">
      <c r="C44" t="s">
        <v>421</v>
      </c>
      <c r="D44" t="s">
        <v>460</v>
      </c>
      <c r="E44" s="5">
        <v>0.25</v>
      </c>
      <c r="F44" s="5"/>
    </row>
    <row r="45" spans="3:12" x14ac:dyDescent="0.35">
      <c r="C45" t="s">
        <v>461</v>
      </c>
      <c r="D45" t="s">
        <v>462</v>
      </c>
      <c r="E45" s="5">
        <v>0.25</v>
      </c>
    </row>
    <row r="47" spans="3:12" x14ac:dyDescent="0.35">
      <c r="D47" s="1"/>
    </row>
    <row r="48" spans="3:12" x14ac:dyDescent="0.35">
      <c r="C48" s="51" t="s">
        <v>422</v>
      </c>
      <c r="D48" s="51" t="s">
        <v>912</v>
      </c>
    </row>
    <row r="49" spans="3:8" x14ac:dyDescent="0.35">
      <c r="E49" t="s">
        <v>395</v>
      </c>
      <c r="F49" t="s">
        <v>396</v>
      </c>
    </row>
    <row r="50" spans="3:8" x14ac:dyDescent="0.35">
      <c r="D50" t="s">
        <v>65</v>
      </c>
      <c r="E50" s="73">
        <v>-0.05</v>
      </c>
      <c r="F50">
        <v>-10</v>
      </c>
    </row>
    <row r="52" spans="3:8" x14ac:dyDescent="0.35">
      <c r="E52" s="1" t="s">
        <v>913</v>
      </c>
      <c r="F52" t="s">
        <v>520</v>
      </c>
      <c r="G52" t="s">
        <v>405</v>
      </c>
    </row>
    <row r="53" spans="3:8" x14ac:dyDescent="0.3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3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3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425</v>
      </c>
      <c r="D57" t="s">
        <v>426</v>
      </c>
      <c r="E57" s="5">
        <v>0.3</v>
      </c>
    </row>
    <row r="58" spans="3:8" x14ac:dyDescent="0.35">
      <c r="C58" t="s">
        <v>427</v>
      </c>
      <c r="D58" t="s">
        <v>428</v>
      </c>
      <c r="E58" s="5">
        <v>0.2</v>
      </c>
    </row>
    <row r="60" spans="3:8" x14ac:dyDescent="0.35">
      <c r="C60" s="51" t="s">
        <v>500</v>
      </c>
      <c r="D60" s="51" t="s">
        <v>495</v>
      </c>
    </row>
    <row r="61" spans="3:8" x14ac:dyDescent="0.35">
      <c r="D61" t="s">
        <v>497</v>
      </c>
      <c r="F61" s="5">
        <v>0.25</v>
      </c>
      <c r="G61" t="s">
        <v>527</v>
      </c>
    </row>
    <row r="62" spans="3:8" x14ac:dyDescent="0.35">
      <c r="D62" t="s">
        <v>498</v>
      </c>
      <c r="F62" s="5">
        <v>0.25</v>
      </c>
    </row>
    <row r="63" spans="3:8" x14ac:dyDescent="0.35">
      <c r="D63" t="s">
        <v>499</v>
      </c>
      <c r="F63" s="5">
        <v>0.25</v>
      </c>
    </row>
    <row r="64" spans="3:8" x14ac:dyDescent="0.35">
      <c r="D64" t="s">
        <v>539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1" t="s">
        <v>494</v>
      </c>
      <c r="D69" s="51" t="s">
        <v>423</v>
      </c>
    </row>
    <row r="71" spans="3:9" x14ac:dyDescent="0.35">
      <c r="C71" s="114" t="s">
        <v>778</v>
      </c>
      <c r="D71" s="6">
        <v>0.3</v>
      </c>
    </row>
    <row r="72" spans="3:9" x14ac:dyDescent="0.35">
      <c r="C72" s="19" t="s">
        <v>545</v>
      </c>
      <c r="D72" s="18">
        <v>0.33329999999999999</v>
      </c>
    </row>
    <row r="73" spans="3:9" x14ac:dyDescent="0.35">
      <c r="C73" s="19" t="s">
        <v>547</v>
      </c>
      <c r="D73" s="18">
        <v>0.33329999999999999</v>
      </c>
    </row>
    <row r="74" spans="3:9" x14ac:dyDescent="0.35">
      <c r="C74" s="19" t="s">
        <v>548</v>
      </c>
      <c r="D74" s="18">
        <v>0.33329999999999999</v>
      </c>
    </row>
    <row r="76" spans="3:9" x14ac:dyDescent="0.35">
      <c r="C76" s="114" t="s">
        <v>546</v>
      </c>
      <c r="D76" s="5">
        <v>0.2</v>
      </c>
    </row>
    <row r="77" spans="3:9" x14ac:dyDescent="0.35">
      <c r="G77" s="1"/>
      <c r="H77" s="1"/>
    </row>
    <row r="78" spans="3:9" x14ac:dyDescent="0.35">
      <c r="C78" s="114" t="s">
        <v>543</v>
      </c>
      <c r="D78" s="5">
        <v>0.4</v>
      </c>
    </row>
    <row r="80" spans="3:9" x14ac:dyDescent="0.35">
      <c r="C80" s="114" t="s">
        <v>549</v>
      </c>
      <c r="D80" s="5">
        <v>0.1</v>
      </c>
    </row>
    <row r="82" spans="3:8" x14ac:dyDescent="0.35">
      <c r="C82" t="s">
        <v>815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54296875" customWidth="1"/>
    <col min="3" max="3" width="20.54296875" customWidth="1"/>
    <col min="4" max="4" width="12.54296875" customWidth="1"/>
    <col min="5" max="5" width="14.54296875" customWidth="1"/>
    <col min="6" max="6" width="10.54296875" customWidth="1"/>
    <col min="7" max="7" width="12" customWidth="1"/>
    <col min="8" max="8" width="26.81640625" bestFit="1" customWidth="1"/>
    <col min="9" max="9" width="20.1796875" customWidth="1"/>
    <col min="12" max="12" width="13.81640625" customWidth="1"/>
    <col min="13" max="13" width="14.453125" customWidth="1"/>
    <col min="14" max="14" width="14.54296875" customWidth="1"/>
    <col min="15" max="15" width="14.453125" customWidth="1"/>
    <col min="16" max="16" width="12" customWidth="1"/>
    <col min="17" max="17" width="15.1796875" customWidth="1"/>
  </cols>
  <sheetData>
    <row r="6" spans="3:9" x14ac:dyDescent="0.35">
      <c r="C6" s="1" t="s">
        <v>886</v>
      </c>
    </row>
    <row r="7" spans="3:9" ht="15" thickBot="1" x14ac:dyDescent="0.4">
      <c r="D7" t="s">
        <v>887</v>
      </c>
      <c r="H7" s="1" t="s">
        <v>902</v>
      </c>
    </row>
    <row r="8" spans="3:9" ht="15" thickBot="1" x14ac:dyDescent="0.4">
      <c r="C8" s="62" t="s">
        <v>6</v>
      </c>
      <c r="D8" s="10">
        <f>'Asset class'!S3</f>
        <v>5</v>
      </c>
      <c r="E8" s="11">
        <f t="shared" ref="E8:E17" si="0">D8</f>
        <v>5</v>
      </c>
    </row>
    <row r="9" spans="3:9" x14ac:dyDescent="0.35">
      <c r="C9" s="56" t="s">
        <v>1</v>
      </c>
      <c r="D9">
        <f>'Asset class'!S4</f>
        <v>2</v>
      </c>
      <c r="E9" s="58">
        <f t="shared" si="0"/>
        <v>2</v>
      </c>
      <c r="H9" s="62" t="s">
        <v>903</v>
      </c>
      <c r="I9" s="171">
        <f>Timing!L22</f>
        <v>1</v>
      </c>
    </row>
    <row r="10" spans="3:9" x14ac:dyDescent="0.35">
      <c r="C10" s="56" t="s">
        <v>888</v>
      </c>
      <c r="D10">
        <f>'Asset class'!S5</f>
        <v>1</v>
      </c>
      <c r="E10" s="58">
        <f t="shared" si="0"/>
        <v>1</v>
      </c>
      <c r="H10" s="56" t="s">
        <v>904</v>
      </c>
      <c r="I10" s="57">
        <f>Timing!M22</f>
        <v>0.76923076923076927</v>
      </c>
    </row>
    <row r="11" spans="3:9" ht="15" thickBot="1" x14ac:dyDescent="0.4">
      <c r="C11" s="56" t="s">
        <v>889</v>
      </c>
      <c r="D11">
        <f>'Asset class'!S6</f>
        <v>10</v>
      </c>
      <c r="E11" s="58">
        <f t="shared" si="0"/>
        <v>10</v>
      </c>
      <c r="H11" s="12" t="s">
        <v>905</v>
      </c>
      <c r="I11" s="59">
        <f>Timing!N22</f>
        <v>0.92307692307692313</v>
      </c>
    </row>
    <row r="12" spans="3:9" x14ac:dyDescent="0.35">
      <c r="C12" s="56" t="s">
        <v>51</v>
      </c>
      <c r="D12">
        <f>'Asset class'!S7</f>
        <v>4</v>
      </c>
      <c r="E12" s="58">
        <f t="shared" si="0"/>
        <v>4</v>
      </c>
    </row>
    <row r="13" spans="3:9" x14ac:dyDescent="0.35">
      <c r="C13" s="56" t="s">
        <v>890</v>
      </c>
      <c r="D13">
        <f>'Asset class'!S8</f>
        <v>8</v>
      </c>
      <c r="E13" s="58">
        <f t="shared" si="0"/>
        <v>8</v>
      </c>
    </row>
    <row r="14" spans="3:9" ht="15" thickBot="1" x14ac:dyDescent="0.4">
      <c r="C14" s="12" t="s">
        <v>457</v>
      </c>
      <c r="D14">
        <f>'Asset class'!S9</f>
        <v>9</v>
      </c>
      <c r="E14" s="14">
        <f t="shared" si="0"/>
        <v>9</v>
      </c>
    </row>
    <row r="15" spans="3:9" ht="15" thickBot="1" x14ac:dyDescent="0.4">
      <c r="C15" s="144" t="s">
        <v>891</v>
      </c>
      <c r="D15">
        <f>'Asset class'!S10</f>
        <v>4</v>
      </c>
      <c r="E15" s="14">
        <f t="shared" si="0"/>
        <v>4</v>
      </c>
    </row>
    <row r="16" spans="3:9" ht="15" thickBot="1" x14ac:dyDescent="0.4">
      <c r="C16" s="178" t="s">
        <v>536</v>
      </c>
      <c r="D16">
        <f>'Asset class'!S11</f>
        <v>6</v>
      </c>
      <c r="E16" s="14">
        <f t="shared" si="0"/>
        <v>6</v>
      </c>
    </row>
    <row r="17" spans="2:15" ht="15" thickBot="1" x14ac:dyDescent="0.4">
      <c r="C17" s="148" t="s">
        <v>46</v>
      </c>
      <c r="D17">
        <f>'Asset class'!S12</f>
        <v>7</v>
      </c>
      <c r="E17" s="14">
        <f t="shared" si="0"/>
        <v>7</v>
      </c>
    </row>
    <row r="20" spans="2:15" x14ac:dyDescent="0.35">
      <c r="C20" s="1" t="s">
        <v>892</v>
      </c>
    </row>
    <row r="22" spans="2:15" ht="15" thickBot="1" x14ac:dyDescent="0.4">
      <c r="C22" s="1" t="s">
        <v>893</v>
      </c>
      <c r="D22" s="1"/>
      <c r="E22" s="1" t="s">
        <v>894</v>
      </c>
    </row>
    <row r="23" spans="2:15" x14ac:dyDescent="0.35">
      <c r="B23" s="62" t="s">
        <v>1</v>
      </c>
      <c r="C23" s="170">
        <f>'Momnetum ranking'!H22</f>
        <v>0.53876739562624254</v>
      </c>
      <c r="D23" s="170"/>
      <c r="E23" s="171">
        <f>'Momnetum ranking'!I22</f>
        <v>0.37375745526838966</v>
      </c>
    </row>
    <row r="24" spans="2:15" x14ac:dyDescent="0.35">
      <c r="B24" s="56" t="s">
        <v>51</v>
      </c>
      <c r="C24" s="9">
        <f>'Momnetum ranking'!H10</f>
        <v>0.49019607843137253</v>
      </c>
      <c r="D24" s="9"/>
      <c r="E24" s="57">
        <f>'Momnetum ranking'!I10</f>
        <v>0.37254901960784315</v>
      </c>
    </row>
    <row r="25" spans="2:15" x14ac:dyDescent="0.35">
      <c r="B25" s="56" t="s">
        <v>895</v>
      </c>
      <c r="C25" s="9">
        <f>'Momnetum ranking'!H23</f>
        <v>0.38461538461538464</v>
      </c>
      <c r="D25" s="9"/>
      <c r="E25" s="57">
        <f>'Momnetum ranking'!I23</f>
        <v>0.5</v>
      </c>
    </row>
    <row r="26" spans="2:15" x14ac:dyDescent="0.35">
      <c r="B26" s="56" t="s">
        <v>46</v>
      </c>
      <c r="C26" s="9">
        <f>'Momnetum ranking'!H21</f>
        <v>0.48780487804878048</v>
      </c>
      <c r="D26" s="9"/>
      <c r="E26" s="57">
        <f>'Momnetum ranking'!I21</f>
        <v>0.32682926829268294</v>
      </c>
    </row>
    <row r="27" spans="2:15" ht="15" thickBot="1" x14ac:dyDescent="0.4">
      <c r="B27" s="12" t="s">
        <v>536</v>
      </c>
      <c r="C27" s="172">
        <f>'Momnetum ranking'!H18</f>
        <v>0.36321122369446607</v>
      </c>
      <c r="D27" s="172"/>
      <c r="E27" s="59">
        <f>'Momnetum ranking'!I18</f>
        <v>0.38035853468433362</v>
      </c>
    </row>
    <row r="28" spans="2:15" x14ac:dyDescent="0.35">
      <c r="B28" s="62" t="s">
        <v>6</v>
      </c>
      <c r="C28" s="170">
        <f>'Momnetum ranking'!H19</f>
        <v>0.17170445004198154</v>
      </c>
      <c r="D28" s="170"/>
      <c r="E28" s="171">
        <f>'Momnetum ranking'!I19</f>
        <v>0.20382031905961376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73" t="s">
        <v>896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56"/>
      <c r="E33" t="s">
        <v>77</v>
      </c>
      <c r="F33" t="s">
        <v>70</v>
      </c>
      <c r="G33" s="72" t="s">
        <v>899</v>
      </c>
      <c r="H33" t="s">
        <v>4</v>
      </c>
      <c r="K33" t="s">
        <v>77</v>
      </c>
      <c r="L33" t="s">
        <v>70</v>
      </c>
      <c r="M33" s="72" t="s">
        <v>897</v>
      </c>
      <c r="N33" t="s">
        <v>4</v>
      </c>
      <c r="O33" s="174" t="s">
        <v>394</v>
      </c>
    </row>
    <row r="34" spans="3:15" x14ac:dyDescent="0.35">
      <c r="C34" s="56"/>
      <c r="O34" s="58"/>
    </row>
    <row r="35" spans="3:15" x14ac:dyDescent="0.35">
      <c r="C35" s="56" t="s">
        <v>227</v>
      </c>
      <c r="E35" s="9">
        <f>'Momnetum ranking'!J18</f>
        <v>-1.7147310989867548E-2</v>
      </c>
      <c r="F35" s="5">
        <f>'Momnetum ranking'!K18</f>
        <v>0.60111464968152906</v>
      </c>
      <c r="G35" s="9">
        <f>'Momnetum ranking'!Q18</f>
        <v>0.97375303999999996</v>
      </c>
      <c r="H35" s="3">
        <f>'Momnetum ranking'!O18</f>
        <v>-3.0356646000000001E-2</v>
      </c>
      <c r="K35">
        <f>_xlfn.RANK.EQ(E35,$E$35:$E$39)</f>
        <v>4</v>
      </c>
      <c r="L35">
        <f>_xlfn.RANK.EQ(F35,$F$35:$F$39)</f>
        <v>2</v>
      </c>
      <c r="M35">
        <f>_xlfn.RANK.EQ(G35,$G$35:$G$39)</f>
        <v>4</v>
      </c>
      <c r="N35">
        <f>_xlfn.RANK.EQ(H35,$H$35:$H$39)</f>
        <v>5</v>
      </c>
      <c r="O35" s="58">
        <f>MEDIAN(K35:N35)</f>
        <v>4</v>
      </c>
    </row>
    <row r="36" spans="3:15" x14ac:dyDescent="0.35">
      <c r="C36" s="56" t="s">
        <v>749</v>
      </c>
      <c r="E36" s="9">
        <f>'Momnetum ranking'!J19</f>
        <v>-3.211586901763222E-2</v>
      </c>
      <c r="F36" s="5">
        <f>'Momnetum ranking'!K19</f>
        <v>0.402891670263271</v>
      </c>
      <c r="G36" s="9">
        <f>'Momnetum ranking'!Q19</f>
        <v>0.97823950000000004</v>
      </c>
      <c r="H36" s="3">
        <f>'Momnetum ranking'!O19</f>
        <v>0.74809789999999998</v>
      </c>
      <c r="K36">
        <f t="shared" ref="K36:K39" si="1">_xlfn.RANK.EQ(E36,$E$35:$E$39)</f>
        <v>5</v>
      </c>
      <c r="L36">
        <f t="shared" ref="L36:L39" si="2">_xlfn.RANK.EQ(F36,$F$35:$F$39)</f>
        <v>5</v>
      </c>
      <c r="M36">
        <f t="shared" ref="M36:M39" si="3">_xlfn.RANK.EQ(G36,$G$35:$G$39)</f>
        <v>3</v>
      </c>
      <c r="N36">
        <f t="shared" ref="N36:N39" si="4">_xlfn.RANK.EQ(H36,$H$35:$H$39)</f>
        <v>4</v>
      </c>
      <c r="O36" s="58">
        <f t="shared" ref="O36:O39" si="5">MEDIAN(K36:N36)</f>
        <v>4.5</v>
      </c>
    </row>
    <row r="37" spans="3:15" x14ac:dyDescent="0.35">
      <c r="C37" s="56" t="s">
        <v>781</v>
      </c>
      <c r="E37" s="9">
        <f>'Momnetum ranking'!J20</f>
        <v>8.117564730580823E-2</v>
      </c>
      <c r="F37" s="5">
        <f>'Momnetum ranking'!K20</f>
        <v>0.58976157082748903</v>
      </c>
      <c r="G37" s="9">
        <f>'Momnetum ranking'!Q20</f>
        <v>0.98233610000000005</v>
      </c>
      <c r="H37" s="3">
        <f>'Momnetum ranking'!O20</f>
        <v>3.7544012000000002</v>
      </c>
      <c r="K37">
        <f t="shared" si="1"/>
        <v>3</v>
      </c>
      <c r="L37">
        <f t="shared" si="2"/>
        <v>3</v>
      </c>
      <c r="M37">
        <f t="shared" si="3"/>
        <v>1</v>
      </c>
      <c r="N37">
        <f t="shared" si="4"/>
        <v>2</v>
      </c>
      <c r="O37" s="58">
        <f t="shared" si="5"/>
        <v>2.5</v>
      </c>
    </row>
    <row r="38" spans="3:15" x14ac:dyDescent="0.35">
      <c r="C38" s="56" t="s">
        <v>816</v>
      </c>
      <c r="E38" s="9">
        <f>'Momnetum ranking'!J21</f>
        <v>0.16097560975609754</v>
      </c>
      <c r="F38" s="5">
        <f>'Momnetum ranking'!K21</f>
        <v>0.41176470588235298</v>
      </c>
      <c r="G38" s="9">
        <f>'Momnetum ranking'!Q21</f>
        <v>0.96260319999999999</v>
      </c>
      <c r="H38" s="3">
        <f>'Momnetum ranking'!O21</f>
        <v>2.3706554999999998</v>
      </c>
      <c r="K38">
        <f t="shared" si="1"/>
        <v>2</v>
      </c>
      <c r="L38">
        <f t="shared" si="2"/>
        <v>4</v>
      </c>
      <c r="M38">
        <f t="shared" si="3"/>
        <v>5</v>
      </c>
      <c r="N38">
        <f t="shared" si="4"/>
        <v>3</v>
      </c>
      <c r="O38" s="58">
        <f t="shared" si="5"/>
        <v>3.5</v>
      </c>
    </row>
    <row r="39" spans="3:15" ht="15" thickBot="1" x14ac:dyDescent="0.4">
      <c r="C39" s="12" t="s">
        <v>119</v>
      </c>
      <c r="D39" s="13"/>
      <c r="E39" s="172">
        <f>'Momnetum ranking'!J22</f>
        <v>0.16500994035785288</v>
      </c>
      <c r="F39" s="17">
        <f>'Momnetum ranking'!K22</f>
        <v>0.70459081836327297</v>
      </c>
      <c r="G39" s="172">
        <f>'Momnetum ranking'!Q22</f>
        <v>0.98080193999999998</v>
      </c>
      <c r="H39" s="175">
        <f>'Momnetum ranking'!O22</f>
        <v>5.1846503999999998</v>
      </c>
      <c r="I39" s="13"/>
      <c r="J39" s="13"/>
      <c r="K39" s="13">
        <f t="shared" si="1"/>
        <v>1</v>
      </c>
      <c r="L39" s="13">
        <f t="shared" si="2"/>
        <v>1</v>
      </c>
      <c r="M39" s="13">
        <f t="shared" si="3"/>
        <v>2</v>
      </c>
      <c r="N39" s="13">
        <f t="shared" si="4"/>
        <v>1</v>
      </c>
      <c r="O39" s="14">
        <f t="shared" si="5"/>
        <v>1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453125" customWidth="1"/>
    <col min="3" max="3" width="20.81640625" customWidth="1"/>
    <col min="4" max="4" width="0.453125" customWidth="1"/>
    <col min="5" max="5" width="18" customWidth="1"/>
    <col min="6" max="6" width="13.453125" customWidth="1"/>
    <col min="7" max="7" width="15.453125" customWidth="1"/>
    <col min="8" max="8" width="16.453125" customWidth="1"/>
    <col min="9" max="9" width="7.453125" customWidth="1"/>
    <col min="10" max="10" width="6.54296875" customWidth="1"/>
    <col min="11" max="11" width="18.81640625" customWidth="1"/>
    <col min="12" max="12" width="13.453125" customWidth="1"/>
    <col min="13" max="13" width="13" customWidth="1"/>
    <col min="14" max="14" width="13.453125" customWidth="1"/>
    <col min="15" max="15" width="5" customWidth="1"/>
    <col min="16" max="16" width="9.54296875" customWidth="1"/>
  </cols>
  <sheetData>
    <row r="1" spans="1:19" ht="15" thickBot="1" x14ac:dyDescent="0.4">
      <c r="C1" t="s">
        <v>0</v>
      </c>
      <c r="E1" t="s">
        <v>898</v>
      </c>
      <c r="F1" t="s">
        <v>4</v>
      </c>
      <c r="G1" t="s">
        <v>5</v>
      </c>
      <c r="H1" t="s">
        <v>9</v>
      </c>
      <c r="K1" t="s">
        <v>899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900</v>
      </c>
    </row>
    <row r="2" spans="1:19" s="22" customFormat="1" ht="15" thickBot="1" x14ac:dyDescent="0.4">
      <c r="A2" s="21"/>
      <c r="K2" s="176">
        <v>0.33</v>
      </c>
      <c r="L2" s="176">
        <v>0.33</v>
      </c>
      <c r="M2" s="176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-1.4974654000000001</v>
      </c>
      <c r="F3" s="3" cm="1">
        <f t="array" ref="F3">_xll.FDS(C3,"FG_TOTAL_RETURNC(0,-3AM)")</f>
        <v>0.74809789999999998</v>
      </c>
      <c r="G3" s="3" cm="1">
        <f t="array" ref="G3">_xll.FDS(C3,"FG_TOTAL_RETURNC(0,-6AM)")</f>
        <v>9.3817950000000003</v>
      </c>
      <c r="H3" s="9" cm="1">
        <f t="array" ref="H3">_xll.FDS(C3,"P_PRICE(0)/P_PRICE_HIGH_PR(0,,,USD,,,""PRICE"",""INTRA"",""52W"")")</f>
        <v>0.97823950000000004</v>
      </c>
      <c r="K3" s="4">
        <f>_xlfn.RANK.EQ(H3,H$3:H$12)</f>
        <v>3</v>
      </c>
      <c r="L3" s="4">
        <f>_xlfn.RANK.EQ(F3,F$3:F$12)</f>
        <v>7</v>
      </c>
      <c r="M3" s="4">
        <f>_xlfn.RANK.EQ(G3,G$3:G$12)</f>
        <v>5</v>
      </c>
      <c r="N3" s="4"/>
      <c r="P3" s="3">
        <f t="shared" ref="P3:P12" si="0">SUMPRODUCT($K$2:$M$2,K3:M3)</f>
        <v>4.95</v>
      </c>
      <c r="Q3">
        <f t="shared" ref="Q3:Q12" si="1">COUNTIF(K3:N3,"&gt;70")</f>
        <v>0</v>
      </c>
      <c r="S3" s="3">
        <f>11-_xlfn.RANK.EQ(P3,$P$3:$P$12)</f>
        <v>5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-1.8677174999999999</v>
      </c>
      <c r="F4" s="3" cm="1">
        <f t="array" ref="F4">_xll.FDS(C4,"FG_TOTAL_RETURNC(0,-3AM)")</f>
        <v>5.1846503999999998</v>
      </c>
      <c r="G4" s="3" cm="1">
        <f t="array" ref="G4">_xll.FDS(C4,"FG_TOTAL_RETURNC(0,-6AM)")</f>
        <v>11.677515</v>
      </c>
      <c r="H4" s="9" cm="1">
        <f t="array" ref="H4">_xll.FDS(C4,"P_PRICE(0)/P_PRICE_HIGH_PR(0,,,USD,,,""PRICE"",""INTRA"",""52W"")")</f>
        <v>0.98080193999999998</v>
      </c>
      <c r="I4" s="177"/>
      <c r="K4" s="4">
        <f t="shared" ref="K4:K12" si="3">_xlfn.RANK.EQ(H4,H$3:H$12)</f>
        <v>2</v>
      </c>
      <c r="L4" s="4">
        <f t="shared" ref="L4:M12" si="4">_xlfn.RANK.EQ(F4,F$3:F$12)</f>
        <v>4</v>
      </c>
      <c r="M4" s="4">
        <f t="shared" si="4"/>
        <v>2</v>
      </c>
      <c r="N4" s="4"/>
      <c r="P4" s="3">
        <f t="shared" si="0"/>
        <v>2.64</v>
      </c>
      <c r="Q4">
        <f t="shared" si="1"/>
        <v>0</v>
      </c>
      <c r="S4" s="3">
        <f t="shared" ref="S4:S12" si="5">11-_xlfn.RANK.EQ(P4,$P$3:$P$12)</f>
        <v>2</v>
      </c>
    </row>
    <row r="5" spans="1:19" x14ac:dyDescent="0.35">
      <c r="A5" t="s">
        <v>888</v>
      </c>
      <c r="C5" t="str">
        <f t="shared" si="2"/>
        <v>GLD</v>
      </c>
      <c r="E5" s="3" cm="1">
        <f t="array" ref="E5">_xll.FDS(C5,"FG_TOTAL_RETURNC(0,-1AM)")</f>
        <v>1.6207457000000001</v>
      </c>
      <c r="F5" s="3" cm="1">
        <f t="array" ref="F5">_xll.FDS(C5,"FG_TOTAL_RETURNC(0,-3AM)")</f>
        <v>5.4356217000000004</v>
      </c>
      <c r="G5" s="3" cm="1">
        <f t="array" ref="G5">_xll.FDS(C5,"FG_TOTAL_RETURNC(0,-6AM)")</f>
        <v>24.498235999999999</v>
      </c>
      <c r="H5" s="9" cm="1">
        <f t="array" ref="H5">_xll.FDS(C5,"P_PRICE(0)/P_PRICE_HIGH_PR(0,,,USD,,,""PRICE"",""INTRA"",""52W"")")</f>
        <v>0.9998707</v>
      </c>
      <c r="I5" s="177"/>
      <c r="K5" s="4">
        <f t="shared" si="3"/>
        <v>1</v>
      </c>
      <c r="L5" s="4">
        <f t="shared" si="4"/>
        <v>2</v>
      </c>
      <c r="M5" s="4">
        <f t="shared" si="4"/>
        <v>1</v>
      </c>
      <c r="N5" s="4"/>
      <c r="P5" s="3">
        <f t="shared" si="0"/>
        <v>1.32</v>
      </c>
      <c r="Q5">
        <f t="shared" si="1"/>
        <v>0</v>
      </c>
      <c r="S5" s="3">
        <f t="shared" si="5"/>
        <v>1</v>
      </c>
    </row>
    <row r="6" spans="1:19" x14ac:dyDescent="0.35">
      <c r="A6" t="s">
        <v>889</v>
      </c>
      <c r="C6" t="str">
        <f t="shared" si="2"/>
        <v>UUP</v>
      </c>
      <c r="E6" s="3" cm="1">
        <f t="array" ref="E6">_xll.FDS(C6,"FG_TOTAL_RETURNC(0,-1AM)")</f>
        <v>-1.1482239000000001</v>
      </c>
      <c r="F6" s="3" cm="1">
        <f t="array" ref="F6">_xll.FDS(C6,"FG_TOTAL_RETURNC(0,-3AM)")</f>
        <v>-0.52520630000000001</v>
      </c>
      <c r="G6" s="3" cm="1">
        <f t="array" ref="G6">_xll.FDS(C6,"FG_TOTAL_RETURNC(0,-6AM)")</f>
        <v>1.1391997</v>
      </c>
      <c r="H6" s="9" cm="1">
        <f t="array" ref="H6">_xll.FDS(C6,"P_PRICE(0)/P_PRICE_HIGH_PR(0,,,USD,,,""PRICE"",""INTRA"",""52W"")")</f>
        <v>0.94181996999999995</v>
      </c>
      <c r="I6" s="177"/>
      <c r="K6" s="4">
        <f t="shared" si="3"/>
        <v>8</v>
      </c>
      <c r="L6" s="4">
        <f t="shared" si="4"/>
        <v>10</v>
      </c>
      <c r="M6" s="4">
        <f t="shared" si="4"/>
        <v>10</v>
      </c>
      <c r="N6" s="4"/>
      <c r="P6" s="3">
        <f t="shared" si="0"/>
        <v>9.24</v>
      </c>
      <c r="Q6">
        <f t="shared" si="1"/>
        <v>0</v>
      </c>
      <c r="S6" s="3">
        <f t="shared" si="5"/>
        <v>10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-4.2934299999999999</v>
      </c>
      <c r="F7" s="3" cm="1">
        <f t="array" ref="F7">_xll.FDS(C7,"FG_TOTAL_RETURNC(0,-3AM)")</f>
        <v>5.2686453000000002</v>
      </c>
      <c r="G7" s="3" cm="1">
        <f t="array" ref="G7">_xll.FDS(C7,"FG_TOTAL_RETURNC(0,-6AM)")</f>
        <v>10.6479645</v>
      </c>
      <c r="H7" s="9" cm="1">
        <f t="array" ref="H7">_xll.FDS(C7,"P_PRICE(0)/P_PRICE_HIGH_PR(0,,,USD,,,""PRICE"",""INTRA"",""52W"")")</f>
        <v>0.94341830000000004</v>
      </c>
      <c r="I7" s="1"/>
      <c r="K7" s="4">
        <f t="shared" si="3"/>
        <v>7</v>
      </c>
      <c r="L7" s="4">
        <f t="shared" si="4"/>
        <v>3</v>
      </c>
      <c r="M7" s="4">
        <f t="shared" si="4"/>
        <v>3</v>
      </c>
      <c r="N7" s="4"/>
      <c r="P7" s="3">
        <f t="shared" si="0"/>
        <v>4.29</v>
      </c>
      <c r="Q7">
        <f t="shared" si="1"/>
        <v>0</v>
      </c>
      <c r="S7" s="3">
        <f t="shared" si="5"/>
        <v>4</v>
      </c>
    </row>
    <row r="8" spans="1:19" x14ac:dyDescent="0.35">
      <c r="A8" t="s">
        <v>890</v>
      </c>
      <c r="C8" t="str">
        <f t="shared" si="2"/>
        <v>DBA</v>
      </c>
      <c r="E8" s="3" cm="1">
        <f t="array" ref="E8">_xll.FDS(C8,"FG_TOTAL_RETURNC(0,-1AM)")</f>
        <v>-0.20920037999999999</v>
      </c>
      <c r="F8" s="3" cm="1">
        <f t="array" ref="F8">_xll.FDS(C8,"FG_TOTAL_RETURNC(0,-3AM)")</f>
        <v>1.4893651000000001</v>
      </c>
      <c r="G8" s="3" cm="1">
        <f t="array" ref="G8">_xll.FDS(C8,"FG_TOTAL_RETURNC(0,-6AM)")</f>
        <v>9.9585059999999999</v>
      </c>
      <c r="H8" s="9" cm="1">
        <f t="array" ref="H8">_xll.FDS(C8,"P_PRICE(0)/P_PRICE_HIGH_PR(0,,,USD,,,""PRICE"",""INTRA"",""52W"")")</f>
        <v>0.89644809999999997</v>
      </c>
      <c r="I8" s="1"/>
      <c r="K8" s="4">
        <f t="shared" si="3"/>
        <v>10</v>
      </c>
      <c r="L8" s="4">
        <f t="shared" si="4"/>
        <v>6</v>
      </c>
      <c r="M8" s="4">
        <f t="shared" si="4"/>
        <v>4</v>
      </c>
      <c r="N8" s="4"/>
      <c r="P8" s="3">
        <f t="shared" si="0"/>
        <v>6.6000000000000005</v>
      </c>
      <c r="Q8">
        <f t="shared" si="1"/>
        <v>0</v>
      </c>
      <c r="S8" s="3">
        <f t="shared" si="5"/>
        <v>8</v>
      </c>
    </row>
    <row r="9" spans="1:19" x14ac:dyDescent="0.35">
      <c r="A9" t="s">
        <v>901</v>
      </c>
      <c r="C9" t="str">
        <f t="shared" si="2"/>
        <v>USO</v>
      </c>
      <c r="E9" s="3" cm="1">
        <f t="array" ref="E9">_xll.FDS(C9,"FG_TOTAL_RETURNC(0,-1AM)")</f>
        <v>-3.4657179999999999</v>
      </c>
      <c r="F9" s="3" cm="1">
        <f t="array" ref="F9">_xll.FDS(C9,"FG_TOTAL_RETURNC(0,-3AM)")</f>
        <v>9.1803073999999998E-2</v>
      </c>
      <c r="G9" s="3" cm="1">
        <f t="array" ref="G9">_xll.FDS(C9,"FG_TOTAL_RETURNC(0,-6AM)")</f>
        <v>3.9640306999999999</v>
      </c>
      <c r="H9" s="9" cm="1">
        <f t="array" ref="H9">_xll.FDS(C9,"P_PRICE(0)/P_PRICE_HIGH_PR(0,,,USD,,,""PRICE"",""INTRA"",""52W"")")</f>
        <v>0.91499819999999998</v>
      </c>
      <c r="I9" s="1"/>
      <c r="K9" s="4">
        <f t="shared" si="3"/>
        <v>9</v>
      </c>
      <c r="L9" s="4">
        <f t="shared" si="4"/>
        <v>8</v>
      </c>
      <c r="M9" s="4">
        <f t="shared" si="4"/>
        <v>8</v>
      </c>
      <c r="N9" s="4"/>
      <c r="P9" s="3">
        <f t="shared" si="0"/>
        <v>8.25</v>
      </c>
      <c r="Q9">
        <f t="shared" si="1"/>
        <v>0</v>
      </c>
      <c r="S9" s="3">
        <f t="shared" si="5"/>
        <v>9</v>
      </c>
    </row>
    <row r="10" spans="1:19" x14ac:dyDescent="0.35">
      <c r="A10" t="s">
        <v>891</v>
      </c>
      <c r="C10" t="str">
        <f t="shared" si="2"/>
        <v>TLT</v>
      </c>
      <c r="E10" s="3" cm="1">
        <f t="array" ref="E10">_xll.FDS(C10,"FG_TOTAL_RETURNC(0,-1AM)")</f>
        <v>3.8142562</v>
      </c>
      <c r="F10" s="3" cm="1">
        <f t="array" ref="F10">_xll.FDS(C10,"FG_TOTAL_RETURNC(0,-3AM)")</f>
        <v>6.9541573999999997</v>
      </c>
      <c r="G10" s="3" cm="1">
        <f t="array" ref="G10">_xll.FDS(C10,"FG_TOTAL_RETURNC(0,-6AM)")</f>
        <v>7.1512460000000004</v>
      </c>
      <c r="H10" s="9" cm="1">
        <f t="array" ref="H10">_xll.FDS(C10,"P_PRICE(0)/P_PRICE_HIGH_PR(0,,,USD,,,""PRICE"",""INTRA"",""52W"")")</f>
        <v>0.96887743000000004</v>
      </c>
      <c r="K10" s="4">
        <f t="shared" si="3"/>
        <v>5</v>
      </c>
      <c r="L10" s="4">
        <f t="shared" si="4"/>
        <v>1</v>
      </c>
      <c r="M10" s="4">
        <f t="shared" si="4"/>
        <v>7</v>
      </c>
      <c r="N10" s="4"/>
      <c r="P10" s="3">
        <f t="shared" si="0"/>
        <v>4.29</v>
      </c>
      <c r="Q10">
        <f t="shared" si="1"/>
        <v>0</v>
      </c>
      <c r="S10" s="3">
        <f t="shared" si="5"/>
        <v>4</v>
      </c>
    </row>
    <row r="11" spans="1:19" x14ac:dyDescent="0.35">
      <c r="A11" t="s">
        <v>536</v>
      </c>
      <c r="C11" t="str">
        <f t="shared" si="2"/>
        <v>VGK</v>
      </c>
      <c r="E11" s="3" cm="1">
        <f t="array" ref="E11">_xll.FDS(C11,"FG_TOTAL_RETURNC(0,-1AM)")</f>
        <v>-0.27532578000000002</v>
      </c>
      <c r="F11" s="3" cm="1">
        <f t="array" ref="F11">_xll.FDS(C11,"FG_TOTAL_RETURNC(0,-3AM)")</f>
        <v>-3.0356646000000001E-2</v>
      </c>
      <c r="G11" s="3" cm="1">
        <f t="array" ref="G11">_xll.FDS(C11,"FG_TOTAL_RETURNC(0,-6AM)")</f>
        <v>9.2118380000000002</v>
      </c>
      <c r="H11" s="9" cm="1">
        <f t="array" ref="H11">_xll.FDS(C11,"P_PRICE(0)/P_PRICE_HIGH_PR(0,,,USD,,,""PRICE"",""INTRA"",""52W"")")</f>
        <v>0.97375303999999996</v>
      </c>
      <c r="K11" s="4">
        <f t="shared" si="3"/>
        <v>4</v>
      </c>
      <c r="L11" s="4">
        <f t="shared" si="4"/>
        <v>9</v>
      </c>
      <c r="M11" s="4">
        <f t="shared" si="4"/>
        <v>6</v>
      </c>
      <c r="P11" s="3">
        <f t="shared" si="0"/>
        <v>6.27</v>
      </c>
      <c r="Q11">
        <f t="shared" si="1"/>
        <v>0</v>
      </c>
      <c r="S11" s="3">
        <f t="shared" si="5"/>
        <v>6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-3.5187721000000001</v>
      </c>
      <c r="F12" s="3" cm="1">
        <f t="array" ref="F12">_xll.FDS(C12,"FG_TOTAL_RETURNC(0,-3AM)")</f>
        <v>2.3706554999999998</v>
      </c>
      <c r="G12" s="3" cm="1">
        <f t="array" ref="G12">_xll.FDS(C12,"FG_TOTAL_RETURNC(0,-6AM)")</f>
        <v>3.3394097999999999</v>
      </c>
      <c r="H12" s="9" cm="1">
        <f t="array" ref="H12">_xll.FDS(C12,"P_PRICE(0)/P_PRICE_HIGH_PR(0,,,USD,,,""PRICE"",""INTRA"",""52W"")")</f>
        <v>0.96260319999999999</v>
      </c>
      <c r="K12" s="4">
        <f t="shared" si="3"/>
        <v>6</v>
      </c>
      <c r="L12" s="4">
        <f t="shared" si="4"/>
        <v>5</v>
      </c>
      <c r="M12" s="4">
        <f t="shared" si="4"/>
        <v>9</v>
      </c>
      <c r="P12" s="3">
        <f t="shared" si="0"/>
        <v>6.6</v>
      </c>
      <c r="Q12">
        <f t="shared" si="1"/>
        <v>0</v>
      </c>
      <c r="S12" s="3">
        <f t="shared" si="5"/>
        <v>7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abSelected="1" topLeftCell="C1" zoomScale="85" zoomScaleNormal="85" workbookViewId="0">
      <selection activeCell="K29" sqref="K29"/>
    </sheetView>
  </sheetViews>
  <sheetFormatPr defaultRowHeight="14.5" x14ac:dyDescent="0.35"/>
  <cols>
    <col min="2" max="2" width="13.453125" customWidth="1"/>
    <col min="3" max="3" width="34.453125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4.1796875" customWidth="1"/>
    <col min="13" max="13" width="18.1796875" customWidth="1"/>
    <col min="14" max="14" width="17.1796875" customWidth="1"/>
  </cols>
  <sheetData>
    <row r="2" spans="2:16" ht="18.75" customHeight="1" x14ac:dyDescent="0.35">
      <c r="D2" s="123">
        <f>Assumption!D72*Assumption!$D$71</f>
        <v>9.9989999999999996E-2</v>
      </c>
      <c r="E2" s="123">
        <f>Assumption!D73*Assumption!$D$71</f>
        <v>9.9989999999999996E-2</v>
      </c>
      <c r="F2" s="123">
        <f>Assumption!D74*Assumption!$D$71</f>
        <v>9.9989999999999996E-2</v>
      </c>
      <c r="G2" s="123"/>
      <c r="H2" s="123"/>
      <c r="I2" s="123">
        <f>Assumption!D76</f>
        <v>0.2</v>
      </c>
      <c r="J2" s="123">
        <f>Assumption!D78</f>
        <v>0.4</v>
      </c>
      <c r="K2" s="114"/>
      <c r="L2" s="123">
        <f>Assumption!D80</f>
        <v>0.1</v>
      </c>
      <c r="P2" s="50">
        <f>SUM(D2:N2)</f>
        <v>0.99996999999999991</v>
      </c>
    </row>
    <row r="4" spans="2:16" ht="60.75" customHeight="1" x14ac:dyDescent="0.35">
      <c r="B4" s="205" t="s">
        <v>544</v>
      </c>
      <c r="C4" s="206"/>
      <c r="D4" s="210" t="s">
        <v>778</v>
      </c>
      <c r="E4" s="211"/>
      <c r="F4" s="212"/>
      <c r="G4" s="213" t="s">
        <v>812</v>
      </c>
      <c r="H4" s="213" t="s">
        <v>812</v>
      </c>
      <c r="I4" s="203" t="s">
        <v>546</v>
      </c>
      <c r="J4" s="209" t="s">
        <v>543</v>
      </c>
      <c r="K4" s="209"/>
      <c r="L4" s="203" t="s">
        <v>549</v>
      </c>
      <c r="M4" s="203" t="s">
        <v>550</v>
      </c>
      <c r="N4" s="203" t="s">
        <v>737</v>
      </c>
    </row>
    <row r="5" spans="2:16" x14ac:dyDescent="0.35">
      <c r="B5" s="207"/>
      <c r="C5" s="208"/>
      <c r="D5" s="118" t="s">
        <v>545</v>
      </c>
      <c r="E5" s="118" t="s">
        <v>547</v>
      </c>
      <c r="F5" s="118" t="s">
        <v>914</v>
      </c>
      <c r="G5" s="214"/>
      <c r="H5" s="214"/>
      <c r="I5" s="204"/>
      <c r="J5" s="202" t="s">
        <v>553</v>
      </c>
      <c r="K5" s="152" t="s">
        <v>551</v>
      </c>
      <c r="L5" s="204"/>
      <c r="M5" s="204"/>
      <c r="N5" s="204"/>
    </row>
    <row r="6" spans="2:16" x14ac:dyDescent="0.35">
      <c r="B6" s="77" t="s">
        <v>42</v>
      </c>
      <c r="C6" s="166" t="str" cm="1">
        <f t="array" ref="C6">_xll.FDS(B6,"FG_COMPANY_NAME")</f>
        <v>iShares MSCI Switzerland ETF</v>
      </c>
      <c r="D6" s="153">
        <f>VLOOKUP(B6,'Value -2 '!$D$3:$AC$15,26,FALSE)</f>
        <v>57.099999999999994</v>
      </c>
      <c r="E6" s="120">
        <f>VLOOKUP(B6,'Quality - 2'!$B$2:$S$14,18,FALSE)</f>
        <v>78.5</v>
      </c>
      <c r="F6" s="153">
        <f>VLOOKUP(B6,Safety!$B$4:$R$16,17,FALSE)</f>
        <v>85.7</v>
      </c>
      <c r="G6" s="179">
        <f t="shared" ref="G6:G18" si="0">(D6*$D$2 +E6*$E$2 +F6*$F$2)/($D$2+$E$2+$F$2)</f>
        <v>73.766666666666666</v>
      </c>
      <c r="H6" s="124" cm="1">
        <f t="array" ref="H6">_xlfn.PERCENTRANK.EXC(_xlfn._xlws.FILTER($G$6:G$18, ISNUMBER($G$6:G$18)),G6)*100</f>
        <v>92.800000000000011</v>
      </c>
      <c r="I6" s="153">
        <f>VLOOKUP(B6,'LIQIDITY 2'!$A$3:$X$15,24,FALSE)</f>
        <v>42.8</v>
      </c>
      <c r="J6" s="120">
        <f ca="1">VLOOKUP(B6,'Momnetum ranking'!$A$3:$AJ$15,36,FALSE)</f>
        <v>92.800000000000011</v>
      </c>
      <c r="K6" s="163">
        <f>VLOOKUP(B6,'Momnetum ranking'!$A$3:$H$15,8,FALSE)</f>
        <v>0.56521739130434778</v>
      </c>
      <c r="L6" s="120">
        <f>VLOOKUP(B6,'Currency- 2'!$A$3:$U$15,21,FALSE)</f>
        <v>85.7</v>
      </c>
      <c r="M6" s="162">
        <f t="shared" ref="M6:M18" ca="1" si="1">D6*$D$2 + E6*$E$2 + F6*$F$2 + I6*$I$2 + J6*$J$2 + L6*$L$2</f>
        <v>76.377787000000012</v>
      </c>
      <c r="N6" s="120" cm="1">
        <f t="array" aca="1" ref="N6" ca="1">_xlfn.PERCENTRANK.EXC(_xlfn._xlws.FILTER($M$6:M$18, ISNUMBER($M$6:M$18)),M6)*100</f>
        <v>92.800000000000011</v>
      </c>
    </row>
    <row r="7" spans="2:16" x14ac:dyDescent="0.35">
      <c r="B7" s="78" t="s">
        <v>46</v>
      </c>
      <c r="C7" s="167" t="str" cm="1">
        <f t="array" ref="C7">_xll.FDS(B7,"FG_COMPANY_NAME")</f>
        <v>iShares MSCI Japan ETF</v>
      </c>
      <c r="D7" s="159">
        <f>VLOOKUP(B7,'Value -2 '!$D$3:$AC$15,26,FALSE)</f>
        <v>50</v>
      </c>
      <c r="E7" s="121">
        <f>VLOOKUP(B7,'Quality - 2'!$B$2:$S$14,18,FALSE)</f>
        <v>57.099999999999994</v>
      </c>
      <c r="F7" s="159">
        <f>VLOOKUP(B7,Safety!$B$4:$R$16,17,FALSE)</f>
        <v>57.099999999999994</v>
      </c>
      <c r="G7" s="180">
        <f t="shared" si="0"/>
        <v>54.733333333333334</v>
      </c>
      <c r="H7" s="125" cm="1">
        <f t="array" ref="H7">_xlfn.PERCENTRANK.EXC(_xlfn._xlws.FILTER($G$6:G$18, ISNUMBER($G$6:G$18)),G7)*100</f>
        <v>57.099999999999994</v>
      </c>
      <c r="I7" s="159">
        <f>VLOOKUP(B7,'LIQIDITY 2'!$A$3:$X$15,24,FALSE)</f>
        <v>7.1</v>
      </c>
      <c r="J7" s="121">
        <f ca="1">VLOOKUP(B7,'Momnetum ranking'!$A$3:$AJ$15,36,FALSE)</f>
        <v>35.699999999999996</v>
      </c>
      <c r="K7" s="161">
        <f>VLOOKUP(B7,'Momnetum ranking'!$A$3:$H$15,8,FALSE)</f>
        <v>0.48780487804878048</v>
      </c>
      <c r="L7" s="121">
        <f>VLOOKUP(B7,'Currency- 2'!$A$3:$U$15,21,FALSE)</f>
        <v>57.099999999999994</v>
      </c>
      <c r="M7" s="160">
        <f t="shared" ca="1" si="1"/>
        <v>37.828358000000001</v>
      </c>
      <c r="N7" s="121" cm="1">
        <f t="array" aca="1" ref="N7" ca="1">_xlfn.PERCENTRANK.EXC(_xlfn._xlws.FILTER($M$6:M$18, ISNUMBER($M$6:M$18)),M7)*100</f>
        <v>42.8</v>
      </c>
    </row>
    <row r="8" spans="2:16" x14ac:dyDescent="0.35">
      <c r="B8" s="78" t="s">
        <v>51</v>
      </c>
      <c r="C8" s="167" t="str" cm="1">
        <f t="array" ref="C8">_xll.FDS(B8,"FG_COMPANY_NAME")</f>
        <v>Invesco QQQ Trust Series I</v>
      </c>
      <c r="D8" s="159">
        <f>VLOOKUP(B8,'Value -2 '!$D$3:$AC$15,26,FALSE)</f>
        <v>14.2</v>
      </c>
      <c r="E8" s="121">
        <f>VLOOKUP(B8,'Quality - 2'!$B$2:$S$14,18,FALSE)</f>
        <v>92.800000000000011</v>
      </c>
      <c r="F8" s="159">
        <f>VLOOKUP(B8,Safety!$B$4:$R$16,17,FALSE)</f>
        <v>92.800000000000011</v>
      </c>
      <c r="G8" s="180">
        <f t="shared" si="0"/>
        <v>66.600000000000023</v>
      </c>
      <c r="H8" s="125" cm="1">
        <f t="array" ref="H8">_xlfn.PERCENTRANK.EXC(_xlfn._xlws.FILTER($G$6:G$18, ISNUMBER($G$6:G$18)),G8)*100</f>
        <v>85.7</v>
      </c>
      <c r="I8" s="159">
        <f>VLOOKUP(B8,'LIQIDITY 2'!$A$3:$X$15,24,FALSE)</f>
        <v>7.1</v>
      </c>
      <c r="J8" s="121">
        <f ca="1">VLOOKUP(B8,'Momnetum ranking'!$A$3:$AJ$15,36,FALSE)</f>
        <v>57.099999999999994</v>
      </c>
      <c r="K8" s="161">
        <f>VLOOKUP(B8,'Momnetum ranking'!$A$3:$H$15,8,FALSE)</f>
        <v>0.49019607843137253</v>
      </c>
      <c r="L8" s="121">
        <f>VLOOKUP(B8,'Currency- 2'!$A$3:$U$15,21,FALSE)</f>
        <v>35.699999999999996</v>
      </c>
      <c r="M8" s="160">
        <f t="shared" ca="1" si="1"/>
        <v>47.808002000000009</v>
      </c>
      <c r="N8" s="121" cm="1">
        <f t="array" aca="1" ref="N8" ca="1">_xlfn.PERCENTRANK.EXC(_xlfn._xlws.FILTER($M$6:M$18, ISNUMBER($M$6:M$18)),M8)*100</f>
        <v>57.099999999999994</v>
      </c>
    </row>
    <row r="9" spans="2:16" x14ac:dyDescent="0.35">
      <c r="B9" s="78" t="s">
        <v>1</v>
      </c>
      <c r="C9" s="167" t="str" cm="1">
        <f t="array" ref="C9">_xll.FDS(B9,"FG_COMPANY_NAME")</f>
        <v>SPDR S&amp;P 500 ETF Trust</v>
      </c>
      <c r="D9" s="159">
        <f>VLOOKUP(B9,'Value -2 '!$D$3:$AC$15,26,FALSE)</f>
        <v>28.499999999999996</v>
      </c>
      <c r="E9" s="121">
        <f>VLOOKUP(B9,'Quality - 2'!$B$2:$S$14,18,FALSE)</f>
        <v>85.7</v>
      </c>
      <c r="F9" s="159">
        <f>VLOOKUP(B9,Safety!$B$4:$R$16,17,FALSE)</f>
        <v>50</v>
      </c>
      <c r="G9" s="180">
        <f t="shared" si="0"/>
        <v>54.733333333333334</v>
      </c>
      <c r="H9" s="125" cm="1">
        <f t="array" ref="H9">_xlfn.PERCENTRANK.EXC(_xlfn._xlws.FILTER($G$6:G$18, ISNUMBER($G$6:G$18)),G9)*100</f>
        <v>57.099999999999994</v>
      </c>
      <c r="I9" s="159">
        <f>VLOOKUP(B9,'LIQIDITY 2'!$A$3:$X$15,24,FALSE)</f>
        <v>7.1</v>
      </c>
      <c r="J9" s="121">
        <f ca="1">VLOOKUP(B9,'Momnetum ranking'!$A$3:$AJ$15,36,FALSE)</f>
        <v>78.5</v>
      </c>
      <c r="K9" s="161">
        <f>VLOOKUP(B9,'Momnetum ranking'!$A$3:$H$15,8,FALSE)</f>
        <v>0.53876739562624254</v>
      </c>
      <c r="L9" s="121">
        <f>VLOOKUP(B9,'Currency- 2'!$A$3:$U$15,21,FALSE)</f>
        <v>35.699999999999996</v>
      </c>
      <c r="M9" s="160">
        <f t="shared" ca="1" si="1"/>
        <v>52.808358000000005</v>
      </c>
      <c r="N9" s="121" cm="1">
        <f t="array" aca="1" ref="N9" ca="1">_xlfn.PERCENTRANK.EXC(_xlfn._xlws.FILTER($M$6:M$18, ISNUMBER($M$6:M$18)),M9)*100</f>
        <v>71.399999999999991</v>
      </c>
    </row>
    <row r="10" spans="2:16" x14ac:dyDescent="0.35">
      <c r="B10" s="78" t="s">
        <v>11</v>
      </c>
      <c r="C10" s="167" t="str" cm="1">
        <f t="array" ref="C10">_xll.FDS(B10,"FG_COMPANY_NAME")</f>
        <v>iShares MSCI Germany ETF</v>
      </c>
      <c r="D10" s="159">
        <f>VLOOKUP(B10,'Value -2 '!$D$3:$AC$15,26,FALSE)</f>
        <v>85.7</v>
      </c>
      <c r="E10" s="121">
        <f>VLOOKUP(B10,'Quality - 2'!$B$2:$S$14,18,FALSE)</f>
        <v>50</v>
      </c>
      <c r="F10" s="159">
        <f>VLOOKUP(B10,Safety!$B$4:$R$16,17,FALSE)</f>
        <v>42.8</v>
      </c>
      <c r="G10" s="180">
        <f t="shared" si="0"/>
        <v>59.500000000000007</v>
      </c>
      <c r="H10" s="125" cm="1">
        <f t="array" ref="H10">_xlfn.PERCENTRANK.EXC(_xlfn._xlws.FILTER($G$6:G$18, ISNUMBER($G$6:G$18)),G10)*100</f>
        <v>71.399999999999991</v>
      </c>
      <c r="I10" s="159">
        <f>VLOOKUP(B10,'LIQIDITY 2'!$A$3:$X$15,24,FALSE)</f>
        <v>42.8</v>
      </c>
      <c r="J10" s="121">
        <f ca="1">VLOOKUP(B10,'Momnetum ranking'!$A$3:$AJ$15,36,FALSE)</f>
        <v>42.8</v>
      </c>
      <c r="K10" s="161">
        <f>VLOOKUP(B10,'Momnetum ranking'!$A$3:$H$15,8,FALSE)</f>
        <v>0.46551724137931033</v>
      </c>
      <c r="L10" s="121">
        <f>VLOOKUP(B10,'Currency- 2'!$A$3:$U$15,21,FALSE)</f>
        <v>92.800000000000011</v>
      </c>
      <c r="M10" s="160">
        <f t="shared" ca="1" si="1"/>
        <v>52.808215000000004</v>
      </c>
      <c r="N10" s="121" cm="1">
        <f t="array" aca="1" ref="N10" ca="1">_xlfn.PERCENTRANK.EXC(_xlfn._xlws.FILTER($M$6:M$18, ISNUMBER($M$6:M$18)),M10)*100</f>
        <v>64.2</v>
      </c>
    </row>
    <row r="11" spans="2:16" x14ac:dyDescent="0.35">
      <c r="B11" s="78" t="s">
        <v>48</v>
      </c>
      <c r="C11" s="167" t="str" cm="1">
        <f t="array" ref="C11">_xll.FDS(B11,"FG_COMPANY_NAME")</f>
        <v>iShares MSCI United Kingdom ETF</v>
      </c>
      <c r="D11" s="159">
        <f>VLOOKUP(B11,'Value -2 '!$D$3:$AC$15,26,FALSE)</f>
        <v>71.399999999999991</v>
      </c>
      <c r="E11" s="121">
        <f>VLOOKUP(B11,'Quality - 2'!$B$2:$S$14,18,FALSE)</f>
        <v>28.499999999999996</v>
      </c>
      <c r="F11" s="159">
        <f>VLOOKUP(B11,Safety!$B$4:$R$16,17,FALSE)</f>
        <v>28.499999999999996</v>
      </c>
      <c r="G11" s="180">
        <f t="shared" si="0"/>
        <v>42.8</v>
      </c>
      <c r="H11" s="125" cm="1">
        <f t="array" ref="H11">_xlfn.PERCENTRANK.EXC(_xlfn._xlws.FILTER($G$6:G$18, ISNUMBER($G$6:G$18)),G11)*100</f>
        <v>28.499999999999996</v>
      </c>
      <c r="I11" s="159">
        <f>VLOOKUP(B11,'LIQIDITY 2'!$A$3:$X$15,24,FALSE)</f>
        <v>42.8</v>
      </c>
      <c r="J11" s="121">
        <f ca="1">VLOOKUP(B11,'Momnetum ranking'!$A$3:$AJ$15,36,FALSE)</f>
        <v>85.7</v>
      </c>
      <c r="K11" s="161">
        <f>VLOOKUP(B11,'Momnetum ranking'!$A$3:$H$15,8,FALSE)</f>
        <v>0.38271604938271603</v>
      </c>
      <c r="L11" s="121">
        <f>VLOOKUP(B11,'Currency- 2'!$A$3:$U$15,21,FALSE)</f>
        <v>50</v>
      </c>
      <c r="M11" s="160">
        <f t="shared" ca="1" si="1"/>
        <v>60.678716000000001</v>
      </c>
      <c r="N11" s="121" cm="1">
        <f t="array" aca="1" ref="N11" ca="1">_xlfn.PERCENTRANK.EXC(_xlfn._xlws.FILTER($M$6:M$18, ISNUMBER($M$6:M$18)),M11)*100</f>
        <v>85.7</v>
      </c>
    </row>
    <row r="12" spans="2:16" x14ac:dyDescent="0.35">
      <c r="B12" s="78" t="s">
        <v>49</v>
      </c>
      <c r="C12" s="167" t="str" cm="1">
        <f t="array" ref="C12">_xll.FDS(B12,"FG_COMPANY_NAME")</f>
        <v>iShares MSCI Canada ETF</v>
      </c>
      <c r="D12" s="159">
        <f>VLOOKUP(B12,'Value -2 '!$D$3:$AC$15,26,FALSE)</f>
        <v>42.8</v>
      </c>
      <c r="E12" s="121">
        <f>VLOOKUP(B12,'Quality - 2'!$B$2:$S$14,18,FALSE)</f>
        <v>64.2</v>
      </c>
      <c r="F12" s="159">
        <f>VLOOKUP(B12,Safety!$B$4:$R$16,17,FALSE)</f>
        <v>35.699999999999996</v>
      </c>
      <c r="G12" s="180">
        <f t="shared" si="0"/>
        <v>47.56666666666667</v>
      </c>
      <c r="H12" s="125" cm="1">
        <f t="array" ref="H12">_xlfn.PERCENTRANK.EXC(_xlfn._xlws.FILTER($G$6:G$18, ISNUMBER($G$6:G$18)),G12)*100</f>
        <v>42.8</v>
      </c>
      <c r="I12" s="159">
        <f>VLOOKUP(B12,'LIQIDITY 2'!$A$3:$X$15,24,FALSE)</f>
        <v>42.8</v>
      </c>
      <c r="J12" s="121">
        <f ca="1">VLOOKUP(B12,'Momnetum ranking'!$A$3:$AJ$15,36,FALSE)</f>
        <v>71.399999999999991</v>
      </c>
      <c r="K12" s="161">
        <f>VLOOKUP(B12,'Momnetum ranking'!$A$3:$H$15,8,FALSE)</f>
        <v>0.48863636363636365</v>
      </c>
      <c r="L12" s="121">
        <f>VLOOKUP(B12,'Currency- 2'!$A$3:$U$15,21,FALSE)</f>
        <v>14.2</v>
      </c>
      <c r="M12" s="160">
        <f t="shared" ca="1" si="1"/>
        <v>52.808572999999996</v>
      </c>
      <c r="N12" s="121" cm="1">
        <f t="array" aca="1" ref="N12" ca="1">_xlfn.PERCENTRANK.EXC(_xlfn._xlws.FILTER($M$6:M$18, ISNUMBER($M$6:M$18)),M12)*100</f>
        <v>78.5</v>
      </c>
    </row>
    <row r="13" spans="2:16" x14ac:dyDescent="0.35">
      <c r="B13" s="78" t="s">
        <v>44</v>
      </c>
      <c r="C13" s="167" t="str" cm="1">
        <f t="array" ref="C13">_xll.FDS(B13,"FG_COMPANY_NAME")</f>
        <v>iShares MSCI Australia ETF</v>
      </c>
      <c r="D13" s="159">
        <f>VLOOKUP(B13,'Value -2 '!$D$3:$AC$15,26,FALSE)</f>
        <v>21.4</v>
      </c>
      <c r="E13" s="121">
        <f>VLOOKUP(B13,'Quality - 2'!$B$2:$S$14,18,FALSE)</f>
        <v>21.4</v>
      </c>
      <c r="F13" s="159">
        <f>VLOOKUP(B13,Safety!$B$4:$R$16,17,FALSE)</f>
        <v>14.2</v>
      </c>
      <c r="G13" s="180">
        <f t="shared" si="0"/>
        <v>19</v>
      </c>
      <c r="H13" s="125" cm="1">
        <f t="array" ref="H13">_xlfn.PERCENTRANK.EXC(_xlfn._xlws.FILTER($G$6:G$18, ISNUMBER($G$6:G$18)),G13)*100</f>
        <v>7.1</v>
      </c>
      <c r="I13" s="159">
        <f>VLOOKUP(B13,'LIQIDITY 2'!$A$3:$X$15,24,FALSE)</f>
        <v>7.1</v>
      </c>
      <c r="J13" s="121">
        <f ca="1">VLOOKUP(B13,'Momnetum ranking'!$A$3:$AJ$15,36,FALSE)</f>
        <v>50</v>
      </c>
      <c r="K13" s="161">
        <f>VLOOKUP(B13,'Momnetum ranking'!$A$3:$H$15,8,FALSE)</f>
        <v>0.3</v>
      </c>
      <c r="L13" s="121">
        <f>VLOOKUP(B13,'Currency- 2'!$A$3:$U$15,21,FALSE)</f>
        <v>21.4</v>
      </c>
      <c r="M13" s="160">
        <f t="shared" ca="1" si="1"/>
        <v>29.259430000000002</v>
      </c>
      <c r="N13" s="121" cm="1">
        <f t="array" aca="1" ref="N13" ca="1">_xlfn.PERCENTRANK.EXC(_xlfn._xlws.FILTER($M$6:M$18, ISNUMBER($M$6:M$18)),M13)*100</f>
        <v>7.1</v>
      </c>
    </row>
    <row r="14" spans="2:16" x14ac:dyDescent="0.35">
      <c r="B14" s="78" t="s">
        <v>431</v>
      </c>
      <c r="C14" s="167" t="str" cm="1">
        <f t="array" ref="C14">_xll.FDS(B14,"FG_COMPANY_NAME")</f>
        <v>iShares MSCI New Zealand ETF</v>
      </c>
      <c r="D14" s="159">
        <f>VLOOKUP(B14,'Value -2 '!$D$3:$AC$15,26,FALSE)</f>
        <v>7.1</v>
      </c>
      <c r="E14" s="121">
        <f>VLOOKUP(B14,'Quality - 2'!$B$2:$S$14,18,FALSE)</f>
        <v>14.2</v>
      </c>
      <c r="F14" s="159">
        <f>VLOOKUP(B14,Safety!$B$4:$R$16,17,FALSE)</f>
        <v>78.5</v>
      </c>
      <c r="G14" s="180">
        <f t="shared" si="0"/>
        <v>33.266666666666673</v>
      </c>
      <c r="H14" s="125" cm="1">
        <f t="array" ref="H14">_xlfn.PERCENTRANK.EXC(_xlfn._xlws.FILTER($G$6:G$18, ISNUMBER($G$6:G$18)),G14)*100</f>
        <v>14.2</v>
      </c>
      <c r="I14" s="159">
        <f>VLOOKUP(B14,'LIQIDITY 2'!$A$3:$X$15,24,FALSE)</f>
        <v>42.8</v>
      </c>
      <c r="J14" s="121">
        <f ca="1">VLOOKUP(B14,'Momnetum ranking'!$A$3:$AJ$15,36,FALSE)</f>
        <v>64.2</v>
      </c>
      <c r="K14" s="161">
        <f>VLOOKUP(B14,'Momnetum ranking'!$A$3:$H$15,8,FALSE)</f>
        <v>0.2857142857142857</v>
      </c>
      <c r="L14" s="121">
        <f>VLOOKUP(B14,'Currency- 2'!$A$3:$U$15,21,FALSE)</f>
        <v>7.1</v>
      </c>
      <c r="M14" s="160">
        <f t="shared" ca="1" si="1"/>
        <v>44.929002000000004</v>
      </c>
      <c r="N14" s="121" cm="1">
        <f t="array" aca="1" ref="N14" ca="1">_xlfn.PERCENTRANK.EXC(_xlfn._xlws.FILTER($M$6:M$18, ISNUMBER($M$6:M$18)),M14)*100</f>
        <v>50</v>
      </c>
    </row>
    <row r="15" spans="2:16" x14ac:dyDescent="0.35">
      <c r="B15" s="78" t="s">
        <v>865</v>
      </c>
      <c r="C15" s="167" t="str" cm="1">
        <f t="array" ref="C15">_xll.FDS(B15,"FG_COMPANY_NAME")</f>
        <v>iShares MSCI France ETF</v>
      </c>
      <c r="D15" s="159">
        <f>VLOOKUP(B15,'Value -2 '!$D$3:$AC$15,26,FALSE)</f>
        <v>64.2</v>
      </c>
      <c r="E15" s="121">
        <f>VLOOKUP(B15,'Quality - 2'!$B$2:$S$14,18,FALSE)</f>
        <v>71.399999999999991</v>
      </c>
      <c r="F15" s="159">
        <f>VLOOKUP(B15,Safety!$B$4:$R$16,17,FALSE)</f>
        <v>64.2</v>
      </c>
      <c r="G15" s="180">
        <f t="shared" si="0"/>
        <v>66.599999999999994</v>
      </c>
      <c r="H15" s="125" cm="1">
        <f t="array" ref="H15">_xlfn.PERCENTRANK.EXC(_xlfn._xlws.FILTER($G$6:G$18, ISNUMBER($G$6:G$18)),G15)*100</f>
        <v>78.5</v>
      </c>
      <c r="I15" s="159">
        <f>VLOOKUP(B15,'LIQIDITY 2'!$A$3:$X$15,24,FALSE)</f>
        <v>35.699999999999996</v>
      </c>
      <c r="J15" s="121">
        <f ca="1">VLOOKUP(B15,'Momnetum ranking'!$A$3:$AJ$15,36,FALSE)</f>
        <v>7.1</v>
      </c>
      <c r="K15" s="161">
        <f>VLOOKUP(B15,'Momnetum ranking'!$A$3:$H$15,8,FALSE)</f>
        <v>0.37096774193548387</v>
      </c>
      <c r="L15" s="121">
        <f>VLOOKUP(B15,'Currency- 2'!$A$3:$U$15,21,FALSE)</f>
        <v>64.2</v>
      </c>
      <c r="M15" s="160">
        <f t="shared" ca="1" si="1"/>
        <v>36.378001999999995</v>
      </c>
      <c r="N15" s="121" cm="1">
        <f t="array" aca="1" ref="N15" ca="1">_xlfn.PERCENTRANK.EXC(_xlfn._xlws.FILTER($M$6:M$18, ISNUMBER($M$6:M$18)),M15)*100</f>
        <v>28.499999999999996</v>
      </c>
    </row>
    <row r="16" spans="2:16" x14ac:dyDescent="0.35">
      <c r="B16" s="78" t="s">
        <v>867</v>
      </c>
      <c r="C16" s="167" t="str" cm="1">
        <f t="array" ref="C16">_xll.FDS(B16,"FG_COMPANY_NAME")</f>
        <v>iShares MSCI Netherlands ETF</v>
      </c>
      <c r="D16" s="159">
        <f>VLOOKUP(B16,'Value -2 '!$D$3:$AC$15,26,FALSE)</f>
        <v>35.699999999999996</v>
      </c>
      <c r="E16" s="121">
        <f>VLOOKUP(B16,'Quality - 2'!$B$2:$S$14,18,FALSE)</f>
        <v>35.699999999999996</v>
      </c>
      <c r="F16" s="159">
        <f>VLOOKUP(B16,Safety!$B$4:$R$16,17,FALSE)</f>
        <v>71.399999999999991</v>
      </c>
      <c r="G16" s="180">
        <f t="shared" si="0"/>
        <v>47.599999999999994</v>
      </c>
      <c r="H16" s="125" cm="1">
        <f t="array" ref="H16">_xlfn.PERCENTRANK.EXC(_xlfn._xlws.FILTER($G$6:G$18, ISNUMBER($G$6:G$18)),G16)*100</f>
        <v>50</v>
      </c>
      <c r="I16" s="159">
        <f>VLOOKUP(B16,'LIQIDITY 2'!$A$3:$X$15,24,FALSE)</f>
        <v>42.8</v>
      </c>
      <c r="J16" s="121">
        <f ca="1">VLOOKUP(B16,'Momnetum ranking'!$A$3:$AJ$15,36,FALSE)</f>
        <v>14.2</v>
      </c>
      <c r="K16" s="161">
        <f>VLOOKUP(B16,'Momnetum ranking'!$A$3:$H$15,8,FALSE)</f>
        <v>0.49056603773584906</v>
      </c>
      <c r="L16" s="121">
        <f>VLOOKUP(B16,'Currency- 2'!$A$3:$U$15,21,FALSE)</f>
        <v>78.5</v>
      </c>
      <c r="M16" s="160">
        <f t="shared" ca="1" si="1"/>
        <v>36.368572</v>
      </c>
      <c r="N16" s="121" cm="1">
        <f t="array" aca="1" ref="N16" ca="1">_xlfn.PERCENTRANK.EXC(_xlfn._xlws.FILTER($M$6:M$18, ISNUMBER($M$6:M$18)),M16)*100</f>
        <v>21.4</v>
      </c>
    </row>
    <row r="17" spans="2:14" x14ac:dyDescent="0.35">
      <c r="B17" s="78" t="s">
        <v>864</v>
      </c>
      <c r="C17" s="167" t="str" cm="1">
        <f t="array" ref="C17">_xll.FDS(B17,"FG_COMPANY_NAME")</f>
        <v>iShares MSCI Sweden ETF</v>
      </c>
      <c r="D17" s="159">
        <f>VLOOKUP(B17,'Value -2 '!$D$3:$AC$15,26,FALSE)</f>
        <v>78.5</v>
      </c>
      <c r="E17" s="121">
        <f>VLOOKUP(B17,'Quality - 2'!$B$2:$S$14,18,FALSE)</f>
        <v>35.699999999999996</v>
      </c>
      <c r="F17" s="159">
        <f>VLOOKUP(B17,Safety!$B$4:$R$16,17,FALSE)</f>
        <v>21.4</v>
      </c>
      <c r="G17" s="180">
        <f t="shared" si="0"/>
        <v>45.20000000000001</v>
      </c>
      <c r="H17" s="125" cm="1">
        <f t="array" ref="H17">_xlfn.PERCENTRANK.EXC(_xlfn._xlws.FILTER($G$6:G$18, ISNUMBER($G$6:G$18)),G17)*100</f>
        <v>35.699999999999996</v>
      </c>
      <c r="I17" s="159">
        <f>VLOOKUP(B17,'LIQIDITY 2'!$A$3:$X$15,24,FALSE)</f>
        <v>42.8</v>
      </c>
      <c r="J17" s="121">
        <f ca="1">VLOOKUP(B17,'Momnetum ranking'!$A$3:$AJ$15,36,FALSE)</f>
        <v>21.4</v>
      </c>
      <c r="K17" s="161">
        <f>VLOOKUP(B17,'Momnetum ranking'!$A$3:$H$15,8,FALSE)</f>
        <v>0.28888888888888886</v>
      </c>
      <c r="L17" s="121">
        <f>VLOOKUP(B17,'Currency- 2'!$A$3:$U$15,21,FALSE)</f>
        <v>28.499999999999996</v>
      </c>
      <c r="M17" s="160">
        <f t="shared" ca="1" si="1"/>
        <v>33.528644000000007</v>
      </c>
      <c r="N17" s="121" cm="1">
        <f t="array" aca="1" ref="N17" ca="1">_xlfn.PERCENTRANK.EXC(_xlfn._xlws.FILTER($M$6:M$18, ISNUMBER($M$6:M$18)),M17)*100</f>
        <v>14.2</v>
      </c>
    </row>
    <row r="18" spans="2:14" x14ac:dyDescent="0.35">
      <c r="B18" s="79" t="s">
        <v>866</v>
      </c>
      <c r="C18" s="168" t="str" cm="1">
        <f t="array" ref="C18">_xll.FDS(B18,"FG_COMPANY_NAME")</f>
        <v>iShares MSCI Italy ETF</v>
      </c>
      <c r="D18" s="154">
        <f>VLOOKUP(B18,'Value -2 '!$D$3:$AC$15,26,FALSE)</f>
        <v>92.800000000000011</v>
      </c>
      <c r="E18" s="122">
        <f>VLOOKUP(B18,'Quality - 2'!$B$2:$S$14,18,FALSE)</f>
        <v>7.1</v>
      </c>
      <c r="F18" s="154">
        <f>VLOOKUP(B18,Safety!$B$4:$R$16,17,FALSE)</f>
        <v>7.1</v>
      </c>
      <c r="G18" s="181">
        <f t="shared" si="0"/>
        <v>35.666666666666679</v>
      </c>
      <c r="H18" s="126" cm="1">
        <f t="array" ref="H18">_xlfn.PERCENTRANK.EXC(_xlfn._xlws.FILTER($G$6:G$18, ISNUMBER($G$6:G$18)),G18)*100</f>
        <v>21.4</v>
      </c>
      <c r="I18" s="154">
        <f>VLOOKUP(B18,'LIQIDITY 2'!$A$3:$X$15,24,FALSE)</f>
        <v>42.8</v>
      </c>
      <c r="J18" s="122">
        <f ca="1">VLOOKUP(B18,'Momnetum ranking'!$A$3:$AJ$15,36,FALSE)</f>
        <v>28.499999999999996</v>
      </c>
      <c r="K18" s="165">
        <f>VLOOKUP(B18,'Momnetum ranking'!$A$3:$H$15,8,FALSE)</f>
        <v>0.57692307692307687</v>
      </c>
      <c r="L18" s="122">
        <f>VLOOKUP(B18,'Currency- 2'!$A$3:$U$15,21,FALSE)</f>
        <v>71.399999999999991</v>
      </c>
      <c r="M18" s="164">
        <f t="shared" ca="1" si="1"/>
        <v>37.798929999999999</v>
      </c>
      <c r="N18" s="122" cm="1">
        <f t="array" aca="1" ref="N18" ca="1">_xlfn.PERCENTRANK.EXC(_xlfn._xlws.FILTER($M$6:M$18, ISNUMBER($M$6:M$18)),M18)*100</f>
        <v>35.699999999999996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29" t="s">
        <v>822</v>
      </c>
      <c r="D2" s="130">
        <v>0.5</v>
      </c>
      <c r="E2" s="62" t="s">
        <v>836</v>
      </c>
      <c r="F2" s="127">
        <v>0.1</v>
      </c>
      <c r="R2" s="144" t="s">
        <v>851</v>
      </c>
      <c r="S2" s="144" t="s">
        <v>851</v>
      </c>
    </row>
    <row r="3" spans="2:21" ht="15" thickBot="1" x14ac:dyDescent="0.4">
      <c r="C3" s="131" t="s">
        <v>823</v>
      </c>
      <c r="D3" s="132">
        <v>70</v>
      </c>
      <c r="E3" s="56" t="s">
        <v>824</v>
      </c>
      <c r="F3" s="58">
        <v>50</v>
      </c>
      <c r="R3" s="148">
        <f ca="1">COUNTIF(R9:R17,"&gt;0")</f>
        <v>0</v>
      </c>
      <c r="S3" s="148">
        <f ca="1">COUNTIF(S9:S17,"&gt;0")</f>
        <v>0</v>
      </c>
    </row>
    <row r="4" spans="2:21" ht="15" thickBot="1" x14ac:dyDescent="0.4">
      <c r="C4" s="131" t="s">
        <v>825</v>
      </c>
      <c r="D4" s="133">
        <v>0.3</v>
      </c>
      <c r="E4" s="56" t="s">
        <v>831</v>
      </c>
      <c r="F4" s="128">
        <v>0.1</v>
      </c>
    </row>
    <row r="5" spans="2:21" ht="15" thickBot="1" x14ac:dyDescent="0.4">
      <c r="C5" s="134" t="s">
        <v>826</v>
      </c>
      <c r="D5" s="135">
        <v>70</v>
      </c>
      <c r="E5" s="12" t="s">
        <v>823</v>
      </c>
      <c r="F5" s="14">
        <v>60</v>
      </c>
      <c r="Q5" s="62" t="s">
        <v>849</v>
      </c>
      <c r="R5" s="11"/>
    </row>
    <row r="6" spans="2:21" ht="15" thickBot="1" x14ac:dyDescent="0.4">
      <c r="Q6" s="12" t="s">
        <v>850</v>
      </c>
      <c r="R6" s="147">
        <v>0.01</v>
      </c>
    </row>
    <row r="7" spans="2:21" ht="15" thickBot="1" x14ac:dyDescent="0.4"/>
    <row r="8" spans="2:21" x14ac:dyDescent="0.35">
      <c r="B8" s="139" t="s">
        <v>827</v>
      </c>
      <c r="C8" s="139" t="s">
        <v>518</v>
      </c>
      <c r="D8" s="140" t="s">
        <v>544</v>
      </c>
      <c r="E8" s="140" t="s">
        <v>828</v>
      </c>
      <c r="F8" s="140" t="s">
        <v>543</v>
      </c>
      <c r="G8" s="140" t="s">
        <v>545</v>
      </c>
      <c r="H8" s="140" t="s">
        <v>546</v>
      </c>
      <c r="I8" s="140" t="s">
        <v>549</v>
      </c>
      <c r="J8" s="140" t="s">
        <v>832</v>
      </c>
      <c r="K8" s="140" t="s">
        <v>853</v>
      </c>
      <c r="L8" s="140" t="s">
        <v>833</v>
      </c>
      <c r="M8" s="140" t="s">
        <v>858</v>
      </c>
      <c r="N8" s="140" t="s">
        <v>834</v>
      </c>
      <c r="O8" s="140" t="s">
        <v>854</v>
      </c>
      <c r="P8" s="140" t="s">
        <v>835</v>
      </c>
      <c r="Q8" s="140" t="s">
        <v>855</v>
      </c>
      <c r="R8" s="155" t="s">
        <v>856</v>
      </c>
      <c r="S8" s="155" t="s">
        <v>857</v>
      </c>
    </row>
    <row r="9" spans="2:21" x14ac:dyDescent="0.3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6">
        <f>HLOOKUP(B9,'Monthly Returns'!$A$1:$N$139,139,FALSE)</f>
        <v>0.20119924921659441</v>
      </c>
      <c r="F9">
        <f ca="1">VLOOKUP(B9,OUTPUT_COUNTRY!$B$6:$N$18, 9, FALSE)</f>
        <v>64.2</v>
      </c>
      <c r="G9" s="47">
        <f>IFERROR(VLOOKUP(B9,OUTPUT_COUNTRY!$B$6:$N$18, 7, FALSE),0)</f>
        <v>14.2</v>
      </c>
      <c r="H9">
        <f>VLOOKUP(B9,OUTPUT_COUNTRY!$B$6:$N$18, 8, FALSE)</f>
        <v>42.8</v>
      </c>
      <c r="I9">
        <f>VLOOKUP(B9,OUTPUT_COUNTRY!$B$6:$N$18, 11, FALSE)</f>
        <v>7.1</v>
      </c>
      <c r="J9" s="47">
        <f t="shared" ref="J9:J21" ca="1" si="0">IF(F9&gt;=$D$3,1/E9,0)</f>
        <v>0</v>
      </c>
      <c r="K9" s="136">
        <f ca="1">J9/$J$22</f>
        <v>0</v>
      </c>
      <c r="L9">
        <f t="shared" ref="L9:L21" si="1">IF(G9&gt;=$D$5,1/E9,0)</f>
        <v>0</v>
      </c>
      <c r="M9" s="136">
        <f>L9/$L$22</f>
        <v>0</v>
      </c>
      <c r="N9">
        <f t="shared" ref="N9:N21" si="2">IF(H9&gt;=$F$3,1/E9,0)</f>
        <v>0</v>
      </c>
      <c r="O9" s="136" t="e">
        <f>N9/$N$22</f>
        <v>#DIV/0!</v>
      </c>
      <c r="P9">
        <f t="shared" ref="P9:P21" si="3">IF(I9&gt;=$F$5,1/E9,0)</f>
        <v>0</v>
      </c>
      <c r="Q9" s="136">
        <f>P9/$P$22</f>
        <v>0</v>
      </c>
      <c r="R9" s="156" t="e">
        <f t="shared" ref="R9:R21" ca="1" si="4">IF($D$2*K9+$D$4*M9+$F$2*O9+$F$4*Q9 = 0,"",$D$2*K9+$D$4*M9+$F$2*O9+$F$4*Q9)</f>
        <v>#DIV/0!</v>
      </c>
      <c r="S9" s="156" t="str">
        <f t="shared" ref="S9:S21" ca="1" si="5">IFERROR(IF(R9&gt;=$R$6, R9/SUMIF($R$9:$R$17,"&gt;="&amp;$R$6), ""),"")</f>
        <v/>
      </c>
      <c r="U9" s="50"/>
    </row>
    <row r="10" spans="2:21" x14ac:dyDescent="0.3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6">
        <f>HLOOKUP(B10,'Monthly Returns'!$A$1:$N$139,139,FALSE)</f>
        <v>0.22604213687652344</v>
      </c>
      <c r="F10">
        <f ca="1">VLOOKUP(B10,OUTPUT_COUNTRY!$B$6:$N$18, 9, FALSE)</f>
        <v>50</v>
      </c>
      <c r="G10" s="47">
        <f>IFERROR(VLOOKUP(B10,OUTPUT_COUNTRY!$B$6:$N$18, 7, FALSE),0)</f>
        <v>7.1</v>
      </c>
      <c r="H10">
        <f>VLOOKUP(B10,OUTPUT_COUNTRY!$B$6:$N$18, 8, FALSE)</f>
        <v>7.1</v>
      </c>
      <c r="I10">
        <f>VLOOKUP(B10,OUTPUT_COUNTRY!$B$6:$N$18, 11, FALSE)</f>
        <v>21.4</v>
      </c>
      <c r="J10" s="47">
        <f t="shared" ca="1" si="0"/>
        <v>0</v>
      </c>
      <c r="K10" s="136">
        <f t="shared" ref="K10:K21" ca="1" si="6">J10/$J$22</f>
        <v>0</v>
      </c>
      <c r="L10">
        <f t="shared" si="1"/>
        <v>0</v>
      </c>
      <c r="M10" s="136">
        <f t="shared" ref="M10:M21" si="7">L10/$L$22</f>
        <v>0</v>
      </c>
      <c r="N10">
        <f t="shared" si="2"/>
        <v>0</v>
      </c>
      <c r="O10" s="136" t="e">
        <f t="shared" ref="O10:O21" si="8">N10/$N$22</f>
        <v>#DIV/0!</v>
      </c>
      <c r="P10">
        <f t="shared" si="3"/>
        <v>0</v>
      </c>
      <c r="Q10" s="136">
        <f t="shared" ref="Q10:Q21" si="9">P10/$P$22</f>
        <v>0</v>
      </c>
      <c r="R10" s="156" t="e">
        <f t="shared" ca="1" si="4"/>
        <v>#DIV/0!</v>
      </c>
      <c r="S10" s="156" t="str">
        <f t="shared" ca="1" si="5"/>
        <v/>
      </c>
      <c r="U10" s="50"/>
    </row>
    <row r="11" spans="2:21" x14ac:dyDescent="0.3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6">
        <f>HLOOKUP(B11,'Monthly Returns'!$A$1:$N$139,139,FALSE)</f>
        <v>0.21187056356015344</v>
      </c>
      <c r="F11">
        <f ca="1">VLOOKUP(B11,OUTPUT_COUNTRY!$B$6:$N$18, 9, FALSE)</f>
        <v>71.399999999999991</v>
      </c>
      <c r="G11" s="47">
        <f>IFERROR(VLOOKUP(B11,OUTPUT_COUNTRY!$B$6:$N$18, 7, FALSE),0)</f>
        <v>42.8</v>
      </c>
      <c r="H11">
        <f>VLOOKUP(B11,OUTPUT_COUNTRY!$B$6:$N$18, 8, FALSE)</f>
        <v>42.8</v>
      </c>
      <c r="I11">
        <f>VLOOKUP(B11,OUTPUT_COUNTRY!$B$6:$N$18, 11, FALSE)</f>
        <v>14.2</v>
      </c>
      <c r="J11" s="47">
        <f t="shared" ca="1" si="0"/>
        <v>4.719862840767326</v>
      </c>
      <c r="K11" s="136">
        <f t="shared" ca="1" si="6"/>
        <v>0.23269693679101869</v>
      </c>
      <c r="L11">
        <f t="shared" si="1"/>
        <v>0</v>
      </c>
      <c r="M11" s="136">
        <f t="shared" si="7"/>
        <v>0</v>
      </c>
      <c r="N11">
        <f t="shared" si="2"/>
        <v>0</v>
      </c>
      <c r="O11" s="136" t="e">
        <f t="shared" si="8"/>
        <v>#DIV/0!</v>
      </c>
      <c r="P11">
        <f t="shared" si="3"/>
        <v>0</v>
      </c>
      <c r="Q11" s="136">
        <f t="shared" si="9"/>
        <v>0</v>
      </c>
      <c r="R11" s="156" t="e">
        <f t="shared" ca="1" si="4"/>
        <v>#DIV/0!</v>
      </c>
      <c r="S11" s="156" t="str">
        <f t="shared" ca="1" si="5"/>
        <v/>
      </c>
      <c r="U11" s="50"/>
    </row>
    <row r="12" spans="2:21" x14ac:dyDescent="0.3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6">
        <f>HLOOKUP(B12,'Monthly Returns'!$A$1:$N$139,139,FALSE)</f>
        <v>0.24893783593403979</v>
      </c>
      <c r="F12">
        <f ca="1">VLOOKUP(B12,OUTPUT_COUNTRY!$B$6:$N$18, 9, FALSE)</f>
        <v>42.8</v>
      </c>
      <c r="G12" s="47">
        <f>IFERROR(VLOOKUP(B12,OUTPUT_COUNTRY!$B$6:$N$18, 7, FALSE),0)</f>
        <v>71.399999999999991</v>
      </c>
      <c r="H12">
        <f>VLOOKUP(B12,OUTPUT_COUNTRY!$B$6:$N$18, 8, FALSE)</f>
        <v>42.8</v>
      </c>
      <c r="I12">
        <f>VLOOKUP(B12,OUTPUT_COUNTRY!$B$6:$N$18, 11, FALSE)</f>
        <v>92.800000000000011</v>
      </c>
      <c r="J12" s="47">
        <f t="shared" ca="1" si="0"/>
        <v>0</v>
      </c>
      <c r="K12" s="136">
        <f t="shared" ca="1" si="6"/>
        <v>0</v>
      </c>
      <c r="L12">
        <f t="shared" si="1"/>
        <v>4.0170671374558209</v>
      </c>
      <c r="M12" s="136">
        <f t="shared" si="7"/>
        <v>0.22124555505038443</v>
      </c>
      <c r="N12">
        <f t="shared" si="2"/>
        <v>0</v>
      </c>
      <c r="O12" s="136" t="e">
        <f t="shared" si="8"/>
        <v>#DIV/0!</v>
      </c>
      <c r="P12">
        <f t="shared" si="3"/>
        <v>4.0170671374558209</v>
      </c>
      <c r="Q12" s="136">
        <f t="shared" si="9"/>
        <v>0.1878780039094976</v>
      </c>
      <c r="R12" s="156" t="e">
        <f t="shared" ca="1" si="4"/>
        <v>#DIV/0!</v>
      </c>
      <c r="S12" s="156" t="str">
        <f t="shared" ca="1" si="5"/>
        <v/>
      </c>
      <c r="U12" s="50"/>
    </row>
    <row r="13" spans="2:21" x14ac:dyDescent="0.3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6">
        <f>HLOOKUP(B13,'Monthly Returns'!$A$1:$N$139,139,FALSE)</f>
        <v>0.18371737490807552</v>
      </c>
      <c r="F13">
        <f ca="1">VLOOKUP(B13,OUTPUT_COUNTRY!$B$6:$N$18, 9, FALSE)</f>
        <v>35.699999999999996</v>
      </c>
      <c r="G13" s="47">
        <f>IFERROR(VLOOKUP(B13,OUTPUT_COUNTRY!$B$6:$N$18, 7, FALSE),0)</f>
        <v>57.099999999999994</v>
      </c>
      <c r="H13">
        <f>VLOOKUP(B13,OUTPUT_COUNTRY!$B$6:$N$18, 8, FALSE)</f>
        <v>7.1</v>
      </c>
      <c r="I13">
        <f>VLOOKUP(B13,OUTPUT_COUNTRY!$B$6:$N$18, 11, FALSE)</f>
        <v>57.099999999999994</v>
      </c>
      <c r="J13" s="47">
        <f t="shared" ca="1" si="0"/>
        <v>0</v>
      </c>
      <c r="K13" s="136">
        <f t="shared" ca="1" si="6"/>
        <v>0</v>
      </c>
      <c r="L13">
        <f t="shared" si="1"/>
        <v>0</v>
      </c>
      <c r="M13" s="136">
        <f t="shared" si="7"/>
        <v>0</v>
      </c>
      <c r="N13">
        <f t="shared" si="2"/>
        <v>0</v>
      </c>
      <c r="O13" s="136" t="e">
        <f t="shared" si="8"/>
        <v>#DIV/0!</v>
      </c>
      <c r="P13">
        <f t="shared" si="3"/>
        <v>0</v>
      </c>
      <c r="Q13" s="136">
        <f t="shared" si="9"/>
        <v>0</v>
      </c>
      <c r="R13" s="156" t="e">
        <f t="shared" ca="1" si="4"/>
        <v>#DIV/0!</v>
      </c>
      <c r="S13" s="156" t="str">
        <f t="shared" ca="1" si="5"/>
        <v/>
      </c>
      <c r="U13" s="50"/>
    </row>
    <row r="14" spans="2:21" x14ac:dyDescent="0.3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6">
        <f>HLOOKUP(B14,'Monthly Returns'!$A$1:$N$139,139,FALSE)</f>
        <v>0.18237281799230684</v>
      </c>
      <c r="F14">
        <f ca="1">VLOOKUP(B14,OUTPUT_COUNTRY!$B$6:$N$18, 9, FALSE)</f>
        <v>92.800000000000011</v>
      </c>
      <c r="G14" s="47">
        <f>IFERROR(VLOOKUP(B14,OUTPUT_COUNTRY!$B$6:$N$18, 7, FALSE),0)</f>
        <v>92.800000000000011</v>
      </c>
      <c r="H14">
        <f>VLOOKUP(B14,OUTPUT_COUNTRY!$B$6:$N$18, 8, FALSE)</f>
        <v>42.8</v>
      </c>
      <c r="I14">
        <f>VLOOKUP(B14,OUTPUT_COUNTRY!$B$6:$N$18, 11, FALSE)</f>
        <v>85.7</v>
      </c>
      <c r="J14" s="47">
        <f t="shared" ca="1" si="0"/>
        <v>5.4832732805728961</v>
      </c>
      <c r="K14" s="136">
        <f t="shared" ca="1" si="6"/>
        <v>0.27033431670016883</v>
      </c>
      <c r="L14">
        <f t="shared" si="1"/>
        <v>5.4832732805728961</v>
      </c>
      <c r="M14" s="136">
        <f t="shared" si="7"/>
        <v>0.3019988959461683</v>
      </c>
      <c r="N14">
        <f t="shared" si="2"/>
        <v>0</v>
      </c>
      <c r="O14" s="136" t="e">
        <f t="shared" si="8"/>
        <v>#DIV/0!</v>
      </c>
      <c r="P14">
        <f t="shared" si="3"/>
        <v>5.4832732805728961</v>
      </c>
      <c r="Q14" s="136">
        <f t="shared" si="9"/>
        <v>0.2564523826944996</v>
      </c>
      <c r="R14" s="156" t="e">
        <f t="shared" ca="1" si="4"/>
        <v>#DIV/0!</v>
      </c>
      <c r="S14" s="156" t="str">
        <f t="shared" ca="1" si="5"/>
        <v/>
      </c>
      <c r="U14" s="50"/>
    </row>
    <row r="15" spans="2:21" x14ac:dyDescent="0.3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6">
        <f>HLOOKUP(B15,'Monthly Returns'!$A$1:$N$139,139,FALSE)</f>
        <v>0.21295806964155839</v>
      </c>
      <c r="F15">
        <f ca="1">VLOOKUP(B15,OUTPUT_COUNTRY!$B$6:$N$18, 9, FALSE)</f>
        <v>85.7</v>
      </c>
      <c r="G15" s="47">
        <f>IFERROR(VLOOKUP(B15,OUTPUT_COUNTRY!$B$6:$N$18, 7, FALSE),0)</f>
        <v>28.499999999999996</v>
      </c>
      <c r="H15">
        <f>VLOOKUP(B15,OUTPUT_COUNTRY!$B$6:$N$18, 8, FALSE)</f>
        <v>42.8</v>
      </c>
      <c r="I15">
        <f>VLOOKUP(B15,OUTPUT_COUNTRY!$B$6:$N$18, 11, FALSE)</f>
        <v>50</v>
      </c>
      <c r="J15" s="47">
        <f t="shared" ca="1" si="0"/>
        <v>4.6957600699666173</v>
      </c>
      <c r="K15" s="136">
        <f t="shared" ca="1" si="6"/>
        <v>0.23150863087563131</v>
      </c>
      <c r="L15">
        <f t="shared" si="1"/>
        <v>0</v>
      </c>
      <c r="M15" s="136">
        <f t="shared" si="7"/>
        <v>0</v>
      </c>
      <c r="N15">
        <f t="shared" si="2"/>
        <v>0</v>
      </c>
      <c r="O15" s="136" t="e">
        <f t="shared" si="8"/>
        <v>#DIV/0!</v>
      </c>
      <c r="P15">
        <f t="shared" si="3"/>
        <v>0</v>
      </c>
      <c r="Q15" s="136">
        <f t="shared" si="9"/>
        <v>0</v>
      </c>
      <c r="R15" s="156" t="e">
        <f t="shared" ca="1" si="4"/>
        <v>#DIV/0!</v>
      </c>
      <c r="S15" s="156" t="str">
        <f t="shared" ca="1" si="5"/>
        <v/>
      </c>
      <c r="U15" s="50"/>
    </row>
    <row r="16" spans="2:21" x14ac:dyDescent="0.3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6">
        <f>HLOOKUP(B16,'Monthly Returns'!$A$1:$N$139,139,FALSE)</f>
        <v>0.22671308046246749</v>
      </c>
      <c r="F16">
        <f ca="1">VLOOKUP(B16,OUTPUT_COUNTRY!$B$6:$N$18, 9, FALSE)</f>
        <v>57.099999999999994</v>
      </c>
      <c r="G16" s="47">
        <f>IFERROR(VLOOKUP(B16,OUTPUT_COUNTRY!$B$6:$N$18, 7, FALSE),0)</f>
        <v>85.7</v>
      </c>
      <c r="H16">
        <f>VLOOKUP(B16,OUTPUT_COUNTRY!$B$6:$N$18, 8, FALSE)</f>
        <v>7.1</v>
      </c>
      <c r="I16">
        <f>VLOOKUP(B16,OUTPUT_COUNTRY!$B$6:$N$18, 11, FALSE)</f>
        <v>35.699999999999996</v>
      </c>
      <c r="J16" s="47">
        <f t="shared" ca="1" si="0"/>
        <v>0</v>
      </c>
      <c r="K16" s="136">
        <f t="shared" ca="1" si="6"/>
        <v>0</v>
      </c>
      <c r="L16">
        <f t="shared" si="1"/>
        <v>4.4108615081234834</v>
      </c>
      <c r="M16" s="136">
        <f t="shared" si="7"/>
        <v>0.24293432726474776</v>
      </c>
      <c r="N16">
        <f t="shared" si="2"/>
        <v>0</v>
      </c>
      <c r="O16" s="136" t="e">
        <f t="shared" si="8"/>
        <v>#DIV/0!</v>
      </c>
      <c r="P16">
        <f t="shared" si="3"/>
        <v>0</v>
      </c>
      <c r="Q16" s="136">
        <f t="shared" si="9"/>
        <v>0</v>
      </c>
      <c r="R16" s="156" t="e">
        <f t="shared" ca="1" si="4"/>
        <v>#DIV/0!</v>
      </c>
      <c r="S16" s="156" t="str">
        <f t="shared" ca="1" si="5"/>
        <v/>
      </c>
      <c r="U16" s="50"/>
    </row>
    <row r="17" spans="2:21" x14ac:dyDescent="0.3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6">
        <f>HLOOKUP(B17,'Monthly Returns'!$A$1:$N$139,139,FALSE)</f>
        <v>0.18572142568023531</v>
      </c>
      <c r="F17">
        <f ca="1">VLOOKUP(B17,OUTPUT_COUNTRY!$B$6:$N$18, 9, FALSE)</f>
        <v>78.5</v>
      </c>
      <c r="G17" s="47">
        <f>IFERROR(VLOOKUP(B17,OUTPUT_COUNTRY!$B$6:$N$18, 7, FALSE),0)</f>
        <v>57.099999999999994</v>
      </c>
      <c r="H17">
        <f>VLOOKUP(B17,OUTPUT_COUNTRY!$B$6:$N$18, 8, FALSE)</f>
        <v>7.1</v>
      </c>
      <c r="I17">
        <f>VLOOKUP(B17,OUTPUT_COUNTRY!$B$6:$N$18, 11, FALSE)</f>
        <v>35.699999999999996</v>
      </c>
      <c r="J17" s="47">
        <f t="shared" ca="1" si="0"/>
        <v>5.3844083758098202</v>
      </c>
      <c r="K17" s="136">
        <f t="shared" ca="1" si="6"/>
        <v>0.26546011563318117</v>
      </c>
      <c r="L17">
        <f t="shared" si="1"/>
        <v>0</v>
      </c>
      <c r="M17" s="136">
        <f t="shared" si="7"/>
        <v>0</v>
      </c>
      <c r="N17">
        <f t="shared" si="2"/>
        <v>0</v>
      </c>
      <c r="O17" s="136" t="e">
        <f t="shared" si="8"/>
        <v>#DIV/0!</v>
      </c>
      <c r="P17">
        <f t="shared" si="3"/>
        <v>0</v>
      </c>
      <c r="Q17" s="136">
        <f t="shared" si="9"/>
        <v>0</v>
      </c>
      <c r="R17" s="156" t="e">
        <f t="shared" ca="1" si="4"/>
        <v>#DIV/0!</v>
      </c>
      <c r="S17" s="156" t="str">
        <f t="shared" ca="1" si="5"/>
        <v/>
      </c>
      <c r="U17" s="50"/>
    </row>
    <row r="18" spans="2:21" x14ac:dyDescent="0.35">
      <c r="B18" s="56" t="s">
        <v>865</v>
      </c>
      <c r="C18" s="56" t="str" cm="1">
        <f t="array" ref="C18">_xll.FDS(B18,"FG_COMPANY_NAME")</f>
        <v>iShares MSCI France ETF</v>
      </c>
      <c r="D18" t="s">
        <v>621</v>
      </c>
      <c r="E18" s="136">
        <f>HLOOKUP(B18,'Monthly Returns'!$A$1:$N$139,139,FALSE)</f>
        <v>0.23554914851063988</v>
      </c>
      <c r="F18">
        <f ca="1">VLOOKUP(B18,OUTPUT_COUNTRY!$B$6:$N$18, 9, FALSE)</f>
        <v>7.1</v>
      </c>
      <c r="G18" s="47">
        <f>IFERROR(VLOOKUP(B18,OUTPUT_COUNTRY!$B$6:$N$18, 7, FALSE),0)</f>
        <v>78.5</v>
      </c>
      <c r="H18">
        <f>VLOOKUP(B18,OUTPUT_COUNTRY!$B$6:$N$18, 8, FALSE)</f>
        <v>35.699999999999996</v>
      </c>
      <c r="I18">
        <f>VLOOKUP(B18,OUTPUT_COUNTRY!$B$6:$N$18, 11, FALSE)</f>
        <v>64.2</v>
      </c>
      <c r="J18" s="47">
        <f t="shared" ca="1" si="0"/>
        <v>0</v>
      </c>
      <c r="K18" s="136">
        <f t="shared" ca="1" si="6"/>
        <v>0</v>
      </c>
      <c r="L18">
        <f t="shared" si="1"/>
        <v>4.2453984925138863</v>
      </c>
      <c r="M18" s="136">
        <f t="shared" si="7"/>
        <v>0.23382122173869943</v>
      </c>
      <c r="N18">
        <f t="shared" si="2"/>
        <v>0</v>
      </c>
      <c r="O18" s="136" t="e">
        <f t="shared" si="8"/>
        <v>#DIV/0!</v>
      </c>
      <c r="P18">
        <f t="shared" si="3"/>
        <v>4.2453984925138863</v>
      </c>
      <c r="Q18" s="136">
        <f t="shared" si="9"/>
        <v>0.1985570485334392</v>
      </c>
      <c r="R18" s="156" t="e">
        <f t="shared" ca="1" si="4"/>
        <v>#DIV/0!</v>
      </c>
      <c r="S18" s="156" t="str">
        <f t="shared" ca="1" si="5"/>
        <v/>
      </c>
    </row>
    <row r="19" spans="2:21" x14ac:dyDescent="0.35">
      <c r="B19" s="56" t="s">
        <v>867</v>
      </c>
      <c r="C19" s="56" t="str" cm="1">
        <f t="array" ref="C19">_xll.FDS(B19,"FG_COMPANY_NAME")</f>
        <v>iShares MSCI Netherlands ETF</v>
      </c>
      <c r="D19" t="s">
        <v>673</v>
      </c>
      <c r="E19" s="136">
        <f>HLOOKUP(B19,'Monthly Returns'!$A$1:$N$139,139,FALSE)</f>
        <v>0.25214667244234179</v>
      </c>
      <c r="F19">
        <f ca="1">VLOOKUP(B19,OUTPUT_COUNTRY!$B$6:$N$18, 9, FALSE)</f>
        <v>14.2</v>
      </c>
      <c r="G19" s="47">
        <f>IFERROR(VLOOKUP(B19,OUTPUT_COUNTRY!$B$6:$N$18, 7, FALSE),0)</f>
        <v>50</v>
      </c>
      <c r="H19">
        <f>VLOOKUP(B19,OUTPUT_COUNTRY!$B$6:$N$18, 8, FALSE)</f>
        <v>42.8</v>
      </c>
      <c r="I19">
        <f>VLOOKUP(B19,OUTPUT_COUNTRY!$B$6:$N$18, 11, FALSE)</f>
        <v>78.5</v>
      </c>
      <c r="J19" s="47">
        <f t="shared" ca="1" si="0"/>
        <v>0</v>
      </c>
      <c r="K19" s="136">
        <f t="shared" ca="1" si="6"/>
        <v>0</v>
      </c>
      <c r="L19">
        <f t="shared" si="1"/>
        <v>0</v>
      </c>
      <c r="M19" s="136">
        <f t="shared" si="7"/>
        <v>0</v>
      </c>
      <c r="N19">
        <f t="shared" si="2"/>
        <v>0</v>
      </c>
      <c r="O19" s="136" t="e">
        <f t="shared" si="8"/>
        <v>#DIV/0!</v>
      </c>
      <c r="P19">
        <f t="shared" si="3"/>
        <v>3.9659456550181891</v>
      </c>
      <c r="Q19" s="136">
        <f t="shared" si="9"/>
        <v>0.18548705505337276</v>
      </c>
      <c r="R19" s="156" t="e">
        <f t="shared" ca="1" si="4"/>
        <v>#DIV/0!</v>
      </c>
      <c r="S19" s="156" t="str">
        <f t="shared" ca="1" si="5"/>
        <v/>
      </c>
    </row>
    <row r="20" spans="2:21" x14ac:dyDescent="0.35">
      <c r="B20" s="56" t="s">
        <v>864</v>
      </c>
      <c r="C20" s="56" t="str" cm="1">
        <f t="array" ref="C20">_xll.FDS(B20,"FG_COMPANY_NAME")</f>
        <v>iShares MSCI Sweden ETF</v>
      </c>
      <c r="D20" t="s">
        <v>705</v>
      </c>
      <c r="E20" s="136">
        <f>HLOOKUP(B20,'Monthly Returns'!$A$1:$N$139,139,FALSE)</f>
        <v>0.24139658079250134</v>
      </c>
      <c r="F20">
        <f ca="1">VLOOKUP(B20,OUTPUT_COUNTRY!$B$6:$N$18, 9, FALSE)</f>
        <v>21.4</v>
      </c>
      <c r="G20" s="47">
        <f>IFERROR(VLOOKUP(B20,OUTPUT_COUNTRY!$B$6:$N$18, 7, FALSE),0)</f>
        <v>35.699999999999996</v>
      </c>
      <c r="H20">
        <f>VLOOKUP(B20,OUTPUT_COUNTRY!$B$6:$N$18, 8, FALSE)</f>
        <v>42.8</v>
      </c>
      <c r="I20">
        <f>VLOOKUP(B20,OUTPUT_COUNTRY!$B$6:$N$18, 11, FALSE)</f>
        <v>28.499999999999996</v>
      </c>
      <c r="J20" s="47">
        <f t="shared" ca="1" si="0"/>
        <v>0</v>
      </c>
      <c r="K20" s="136">
        <f t="shared" ca="1" si="6"/>
        <v>0</v>
      </c>
      <c r="L20">
        <f t="shared" si="1"/>
        <v>0</v>
      </c>
      <c r="M20" s="136">
        <f t="shared" si="7"/>
        <v>0</v>
      </c>
      <c r="N20">
        <f t="shared" si="2"/>
        <v>0</v>
      </c>
      <c r="O20" s="136" t="e">
        <f t="shared" si="8"/>
        <v>#DIV/0!</v>
      </c>
      <c r="P20">
        <f t="shared" si="3"/>
        <v>0</v>
      </c>
      <c r="Q20" s="136">
        <f t="shared" si="9"/>
        <v>0</v>
      </c>
      <c r="R20" s="156" t="e">
        <f t="shared" ca="1" si="4"/>
        <v>#DIV/0!</v>
      </c>
      <c r="S20" s="156" t="str">
        <f t="shared" ca="1" si="5"/>
        <v/>
      </c>
    </row>
    <row r="21" spans="2:21" ht="15" thickBot="1" x14ac:dyDescent="0.4">
      <c r="B21" s="12" t="s">
        <v>866</v>
      </c>
      <c r="C21" s="12" t="str" cm="1">
        <f t="array" ref="C21">_xll.FDS(B21,"FG_COMPANY_NAME")</f>
        <v>iShares MSCI Italy ETF</v>
      </c>
      <c r="D21" s="13" t="s">
        <v>641</v>
      </c>
      <c r="E21" s="137">
        <f>HLOOKUP(B21,'Monthly Returns'!$A$1:$N$139,139,FALSE)</f>
        <v>0.27251160835492988</v>
      </c>
      <c r="F21" s="13">
        <f ca="1">VLOOKUP(B21,OUTPUT_COUNTRY!$B$6:$N$18, 9, FALSE)</f>
        <v>28.499999999999996</v>
      </c>
      <c r="G21" s="138">
        <f>IFERROR(VLOOKUP(B21,OUTPUT_COUNTRY!$B$6:$N$18, 7, FALSE),0)</f>
        <v>21.4</v>
      </c>
      <c r="H21" s="13">
        <f>VLOOKUP(B21,OUTPUT_COUNTRY!$B$6:$N$18, 8, FALSE)</f>
        <v>42.8</v>
      </c>
      <c r="I21" s="13">
        <f>VLOOKUP(B21,OUTPUT_COUNTRY!$B$6:$N$18, 11, FALSE)</f>
        <v>71.399999999999991</v>
      </c>
      <c r="J21" s="138">
        <f t="shared" ca="1" si="0"/>
        <v>0</v>
      </c>
      <c r="K21" s="137">
        <f t="shared" ca="1" si="6"/>
        <v>0</v>
      </c>
      <c r="L21" s="13">
        <f t="shared" si="1"/>
        <v>0</v>
      </c>
      <c r="M21" s="137">
        <f t="shared" si="7"/>
        <v>0</v>
      </c>
      <c r="N21" s="13">
        <f t="shared" si="2"/>
        <v>0</v>
      </c>
      <c r="O21" s="137" t="e">
        <f t="shared" si="8"/>
        <v>#DIV/0!</v>
      </c>
      <c r="P21" s="13">
        <f t="shared" si="3"/>
        <v>3.6695684489798341</v>
      </c>
      <c r="Q21" s="137">
        <f t="shared" si="9"/>
        <v>0.17162550980919086</v>
      </c>
      <c r="R21" s="157" t="e">
        <f t="shared" ca="1" si="4"/>
        <v>#DIV/0!</v>
      </c>
      <c r="S21" s="157" t="str">
        <f t="shared" ca="1" si="5"/>
        <v/>
      </c>
    </row>
    <row r="22" spans="2:21" x14ac:dyDescent="0.35">
      <c r="J22" s="47">
        <f ca="1">SUM(J9:J21)</f>
        <v>20.283304567116659</v>
      </c>
      <c r="K22" s="169"/>
      <c r="L22">
        <f>SUM(L9:L21)</f>
        <v>18.156600418666088</v>
      </c>
      <c r="N22">
        <f>SUM(N9:N21)</f>
        <v>0</v>
      </c>
      <c r="P22">
        <f>SUM(P9:P21)</f>
        <v>21.381253014540626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opLeftCell="B1" zoomScale="95" zoomScaleNormal="95" workbookViewId="0">
      <selection activeCell="D21" sqref="D21"/>
    </sheetView>
  </sheetViews>
  <sheetFormatPr defaultRowHeight="14.5" x14ac:dyDescent="0.35"/>
  <cols>
    <col min="3" max="3" width="8.453125" bestFit="1" customWidth="1"/>
    <col min="4" max="4" width="34.453125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9" t="s">
        <v>544</v>
      </c>
      <c r="D2" s="209"/>
      <c r="E2" s="209" t="s">
        <v>778</v>
      </c>
      <c r="F2" s="209"/>
      <c r="G2" s="209"/>
      <c r="H2" s="215" t="s">
        <v>778</v>
      </c>
      <c r="I2" s="209" t="s">
        <v>546</v>
      </c>
      <c r="J2" s="209" t="s">
        <v>543</v>
      </c>
      <c r="K2" s="209" t="s">
        <v>549</v>
      </c>
      <c r="L2" s="209" t="s">
        <v>737</v>
      </c>
    </row>
    <row r="3" spans="3:12" x14ac:dyDescent="0.35">
      <c r="C3" s="203"/>
      <c r="D3" s="203"/>
      <c r="E3" s="152" t="s">
        <v>545</v>
      </c>
      <c r="F3" s="152" t="s">
        <v>547</v>
      </c>
      <c r="G3" s="152" t="s">
        <v>914</v>
      </c>
      <c r="H3" s="213"/>
      <c r="I3" s="203"/>
      <c r="J3" s="203"/>
      <c r="K3" s="203"/>
      <c r="L3" s="203"/>
    </row>
    <row r="4" spans="3:12" x14ac:dyDescent="0.35">
      <c r="C4" s="77" t="s">
        <v>42</v>
      </c>
      <c r="D4" s="166" t="str" cm="1">
        <f t="array" ref="D4">_xll.FDS(C4,"FG_COMPANY_NAME")</f>
        <v>iShares MSCI Switzerland ETF</v>
      </c>
      <c r="E4" s="153" t="str">
        <f>IF(VLOOKUP(C4,OUTPUT_COUNTRY!$B$6:$N$18,3,FALSE)&gt;75,"++",(IF(VLOOKUP(C4,OUTPUT_COUNTRY!$B$6:$N$18,3,FALSE)&gt;50,"+",(IF(VLOOKUP(C4,OUTPUT_COUNTRY!$B$6:$N$18,3,FALSE)&gt;25,"-","--")))))</f>
        <v>+</v>
      </c>
      <c r="F4" s="120" t="str">
        <f>IF(VLOOKUP(C4,OUTPUT_COUNTRY!$B$6:$N$18,4,FALSE)&gt;75,"++",(IF(VLOOKUP(C4,OUTPUT_COUNTRY!$B$6:$N$18,4,FALSE)&gt;50,"+",(IF(VLOOKUP(C4,OUTPUT_COUNTRY!$B$6:$N$18,4,FALSE)&gt;25,"-","--")))))</f>
        <v>++</v>
      </c>
      <c r="G4" s="153" t="str">
        <f>IF(VLOOKUP(C4,OUTPUT_COUNTRY!$B$6:$N$18,5,FALSE)&gt;75,"++",(IF(VLOOKUP(C4,OUTPUT_COUNTRY!$B$6:$N$18,5,FALSE)&gt;50,"+",(IF(VLOOKUP(C4,OUTPUT_COUNTRY!$B$6:$N$18,5,FALSE)&gt;25,"-","--")))))</f>
        <v>++</v>
      </c>
      <c r="H4" s="120" t="str">
        <f>IF(VLOOKUP(C4,OUTPUT_COUNTRY!$B$6:$N$18,7,FALSE)&gt;75,"++",(IF(VLOOKUP(C4,OUTPUT_COUNTRY!$B$6:$N$18,7,FALSE)&gt;50,"+",(IF(VLOOKUP(C4,OUTPUT_COUNTRY!$B$6:$N$18,7,FALSE)&gt;25,"-","--")))))</f>
        <v>++</v>
      </c>
      <c r="I4" s="153" t="str">
        <f>IF(VLOOKUP(C4,OUTPUT_COUNTRY!$B$6:$N$18,8,FALSE)&gt;75,"++",(IF(VLOOKUP(C4,OUTPUT_COUNTRY!$B$6:$N$18,8,FALSE)&gt;50,"+",(IF(VLOOKUP(C4,OUTPUT_COUNTRY!$B$6:$N$18,8,FALSE)&gt;25,"-","--")))))</f>
        <v>-</v>
      </c>
      <c r="J4" s="120" t="str">
        <f ca="1">IF(VLOOKUP(C4,OUTPUT_COUNTRY!$B$6:$N$18,9,FALSE)&gt;75,"++",(IF(VLOOKUP(C4,OUTPUT_COUNTRY!$B$6:$N$18,9,FALSE)&gt;50,"+",(IF(VLOOKUP(C4,OUTPUT_COUNTRY!$B$6:$N$18,9,FALSE)&gt;25,"-","--")))))</f>
        <v>++</v>
      </c>
      <c r="K4" s="153" t="str">
        <f>IF(VLOOKUP(C4,OUTPUT_COUNTRY!$B$6:$N$18,11,FALSE)&gt;75,"++",(IF(VLOOKUP(C4,OUTPUT_COUNTRY!$B$6:$N$18,11,FALSE)&gt;50,"+",(IF(VLOOKUP(C4,OUTPUT_COUNTRY!$B$6:$N$18,11,FALSE)&gt;25,"-","--")))))</f>
        <v>++</v>
      </c>
      <c r="L4" s="120" t="str">
        <f ca="1">IF(VLOOKUP(C4,OUTPUT_COUNTRY!$B$6:$N$18,13,FALSE)&gt;75,"++",(IF(VLOOKUP(C4,OUTPUT_COUNTRY!$B$6:$N$18,13,FALSE)&gt;50,"+",(IF(VLOOKUP(C4,OUTPUT_COUNTRY!$B$6:$N$18,13,FALSE)&gt;25,"-","--")))))</f>
        <v>++</v>
      </c>
    </row>
    <row r="5" spans="3:12" x14ac:dyDescent="0.35">
      <c r="C5" s="78" t="s">
        <v>46</v>
      </c>
      <c r="D5" s="167" t="str" cm="1">
        <f t="array" ref="D5">_xll.FDS(C5,"FG_COMPANY_NAME")</f>
        <v>iShares MSCI Japan ETF</v>
      </c>
      <c r="E5" s="159" t="str">
        <f>IF(VLOOKUP(C5,OUTPUT_COUNTRY!$B$6:$N$18,3,FALSE)&gt;75,"++",(IF(VLOOKUP(C5,OUTPUT_COUNTRY!$B$6:$N$18,3,FALSE)&gt;50,"+",(IF(VLOOKUP(C5,OUTPUT_COUNTRY!$B$6:$N$18,3,FALSE)&gt;25,"-","--")))))</f>
        <v>-</v>
      </c>
      <c r="F5" s="121" t="str">
        <f>IF(VLOOKUP(C5,OUTPUT_COUNTRY!$B$6:$N$18,4,FALSE)&gt;75,"++",(IF(VLOOKUP(C5,OUTPUT_COUNTRY!$B$6:$N$18,4,FALSE)&gt;50,"+",(IF(VLOOKUP(C5,OUTPUT_COUNTRY!$B$6:$N$18,4,FALSE)&gt;25,"-","--")))))</f>
        <v>+</v>
      </c>
      <c r="G5" s="159" t="str">
        <f>IF(VLOOKUP(C5,OUTPUT_COUNTRY!$B$6:$N$18,5,FALSE)&gt;75,"++",(IF(VLOOKUP(C5,OUTPUT_COUNTRY!$B$6:$N$18,5,FALSE)&gt;50,"+",(IF(VLOOKUP(C5,OUTPUT_COUNTRY!$B$6:$N$18,5,FALSE)&gt;25,"-","--")))))</f>
        <v>+</v>
      </c>
      <c r="H5" s="121" t="str">
        <f>IF(VLOOKUP(C5,OUTPUT_COUNTRY!$B$6:$N$18,7,FALSE)&gt;75,"++",(IF(VLOOKUP(C5,OUTPUT_COUNTRY!$B$6:$N$18,7,FALSE)&gt;50,"+",(IF(VLOOKUP(C5,OUTPUT_COUNTRY!$B$6:$N$18,7,FALSE)&gt;25,"-","--")))))</f>
        <v>+</v>
      </c>
      <c r="I5" s="159" t="str">
        <f>IF(VLOOKUP(C5,OUTPUT_COUNTRY!$B$6:$N$18,8,FALSE)&gt;75,"++",(IF(VLOOKUP(C5,OUTPUT_COUNTRY!$B$6:$N$18,8,FALSE)&gt;50,"+",(IF(VLOOKUP(C5,OUTPUT_COUNTRY!$B$6:$N$18,8,FALSE)&gt;25,"-","--")))))</f>
        <v>--</v>
      </c>
      <c r="J5" s="121" t="str">
        <f ca="1">IF(VLOOKUP(C5,OUTPUT_COUNTRY!$B$6:$N$18,9,FALSE)&gt;75,"++",(IF(VLOOKUP(C5,OUTPUT_COUNTRY!$B$6:$N$18,9,FALSE)&gt;50,"+",(IF(VLOOKUP(C5,OUTPUT_COUNTRY!$B$6:$N$18,9,FALSE)&gt;25,"-","--")))))</f>
        <v>-</v>
      </c>
      <c r="K5" s="159" t="str">
        <f>IF(VLOOKUP(C5,OUTPUT_COUNTRY!$B$6:$N$18,11,FALSE)&gt;75,"++",(IF(VLOOKUP(C5,OUTPUT_COUNTRY!$B$6:$N$18,11,FALSE)&gt;50,"+",(IF(VLOOKUP(C5,OUTPUT_COUNTRY!$B$6:$N$18,11,FALSE)&gt;25,"-","--")))))</f>
        <v>+</v>
      </c>
      <c r="L5" s="121" t="str">
        <f ca="1">IF(VLOOKUP(C5,OUTPUT_COUNTRY!$B$6:$N$18,13,FALSE)&gt;75,"++",(IF(VLOOKUP(C5,OUTPUT_COUNTRY!$B$6:$N$18,13,FALSE)&gt;50,"+",(IF(VLOOKUP(C5,OUTPUT_COUNTRY!$B$6:$N$18,13,FALSE)&gt;25,"-","--")))))</f>
        <v>-</v>
      </c>
    </row>
    <row r="6" spans="3:12" x14ac:dyDescent="0.35">
      <c r="C6" s="78" t="s">
        <v>51</v>
      </c>
      <c r="D6" s="167" t="str" cm="1">
        <f t="array" ref="D6">_xll.FDS(C6,"FG_COMPANY_NAME")</f>
        <v>Invesco QQQ Trust Series I</v>
      </c>
      <c r="E6" s="159" t="str">
        <f>IF(VLOOKUP(C6,OUTPUT_COUNTRY!$B$6:$N$18,3,FALSE)&gt;75,"++",(IF(VLOOKUP(C6,OUTPUT_COUNTRY!$B$6:$N$18,3,FALSE)&gt;50,"+",(IF(VLOOKUP(C6,OUTPUT_COUNTRY!$B$6:$N$18,3,FALSE)&gt;25,"-","--")))))</f>
        <v>--</v>
      </c>
      <c r="F6" s="121" t="str">
        <f>IF(VLOOKUP(C6,OUTPUT_COUNTRY!$B$6:$N$18,4,FALSE)&gt;75,"++",(IF(VLOOKUP(C6,OUTPUT_COUNTRY!$B$6:$N$18,4,FALSE)&gt;50,"+",(IF(VLOOKUP(C6,OUTPUT_COUNTRY!$B$6:$N$18,4,FALSE)&gt;25,"-","--")))))</f>
        <v>++</v>
      </c>
      <c r="G6" s="159" t="str">
        <f>IF(VLOOKUP(C6,OUTPUT_COUNTRY!$B$6:$N$18,5,FALSE)&gt;75,"++",(IF(VLOOKUP(C6,OUTPUT_COUNTRY!$B$6:$N$18,5,FALSE)&gt;50,"+",(IF(VLOOKUP(C6,OUTPUT_COUNTRY!$B$6:$N$18,5,FALSE)&gt;25,"-","--")))))</f>
        <v>++</v>
      </c>
      <c r="H6" s="121" t="str">
        <f>IF(VLOOKUP(C6,OUTPUT_COUNTRY!$B$6:$N$18,7,FALSE)&gt;75,"++",(IF(VLOOKUP(C6,OUTPUT_COUNTRY!$B$6:$N$18,7,FALSE)&gt;50,"+",(IF(VLOOKUP(C6,OUTPUT_COUNTRY!$B$6:$N$18,7,FALSE)&gt;25,"-","--")))))</f>
        <v>++</v>
      </c>
      <c r="I6" s="159" t="str">
        <f>IF(VLOOKUP(C6,OUTPUT_COUNTRY!$B$6:$N$18,8,FALSE)&gt;75,"++",(IF(VLOOKUP(C6,OUTPUT_COUNTRY!$B$6:$N$18,8,FALSE)&gt;50,"+",(IF(VLOOKUP(C6,OUTPUT_COUNTRY!$B$6:$N$18,8,FALSE)&gt;25,"-","--")))))</f>
        <v>--</v>
      </c>
      <c r="J6" s="121" t="str">
        <f ca="1">IF(VLOOKUP(C6,OUTPUT_COUNTRY!$B$6:$N$18,9,FALSE)&gt;75,"++",(IF(VLOOKUP(C6,OUTPUT_COUNTRY!$B$6:$N$18,9,FALSE)&gt;50,"+",(IF(VLOOKUP(C6,OUTPUT_COUNTRY!$B$6:$N$18,9,FALSE)&gt;25,"-","--")))))</f>
        <v>+</v>
      </c>
      <c r="K6" s="159" t="str">
        <f>IF(VLOOKUP(C6,OUTPUT_COUNTRY!$B$6:$N$18,11,FALSE)&gt;75,"++",(IF(VLOOKUP(C6,OUTPUT_COUNTRY!$B$6:$N$18,11,FALSE)&gt;50,"+",(IF(VLOOKUP(C6,OUTPUT_COUNTRY!$B$6:$N$18,11,FALSE)&gt;25,"-","--")))))</f>
        <v>-</v>
      </c>
      <c r="L6" s="121" t="str">
        <f ca="1">IF(VLOOKUP(C6,OUTPUT_COUNTRY!$B$6:$N$18,13,FALSE)&gt;75,"++",(IF(VLOOKUP(C6,OUTPUT_COUNTRY!$B$6:$N$18,13,FALSE)&gt;50,"+",(IF(VLOOKUP(C6,OUTPUT_COUNTRY!$B$6:$N$18,13,FALSE)&gt;25,"-","--")))))</f>
        <v>+</v>
      </c>
    </row>
    <row r="7" spans="3:12" x14ac:dyDescent="0.35">
      <c r="C7" s="78" t="s">
        <v>1</v>
      </c>
      <c r="D7" s="167" t="str" cm="1">
        <f t="array" ref="D7">_xll.FDS(C7,"FG_COMPANY_NAME")</f>
        <v>SPDR S&amp;P 500 ETF Trust</v>
      </c>
      <c r="E7" s="159" t="str">
        <f>IF(VLOOKUP(C7,OUTPUT_COUNTRY!$B$6:$N$18,3,FALSE)&gt;75,"++",(IF(VLOOKUP(C7,OUTPUT_COUNTRY!$B$6:$N$18,3,FALSE)&gt;50,"+",(IF(VLOOKUP(C7,OUTPUT_COUNTRY!$B$6:$N$18,3,FALSE)&gt;25,"-","--")))))</f>
        <v>-</v>
      </c>
      <c r="F7" s="121" t="str">
        <f>IF(VLOOKUP(C7,OUTPUT_COUNTRY!$B$6:$N$18,4,FALSE)&gt;75,"++",(IF(VLOOKUP(C7,OUTPUT_COUNTRY!$B$6:$N$18,4,FALSE)&gt;50,"+",(IF(VLOOKUP(C7,OUTPUT_COUNTRY!$B$6:$N$18,4,FALSE)&gt;25,"-","--")))))</f>
        <v>++</v>
      </c>
      <c r="G7" s="159" t="str">
        <f>IF(VLOOKUP(C7,OUTPUT_COUNTRY!$B$6:$N$18,5,FALSE)&gt;75,"++",(IF(VLOOKUP(C7,OUTPUT_COUNTRY!$B$6:$N$18,5,FALSE)&gt;50,"+",(IF(VLOOKUP(C7,OUTPUT_COUNTRY!$B$6:$N$18,5,FALSE)&gt;25,"-","--")))))</f>
        <v>-</v>
      </c>
      <c r="H7" s="121" t="str">
        <f>IF(VLOOKUP(C7,OUTPUT_COUNTRY!$B$6:$N$18,7,FALSE)&gt;75,"++",(IF(VLOOKUP(C7,OUTPUT_COUNTRY!$B$6:$N$18,7,FALSE)&gt;50,"+",(IF(VLOOKUP(C7,OUTPUT_COUNTRY!$B$6:$N$18,7,FALSE)&gt;25,"-","--")))))</f>
        <v>+</v>
      </c>
      <c r="I7" s="159" t="str">
        <f>IF(VLOOKUP(C7,OUTPUT_COUNTRY!$B$6:$N$18,8,FALSE)&gt;75,"++",(IF(VLOOKUP(C7,OUTPUT_COUNTRY!$B$6:$N$18,8,FALSE)&gt;50,"+",(IF(VLOOKUP(C7,OUTPUT_COUNTRY!$B$6:$N$18,8,FALSE)&gt;25,"-","--")))))</f>
        <v>--</v>
      </c>
      <c r="J7" s="121" t="str">
        <f ca="1">IF(VLOOKUP(C7,OUTPUT_COUNTRY!$B$6:$N$18,9,FALSE)&gt;75,"++",(IF(VLOOKUP(C7,OUTPUT_COUNTRY!$B$6:$N$18,9,FALSE)&gt;50,"+",(IF(VLOOKUP(C7,OUTPUT_COUNTRY!$B$6:$N$18,9,FALSE)&gt;25,"-","--")))))</f>
        <v>++</v>
      </c>
      <c r="K7" s="159" t="str">
        <f>IF(VLOOKUP(C7,OUTPUT_COUNTRY!$B$6:$N$18,11,FALSE)&gt;75,"++",(IF(VLOOKUP(C7,OUTPUT_COUNTRY!$B$6:$N$18,11,FALSE)&gt;50,"+",(IF(VLOOKUP(C7,OUTPUT_COUNTRY!$B$6:$N$18,11,FALSE)&gt;25,"-","--")))))</f>
        <v>-</v>
      </c>
      <c r="L7" s="121" t="str">
        <f ca="1">IF(VLOOKUP(C7,OUTPUT_COUNTRY!$B$6:$N$18,13,FALSE)&gt;75,"++",(IF(VLOOKUP(C7,OUTPUT_COUNTRY!$B$6:$N$18,13,FALSE)&gt;50,"+",(IF(VLOOKUP(C7,OUTPUT_COUNTRY!$B$6:$N$18,13,FALSE)&gt;25,"-","--")))))</f>
        <v>+</v>
      </c>
    </row>
    <row r="8" spans="3:12" x14ac:dyDescent="0.35">
      <c r="C8" s="78" t="s">
        <v>11</v>
      </c>
      <c r="D8" s="167" t="str" cm="1">
        <f t="array" ref="D8">_xll.FDS(C8,"FG_COMPANY_NAME")</f>
        <v>iShares MSCI Germany ETF</v>
      </c>
      <c r="E8" s="159" t="str">
        <f>IF(VLOOKUP(C8,OUTPUT_COUNTRY!$B$6:$N$18,3,FALSE)&gt;75,"++",(IF(VLOOKUP(C8,OUTPUT_COUNTRY!$B$6:$N$18,3,FALSE)&gt;50,"+",(IF(VLOOKUP(C8,OUTPUT_COUNTRY!$B$6:$N$18,3,FALSE)&gt;25,"-","--")))))</f>
        <v>++</v>
      </c>
      <c r="F8" s="121" t="str">
        <f>IF(VLOOKUP(C8,OUTPUT_COUNTRY!$B$6:$N$18,4,FALSE)&gt;75,"++",(IF(VLOOKUP(C8,OUTPUT_COUNTRY!$B$6:$N$18,4,FALSE)&gt;50,"+",(IF(VLOOKUP(C8,OUTPUT_COUNTRY!$B$6:$N$18,4,FALSE)&gt;25,"-","--")))))</f>
        <v>-</v>
      </c>
      <c r="G8" s="159" t="str">
        <f>IF(VLOOKUP(C8,OUTPUT_COUNTRY!$B$6:$N$18,5,FALSE)&gt;75,"++",(IF(VLOOKUP(C8,OUTPUT_COUNTRY!$B$6:$N$18,5,FALSE)&gt;50,"+",(IF(VLOOKUP(C8,OUTPUT_COUNTRY!$B$6:$N$18,5,FALSE)&gt;25,"-","--")))))</f>
        <v>-</v>
      </c>
      <c r="H8" s="121" t="str">
        <f>IF(VLOOKUP(C8,OUTPUT_COUNTRY!$B$6:$N$18,7,FALSE)&gt;75,"++",(IF(VLOOKUP(C8,OUTPUT_COUNTRY!$B$6:$N$18,7,FALSE)&gt;50,"+",(IF(VLOOKUP(C8,OUTPUT_COUNTRY!$B$6:$N$18,7,FALSE)&gt;25,"-","--")))))</f>
        <v>+</v>
      </c>
      <c r="I8" s="159" t="str">
        <f>IF(VLOOKUP(C8,OUTPUT_COUNTRY!$B$6:$N$18,8,FALSE)&gt;75,"++",(IF(VLOOKUP(C8,OUTPUT_COUNTRY!$B$6:$N$18,8,FALSE)&gt;50,"+",(IF(VLOOKUP(C8,OUTPUT_COUNTRY!$B$6:$N$18,8,FALSE)&gt;25,"-","--")))))</f>
        <v>-</v>
      </c>
      <c r="J8" s="121" t="str">
        <f ca="1">IF(VLOOKUP(C8,OUTPUT_COUNTRY!$B$6:$N$18,9,FALSE)&gt;75,"++",(IF(VLOOKUP(C8,OUTPUT_COUNTRY!$B$6:$N$18,9,FALSE)&gt;50,"+",(IF(VLOOKUP(C8,OUTPUT_COUNTRY!$B$6:$N$18,9,FALSE)&gt;25,"-","--")))))</f>
        <v>-</v>
      </c>
      <c r="K8" s="159" t="str">
        <f>IF(VLOOKUP(C8,OUTPUT_COUNTRY!$B$6:$N$18,11,FALSE)&gt;75,"++",(IF(VLOOKUP(C8,OUTPUT_COUNTRY!$B$6:$N$18,11,FALSE)&gt;50,"+",(IF(VLOOKUP(C8,OUTPUT_COUNTRY!$B$6:$N$18,11,FALSE)&gt;25,"-","--")))))</f>
        <v>++</v>
      </c>
      <c r="L8" s="121" t="str">
        <f ca="1">IF(VLOOKUP(C8,OUTPUT_COUNTRY!$B$6:$N$18,13,FALSE)&gt;75,"++",(IF(VLOOKUP(C8,OUTPUT_COUNTRY!$B$6:$N$18,13,FALSE)&gt;50,"+",(IF(VLOOKUP(C8,OUTPUT_COUNTRY!$B$6:$N$18,13,FALSE)&gt;25,"-","--")))))</f>
        <v>+</v>
      </c>
    </row>
    <row r="9" spans="3:12" x14ac:dyDescent="0.35">
      <c r="C9" s="78" t="s">
        <v>48</v>
      </c>
      <c r="D9" s="167" t="str" cm="1">
        <f t="array" ref="D9">_xll.FDS(C9,"FG_COMPANY_NAME")</f>
        <v>iShares MSCI United Kingdom ETF</v>
      </c>
      <c r="E9" s="159" t="str">
        <f>IF(VLOOKUP(C9,OUTPUT_COUNTRY!$B$6:$N$18,3,FALSE)&gt;75,"++",(IF(VLOOKUP(C9,OUTPUT_COUNTRY!$B$6:$N$18,3,FALSE)&gt;50,"+",(IF(VLOOKUP(C9,OUTPUT_COUNTRY!$B$6:$N$18,3,FALSE)&gt;25,"-","--")))))</f>
        <v>+</v>
      </c>
      <c r="F9" s="121" t="str">
        <f>IF(VLOOKUP(C9,OUTPUT_COUNTRY!$B$6:$N$18,4,FALSE)&gt;75,"++",(IF(VLOOKUP(C9,OUTPUT_COUNTRY!$B$6:$N$18,4,FALSE)&gt;50,"+",(IF(VLOOKUP(C9,OUTPUT_COUNTRY!$B$6:$N$18,4,FALSE)&gt;25,"-","--")))))</f>
        <v>-</v>
      </c>
      <c r="G9" s="159" t="str">
        <f>IF(VLOOKUP(C9,OUTPUT_COUNTRY!$B$6:$N$18,5,FALSE)&gt;75,"++",(IF(VLOOKUP(C9,OUTPUT_COUNTRY!$B$6:$N$18,5,FALSE)&gt;50,"+",(IF(VLOOKUP(C9,OUTPUT_COUNTRY!$B$6:$N$18,5,FALSE)&gt;25,"-","--")))))</f>
        <v>-</v>
      </c>
      <c r="H9" s="121" t="str">
        <f>IF(VLOOKUP(C9,OUTPUT_COUNTRY!$B$6:$N$18,7,FALSE)&gt;75,"++",(IF(VLOOKUP(C9,OUTPUT_COUNTRY!$B$6:$N$18,7,FALSE)&gt;50,"+",(IF(VLOOKUP(C9,OUTPUT_COUNTRY!$B$6:$N$18,7,FALSE)&gt;25,"-","--")))))</f>
        <v>-</v>
      </c>
      <c r="I9" s="159" t="str">
        <f>IF(VLOOKUP(C9,OUTPUT_COUNTRY!$B$6:$N$18,8,FALSE)&gt;75,"++",(IF(VLOOKUP(C9,OUTPUT_COUNTRY!$B$6:$N$18,8,FALSE)&gt;50,"+",(IF(VLOOKUP(C9,OUTPUT_COUNTRY!$B$6:$N$18,8,FALSE)&gt;25,"-","--")))))</f>
        <v>-</v>
      </c>
      <c r="J9" s="121" t="str">
        <f ca="1">IF(VLOOKUP(C9,OUTPUT_COUNTRY!$B$6:$N$18,9,FALSE)&gt;75,"++",(IF(VLOOKUP(C9,OUTPUT_COUNTRY!$B$6:$N$18,9,FALSE)&gt;50,"+",(IF(VLOOKUP(C9,OUTPUT_COUNTRY!$B$6:$N$18,9,FALSE)&gt;25,"-","--")))))</f>
        <v>++</v>
      </c>
      <c r="K9" s="159" t="str">
        <f>IF(VLOOKUP(C9,OUTPUT_COUNTRY!$B$6:$N$18,11,FALSE)&gt;75,"++",(IF(VLOOKUP(C9,OUTPUT_COUNTRY!$B$6:$N$18,11,FALSE)&gt;50,"+",(IF(VLOOKUP(C9,OUTPUT_COUNTRY!$B$6:$N$18,11,FALSE)&gt;25,"-","--")))))</f>
        <v>-</v>
      </c>
      <c r="L9" s="121" t="str">
        <f ca="1">IF(VLOOKUP(C9,OUTPUT_COUNTRY!$B$6:$N$18,13,FALSE)&gt;75,"++",(IF(VLOOKUP(C9,OUTPUT_COUNTRY!$B$6:$N$18,13,FALSE)&gt;50,"+",(IF(VLOOKUP(C9,OUTPUT_COUNTRY!$B$6:$N$18,13,FALSE)&gt;25,"-","--")))))</f>
        <v>++</v>
      </c>
    </row>
    <row r="10" spans="3:12" x14ac:dyDescent="0.35">
      <c r="C10" s="78" t="s">
        <v>49</v>
      </c>
      <c r="D10" s="167" t="str" cm="1">
        <f t="array" ref="D10">_xll.FDS(C10,"FG_COMPANY_NAME")</f>
        <v>iShares MSCI Canada ETF</v>
      </c>
      <c r="E10" s="159" t="str">
        <f>IF(VLOOKUP(C10,OUTPUT_COUNTRY!$B$6:$N$18,3,FALSE)&gt;75,"++",(IF(VLOOKUP(C10,OUTPUT_COUNTRY!$B$6:$N$18,3,FALSE)&gt;50,"+",(IF(VLOOKUP(C10,OUTPUT_COUNTRY!$B$6:$N$18,3,FALSE)&gt;25,"-","--")))))</f>
        <v>-</v>
      </c>
      <c r="F10" s="121" t="str">
        <f>IF(VLOOKUP(C10,OUTPUT_COUNTRY!$B$6:$N$18,4,FALSE)&gt;75,"++",(IF(VLOOKUP(C10,OUTPUT_COUNTRY!$B$6:$N$18,4,FALSE)&gt;50,"+",(IF(VLOOKUP(C10,OUTPUT_COUNTRY!$B$6:$N$18,4,FALSE)&gt;25,"-","--")))))</f>
        <v>+</v>
      </c>
      <c r="G10" s="159" t="str">
        <f>IF(VLOOKUP(C10,OUTPUT_COUNTRY!$B$6:$N$18,5,FALSE)&gt;75,"++",(IF(VLOOKUP(C10,OUTPUT_COUNTRY!$B$6:$N$18,5,FALSE)&gt;50,"+",(IF(VLOOKUP(C10,OUTPUT_COUNTRY!$B$6:$N$18,5,FALSE)&gt;25,"-","--")))))</f>
        <v>-</v>
      </c>
      <c r="H10" s="121" t="str">
        <f>IF(VLOOKUP(C10,OUTPUT_COUNTRY!$B$6:$N$18,7,FALSE)&gt;75,"++",(IF(VLOOKUP(C10,OUTPUT_COUNTRY!$B$6:$N$18,7,FALSE)&gt;50,"+",(IF(VLOOKUP(C10,OUTPUT_COUNTRY!$B$6:$N$18,7,FALSE)&gt;25,"-","--")))))</f>
        <v>-</v>
      </c>
      <c r="I10" s="159" t="str">
        <f>IF(VLOOKUP(C10,OUTPUT_COUNTRY!$B$6:$N$18,8,FALSE)&gt;75,"++",(IF(VLOOKUP(C10,OUTPUT_COUNTRY!$B$6:$N$18,8,FALSE)&gt;50,"+",(IF(VLOOKUP(C10,OUTPUT_COUNTRY!$B$6:$N$18,8,FALSE)&gt;25,"-","--")))))</f>
        <v>-</v>
      </c>
      <c r="J10" s="121" t="str">
        <f ca="1">IF(VLOOKUP(C10,OUTPUT_COUNTRY!$B$6:$N$18,9,FALSE)&gt;75,"++",(IF(VLOOKUP(C10,OUTPUT_COUNTRY!$B$6:$N$18,9,FALSE)&gt;50,"+",(IF(VLOOKUP(C10,OUTPUT_COUNTRY!$B$6:$N$18,9,FALSE)&gt;25,"-","--")))))</f>
        <v>+</v>
      </c>
      <c r="K10" s="159" t="str">
        <f>IF(VLOOKUP(C10,OUTPUT_COUNTRY!$B$6:$N$18,11,FALSE)&gt;75,"++",(IF(VLOOKUP(C10,OUTPUT_COUNTRY!$B$6:$N$18,11,FALSE)&gt;50,"+",(IF(VLOOKUP(C10,OUTPUT_COUNTRY!$B$6:$N$18,11,FALSE)&gt;25,"-","--")))))</f>
        <v>--</v>
      </c>
      <c r="L10" s="121" t="str">
        <f ca="1">IF(VLOOKUP(C10,OUTPUT_COUNTRY!$B$6:$N$18,13,FALSE)&gt;75,"++",(IF(VLOOKUP(C10,OUTPUT_COUNTRY!$B$6:$N$18,13,FALSE)&gt;50,"+",(IF(VLOOKUP(C10,OUTPUT_COUNTRY!$B$6:$N$18,13,FALSE)&gt;25,"-","--")))))</f>
        <v>++</v>
      </c>
    </row>
    <row r="11" spans="3:12" x14ac:dyDescent="0.35">
      <c r="C11" s="78" t="s">
        <v>44</v>
      </c>
      <c r="D11" s="167" t="str" cm="1">
        <f t="array" ref="D11">_xll.FDS(C11,"FG_COMPANY_NAME")</f>
        <v>iShares MSCI Australia ETF</v>
      </c>
      <c r="E11" s="159" t="str">
        <f>IF(VLOOKUP(C11,OUTPUT_COUNTRY!$B$6:$N$18,3,FALSE)&gt;75,"++",(IF(VLOOKUP(C11,OUTPUT_COUNTRY!$B$6:$N$18,3,FALSE)&gt;50,"+",(IF(VLOOKUP(C11,OUTPUT_COUNTRY!$B$6:$N$18,3,FALSE)&gt;25,"-","--")))))</f>
        <v>--</v>
      </c>
      <c r="F11" s="121" t="str">
        <f>IF(VLOOKUP(C11,OUTPUT_COUNTRY!$B$6:$N$18,4,FALSE)&gt;75,"++",(IF(VLOOKUP(C11,OUTPUT_COUNTRY!$B$6:$N$18,4,FALSE)&gt;50,"+",(IF(VLOOKUP(C11,OUTPUT_COUNTRY!$B$6:$N$18,4,FALSE)&gt;25,"-","--")))))</f>
        <v>--</v>
      </c>
      <c r="G11" s="159" t="str">
        <f>IF(VLOOKUP(C11,OUTPUT_COUNTRY!$B$6:$N$18,5,FALSE)&gt;75,"++",(IF(VLOOKUP(C11,OUTPUT_COUNTRY!$B$6:$N$18,5,FALSE)&gt;50,"+",(IF(VLOOKUP(C11,OUTPUT_COUNTRY!$B$6:$N$18,5,FALSE)&gt;25,"-","--")))))</f>
        <v>--</v>
      </c>
      <c r="H11" s="121" t="str">
        <f>IF(VLOOKUP(C11,OUTPUT_COUNTRY!$B$6:$N$18,7,FALSE)&gt;75,"++",(IF(VLOOKUP(C11,OUTPUT_COUNTRY!$B$6:$N$18,7,FALSE)&gt;50,"+",(IF(VLOOKUP(C11,OUTPUT_COUNTRY!$B$6:$N$18,7,FALSE)&gt;25,"-","--")))))</f>
        <v>--</v>
      </c>
      <c r="I11" s="159" t="str">
        <f>IF(VLOOKUP(C11,OUTPUT_COUNTRY!$B$6:$N$18,8,FALSE)&gt;75,"++",(IF(VLOOKUP(C11,OUTPUT_COUNTRY!$B$6:$N$18,8,FALSE)&gt;50,"+",(IF(VLOOKUP(C11,OUTPUT_COUNTRY!$B$6:$N$18,8,FALSE)&gt;25,"-","--")))))</f>
        <v>--</v>
      </c>
      <c r="J11" s="121" t="str">
        <f ca="1">IF(VLOOKUP(C11,OUTPUT_COUNTRY!$B$6:$N$18,9,FALSE)&gt;75,"++",(IF(VLOOKUP(C11,OUTPUT_COUNTRY!$B$6:$N$18,9,FALSE)&gt;50,"+",(IF(VLOOKUP(C11,OUTPUT_COUNTRY!$B$6:$N$18,9,FALSE)&gt;25,"-","--")))))</f>
        <v>-</v>
      </c>
      <c r="K11" s="159" t="str">
        <f>IF(VLOOKUP(C11,OUTPUT_COUNTRY!$B$6:$N$18,11,FALSE)&gt;75,"++",(IF(VLOOKUP(C11,OUTPUT_COUNTRY!$B$6:$N$18,11,FALSE)&gt;50,"+",(IF(VLOOKUP(C11,OUTPUT_COUNTRY!$B$6:$N$18,11,FALSE)&gt;25,"-","--")))))</f>
        <v>--</v>
      </c>
      <c r="L11" s="121" t="str">
        <f ca="1">IF(VLOOKUP(C11,OUTPUT_COUNTRY!$B$6:$N$18,13,FALSE)&gt;75,"++",(IF(VLOOKUP(C11,OUTPUT_COUNTRY!$B$6:$N$18,13,FALSE)&gt;50,"+",(IF(VLOOKUP(C11,OUTPUT_COUNTRY!$B$6:$N$18,13,FALSE)&gt;25,"-","--")))))</f>
        <v>--</v>
      </c>
    </row>
    <row r="12" spans="3:12" x14ac:dyDescent="0.35">
      <c r="C12" s="78" t="s">
        <v>431</v>
      </c>
      <c r="D12" s="167" t="str" cm="1">
        <f t="array" ref="D12">_xll.FDS(C12,"FG_COMPANY_NAME")</f>
        <v>iShares MSCI New Zealand ETF</v>
      </c>
      <c r="E12" s="159" t="str">
        <f>IF(VLOOKUP(C12,OUTPUT_COUNTRY!$B$6:$N$18,3,FALSE)&gt;75,"++",(IF(VLOOKUP(C12,OUTPUT_COUNTRY!$B$6:$N$18,3,FALSE)&gt;50,"+",(IF(VLOOKUP(C12,OUTPUT_COUNTRY!$B$6:$N$18,3,FALSE)&gt;25,"-","--")))))</f>
        <v>--</v>
      </c>
      <c r="F12" s="121" t="str">
        <f>IF(VLOOKUP(C12,OUTPUT_COUNTRY!$B$6:$N$18,4,FALSE)&gt;75,"++",(IF(VLOOKUP(C12,OUTPUT_COUNTRY!$B$6:$N$18,4,FALSE)&gt;50,"+",(IF(VLOOKUP(C12,OUTPUT_COUNTRY!$B$6:$N$18,4,FALSE)&gt;25,"-","--")))))</f>
        <v>--</v>
      </c>
      <c r="G12" s="159" t="str">
        <f>IF(VLOOKUP(C12,OUTPUT_COUNTRY!$B$6:$N$18,5,FALSE)&gt;75,"++",(IF(VLOOKUP(C12,OUTPUT_COUNTRY!$B$6:$N$18,5,FALSE)&gt;50,"+",(IF(VLOOKUP(C12,OUTPUT_COUNTRY!$B$6:$N$18,5,FALSE)&gt;25,"-","--")))))</f>
        <v>++</v>
      </c>
      <c r="H12" s="121" t="str">
        <f>IF(VLOOKUP(C12,OUTPUT_COUNTRY!$B$6:$N$18,7,FALSE)&gt;75,"++",(IF(VLOOKUP(C12,OUTPUT_COUNTRY!$B$6:$N$18,7,FALSE)&gt;50,"+",(IF(VLOOKUP(C12,OUTPUT_COUNTRY!$B$6:$N$18,7,FALSE)&gt;25,"-","--")))))</f>
        <v>--</v>
      </c>
      <c r="I12" s="159" t="str">
        <f>IF(VLOOKUP(C12,OUTPUT_COUNTRY!$B$6:$N$18,8,FALSE)&gt;75,"++",(IF(VLOOKUP(C12,OUTPUT_COUNTRY!$B$6:$N$18,8,FALSE)&gt;50,"+",(IF(VLOOKUP(C12,OUTPUT_COUNTRY!$B$6:$N$18,8,FALSE)&gt;25,"-","--")))))</f>
        <v>-</v>
      </c>
      <c r="J12" s="121" t="str">
        <f ca="1">IF(VLOOKUP(C12,OUTPUT_COUNTRY!$B$6:$N$18,9,FALSE)&gt;75,"++",(IF(VLOOKUP(C12,OUTPUT_COUNTRY!$B$6:$N$18,9,FALSE)&gt;50,"+",(IF(VLOOKUP(C12,OUTPUT_COUNTRY!$B$6:$N$18,9,FALSE)&gt;25,"-","--")))))</f>
        <v>+</v>
      </c>
      <c r="K12" s="159" t="str">
        <f>IF(VLOOKUP(C12,OUTPUT_COUNTRY!$B$6:$N$18,11,FALSE)&gt;75,"++",(IF(VLOOKUP(C12,OUTPUT_COUNTRY!$B$6:$N$18,11,FALSE)&gt;50,"+",(IF(VLOOKUP(C12,OUTPUT_COUNTRY!$B$6:$N$18,11,FALSE)&gt;25,"-","--")))))</f>
        <v>--</v>
      </c>
      <c r="L12" s="121" t="str">
        <f ca="1">IF(VLOOKUP(C12,OUTPUT_COUNTRY!$B$6:$N$18,13,FALSE)&gt;75,"++",(IF(VLOOKUP(C12,OUTPUT_COUNTRY!$B$6:$N$18,13,FALSE)&gt;50,"+",(IF(VLOOKUP(C12,OUTPUT_COUNTRY!$B$6:$N$18,13,FALSE)&gt;25,"-","--")))))</f>
        <v>-</v>
      </c>
    </row>
    <row r="13" spans="3:12" x14ac:dyDescent="0.35">
      <c r="C13" s="78" t="s">
        <v>865</v>
      </c>
      <c r="D13" s="167" t="str" cm="1">
        <f t="array" ref="D13">_xll.FDS(C13,"FG_COMPANY_NAME")</f>
        <v>iShares MSCI France ETF</v>
      </c>
      <c r="E13" s="159" t="str">
        <f>IF(VLOOKUP(C13,OUTPUT_COUNTRY!$B$6:$N$18,3,FALSE)&gt;75,"++",(IF(VLOOKUP(C13,OUTPUT_COUNTRY!$B$6:$N$18,3,FALSE)&gt;50,"+",(IF(VLOOKUP(C13,OUTPUT_COUNTRY!$B$6:$N$18,3,FALSE)&gt;25,"-","--")))))</f>
        <v>+</v>
      </c>
      <c r="F13" s="121" t="str">
        <f>IF(VLOOKUP(C13,OUTPUT_COUNTRY!$B$6:$N$18,4,FALSE)&gt;75,"++",(IF(VLOOKUP(C13,OUTPUT_COUNTRY!$B$6:$N$18,4,FALSE)&gt;50,"+",(IF(VLOOKUP(C13,OUTPUT_COUNTRY!$B$6:$N$18,4,FALSE)&gt;25,"-","--")))))</f>
        <v>+</v>
      </c>
      <c r="G13" s="159" t="str">
        <f>IF(VLOOKUP(C13,OUTPUT_COUNTRY!$B$6:$N$18,5,FALSE)&gt;75,"++",(IF(VLOOKUP(C13,OUTPUT_COUNTRY!$B$6:$N$18,5,FALSE)&gt;50,"+",(IF(VLOOKUP(C13,OUTPUT_COUNTRY!$B$6:$N$18,5,FALSE)&gt;25,"-","--")))))</f>
        <v>+</v>
      </c>
      <c r="H13" s="121" t="str">
        <f>IF(VLOOKUP(C13,OUTPUT_COUNTRY!$B$6:$N$18,7,FALSE)&gt;75,"++",(IF(VLOOKUP(C13,OUTPUT_COUNTRY!$B$6:$N$18,7,FALSE)&gt;50,"+",(IF(VLOOKUP(C13,OUTPUT_COUNTRY!$B$6:$N$18,7,FALSE)&gt;25,"-","--")))))</f>
        <v>++</v>
      </c>
      <c r="I13" s="159" t="str">
        <f>IF(VLOOKUP(C13,OUTPUT_COUNTRY!$B$6:$N$18,8,FALSE)&gt;75,"++",(IF(VLOOKUP(C13,OUTPUT_COUNTRY!$B$6:$N$18,8,FALSE)&gt;50,"+",(IF(VLOOKUP(C13,OUTPUT_COUNTRY!$B$6:$N$18,8,FALSE)&gt;25,"-","--")))))</f>
        <v>-</v>
      </c>
      <c r="J13" s="121" t="str">
        <f ca="1">IF(VLOOKUP(C13,OUTPUT_COUNTRY!$B$6:$N$18,9,FALSE)&gt;75,"++",(IF(VLOOKUP(C13,OUTPUT_COUNTRY!$B$6:$N$18,9,FALSE)&gt;50,"+",(IF(VLOOKUP(C13,OUTPUT_COUNTRY!$B$6:$N$18,9,FALSE)&gt;25,"-","--")))))</f>
        <v>--</v>
      </c>
      <c r="K13" s="159" t="str">
        <f>IF(VLOOKUP(C13,OUTPUT_COUNTRY!$B$6:$N$18,11,FALSE)&gt;75,"++",(IF(VLOOKUP(C13,OUTPUT_COUNTRY!$B$6:$N$18,11,FALSE)&gt;50,"+",(IF(VLOOKUP(C13,OUTPUT_COUNTRY!$B$6:$N$18,11,FALSE)&gt;25,"-","--")))))</f>
        <v>+</v>
      </c>
      <c r="L13" s="121" t="str">
        <f ca="1">IF(VLOOKUP(C13,OUTPUT_COUNTRY!$B$6:$N$18,13,FALSE)&gt;75,"++",(IF(VLOOKUP(C13,OUTPUT_COUNTRY!$B$6:$N$18,13,FALSE)&gt;50,"+",(IF(VLOOKUP(C13,OUTPUT_COUNTRY!$B$6:$N$18,13,FALSE)&gt;25,"-","--")))))</f>
        <v>-</v>
      </c>
    </row>
    <row r="14" spans="3:12" x14ac:dyDescent="0.35">
      <c r="C14" s="78" t="s">
        <v>867</v>
      </c>
      <c r="D14" s="167" t="str" cm="1">
        <f t="array" ref="D14">_xll.FDS(C14,"FG_COMPANY_NAME")</f>
        <v>iShares MSCI Netherlands ETF</v>
      </c>
      <c r="E14" s="159" t="str">
        <f>IF(VLOOKUP(C14,OUTPUT_COUNTRY!$B$6:$N$18,3,FALSE)&gt;75,"++",(IF(VLOOKUP(C14,OUTPUT_COUNTRY!$B$6:$N$18,3,FALSE)&gt;50,"+",(IF(VLOOKUP(C14,OUTPUT_COUNTRY!$B$6:$N$18,3,FALSE)&gt;25,"-","--")))))</f>
        <v>-</v>
      </c>
      <c r="F14" s="121" t="str">
        <f>IF(VLOOKUP(C14,OUTPUT_COUNTRY!$B$6:$N$18,4,FALSE)&gt;75,"++",(IF(VLOOKUP(C14,OUTPUT_COUNTRY!$B$6:$N$18,4,FALSE)&gt;50,"+",(IF(VLOOKUP(C14,OUTPUT_COUNTRY!$B$6:$N$18,4,FALSE)&gt;25,"-","--")))))</f>
        <v>-</v>
      </c>
      <c r="G14" s="159" t="str">
        <f>IF(VLOOKUP(C14,OUTPUT_COUNTRY!$B$6:$N$18,5,FALSE)&gt;75,"++",(IF(VLOOKUP(C14,OUTPUT_COUNTRY!$B$6:$N$18,5,FALSE)&gt;50,"+",(IF(VLOOKUP(C14,OUTPUT_COUNTRY!$B$6:$N$18,5,FALSE)&gt;25,"-","--")))))</f>
        <v>+</v>
      </c>
      <c r="H14" s="121" t="str">
        <f>IF(VLOOKUP(C14,OUTPUT_COUNTRY!$B$6:$N$18,7,FALSE)&gt;75,"++",(IF(VLOOKUP(C14,OUTPUT_COUNTRY!$B$6:$N$18,7,FALSE)&gt;50,"+",(IF(VLOOKUP(C14,OUTPUT_COUNTRY!$B$6:$N$18,7,FALSE)&gt;25,"-","--")))))</f>
        <v>-</v>
      </c>
      <c r="I14" s="159" t="str">
        <f>IF(VLOOKUP(C14,OUTPUT_COUNTRY!$B$6:$N$18,8,FALSE)&gt;75,"++",(IF(VLOOKUP(C14,OUTPUT_COUNTRY!$B$6:$N$18,8,FALSE)&gt;50,"+",(IF(VLOOKUP(C14,OUTPUT_COUNTRY!$B$6:$N$18,8,FALSE)&gt;25,"-","--")))))</f>
        <v>-</v>
      </c>
      <c r="J14" s="121" t="str">
        <f ca="1">IF(VLOOKUP(C14,OUTPUT_COUNTRY!$B$6:$N$18,9,FALSE)&gt;75,"++",(IF(VLOOKUP(C14,OUTPUT_COUNTRY!$B$6:$N$18,9,FALSE)&gt;50,"+",(IF(VLOOKUP(C14,OUTPUT_COUNTRY!$B$6:$N$18,9,FALSE)&gt;25,"-","--")))))</f>
        <v>--</v>
      </c>
      <c r="K14" s="159" t="str">
        <f>IF(VLOOKUP(C14,OUTPUT_COUNTRY!$B$6:$N$18,11,FALSE)&gt;75,"++",(IF(VLOOKUP(C14,OUTPUT_COUNTRY!$B$6:$N$18,11,FALSE)&gt;50,"+",(IF(VLOOKUP(C14,OUTPUT_COUNTRY!$B$6:$N$18,11,FALSE)&gt;25,"-","--")))))</f>
        <v>++</v>
      </c>
      <c r="L14" s="121" t="str">
        <f ca="1">IF(VLOOKUP(C14,OUTPUT_COUNTRY!$B$6:$N$18,13,FALSE)&gt;75,"++",(IF(VLOOKUP(C14,OUTPUT_COUNTRY!$B$6:$N$18,13,FALSE)&gt;50,"+",(IF(VLOOKUP(C14,OUTPUT_COUNTRY!$B$6:$N$18,13,FALSE)&gt;25,"-","--")))))</f>
        <v>--</v>
      </c>
    </row>
    <row r="15" spans="3:12" x14ac:dyDescent="0.35">
      <c r="C15" s="78" t="s">
        <v>864</v>
      </c>
      <c r="D15" s="167" t="str" cm="1">
        <f t="array" ref="D15">_xll.FDS(C15,"FG_COMPANY_NAME")</f>
        <v>iShares MSCI Sweden ETF</v>
      </c>
      <c r="E15" s="159" t="str">
        <f>IF(VLOOKUP(C15,OUTPUT_COUNTRY!$B$6:$N$18,3,FALSE)&gt;75,"++",(IF(VLOOKUP(C15,OUTPUT_COUNTRY!$B$6:$N$18,3,FALSE)&gt;50,"+",(IF(VLOOKUP(C15,OUTPUT_COUNTRY!$B$6:$N$18,3,FALSE)&gt;25,"-","--")))))</f>
        <v>++</v>
      </c>
      <c r="F15" s="121" t="str">
        <f>IF(VLOOKUP(C15,OUTPUT_COUNTRY!$B$6:$N$18,4,FALSE)&gt;75,"++",(IF(VLOOKUP(C15,OUTPUT_COUNTRY!$B$6:$N$18,4,FALSE)&gt;50,"+",(IF(VLOOKUP(C15,OUTPUT_COUNTRY!$B$6:$N$18,4,FALSE)&gt;25,"-","--")))))</f>
        <v>-</v>
      </c>
      <c r="G15" s="159" t="str">
        <f>IF(VLOOKUP(C15,OUTPUT_COUNTRY!$B$6:$N$18,5,FALSE)&gt;75,"++",(IF(VLOOKUP(C15,OUTPUT_COUNTRY!$B$6:$N$18,5,FALSE)&gt;50,"+",(IF(VLOOKUP(C15,OUTPUT_COUNTRY!$B$6:$N$18,5,FALSE)&gt;25,"-","--")))))</f>
        <v>--</v>
      </c>
      <c r="H15" s="121" t="str">
        <f>IF(VLOOKUP(C15,OUTPUT_COUNTRY!$B$6:$N$18,7,FALSE)&gt;75,"++",(IF(VLOOKUP(C15,OUTPUT_COUNTRY!$B$6:$N$18,7,FALSE)&gt;50,"+",(IF(VLOOKUP(C15,OUTPUT_COUNTRY!$B$6:$N$18,7,FALSE)&gt;25,"-","--")))))</f>
        <v>-</v>
      </c>
      <c r="I15" s="159" t="str">
        <f>IF(VLOOKUP(C15,OUTPUT_COUNTRY!$B$6:$N$18,8,FALSE)&gt;75,"++",(IF(VLOOKUP(C15,OUTPUT_COUNTRY!$B$6:$N$18,8,FALSE)&gt;50,"+",(IF(VLOOKUP(C15,OUTPUT_COUNTRY!$B$6:$N$18,8,FALSE)&gt;25,"-","--")))))</f>
        <v>-</v>
      </c>
      <c r="J15" s="121" t="str">
        <f ca="1">IF(VLOOKUP(C15,OUTPUT_COUNTRY!$B$6:$N$18,9,FALSE)&gt;75,"++",(IF(VLOOKUP(C15,OUTPUT_COUNTRY!$B$6:$N$18,9,FALSE)&gt;50,"+",(IF(VLOOKUP(C15,OUTPUT_COUNTRY!$B$6:$N$18,9,FALSE)&gt;25,"-","--")))))</f>
        <v>--</v>
      </c>
      <c r="K15" s="159" t="str">
        <f>IF(VLOOKUP(C15,OUTPUT_COUNTRY!$B$6:$N$18,11,FALSE)&gt;75,"++",(IF(VLOOKUP(C15,OUTPUT_COUNTRY!$B$6:$N$18,11,FALSE)&gt;50,"+",(IF(VLOOKUP(C15,OUTPUT_COUNTRY!$B$6:$N$18,11,FALSE)&gt;25,"-","--")))))</f>
        <v>-</v>
      </c>
      <c r="L15" s="121" t="str">
        <f ca="1">IF(VLOOKUP(C15,OUTPUT_COUNTRY!$B$6:$N$18,13,FALSE)&gt;75,"++",(IF(VLOOKUP(C15,OUTPUT_COUNTRY!$B$6:$N$18,13,FALSE)&gt;50,"+",(IF(VLOOKUP(C15,OUTPUT_COUNTRY!$B$6:$N$18,13,FALSE)&gt;25,"-","--")))))</f>
        <v>--</v>
      </c>
    </row>
    <row r="16" spans="3:12" x14ac:dyDescent="0.35">
      <c r="C16" s="79" t="s">
        <v>866</v>
      </c>
      <c r="D16" s="168" t="str" cm="1">
        <f t="array" ref="D16">_xll.FDS(C16,"FG_COMPANY_NAME")</f>
        <v>iShares MSCI Italy ETF</v>
      </c>
      <c r="E16" s="154" t="str">
        <f>IF(VLOOKUP(C16,OUTPUT_COUNTRY!$B$6:$N$18,3,FALSE)&gt;75,"++",(IF(VLOOKUP(C16,OUTPUT_COUNTRY!$B$6:$N$18,3,FALSE)&gt;50,"+",(IF(VLOOKUP(C16,OUTPUT_COUNTRY!$B$6:$N$18,3,FALSE)&gt;25,"-","--")))))</f>
        <v>++</v>
      </c>
      <c r="F16" s="122" t="str">
        <f>IF(VLOOKUP(C16,OUTPUT_COUNTRY!$B$6:$N$18,4,FALSE)&gt;75,"++",(IF(VLOOKUP(C16,OUTPUT_COUNTRY!$B$6:$N$18,4,FALSE)&gt;50,"+",(IF(VLOOKUP(C16,OUTPUT_COUNTRY!$B$6:$N$18,4,FALSE)&gt;25,"-","--")))))</f>
        <v>--</v>
      </c>
      <c r="G16" s="154" t="str">
        <f>IF(VLOOKUP(C16,OUTPUT_COUNTRY!$B$6:$N$18,5,FALSE)&gt;75,"++",(IF(VLOOKUP(C16,OUTPUT_COUNTRY!$B$6:$N$18,5,FALSE)&gt;50,"+",(IF(VLOOKUP(C16,OUTPUT_COUNTRY!$B$6:$N$18,5,FALSE)&gt;25,"-","--")))))</f>
        <v>--</v>
      </c>
      <c r="H16" s="122" t="str">
        <f>IF(VLOOKUP(C16,OUTPUT_COUNTRY!$B$6:$N$18,7,FALSE)&gt;75,"++",(IF(VLOOKUP(C16,OUTPUT_COUNTRY!$B$6:$N$18,7,FALSE)&gt;50,"+",(IF(VLOOKUP(C16,OUTPUT_COUNTRY!$B$6:$N$18,7,FALSE)&gt;25,"-","--")))))</f>
        <v>--</v>
      </c>
      <c r="I16" s="154" t="str">
        <f>IF(VLOOKUP(C16,OUTPUT_COUNTRY!$B$6:$N$18,8,FALSE)&gt;75,"++",(IF(VLOOKUP(C16,OUTPUT_COUNTRY!$B$6:$N$18,8,FALSE)&gt;50,"+",(IF(VLOOKUP(C16,OUTPUT_COUNTRY!$B$6:$N$18,8,FALSE)&gt;25,"-","--")))))</f>
        <v>-</v>
      </c>
      <c r="J16" s="122" t="str">
        <f ca="1">IF(VLOOKUP(C16,OUTPUT_COUNTRY!$B$6:$N$18,9,FALSE)&gt;75,"++",(IF(VLOOKUP(C16,OUTPUT_COUNTRY!$B$6:$N$18,9,FALSE)&gt;50,"+",(IF(VLOOKUP(C16,OUTPUT_COUNTRY!$B$6:$N$18,9,FALSE)&gt;25,"-","--")))))</f>
        <v>-</v>
      </c>
      <c r="K16" s="154" t="str">
        <f>IF(VLOOKUP(C16,OUTPUT_COUNTRY!$B$6:$N$18,11,FALSE)&gt;75,"++",(IF(VLOOKUP(C16,OUTPUT_COUNTRY!$B$6:$N$18,11,FALSE)&gt;50,"+",(IF(VLOOKUP(C16,OUTPUT_COUNTRY!$B$6:$N$18,11,FALSE)&gt;25,"-","--")))))</f>
        <v>+</v>
      </c>
      <c r="L16" s="122" t="str">
        <f ca="1">IF(VLOOKUP(C16,OUTPUT_COUNTRY!$B$6:$N$18,13,FALSE)&gt;75,"++",(IF(VLOOKUP(C16,OUTPUT_COUNTRY!$B$6:$N$18,13,FALSE)&gt;50,"+",(IF(VLOOKUP(C16,OUTPUT_COUNTRY!$B$6:$N$18,13,FALSE)&gt;25,"-","--")))))</f>
        <v>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555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35">
      <c r="A75" t="s">
        <v>106</v>
      </c>
      <c r="B75" t="s">
        <v>869</v>
      </c>
      <c r="D75" s="26" t="s">
        <v>163</v>
      </c>
    </row>
    <row r="76" spans="1:4" x14ac:dyDescent="0.35">
      <c r="A76" t="s">
        <v>875</v>
      </c>
      <c r="B76" t="s">
        <v>870</v>
      </c>
      <c r="D76" s="26" t="s">
        <v>163</v>
      </c>
    </row>
    <row r="77" spans="1:4" x14ac:dyDescent="0.35">
      <c r="A77" t="s">
        <v>272</v>
      </c>
      <c r="B77" t="s">
        <v>273</v>
      </c>
      <c r="D77" s="26" t="s">
        <v>275</v>
      </c>
    </row>
    <row r="78" spans="1:4" x14ac:dyDescent="0.35">
      <c r="A78" t="s">
        <v>876</v>
      </c>
      <c r="B78" t="s">
        <v>868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O16" sqref="O16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1.542968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10.8164062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769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770</v>
      </c>
      <c r="AB2" s="72" t="s">
        <v>530</v>
      </c>
      <c r="AC2" s="72" t="s">
        <v>541</v>
      </c>
    </row>
    <row r="3" spans="1:29" x14ac:dyDescent="0.3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45504</v>
      </c>
      <c r="G3" s="4" cm="1">
        <f t="array" ref="G3">_xll.FDS(D3,"FMA_PE(LTM,0,,,""PORTAGG"",""MEANR"")")</f>
        <v>33.723485232824402</v>
      </c>
      <c r="H3" s="4" cm="1">
        <f t="array" ref="H3">_xll.FDS(D3,"FMA_PE(NTMA,0,,,""PORTAGG"",""MEANR"")")</f>
        <v>25.8743994410416</v>
      </c>
      <c r="I3" cm="1">
        <f t="array" ref="I3">_xll.FDS(D3,"FMA_DIV_YLD(NTMA,NOW,NOW,M,""PORTAGG"",""MEANR"")")</f>
        <v>2.6251380169600198</v>
      </c>
      <c r="J3" s="52" cm="1">
        <f t="array" ref="J3">IFERROR(_xll.FDS(D3,"FG_FCF_YIELD_NTM(0)"),(1/G3*100))</f>
        <v>1.03455282970187</v>
      </c>
      <c r="K3" s="3" cm="1">
        <f t="array" ref="K3">_xll.FDS(D3,"FMA_EVAL_EBITDA(NTMA,0,,,""PORTAGG"",""MEANR"")")</f>
        <v>12.544344313498801</v>
      </c>
      <c r="L3" cm="1">
        <f t="array" ref="L3">_xll.FDS(D3,"FMA_EVAL_EBIT(LTMA,NOW,NOW,M,""PORTAGG"",""MEANR"")")</f>
        <v>20.9784513508998</v>
      </c>
      <c r="M3">
        <f>HLOOKUP(D3,'Index ROE'!$A$1:$N$25,25,FALSE)</f>
        <v>6.5791075391831502</v>
      </c>
      <c r="N3">
        <f>VLOOKUP(A3,'LIQIDITY 2'!$A$3:$E$16,5,FALSE)</f>
        <v>4.1295999999999999</v>
      </c>
      <c r="O3" cm="1">
        <f t="array" ref="O3">IFERROR(IFERROR(IFERROR(IFERROR(_xll.FDS(B3,"IMF_IFS_RCPI_Q(0)"),_xll.FDS(B3,"IMF_IFS_RCPI_Q(-1AM)")),_xll.FDS(B3,"IMF_IFS_RCPI_Q(-2AM)")),_xll.FDS(B3,"IMF_IFS_RCPI_Q(-3AM)")),$D$31)</f>
        <v>3.3306260000000001</v>
      </c>
      <c r="P3">
        <f>VLOOKUP(E3,GDP_GROWTH!$B$10:$W$165,22,FALSE)</f>
        <v>2.7196134550164452</v>
      </c>
      <c r="Q3">
        <f t="shared" ref="Q3:Q11" si="0">I3-N3</f>
        <v>-1.5044619830399801</v>
      </c>
      <c r="R3" s="52">
        <f t="shared" ref="R3:R11" si="1">J3-N3</f>
        <v>-3.0950471702981299</v>
      </c>
      <c r="S3">
        <f t="shared" ref="S3:S11" si="2">M3-N3</f>
        <v>2.4495075391831502</v>
      </c>
      <c r="T3">
        <f t="shared" ref="T3:T11" si="3">M3-O3</f>
        <v>3.2484815391831501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14.3</v>
      </c>
      <c r="Y3" cm="1">
        <f t="array" ref="Y3">(1-_xlfn.PERCENTRANK.EXC(_xlfn._xlws.FILTER(H$3:H$15, ISNUMBER(H$3:H$15)),H3))*100</f>
        <v>14.3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11.415000000000003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45504</v>
      </c>
      <c r="G4" s="4" cm="1">
        <f t="array" ref="G4">_xll.FDS(D4,"FMA_PE(LTM,0,,,""PORTAGG"",""MEANR"")")</f>
        <v>19.018126496451998</v>
      </c>
      <c r="H4" s="4" cm="1">
        <f t="array" ref="H4">_xll.FDS(D4,"FMA_PE(NTMA,0,,,""PORTAGG"",""MEANR"")")</f>
        <v>17.1036307265672</v>
      </c>
      <c r="I4" cm="1">
        <f t="array" ref="I4">_xll.FDS(D4,"FMA_DIV_YLD(NTMA,NOW,NOW,M,""PORTAGG"",""MEANR"")")</f>
        <v>3.7762215215111401</v>
      </c>
      <c r="J4" s="52" cm="1">
        <f t="array" ref="J4">IFERROR(_xll.FDS(D4,"FG_FCF_YIELD_NTM(0)"),(1/G4*100))</f>
        <v>4.9786944688214696</v>
      </c>
      <c r="K4" s="3" cm="1">
        <f t="array" ref="K4">_xll.FDS(D4,"FMA_EVAL_EBITDA(NTMA,0,,,""PORTAGG"",""MEANR"")")</f>
        <v>8.6286419521784801</v>
      </c>
      <c r="L4" cm="1">
        <f t="array" ref="L4">_xll.FDS(D4,"FMA_EVAL_EBIT(LTMA,NOW,NOW,M,""PORTAGG"",""MEANR"")")</f>
        <v>12.63658742452</v>
      </c>
      <c r="M4">
        <f>HLOOKUP(D4,'Index ROE'!$A$1:$N$25,25,FALSE)</f>
        <v>13.226394097123199</v>
      </c>
      <c r="N4">
        <f>VLOOKUP(A4,'LIQIDITY 2'!$A$3:$E$16,5,FALSE)</f>
        <v>3.9289999999999998</v>
      </c>
      <c r="O4" cm="1">
        <f t="array" ref="O4">IFERROR(IFERROR(IFERROR(IFERROR(_xll.FDS(B4,"IMF_IFS_RCPI_Q(0)"),_xll.FDS(B4,"IMF_IFS_RCPI_Q(-1AM)")),_xll.FDS(B4,"IMF_IFS_RCPI_Q(-2AM)")),_xll.FDS(B4,"IMF_IFS_RCPI_Q(-3AM)")),$D$31)</f>
        <v>3.61991</v>
      </c>
      <c r="P4">
        <f>VLOOKUP(E4,GDP_GROWTH!$B$10:$W$165,22,FALSE)</f>
        <v>2.0879441195558623</v>
      </c>
      <c r="Q4">
        <f t="shared" si="0"/>
        <v>-0.15277847848885973</v>
      </c>
      <c r="R4" s="52">
        <f t="shared" si="1"/>
        <v>1.0496944688214698</v>
      </c>
      <c r="S4">
        <f t="shared" si="2"/>
        <v>9.297394097123199</v>
      </c>
      <c r="T4">
        <f t="shared" si="3"/>
        <v>9.6064840971232002</v>
      </c>
      <c r="U4" cm="1">
        <f t="array" ref="U4">_xlfn.PERCENTRANK.EXC(_xlfn._xlws.FILTER(Q$3:Q$15, ISNUMBER(Q$3:Q$15)),Q4)*100</f>
        <v>28.499999999999996</v>
      </c>
      <c r="V4" cm="1">
        <f t="array" ref="V4">_xlfn.PERCENTRANK.EXC(_xlfn._xlws.FILTER(R$3:R$15, ISNUMBER(R$3:R$15)),R4)*100</f>
        <v>28.499999999999996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42.900000000000006</v>
      </c>
      <c r="Y4" cm="1">
        <f t="array" ref="Y4">(1-_xlfn.PERCENTRANK.EXC(_xlfn._xlws.FILTER(H$3:H$15, ISNUMBER(H$3:H$15)),H4))*100</f>
        <v>35.799999999999997</v>
      </c>
      <c r="Z4" cm="1">
        <f t="array" ref="Z4">_xlfn.PERCENTRANK.EXC(_xlfn._xlws.FILTER(T$3:T$15, ISNUMBER(T$3:T$15)),T4)*100</f>
        <v>21.4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32.504999999999995</v>
      </c>
      <c r="AC4" cm="1">
        <f t="array" ref="AC4">_xlfn.PERCENTRANK.EXC(_xlfn._xlws.FILTER(AB$3:AB$15, ISNUMBER(AB$3:AB$15)),AB4)*100</f>
        <v>21.4</v>
      </c>
    </row>
    <row r="5" spans="1:29" x14ac:dyDescent="0.3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45504</v>
      </c>
      <c r="G5" s="4" cm="1">
        <f t="array" ref="G5">_xll.FDS(D5,"FMA_PE(LTM,0,,,""PORTAGG"",""MEANR"")")</f>
        <v>17.707888492028101</v>
      </c>
      <c r="H5" s="4" cm="1">
        <f t="array" ref="H5">_xll.FDS(D5,"FMA_PE(NTMA,0,,,""PORTAGG"",""MEANR"")")</f>
        <v>14.2279723835365</v>
      </c>
      <c r="I5" cm="1">
        <f t="array" ref="I5">_xll.FDS(D5,"FMA_DIV_YLD(NTMA,NOW,NOW,M,""PORTAGG"",""MEANR"")")</f>
        <v>3.17891549157968</v>
      </c>
      <c r="J5" s="52" cm="1">
        <f t="array" ref="J5">IFERROR(_xll.FDS(D5,"FG_FCF_YIELD_NTM(0)"),(1/G5*100))</f>
        <v>6.0605328506606204</v>
      </c>
      <c r="K5" s="3" cm="1">
        <f t="array" ref="K5">_xll.FDS(D5,"FMA_EVAL_EBITDA(NTMA,0,,,""PORTAGG"",""MEANR"")")</f>
        <v>9.77188247658788</v>
      </c>
      <c r="L5" cm="1">
        <f t="array" ref="L5">_xll.FDS(D5,"FMA_EVAL_EBIT(LTMA,NOW,NOW,M,""PORTAGG"",""MEANR"")")</f>
        <v>16.186414118108299</v>
      </c>
      <c r="M5">
        <f>HLOOKUP(D5,'Index ROE'!$A$1:$N$25,25,FALSE)</f>
        <v>13.147116166704</v>
      </c>
      <c r="N5">
        <f>VLOOKUP(A5,'LIQIDITY 2'!$A$3:$E$16,5,FALSE)</f>
        <v>3.0663999999999998</v>
      </c>
      <c r="O5" cm="1">
        <f t="array" ref="O5">IFERROR(IFERROR(IFERROR(IFERROR(_xll.FDS(B5,"IMF_IFS_RCPI_Q(0)"),_xll.FDS(B5,"IMF_IFS_RCPI_Q(-1AM)")),_xll.FDS(B5,"IMF_IFS_RCPI_Q(-2AM)")),_xll.FDS(B5,"IMF_IFS_RCPI_Q(-3AM)")),$D$31)</f>
        <v>2.7411842000000002</v>
      </c>
      <c r="P5">
        <f>VLOOKUP(E5,GDP_GROWTH!$B$10:$W$165,22,FALSE)</f>
        <v>1.4598842535213041</v>
      </c>
      <c r="Q5">
        <f t="shared" si="0"/>
        <v>0.11251549157968022</v>
      </c>
      <c r="R5" s="52">
        <f t="shared" si="1"/>
        <v>2.9941328506606206</v>
      </c>
      <c r="S5">
        <f t="shared" si="2"/>
        <v>10.080716166704001</v>
      </c>
      <c r="T5">
        <f t="shared" si="3"/>
        <v>10.405931966703999</v>
      </c>
      <c r="U5" cm="1">
        <f t="array" ref="U5">_xlfn.PERCENTRANK.EXC(_xlfn._xlws.FILTER(Q$3:Q$15, ISNUMBER(Q$3:Q$15)),Q5)*100</f>
        <v>50</v>
      </c>
      <c r="V5" cm="1">
        <f t="array" ref="V5">_xlfn.PERCENTRANK.EXC(_xlfn._xlws.FILTER(R$3:R$15, ISNUMBER(R$3:R$15)),R5)*100</f>
        <v>57.099999999999994</v>
      </c>
      <c r="W5" cm="1">
        <f t="array" ref="W5">_xlfn.PERCENTRANK.EXC(_xlfn._xlws.FILTER(S$3:S$15, ISNUMBER(S$3:S$15)),S5)*100</f>
        <v>42.8</v>
      </c>
      <c r="X5" cm="1">
        <f t="array" ref="X5">(1-_xlfn.PERCENTRANK.EXC(_xlfn._xlws.FILTER(G$3:G$15, ISNUMBER(G$3:G$15)),G5))*100</f>
        <v>50</v>
      </c>
      <c r="Y5" cm="1">
        <f t="array" ref="Y5">(1-_xlfn.PERCENTRANK.EXC(_xlfn._xlws.FILTER(H$3:H$15, ISNUMBER(H$3:H$15)),H5))*100</f>
        <v>57.2</v>
      </c>
      <c r="Z5" cm="1">
        <f t="array" ref="Z5">_xlfn.PERCENTRANK.EXC(_xlfn._xlws.FILTER(T$3:T$15, ISNUMBER(T$3:T$15)),T5)*100</f>
        <v>42.8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52.135000000000005</v>
      </c>
      <c r="AC5" cm="1">
        <f t="array" ref="AC5">_xlfn.PERCENTRANK.EXC(_xlfn._xlws.FILTER(AB$3:AB$15, ISNUMBER(AB$3:AB$15)),AB5)*100</f>
        <v>42.8</v>
      </c>
    </row>
    <row r="6" spans="1:29" x14ac:dyDescent="0.3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45504</v>
      </c>
      <c r="G6" s="4" cm="1">
        <f t="array" ref="G6">_xll.FDS(D6,"FMA_PE(LTM,0,,,""PORTAGG"",""MEANR"")")</f>
        <v>14.543153230027899</v>
      </c>
      <c r="H6" s="4" cm="1">
        <f t="array" ref="H6">_xll.FDS(D6,"FMA_PE(NTMA,0,,,""PORTAGG"",""MEANR"")")</f>
        <v>11.4666036268199</v>
      </c>
      <c r="I6" cm="1">
        <f t="array" ref="I6">_xll.FDS(D6,"FMA_DIV_YLD(NTMA,NOW,NOW,M,""PORTAGG"",""MEANR"")")</f>
        <v>3.4005558445722901</v>
      </c>
      <c r="J6" s="52" cm="1">
        <f t="array" ref="J6">IFERROR(_xll.FDS(D6,"FG_FCF_YIELD_NTM(0)"),(1/G6*100))</f>
        <v>6.0774455002688601</v>
      </c>
      <c r="K6" s="3" cm="1">
        <f t="array" ref="K6">_xll.FDS(D6,"FMA_EVAL_EBITDA(NTMA,0,,,""PORTAGG"",""MEANR"")")</f>
        <v>8.3494358678052691</v>
      </c>
      <c r="L6" cm="1">
        <f t="array" ref="L6">_xll.FDS(D6,"FMA_EVAL_EBIT(LTMA,NOW,NOW,M,""PORTAGG"",""MEANR"")")</f>
        <v>13.584608463707401</v>
      </c>
      <c r="M6">
        <f>HLOOKUP(D6,'Index ROE'!$A$1:$N$25,25,FALSE)</f>
        <v>11.93889064433</v>
      </c>
      <c r="N6">
        <f>VLOOKUP(A6,'LIQIDITY 2'!$A$3:$E$16,5,FALSE)</f>
        <v>2.2509999999999999</v>
      </c>
      <c r="O6" cm="1">
        <f t="array" ref="O6">IFERROR(IFERROR(IFERROR(IFERROR(_xll.FDS(B6,"IMF_IFS_RCPI_Q(0)"),_xll.FDS(B6,"IMF_IFS_RCPI_Q(-1AM)")),_xll.FDS(B6,"IMF_IFS_RCPI_Q(-2AM)")),_xll.FDS(B6,"IMF_IFS_RCPI_Q(-3AM)")),$D$31)</f>
        <v>2.2863680999999998</v>
      </c>
      <c r="P6">
        <f>VLOOKUP(E6,GDP_GROWTH!$B$10:$W$165,22,FALSE)</f>
        <v>0.863192929992318</v>
      </c>
      <c r="Q6">
        <f t="shared" si="0"/>
        <v>1.1495558445722902</v>
      </c>
      <c r="R6" s="52">
        <f t="shared" si="1"/>
        <v>3.8264455002688602</v>
      </c>
      <c r="S6">
        <f t="shared" si="2"/>
        <v>9.6878906443300004</v>
      </c>
      <c r="T6">
        <f t="shared" si="3"/>
        <v>9.6525225443300009</v>
      </c>
      <c r="U6" cm="1">
        <f t="array" ref="U6">_xlfn.PERCENTRANK.EXC(_xlfn._xlws.FILTER(Q$3:Q$15, ISNUMBER(Q$3:Q$15)),Q6)*100</f>
        <v>64.2</v>
      </c>
      <c r="V6" cm="1">
        <f t="array" ref="V6">_xlfn.PERCENTRANK.EXC(_xlfn._xlws.FILTER(R$3:R$15, ISNUMBER(R$3:R$15)),R6)*100</f>
        <v>85.7</v>
      </c>
      <c r="W6" cm="1">
        <f t="array" ref="W6">_xlfn.PERCENTRANK.EXC(_xlfn._xlws.FILTER(S$3:S$15, ISNUMBER(S$3:S$15)),S6)*100</f>
        <v>28.499999999999996</v>
      </c>
      <c r="X6" cm="1">
        <f t="array" ref="X6">(1-_xlfn.PERCENTRANK.EXC(_xlfn._xlws.FILTER(G$3:G$15, ISNUMBER(G$3:G$15)),G6))*100</f>
        <v>71.500000000000014</v>
      </c>
      <c r="Y6" cm="1">
        <f t="array" ref="Y6">(1-_xlfn.PERCENTRANK.EXC(_xlfn._xlws.FILTER(H$3:H$15, ISNUMBER(H$3:H$15)),H6))*100</f>
        <v>85.8</v>
      </c>
      <c r="Z6" cm="1">
        <f t="array" ref="Z6">_xlfn.PERCENTRANK.EXC(_xlfn._xlws.FILTER(T$3:T$15, ISNUMBER(T$3:T$15)),T6)*100</f>
        <v>28.499999999999996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69.66</v>
      </c>
      <c r="AC6" cm="1">
        <f t="array" ref="AC6">_xlfn.PERCENTRANK.EXC(_xlfn._xlws.FILTER(AB$3:AB$15, ISNUMBER(AB$3:AB$15)),AB6)*100</f>
        <v>85.7</v>
      </c>
    </row>
    <row r="7" spans="1:29" x14ac:dyDescent="0.3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45504</v>
      </c>
      <c r="G7" s="4" cm="1">
        <f t="array" ref="G7">_xll.FDS(D7,"FMA_PE(LTM,0,,,""PORTAGG"",""MEANR"")")</f>
        <v>16.614710424804802</v>
      </c>
      <c r="H7" s="4" cm="1">
        <f t="array" ref="H7">_xll.FDS(D7,"FMA_PE(NTMA,0,,,""PORTAGG"",""MEANR"")")</f>
        <v>13.9752992897754</v>
      </c>
      <c r="I7" cm="1">
        <f t="array" ref="I7">_xll.FDS(D7,"FMA_DIV_YLD(NTMA,NOW,NOW,M,""PORTAGG"",""MEANR"")")</f>
        <v>2.2778518876399598</v>
      </c>
      <c r="J7" s="52" cm="1">
        <f t="array" ref="J7">IFERROR(_xll.FDS(D7,"FG_FCF_YIELD_NTM(0)"),(1/G7*100))</f>
        <v>4.1936391104717501</v>
      </c>
      <c r="K7" s="3" cm="1">
        <f t="array" ref="K7">_xll.FDS(D7,"FMA_EVAL_EBITDA(NTMA,0,,,""PORTAGG"",""MEANR"")")</f>
        <v>9.6482799505201804</v>
      </c>
      <c r="L7" cm="1">
        <f t="array" ref="L7">_xll.FDS(D7,"FMA_EVAL_EBIT(LTMA,NOW,NOW,M,""PORTAGG"",""MEANR"")")</f>
        <v>17.364611049119699</v>
      </c>
      <c r="M7">
        <f>HLOOKUP(D7,'Index ROE'!$A$1:$N$25,25,FALSE)</f>
        <v>9.2997687113842105</v>
      </c>
      <c r="N7">
        <f>VLOOKUP(A7,'LIQIDITY 2'!$A$3:$E$16,5,FALSE)</f>
        <v>0.88190000000000002</v>
      </c>
      <c r="O7" cm="1">
        <f t="array" ref="O7">IFERROR(IFERROR(IFERROR(IFERROR(_xll.FDS(B7,"IMF_IFS_RCPI_Q(0)"),_xll.FDS(B7,"IMF_IFS_RCPI_Q(-1AM)")),_xll.FDS(B7,"IMF_IFS_RCPI_Q(-2AM)")),_xll.FDS(B7,"IMF_IFS_RCPI_Q(-3AM)")),$D$31)</f>
        <v>2.7266946000000001</v>
      </c>
      <c r="P7">
        <f>VLOOKUP(E7,GDP_GROWTH!$B$10:$W$165,22,FALSE)</f>
        <v>0.31456851442112077</v>
      </c>
      <c r="Q7">
        <f t="shared" si="0"/>
        <v>1.3959518876399599</v>
      </c>
      <c r="R7" s="52">
        <f t="shared" si="1"/>
        <v>3.3117391104717502</v>
      </c>
      <c r="S7">
        <f t="shared" si="2"/>
        <v>8.4178687113842106</v>
      </c>
      <c r="T7">
        <f t="shared" si="3"/>
        <v>6.5730741113842104</v>
      </c>
      <c r="U7" cm="1">
        <f t="array" ref="U7">_xlfn.PERCENTRANK.EXC(_xlfn._xlws.FILTER(Q$3:Q$15, ISNUMBER(Q$3:Q$15)),Q7)*100</f>
        <v>78.5</v>
      </c>
      <c r="V7" cm="1">
        <f t="array" ref="V7">_xlfn.PERCENTRANK.EXC(_xlfn._xlws.FILTER(R$3:R$15, ISNUMBER(R$3:R$15)),R7)*100</f>
        <v>78.5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57.2</v>
      </c>
      <c r="Y7" cm="1">
        <f t="array" ref="Y7">(1-_xlfn.PERCENTRANK.EXC(_xlfn._xlws.FILTER(H$3:H$15, ISNUMBER(H$3:H$15)),H7))*100</f>
        <v>64.3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56.765000000000001</v>
      </c>
      <c r="AC7" cm="1">
        <f t="array" ref="AC7">_xlfn.PERCENTRANK.EXC(_xlfn._xlws.FILTER(AB$3:AB$15, ISNUMBER(AB$3:AB$15)),AB7)*100</f>
        <v>50</v>
      </c>
    </row>
    <row r="8" spans="1:29" x14ac:dyDescent="0.3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45504</v>
      </c>
      <c r="G8" s="4" cm="1">
        <f t="array" ref="G8">_xll.FDS(D8,"FMA_PE(LTM,0,,,""PORTAGG"",""MEANR"")")</f>
        <v>21.463601897782802</v>
      </c>
      <c r="H8" s="4" cm="1">
        <f t="array" ref="H8">_xll.FDS(D8,"FMA_PE(NTMA,0,,,""PORTAGG"",""MEANR"")")</f>
        <v>17.195540645884801</v>
      </c>
      <c r="I8" cm="1">
        <f t="array" ref="I8">_xll.FDS(D8,"FMA_DIV_YLD(NTMA,NOW,NOW,M,""PORTAGG"",""MEANR"")")</f>
        <v>3.1380693476623698</v>
      </c>
      <c r="J8" s="52" cm="1">
        <f t="array" ref="J8">IFERROR(_xll.FDS(D8,"FG_FCF_YIELD_NTM(0)"),(1/G8*100))</f>
        <v>4.7581739671043302</v>
      </c>
      <c r="K8" s="3" cm="1">
        <f t="array" ref="K8">_xll.FDS(D8,"FMA_EVAL_EBITDA(NTMA,0,,,""PORTAGG"",""MEANR"")")</f>
        <v>13.16724981748</v>
      </c>
      <c r="L8" cm="1">
        <f t="array" ref="L8">_xll.FDS(D8,"FMA_EVAL_EBIT(LTMA,NOW,NOW,M,""PORTAGG"",""MEANR"")")</f>
        <v>16.7687950000665</v>
      </c>
      <c r="M8">
        <f>HLOOKUP(D8,'Index ROE'!$A$1:$N$25,25,FALSE)</f>
        <v>19.302463641340701</v>
      </c>
      <c r="N8">
        <f>VLOOKUP(A8,'LIQIDITY 2'!$A$3:$E$16,5,FALSE)</f>
        <v>0.43099999999999999</v>
      </c>
      <c r="O8" cm="1">
        <f t="array" ref="O8">IFERROR(IFERROR(IFERROR(IFERROR(_xll.FDS(B8,"IMF_IFS_RCPI_Q(0)"),_xll.FDS(B8,"IMF_IFS_RCPI_Q(-1AM)")),_xll.FDS(B8,"IMF_IFS_RCPI_Q(-2AM)")),_xll.FDS(B8,"IMF_IFS_RCPI_Q(-3AM)")),$D$31)</f>
        <v>1.3619825999999999</v>
      </c>
      <c r="P8">
        <f>VLOOKUP(E8,GDP_GROWTH!$B$10:$W$165,22,FALSE)</f>
        <v>2.077185911672963</v>
      </c>
      <c r="Q8">
        <f t="shared" si="0"/>
        <v>2.7070693476623697</v>
      </c>
      <c r="R8" s="52">
        <f t="shared" si="1"/>
        <v>4.3271739671043301</v>
      </c>
      <c r="S8">
        <f t="shared" si="2"/>
        <v>18.8714636413407</v>
      </c>
      <c r="T8">
        <f t="shared" si="3"/>
        <v>17.9404810413407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28.6</v>
      </c>
      <c r="Y8" cm="1">
        <f t="array" ref="Y8">(1-_xlfn.PERCENTRANK.EXC(_xlfn._xlws.FILTER(H$3:H$15, ISNUMBER(H$3:H$15)),H8))*100</f>
        <v>28.6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59.28</v>
      </c>
      <c r="AC8" cm="1">
        <f t="array" ref="AC8">_xlfn.PERCENTRANK.EXC(_xlfn._xlws.FILTER(AB$3:AB$15, ISNUMBER(AB$3:AB$15)),AB8)*100</f>
        <v>57.099999999999994</v>
      </c>
    </row>
    <row r="9" spans="1:29" x14ac:dyDescent="0.3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45504</v>
      </c>
      <c r="G9" s="4" cm="1">
        <f t="array" ref="G9">_xll.FDS(D9,"FMA_PE(LTM,0,,,""PORTAGG"",""MEANR"")")</f>
        <v>13.7985240976146</v>
      </c>
      <c r="H9" s="4" cm="1">
        <f t="array" ref="H9">_xll.FDS(D9,"FMA_PE(NTMA,0,,,""PORTAGG"",""MEANR"")")</f>
        <v>11.5414386627185</v>
      </c>
      <c r="I9" cm="1">
        <f t="array" ref="I9">_xll.FDS(D9,"FMA_DIV_YLD(NTMA,NOW,NOW,M,""PORTAGG"",""MEANR"")")</f>
        <v>3.8362313188806101</v>
      </c>
      <c r="J9" s="52" cm="1">
        <f t="array" ref="J9">IFERROR(_xll.FDS(D9,"FG_FCF_YIELD_NTM(0)"),(1/G9*100))</f>
        <v>6.31110004612834</v>
      </c>
      <c r="K9" s="3" cm="1">
        <f t="array" ref="K9">_xll.FDS(D9,"FMA_EVAL_EBITDA(NTMA,0,,,""PORTAGG"",""MEANR"")")</f>
        <v>7.5445809691972796</v>
      </c>
      <c r="L9" cm="1">
        <f t="array" ref="L9">_xll.FDS(D9,"FMA_EVAL_EBIT(LTMA,NOW,NOW,M,""PORTAGG"",""MEANR"")")</f>
        <v>10.718382251084</v>
      </c>
      <c r="M9">
        <f>HLOOKUP(D9,'Index ROE'!$A$1:$N$25,25,FALSE)</f>
        <v>14.720211275703299</v>
      </c>
      <c r="N9">
        <f>VLOOKUP(A9,'LIQIDITY 2'!$A$3:$E$16,5,FALSE)</f>
        <v>3.923</v>
      </c>
      <c r="O9" cm="1">
        <f t="array" ref="O9">IFERROR(IFERROR(IFERROR(IFERROR(_xll.FDS(B9,"IMF_IFS_RCPI_Q(0)"),_xll.FDS(B9,"IMF_IFS_RCPI_Q(-1AM)")),_xll.FDS(B9,"IMF_IFS_RCPI_Q(-2AM)")),_xll.FDS(B9,"IMF_IFS_RCPI_Q(-3AM)")),$D$31)</f>
        <v>2.8697004000000002</v>
      </c>
      <c r="P9">
        <f>VLOOKUP(E9,GDP_GROWTH!$B$10:$W$165,22,FALSE)</f>
        <v>1.0976426250664972</v>
      </c>
      <c r="Q9">
        <f t="shared" si="0"/>
        <v>-8.6768681119389957E-2</v>
      </c>
      <c r="R9" s="52">
        <f t="shared" si="1"/>
        <v>2.3881000461283399</v>
      </c>
      <c r="S9">
        <f t="shared" si="2"/>
        <v>10.797211275703299</v>
      </c>
      <c r="T9">
        <f t="shared" si="3"/>
        <v>11.8505108757033</v>
      </c>
      <c r="U9" cm="1">
        <f t="array" ref="U9">_xlfn.PERCENTRANK.EXC(_xlfn._xlws.FILTER(Q$3:Q$15, ISNUMBER(Q$3:Q$15)),Q9)*100</f>
        <v>35.699999999999996</v>
      </c>
      <c r="V9" cm="1">
        <f t="array" ref="V9">_xlfn.PERCENTRANK.EXC(_xlfn._xlws.FILTER(R$3:R$15, ISNUMBER(R$3:R$15)),R9)*100</f>
        <v>50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78.600000000000009</v>
      </c>
      <c r="Y9" cm="1">
        <f t="array" ref="Y9">(1-_xlfn.PERCENTRANK.EXC(_xlfn._xlws.FILTER(H$3:H$15, ISNUMBER(H$3:H$15)),H9))*100</f>
        <v>78.600000000000009</v>
      </c>
      <c r="Z9" cm="1">
        <f t="array" ref="Z9">_xlfn.PERCENTRANK.EXC(_xlfn._xlws.FILTER(T$3:T$15, ISNUMBER(T$3:T$15)),T9)*100</f>
        <v>57.099999999999994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65.715000000000003</v>
      </c>
      <c r="AC9" cm="1">
        <f t="array" ref="AC9">_xlfn.PERCENTRANK.EXC(_xlfn._xlws.FILTER(AB$3:AB$15, ISNUMBER(AB$3:AB$15)),AB9)*100</f>
        <v>71.399999999999991</v>
      </c>
    </row>
    <row r="10" spans="1:29" x14ac:dyDescent="0.3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45504</v>
      </c>
      <c r="G10" s="4" cm="1">
        <f t="array" ref="G10">_xll.FDS(D10,"FMA_PE(LTM,0,,,""PORTAGG"",""MEANR"")")</f>
        <v>35.089134925956103</v>
      </c>
      <c r="H10" s="4" cm="1">
        <f t="array" ref="H10">_xll.FDS(D10,"FMA_PE(NTMA,0,,,""PORTAGG"",""MEANR"")")</f>
        <v>26.461514489867401</v>
      </c>
      <c r="I10" cm="1">
        <f t="array" ref="I10">_xll.FDS(D10,"FMA_DIV_YLD(NTMA,NOW,NOW,M,""PORTAGG"",""MEANR"")")</f>
        <v>0.85188229313908903</v>
      </c>
      <c r="J10" s="52" cm="1">
        <f t="array" ref="J10">IFERROR(_xll.FDS(D10,"FG_FCF_YIELD_NTM(0)"),(1/G10*100))</f>
        <v>3.5028411950249301</v>
      </c>
      <c r="K10" s="3" cm="1">
        <f t="array" ref="K10">_xll.FDS(D10,"FMA_EVAL_EBITDA(NTMA,0,,,""PORTAGG"",""MEANR"")")</f>
        <v>16.5258156115049</v>
      </c>
      <c r="L10" cm="1">
        <f t="array" ref="L10">_xll.FDS(D10,"FMA_EVAL_EBIT(LTMA,NOW,NOW,M,""PORTAGG"",""MEANR"")")</f>
        <v>24.405070005030101</v>
      </c>
      <c r="M10">
        <f>HLOOKUP(D10,'Index ROE'!$A$1:$N$25,25,FALSE)</f>
        <v>25.304063208905301</v>
      </c>
      <c r="N10">
        <f>VLOOKUP(A10,'LIQIDITY 2'!$A$3:$E$16,5,FALSE)</f>
        <v>3.8877999999999999</v>
      </c>
      <c r="O10" cm="1">
        <f t="array" ref="O10">IFERROR(IFERROR(IFERROR(IFERROR(_xll.FDS(B10,"IMF_IFS_RCPI_Q(0)"),_xll.FDS(B10,"IMF_IFS_RCPI_Q(-1AM)")),_xll.FDS(B10,"IMF_IFS_RCPI_Q(-2AM)")),_xll.FDS(B10,"IMF_IFS_RCPI_Q(-3AM)")),$D$31)</f>
        <v>3.19889</v>
      </c>
      <c r="P10">
        <f>VLOOKUP(E10,GDP_GROWTH!$B$10:$W$165,22,FALSE)</f>
        <v>2.0868572594445189</v>
      </c>
      <c r="Q10">
        <f t="shared" si="0"/>
        <v>-3.0359177068609107</v>
      </c>
      <c r="R10" s="52">
        <f t="shared" si="1"/>
        <v>-0.38495880497506985</v>
      </c>
      <c r="S10">
        <f t="shared" si="2"/>
        <v>21.416263208905303</v>
      </c>
      <c r="T10">
        <f t="shared" si="3"/>
        <v>22.105173208905303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7.1999999999999957</v>
      </c>
      <c r="Y10" cm="1">
        <f t="array" ref="Y10">(1-_xlfn.PERCENTRANK.EXC(_xlfn._xlws.FILTER(H$3:H$15, ISNUMBER(H$3:H$15)),H10))*100</f>
        <v>7.1999999999999957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26.064999999999998</v>
      </c>
      <c r="AC10" cm="1">
        <f t="array" ref="AC10">_xlfn.PERCENTRANK.EXC(_xlfn._xlws.FILTER(AB$3:AB$15, ISNUMBER(AB$3:AB$15)),AB10)*100</f>
        <v>14.2</v>
      </c>
    </row>
    <row r="11" spans="1:29" x14ac:dyDescent="0.3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45504</v>
      </c>
      <c r="G11" s="4" cm="1">
        <f t="array" ref="G11">_xll.FDS(D11,"FMA_PE(LTM,0,,,""PORTAGG"",""MEANR"")")</f>
        <v>25.875450910838499</v>
      </c>
      <c r="H11" s="4" cm="1">
        <f t="array" ref="H11">_xll.FDS(D11,"FMA_PE(NTMA,0,,,""PORTAGG"",""MEANR"")")</f>
        <v>21.009318919178799</v>
      </c>
      <c r="I11" cm="1">
        <f t="array" ref="I11">_xll.FDS(D11,"FMA_DIV_YLD(NTMA,NOW,NOW,M,""PORTAGG"",""MEANR"")")</f>
        <v>1.4021931753627599</v>
      </c>
      <c r="J11" s="52" cm="1">
        <f t="array" ref="J11">IFERROR(_xll.FDS(D11,"FG_FCF_YIELD_NTM(0)"),(1/G11*100))</f>
        <v>4.1050002765360496</v>
      </c>
      <c r="K11" s="3" cm="1">
        <f t="array" ref="K11">_xll.FDS(D11,"FMA_EVAL_EBITDA(NTMA,0,,,""PORTAGG"",""MEANR"")")</f>
        <v>14.436109633554899</v>
      </c>
      <c r="L11" cm="1">
        <f t="array" ref="L11">_xll.FDS(D11,"FMA_EVAL_EBIT(LTMA,NOW,NOW,M,""PORTAGG"",""MEANR"")")</f>
        <v>20.7443078832951</v>
      </c>
      <c r="M11">
        <f>HLOOKUP(D11,'Index ROE'!$A$1:$N$25,25,FALSE)</f>
        <v>20.344034080875002</v>
      </c>
      <c r="N11">
        <f>VLOOKUP(A11,'LIQIDITY 2'!$A$3:$E$16,5,FALSE)</f>
        <v>3.8877999999999999</v>
      </c>
      <c r="O11" cm="1">
        <f t="array" ref="O11">IFERROR(IFERROR(IFERROR(IFERROR(_xll.FDS(B11,"IMF_IFS_RCPI_Q(0)"),_xll.FDS(B11,"IMF_IFS_RCPI_Q(-1AM)")),_xll.FDS(B11,"IMF_IFS_RCPI_Q(-2AM)")),_xll.FDS(B11,"IMF_IFS_RCPI_Q(-3AM)")),$D$31)</f>
        <v>3.19889</v>
      </c>
      <c r="P11">
        <f>VLOOKUP(E11,GDP_GROWTH!$B$10:$W$165,22,FALSE)</f>
        <v>2.0868572594445189</v>
      </c>
      <c r="Q11">
        <f t="shared" si="0"/>
        <v>-2.48560682463724</v>
      </c>
      <c r="R11" s="52">
        <f t="shared" si="1"/>
        <v>0.21720027653604967</v>
      </c>
      <c r="S11">
        <f t="shared" si="2"/>
        <v>16.456234080875003</v>
      </c>
      <c r="T11">
        <f t="shared" si="3"/>
        <v>17.145144080875003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32.51</v>
      </c>
      <c r="AC11" cm="1">
        <f t="array" ref="AC11">_xlfn.PERCENTRANK.EXC(_xlfn._xlws.FILTER(AB$3:AB$15, ISNUMBER(AB$3:AB$15)),AB11)*100</f>
        <v>28.499999999999996</v>
      </c>
    </row>
    <row r="12" spans="1:29" x14ac:dyDescent="0.35">
      <c r="A12" t="s">
        <v>865</v>
      </c>
      <c r="B12" t="s">
        <v>869</v>
      </c>
      <c r="C12" t="str" cm="1">
        <f t="array" ref="C12">_xll.FDS(A12,"FG_COMPANY_NAME")</f>
        <v>iShares MSCI France ETF</v>
      </c>
      <c r="D12" t="s">
        <v>865</v>
      </c>
      <c r="E12" t="s">
        <v>621</v>
      </c>
      <c r="F12" s="2" cm="1">
        <f t="array" ref="F12">_xll.FDS(D12,"JULIAN(FMA_DIV_YLD(NTMA,NOW,NOW,M,""PORTAGG"",""MEANR"").dates)")</f>
        <v>45504</v>
      </c>
      <c r="G12" s="4" cm="1">
        <f t="array" ref="G12">_xll.FDS(D12,"FMA_PE(LTM,0,,,""PORTAGG"",""MEANR"")")</f>
        <v>16.291492257674399</v>
      </c>
      <c r="H12" s="4" cm="1">
        <f t="array" ref="H12">_xll.FDS(D12,"FMA_PE(NTMA,0,,,""PORTAGG"",""MEANR"")")</f>
        <v>13.3243137118773</v>
      </c>
      <c r="I12" cm="1">
        <f t="array" ref="I12">_xll.FDS(D12,"FMA_DIV_YLD(NTMA,NOW,NOW,M,""PORTAGG"",""MEANR"")")</f>
        <v>3.3637469955019101</v>
      </c>
      <c r="J12" s="52" cm="1">
        <f t="array" ref="J12">IFERROR(_xll.FDS(D12,"FG_FCF_YIELD_NTM(0)"),(1/G12*100))</f>
        <v>6.1030470438585702</v>
      </c>
      <c r="K12" s="3" cm="1">
        <f t="array" ref="K12">_xll.FDS(D12,"FMA_EVAL_EBITDA(NTMA,0,,,""PORTAGG"",""MEANR"")")</f>
        <v>8.9210096187888794</v>
      </c>
      <c r="L12" cm="1">
        <f t="array" ref="L12">_xll.FDS(D12,"FMA_EVAL_EBIT(LTMA,NOW,NOW,M,""PORTAGG"",""MEANR"")")</f>
        <v>13.1581565790769</v>
      </c>
      <c r="M12">
        <f>HLOOKUP(D12,'Index ROE'!$A$1:$N$25,25,FALSE)</f>
        <v>13.221250861669199</v>
      </c>
      <c r="N12">
        <f>VLOOKUP(A12,'LIQIDITY 2'!$A$3:$E$16,5,FALSE)</f>
        <v>2.984</v>
      </c>
      <c r="O12" cm="1">
        <f t="array" ref="O12">IFERROR(IFERROR(IFERROR(IFERROR(_xll.FDS(B12,"IMF_IFS_RCPI_Q(0)"),_xll.FDS(B12,"IMF_IFS_RCPI_Q(-1AM)")),_xll.FDS(B12,"IMF_IFS_RCPI_Q(-2AM)")),_xll.FDS(B12,"IMF_IFS_RCPI_Q(-3AM)")),$D$31)</f>
        <v>2.2093682000000001</v>
      </c>
      <c r="P12">
        <f>VLOOKUP(E12,GDP_GROWTH!$B$10:$W$165,22,FALSE)</f>
        <v>0.9426946158151317</v>
      </c>
      <c r="Q12">
        <f t="shared" ref="Q12:Q15" si="4">I12-N12</f>
        <v>0.37974699550191016</v>
      </c>
      <c r="R12" s="52">
        <f t="shared" ref="R12:R15" si="5">J12-N12</f>
        <v>3.1190470438585702</v>
      </c>
      <c r="S12">
        <f t="shared" ref="S12:S15" si="6">M12-N12</f>
        <v>10.2372508616692</v>
      </c>
      <c r="T12">
        <f t="shared" ref="T12:T15" si="7">M12-O12</f>
        <v>11.011882661669199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64.2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64.3</v>
      </c>
      <c r="Y12" cm="1">
        <f t="array" ref="Y12">(1-_xlfn.PERCENTRANK.EXC(_xlfn._xlws.FILTER(H$3:H$15, ISNUMBER(H$3:H$15)),H12))*100</f>
        <v>71.500000000000014</v>
      </c>
      <c r="Z12" cm="1">
        <f t="array" ref="Z12">_xlfn.PERCENTRANK.EXC(_xlfn._xlws.FILTER(T$3:T$15, ISNUMBER(T$3:T$15)),T12)*100</f>
        <v>50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63.565000000000005</v>
      </c>
      <c r="AC12" cm="1">
        <f t="array" ref="AC12">_xlfn.PERCENTRANK.EXC(_xlfn._xlws.FILTER(AB$3:AB$15, ISNUMBER(AB$3:AB$15)),AB12)*100</f>
        <v>64.2</v>
      </c>
    </row>
    <row r="13" spans="1:29" x14ac:dyDescent="0.35">
      <c r="A13" t="s">
        <v>867</v>
      </c>
      <c r="B13" t="s">
        <v>870</v>
      </c>
      <c r="C13" t="str" cm="1">
        <f t="array" ref="C13">_xll.FDS(A13,"FG_COMPANY_NAME")</f>
        <v>iShares MSCI Netherlands ETF</v>
      </c>
      <c r="D13" t="s">
        <v>867</v>
      </c>
      <c r="E13" t="s">
        <v>673</v>
      </c>
      <c r="F13" s="2" cm="1">
        <f t="array" ref="F13">_xll.FDS(D13,"JULIAN(FMA_DIV_YLD(NTMA,NOW,NOW,M,""PORTAGG"",""MEANR"").dates)")</f>
        <v>45504</v>
      </c>
      <c r="G13" s="4" cm="1">
        <f t="array" ref="G13">_xll.FDS(D13,"FMA_PE(LTM,0,,,""PORTAGG"",""MEANR"")")</f>
        <v>21.4259854607037</v>
      </c>
      <c r="H13" s="4" cm="1">
        <f t="array" ref="H13">_xll.FDS(D13,"FMA_PE(NTMA,0,,,""PORTAGG"",""MEANR"")")</f>
        <v>14.8162664926652</v>
      </c>
      <c r="I13" cm="1">
        <f t="array" ref="I13">_xll.FDS(D13,"FMA_DIV_YLD(NTMA,NOW,NOW,M,""PORTAGG"",""MEANR"")")</f>
        <v>2.5472359746538999</v>
      </c>
      <c r="J13" s="52" cm="1">
        <f t="array" ref="J13">IFERROR(_xll.FDS(D13,"FG_FCF_YIELD_NTM(0)"),(1/G13*100))</f>
        <v>4.1782070218523097</v>
      </c>
      <c r="K13" s="3" cm="1">
        <f t="array" ref="K13">_xll.FDS(D13,"FMA_EVAL_EBITDA(NTMA,0,,,""PORTAGG"",""MEANR"")")</f>
        <v>12.1570529157978</v>
      </c>
      <c r="L13" cm="1">
        <f t="array" ref="L13">_xll.FDS(D13,"FMA_EVAL_EBIT(LTMA,NOW,NOW,M,""PORTAGG"",""MEANR"")")</f>
        <v>21.741520738377002</v>
      </c>
      <c r="M13">
        <f>HLOOKUP(D13,'Index ROE'!$A$1:$N$25,25,FALSE)</f>
        <v>12.745985665341101</v>
      </c>
      <c r="N13">
        <f>VLOOKUP(A13,'LIQIDITY 2'!$A$3:$E$16,5,FALSE)</f>
        <v>2.5409999999999999</v>
      </c>
      <c r="O13" cm="1">
        <f t="array" ref="O13">IFERROR(IFERROR(IFERROR(IFERROR(_xll.FDS(B13,"IMF_IFS_RCPI_Q(0)"),_xll.FDS(B13,"IMF_IFS_RCPI_Q(-1AM)")),_xll.FDS(B13,"IMF_IFS_RCPI_Q(-2AM)")),_xll.FDS(B13,"IMF_IFS_RCPI_Q(-3AM)")),$D$31)</f>
        <v>2.8881169999999998</v>
      </c>
      <c r="P13">
        <f>VLOOKUP(E13,GDP_GROWTH!$B$10:$W$165,22,FALSE)</f>
        <v>1.7793785730007783</v>
      </c>
      <c r="Q13">
        <f t="shared" si="4"/>
        <v>6.2359746539000227E-3</v>
      </c>
      <c r="R13" s="52">
        <f t="shared" si="5"/>
        <v>1.6372070218523098</v>
      </c>
      <c r="S13">
        <f t="shared" si="6"/>
        <v>10.2049856653411</v>
      </c>
      <c r="T13">
        <f t="shared" si="7"/>
        <v>9.8578686653411012</v>
      </c>
      <c r="U13" cm="1">
        <f t="array" ref="U13">_xlfn.PERCENTRANK.EXC(_xlfn._xlws.FILTER(Q$3:Q$15, ISNUMBER(Q$3:Q$15)),Q13)*100</f>
        <v>42.8</v>
      </c>
      <c r="V13" cm="1">
        <f t="array" ref="V13">_xlfn.PERCENTRANK.EXC(_xlfn._xlws.FILTER(R$3:R$15, ISNUMBER(R$3:R$15)),R13)*100</f>
        <v>35.699999999999996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35.799999999999997</v>
      </c>
      <c r="Y13" cm="1">
        <f t="array" ref="Y13">(1-_xlfn.PERCENTRANK.EXC(_xlfn._xlws.FILTER(H$3:H$15, ISNUMBER(H$3:H$15)),H13))*100</f>
        <v>50</v>
      </c>
      <c r="Z13" cm="1">
        <f t="array" ref="Z13">_xlfn.PERCENTRANK.EXC(_xlfn._xlws.FILTER(T$3:T$15, ISNUMBER(T$3:T$15)),T13)*100</f>
        <v>35.699999999999996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41.085000000000001</v>
      </c>
      <c r="AC13" cm="1">
        <f t="array" ref="AC13">_xlfn.PERCENTRANK.EXC(_xlfn._xlws.FILTER(AB$3:AB$15, ISNUMBER(AB$3:AB$15)),AB13)*100</f>
        <v>35.699999999999996</v>
      </c>
    </row>
    <row r="14" spans="1:29" x14ac:dyDescent="0.35">
      <c r="A14" t="s">
        <v>864</v>
      </c>
      <c r="B14" t="s">
        <v>273</v>
      </c>
      <c r="C14" t="str" cm="1">
        <f t="array" ref="C14">_xll.FDS(A14,"FG_COMPANY_NAME")</f>
        <v>iShares MSCI Sweden ETF</v>
      </c>
      <c r="D14" t="s">
        <v>864</v>
      </c>
      <c r="E14" t="s">
        <v>705</v>
      </c>
      <c r="F14" s="2" cm="1">
        <f t="array" ref="F14">_xll.FDS(D14,"JULIAN(FMA_DIV_YLD(NTMA,NOW,NOW,M,""PORTAGG"",""MEANR"").dates)")</f>
        <v>45504</v>
      </c>
      <c r="G14" s="4" cm="1">
        <f t="array" ref="G14">_xll.FDS(D14,"FMA_PE(LTM,0,,,""PORTAGG"",""MEANR"")")</f>
        <v>13.670204272463501</v>
      </c>
      <c r="H14" s="4" cm="1">
        <f t="array" ref="H14">_xll.FDS(D14,"FMA_PE(NTMA,0,,,""PORTAGG"",""MEANR"")")</f>
        <v>15.5830060585929</v>
      </c>
      <c r="I14" cm="1">
        <f t="array" ref="I14">_xll.FDS(D14,"FMA_DIV_YLD(NTMA,NOW,NOW,M,""PORTAGG"",""MEANR"")")</f>
        <v>3.1816384498739199</v>
      </c>
      <c r="J14" s="52" cm="1">
        <f t="array" ref="J14">IFERROR(_xll.FDS(D14,"FG_FCF_YIELD_NTM(0)"),(1/G14*100))</f>
        <v>5.2483312739630597</v>
      </c>
      <c r="K14" s="3" cm="1">
        <f t="array" ref="K14">_xll.FDS(D14,"FMA_EVAL_EBITDA(NTMA,0,,,""PORTAGG"",""MEANR"")")</f>
        <v>10.6206866548706</v>
      </c>
      <c r="L14" cm="1">
        <f t="array" ref="L14">_xll.FDS(D14,"FMA_EVAL_EBIT(LTMA,NOW,NOW,M,""PORTAGG"",""MEANR"")")</f>
        <v>16.233062464570001</v>
      </c>
      <c r="M14">
        <f>HLOOKUP(D14,'Index ROE'!$A$1:$N$25,25,FALSE)</f>
        <v>15.368050598586001</v>
      </c>
      <c r="N14">
        <f>VLOOKUP(A14,'LIQIDITY 2'!$A$3:$E$16,5,FALSE)</f>
        <v>1.9770000000000001</v>
      </c>
      <c r="O14" cm="1">
        <f t="array" ref="O14">IFERROR(IFERROR(IFERROR(IFERROR(_xll.FDS(B14,"IMF_IFS_RCPI_Q(0)"),_xll.FDS(B14,"IMF_IFS_RCPI_Q(-1AM)")),_xll.FDS(B14,"IMF_IFS_RCPI_Q(-2AM)")),_xll.FDS(B14,"IMF_IFS_RCPI_Q(-3AM)")),$D$31)</f>
        <v>3.39215</v>
      </c>
      <c r="P14">
        <f>VLOOKUP(E14,GDP_GROWTH!$B$10:$W$165,22,FALSE)</f>
        <v>1.8182767577278436</v>
      </c>
      <c r="Q14">
        <f t="shared" si="4"/>
        <v>1.2046384498739198</v>
      </c>
      <c r="R14" s="52">
        <f t="shared" si="5"/>
        <v>3.2713312739630593</v>
      </c>
      <c r="S14">
        <f t="shared" si="6"/>
        <v>13.391050598586</v>
      </c>
      <c r="T14">
        <f t="shared" si="7"/>
        <v>11.975900598586001</v>
      </c>
      <c r="U14" cm="1">
        <f t="array" ref="U14">_xlfn.PERCENTRANK.EXC(_xlfn._xlws.FILTER(Q$3:Q$15, ISNUMBER(Q$3:Q$15)),Q14)*100</f>
        <v>71.399999999999991</v>
      </c>
      <c r="V14" cm="1">
        <f t="array" ref="V14">_xlfn.PERCENTRANK.EXC(_xlfn._xlws.FILTER(R$3:R$15, ISNUMBER(R$3:R$15)),R14)*100</f>
        <v>71.399999999999991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85.8</v>
      </c>
      <c r="Y14" cm="1">
        <f t="array" ref="Y14">(1-_xlfn.PERCENTRANK.EXC(_xlfn._xlws.FILTER(H$3:H$15, ISNUMBER(H$3:H$15)),H14))*100</f>
        <v>42.900000000000006</v>
      </c>
      <c r="Z14" cm="1">
        <f t="array" ref="Z14">_xlfn.PERCENTRANK.EXC(_xlfn._xlws.FILTER(T$3:T$15, ISNUMBER(T$3:T$15)),T14)*100</f>
        <v>64.2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67.155000000000001</v>
      </c>
      <c r="AC14" cm="1">
        <f t="array" ref="AC14">_xlfn.PERCENTRANK.EXC(_xlfn._xlws.FILTER(AB$3:AB$15, ISNUMBER(AB$3:AB$15)),AB14)*100</f>
        <v>78.5</v>
      </c>
    </row>
    <row r="15" spans="1:29" x14ac:dyDescent="0.35">
      <c r="A15" t="s">
        <v>866</v>
      </c>
      <c r="B15" t="s">
        <v>868</v>
      </c>
      <c r="C15" t="str" cm="1">
        <f t="array" ref="C15">_xll.FDS(A15,"FG_COMPANY_NAME")</f>
        <v>iShares MSCI Italy ETF</v>
      </c>
      <c r="D15" t="s">
        <v>866</v>
      </c>
      <c r="E15" t="s">
        <v>641</v>
      </c>
      <c r="F15" s="2" cm="1">
        <f t="array" ref="F15">_xll.FDS(D15,"JULIAN(FMA_DIV_YLD(NTMA,NOW,NOW,M,""PORTAGG"",""MEANR"").dates)")</f>
        <v>45504</v>
      </c>
      <c r="G15" s="4" cm="1">
        <f t="array" ref="G15">_xll.FDS(D15,"FMA_PE(LTM,0,,,""PORTAGG"",""MEANR"")")</f>
        <v>10.7793236178518</v>
      </c>
      <c r="H15" s="4" cm="1">
        <f t="array" ref="H15">_xll.FDS(D15,"FMA_PE(NTMA,0,,,""PORTAGG"",""MEANR"")")</f>
        <v>9.3597171586359806</v>
      </c>
      <c r="I15" cm="1">
        <f t="array" ref="I15">_xll.FDS(D15,"FMA_DIV_YLD(NTMA,NOW,NOW,M,""PORTAGG"",""MEANR"")")</f>
        <v>5.3425931152225701</v>
      </c>
      <c r="J15" s="52" cm="1">
        <f t="array" ref="J15">IFERROR(_xll.FDS(D15,"FG_FCF_YIELD_NTM(0)"),(1/G15*100))</f>
        <v>5.7633999231557898</v>
      </c>
      <c r="K15" s="3" cm="1">
        <f t="array" ref="K15">_xll.FDS(D15,"FMA_EVAL_EBITDA(NTMA,0,,,""PORTAGG"",""MEANR"")")</f>
        <v>6.8475995339610796</v>
      </c>
      <c r="L15" cm="1">
        <f t="array" ref="L15">_xll.FDS(D15,"FMA_EVAL_EBIT(LTMA,NOW,NOW,M,""PORTAGG"",""MEANR"")")</f>
        <v>11.028496636399</v>
      </c>
      <c r="M15">
        <f>HLOOKUP(D15,'Index ROE'!$A$1:$N$25,25,FALSE)</f>
        <v>13.3572149047324</v>
      </c>
      <c r="N15">
        <f>VLOOKUP(A15,'LIQIDITY 2'!$A$3:$E$16,5,FALSE)</f>
        <v>3.633</v>
      </c>
      <c r="O15" cm="1">
        <f t="array" ref="O15">IFERROR(IFERROR(IFERROR(IFERROR(_xll.FDS(B15,"IMF_IFS_RCPI_Q(0)"),_xll.FDS(B15,"IMF_IFS_RCPI_Q(-1AM)")),_xll.FDS(B15,"IMF_IFS_RCPI_Q(-2AM)")),_xll.FDS(B15,"IMF_IFS_RCPI_Q(-3AM)")),$D$31)</f>
        <v>0.80847347000000003</v>
      </c>
      <c r="P15">
        <f>VLOOKUP(E15,GDP_GROWTH!$B$10:$W$165,22,FALSE)</f>
        <v>0.32855305426654491</v>
      </c>
      <c r="Q15">
        <f t="shared" si="4"/>
        <v>1.7095931152225701</v>
      </c>
      <c r="R15" s="52">
        <f t="shared" si="5"/>
        <v>2.1303999231557897</v>
      </c>
      <c r="S15">
        <f t="shared" si="6"/>
        <v>9.7242149047323991</v>
      </c>
      <c r="T15">
        <f t="shared" si="7"/>
        <v>12.548741434732399</v>
      </c>
      <c r="U15" cm="1">
        <f t="array" ref="U15">_xlfn.PERCENTRANK.EXC(_xlfn._xlws.FILTER(Q$3:Q$15, ISNUMBER(Q$3:Q$15)),Q15)*100</f>
        <v>85.7</v>
      </c>
      <c r="V15" cm="1">
        <f t="array" ref="V15">_xlfn.PERCENTRANK.EXC(_xlfn._xlws.FILTER(R$3:R$15, ISNUMBER(R$3:R$15)),R15)*100</f>
        <v>42.8</v>
      </c>
      <c r="W15" cm="1">
        <f t="array" ref="W15">_xlfn.PERCENTRANK.EXC(_xlfn._xlws.FILTER(S$3:S$15, ISNUMBER(S$3:S$15)),S15)*100</f>
        <v>35.699999999999996</v>
      </c>
      <c r="X15" cm="1">
        <f t="array" ref="X15">(1-_xlfn.PERCENTRANK.EXC(_xlfn._xlws.FILTER(G$3:G$15, ISNUMBER(G$3:G$15)),G15))*100</f>
        <v>92.9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72.144999999999996</v>
      </c>
      <c r="AC15" cm="1">
        <f t="array" ref="AC15">_xlfn.PERCENTRANK.EXC(_xlfn._xlws.FILTER(AB$3:AB$15, ISNUMBER(AB$3:AB$15)),AB15)*100</f>
        <v>92.800000000000011</v>
      </c>
    </row>
    <row r="16" spans="1:29" x14ac:dyDescent="0.35">
      <c r="F16" s="2"/>
      <c r="G16" s="4"/>
      <c r="H16" s="4"/>
      <c r="J16" s="52"/>
      <c r="K16" s="3"/>
    </row>
    <row r="17" spans="1:12" x14ac:dyDescent="0.35">
      <c r="F17" s="2"/>
      <c r="G17" s="4"/>
      <c r="H17" s="4"/>
      <c r="J17" s="52"/>
      <c r="K17" s="3"/>
    </row>
    <row r="18" spans="1:12" x14ac:dyDescent="0.35">
      <c r="A18" t="s">
        <v>535</v>
      </c>
      <c r="F18" s="2"/>
      <c r="G18" s="4"/>
      <c r="H18" s="4"/>
      <c r="J18" s="52"/>
      <c r="K18" s="3"/>
    </row>
    <row r="19" spans="1:12" x14ac:dyDescent="0.3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45471</v>
      </c>
      <c r="G19" s="4" cm="1">
        <f t="array" ref="G19">_xll.FDS(D19,"FG_PE(0)")</f>
        <v>14.2394767926223</v>
      </c>
      <c r="H19" s="4" cm="1">
        <f t="array" ref="H19">_xll.FDS(D19,"FG_PE_NTM(0,,,90,0)")</f>
        <v>13.180180467666901</v>
      </c>
      <c r="I19" cm="1">
        <f t="array" ref="I19">_xll.FDS(D19,"FMA_DIV_YLD(NTMA,NOW,NOW,M,""PORTAGG"",""MEANR"")")</f>
        <v>3.5216544996751402</v>
      </c>
      <c r="J19" s="52" cm="1">
        <f t="array" ref="J19">_xll.FDS(D19,"FG_FCF_YIELD_NTM(0)")</f>
        <v>5.3132028198726502</v>
      </c>
      <c r="K19" s="3" cm="1">
        <f t="array" ref="K19">_xll.FDS(D19,"FMA_EVAL_EBITDA(NTMA,0,,,""PORTAGG"",""MEANR"")")</f>
        <v>8.8044096665738305</v>
      </c>
      <c r="L19" cm="1">
        <f t="array" ref="L19">_xll.FDS(D19,"FMA_EVAL_EBIT(LTMA,NOW,NOW,M,""PORTAGG"",""MEANR"")")</f>
        <v>13.222087123988199</v>
      </c>
    </row>
    <row r="20" spans="1:12" x14ac:dyDescent="0.3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45471</v>
      </c>
      <c r="G20" s="4" cm="1">
        <f t="array" ref="G20">_xll.FDS(D20,"FG_PE(0)")</f>
        <v>15.0645995254156</v>
      </c>
      <c r="H20" s="4" cm="1">
        <f t="array" ref="H20">_xll.FDS(D20,"FG_PE_NTM(0,,,90,0)")</f>
        <v>13.0065338290949</v>
      </c>
      <c r="I20" cm="1">
        <f t="array" ref="I20">_xll.FDS(D20,"FMA_DIV_YLD(NTMA,NOW,NOW,M,""PORTAGG"",""MEANR"")")</f>
        <v>3.5115707733261599</v>
      </c>
      <c r="J20" s="52" cm="1">
        <f t="array" ref="J20">_xll.FDS(D20,"FG_FCF_YIELD_NTM(0)")</f>
        <v>5.3521630370763198</v>
      </c>
      <c r="K20" s="3" cm="1">
        <f t="array" ref="K20">_xll.FDS(D20,"FMA_EVAL_EBITDA(NTMA,0,,,""PORTAGG"",""MEANR"")")</f>
        <v>9.0754235979746092</v>
      </c>
      <c r="L20" cm="1">
        <f t="array" ref="L20">_xll.FDS(D20,"FMA_EVAL_EBIT(LTMA,NOW,NOW,M,""PORTAGG"",""MEANR"")")</f>
        <v>14.4188626352092</v>
      </c>
    </row>
    <row r="21" spans="1:12" x14ac:dyDescent="0.35">
      <c r="F21" s="2"/>
      <c r="G21" s="4"/>
      <c r="H21" s="4"/>
      <c r="J21" s="52"/>
      <c r="K21" s="3"/>
    </row>
    <row r="22" spans="1:12" x14ac:dyDescent="0.35">
      <c r="B22" t="s">
        <v>776</v>
      </c>
      <c r="C22" t="s">
        <v>544</v>
      </c>
      <c r="D22" t="s">
        <v>777</v>
      </c>
      <c r="F22" s="2"/>
      <c r="G22" s="4"/>
      <c r="H22" s="4"/>
      <c r="J22" s="52"/>
      <c r="K22" s="3"/>
    </row>
    <row r="23" spans="1:12" x14ac:dyDescent="0.35">
      <c r="B23" t="s">
        <v>170</v>
      </c>
      <c r="C23" t="s">
        <v>720</v>
      </c>
      <c r="D23" cm="1">
        <f t="array" ref="D23">IFERROR(IFERROR(IFERROR(_xll.FDS(B23,"IMF_IFS_RCPI_Q(0)"),_xll.FDS(B23,"IMF_IFS_RCPI_Q(-1AM)")),_xll.FDS(B23,"IMF_IFS_RCPI_Q(-2AM)")),_xll.FDS(B23,"IMF_IFS_RCPI_Q(-3AM)"))</f>
        <v>3.19889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907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3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4.1295999999999999</v>
      </c>
      <c r="G3" s="26" cm="1">
        <f t="array" ref="G3">_xll.FDSB(C3,"PCTCHG(FG_YIELD(0,,,,""YTM""),FG_YIELD(-1AM,,,,""YTM""))")</f>
        <v>-5.5530090000000003</v>
      </c>
      <c r="H3" s="26" cm="1">
        <f t="array" ref="H3">_xll.FDSB(C3,"PCTCHG(FG_YIELD(0,,,,""YTM""),FG_YIELD(-3AM,,,,""YTM""))")</f>
        <v>-9.7611629999999998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5.25</v>
      </c>
      <c r="M3" s="36" cm="1">
        <f t="array" ref="M3">_xll.FDSB(J3,"(SUBARRAY(NOT_NA(NO_REPEAT_F(FG_YIELD(now,-10AY,D))),0,1)-SUBARRAY(NOT_NA(NO_REPEAT_F(FG_YIELD(now,-10AY,D))),1,1))*100")</f>
        <v>-25</v>
      </c>
      <c r="N3" s="38">
        <f t="shared" ref="N3:N15" si="0">M3*-1</f>
        <v>25</v>
      </c>
      <c r="O3" s="26">
        <f>L3-E3</f>
        <v>1.1204000000000001</v>
      </c>
      <c r="S3">
        <f t="shared" ref="S3:S15" si="1">IF(M3&gt; 0, 0, 1)</f>
        <v>1</v>
      </c>
      <c r="T3">
        <f t="shared" ref="T3:T15" si="2">IF(G3&lt;0, 1, 0)</f>
        <v>1</v>
      </c>
      <c r="U3">
        <f t="shared" ref="U3:U15" si="3">IF(H3&lt;0, 1, 0)</f>
        <v>1</v>
      </c>
      <c r="V3" s="47">
        <f t="shared" ref="V3:V15" si="4">SUMPRODUCT($S$1:$U$1,S3:U3)</f>
        <v>1</v>
      </c>
      <c r="X3">
        <f>_xlfn.PERCENTRANK.EXC($V$3:$V$15,V3)*100</f>
        <v>42.8</v>
      </c>
    </row>
    <row r="4" spans="1:24" x14ac:dyDescent="0.3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3.9289999999999998</v>
      </c>
      <c r="G4" s="26" cm="1">
        <f t="array" ref="G4">_xll.FDSB(C4,"PCTCHG(FG_YIELD(0,,,,""YTM""),FG_YIELD(-1AM,,,,""YTM""))")</f>
        <v>-7.5964239999999998</v>
      </c>
      <c r="H4" s="26" cm="1">
        <f t="array" ref="H4">_xll.FDSB(C4,"PCTCHG(FG_YIELD(0,,,,""YTM""),FG_YIELD(-3AM,,,,""YTM""))")</f>
        <v>-6.2738550000000002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0.42099999999999982</v>
      </c>
      <c r="S4">
        <f t="shared" si="1"/>
        <v>0</v>
      </c>
      <c r="T4">
        <f t="shared" si="2"/>
        <v>1</v>
      </c>
      <c r="U4">
        <f t="shared" si="3"/>
        <v>1</v>
      </c>
      <c r="V4" s="47">
        <f t="shared" si="4"/>
        <v>0.5</v>
      </c>
      <c r="X4">
        <f t="shared" ref="X4:X15" si="6">_xlfn.PERCENTRANK.EXC($V$3:$V$15,V4)*100</f>
        <v>7.1</v>
      </c>
    </row>
    <row r="5" spans="1:24" x14ac:dyDescent="0.3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3.0663999999999998</v>
      </c>
      <c r="G5" s="26" cm="1">
        <f t="array" ref="G5">_xll.FDSB(C5,"PCTCHG(FG_YIELD(0,,,,""YTM""),FG_YIELD(-1AM,,,,""YTM""))")</f>
        <v>-8.3890969999999996</v>
      </c>
      <c r="H5" s="26" cm="1">
        <f t="array" ref="H5">_xll.FDSB(C5,"PCTCHG(FG_YIELD(0,,,,""YTM""),FG_YIELD(-3AM,,,,""YTM""))")</f>
        <v>-14.075153999999999</v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4.5</v>
      </c>
      <c r="M5" s="36" cm="1">
        <f t="array" ref="M5">_xll.FDSB(J5,"(SUBARRAY(NOT_NA(NO_REPEAT_F(FG_YIELD(now,-10AY,D))),0,1)-SUBARRAY(NOT_NA(NO_REPEAT_F(FG_YIELD(now,-10AY,D))),1,1))*100")</f>
        <v>-25</v>
      </c>
      <c r="N5" s="38">
        <f t="shared" si="0"/>
        <v>25</v>
      </c>
      <c r="O5" s="26">
        <f t="shared" si="5"/>
        <v>1.4336000000000002</v>
      </c>
      <c r="S5">
        <f t="shared" si="1"/>
        <v>1</v>
      </c>
      <c r="T5">
        <f t="shared" si="2"/>
        <v>1</v>
      </c>
      <c r="U5">
        <f t="shared" si="3"/>
        <v>1</v>
      </c>
      <c r="V5" s="47">
        <f t="shared" si="4"/>
        <v>1</v>
      </c>
      <c r="X5">
        <f t="shared" si="6"/>
        <v>42.8</v>
      </c>
    </row>
    <row r="6" spans="1:24" x14ac:dyDescent="0.3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2.2509999999999999</v>
      </c>
      <c r="G6" s="26" cm="1">
        <f t="array" ref="G6">_xll.FDSB(C6,"PCTCHG(FG_YIELD(0,,,,""YTM""),FG_YIELD(-1AM,,,,""YTM""))")</f>
        <v>-7.5944250000000002</v>
      </c>
      <c r="H6" s="26" cm="1">
        <f t="array" ref="H6">_xll.FDSB(C6,"PCTCHG(FG_YIELD(0,,,,""YTM""),FG_YIELD(-3AM,,,,""YTM""))")</f>
        <v>-7.6702237000000002</v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4.25</v>
      </c>
      <c r="M6" s="36" cm="1">
        <f t="array" ref="M6">_xll.FDSB(J6,"(SUBARRAY(NOT_NA(NO_REPEAT_F(FG_YIELD(now,-10AY,D))),0,1)-SUBARRAY(NOT_NA(NO_REPEAT_F(FG_YIELD(now,-10AY,D))),1,1))*100")</f>
        <v>-25</v>
      </c>
      <c r="N6" s="38">
        <f t="shared" si="0"/>
        <v>25</v>
      </c>
      <c r="O6" s="26">
        <f t="shared" si="5"/>
        <v>1.9990000000000001</v>
      </c>
      <c r="S6">
        <f t="shared" si="1"/>
        <v>1</v>
      </c>
      <c r="T6">
        <f t="shared" si="2"/>
        <v>1</v>
      </c>
      <c r="U6">
        <f t="shared" si="3"/>
        <v>1</v>
      </c>
      <c r="V6" s="47">
        <f t="shared" si="4"/>
        <v>1</v>
      </c>
      <c r="X6">
        <f t="shared" si="6"/>
        <v>42.8</v>
      </c>
    </row>
    <row r="7" spans="1:24" x14ac:dyDescent="0.3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0.88190000000000002</v>
      </c>
      <c r="G7" s="26" cm="1">
        <f t="array" ref="G7">_xll.FDSB(C7,"PCTCHG(FG_YIELD(0,,,,""YTM""),FG_YIELD(-1AM,,,,""YTM""))")</f>
        <v>-14.019690000000001</v>
      </c>
      <c r="H7" s="26" cm="1">
        <f t="array" ref="H7">_xll.FDSB(C7,"PCTCHG(FG_YIELD(0,,,,""YTM""),FG_YIELD(-3AM,,,,""YTM""))")</f>
        <v>-4.1308822999999997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0.25</v>
      </c>
      <c r="M7" s="36" cm="1">
        <f t="array" ref="M7">_xll.FDSB(J7,"(SUBARRAY(NOT_NA(NO_REPEAT_F(FG_YIELD(now,-10AY,D))),0,1)-SUBARRAY(NOT_NA(NO_REPEAT_F(FG_YIELD(now,-10AY,D))),1,1))*100")</f>
        <v>15</v>
      </c>
      <c r="N7" s="38">
        <f t="shared" si="0"/>
        <v>-15</v>
      </c>
      <c r="O7" s="26">
        <f t="shared" si="5"/>
        <v>-0.63190000000000002</v>
      </c>
      <c r="S7">
        <f t="shared" si="1"/>
        <v>0</v>
      </c>
      <c r="T7">
        <f t="shared" si="2"/>
        <v>1</v>
      </c>
      <c r="U7">
        <f t="shared" si="3"/>
        <v>1</v>
      </c>
      <c r="V7" s="47">
        <f t="shared" si="4"/>
        <v>0.5</v>
      </c>
      <c r="X7">
        <f t="shared" si="6"/>
        <v>7.1</v>
      </c>
    </row>
    <row r="8" spans="1:24" x14ac:dyDescent="0.3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0.43099999999999999</v>
      </c>
      <c r="G8" s="26" cm="1">
        <f t="array" ref="G8">_xll.FDSB(C8,"PCTCHG(FG_YIELD(0,,,,""YTM""),FG_YIELD(-1AM,,,,""YTM""))")</f>
        <v>-23.581562000000002</v>
      </c>
      <c r="H8" s="26" cm="1">
        <f t="array" ref="H8">_xll.FDSB(C8,"PCTCHG(FG_YIELD(0,,,,""YTM""),FG_YIELD(-3AM,,,,""YTM""))")</f>
        <v>-39.804473999999999</v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1.25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0.81899999999999995</v>
      </c>
      <c r="S8">
        <f t="shared" si="1"/>
        <v>1</v>
      </c>
      <c r="T8">
        <f t="shared" si="2"/>
        <v>1</v>
      </c>
      <c r="U8">
        <f t="shared" si="3"/>
        <v>1</v>
      </c>
      <c r="V8" s="47">
        <f t="shared" si="4"/>
        <v>1</v>
      </c>
      <c r="X8">
        <f t="shared" si="6"/>
        <v>42.8</v>
      </c>
    </row>
    <row r="9" spans="1:24" x14ac:dyDescent="0.3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3.923</v>
      </c>
      <c r="G9" s="26" cm="1">
        <f t="array" ref="G9">_xll.FDSB(C9,"PCTCHG(FG_YIELD(0,,,,""YTM""),FG_YIELD(-1AM,,,,""YTM""))")</f>
        <v>-3.8244642999999998</v>
      </c>
      <c r="H9" s="26" cm="1">
        <f t="array" ref="H9">_xll.FDSB(C9,"PCTCHG(FG_YIELD(0,,,,""YTM""),FG_YIELD(-3AM,,,,""YTM""))")</f>
        <v>-3.3267617</v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</v>
      </c>
      <c r="M9" s="36" cm="1">
        <f t="array" ref="M9">_xll.FDSB(J9,"(SUBARRAY(NOT_NA(NO_REPEAT_F(FG_YIELD(now,-10AY,D))),0,1)-SUBARRAY(NOT_NA(NO_REPEAT_F(FG_YIELD(now,-10AY,D))),1,1))*100")</f>
        <v>-25</v>
      </c>
      <c r="N9" s="38">
        <f t="shared" si="0"/>
        <v>25</v>
      </c>
      <c r="O9" s="26">
        <f t="shared" si="5"/>
        <v>1.077</v>
      </c>
      <c r="S9">
        <f t="shared" si="1"/>
        <v>1</v>
      </c>
      <c r="T9">
        <f t="shared" si="2"/>
        <v>1</v>
      </c>
      <c r="U9">
        <f t="shared" si="3"/>
        <v>1</v>
      </c>
      <c r="V9" s="47">
        <f t="shared" si="4"/>
        <v>1</v>
      </c>
      <c r="X9">
        <f t="shared" si="6"/>
        <v>42.8</v>
      </c>
    </row>
    <row r="10" spans="1:24" x14ac:dyDescent="0.3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3.8877999999999999</v>
      </c>
      <c r="G10" s="26" cm="1">
        <f t="array" ref="G10">_xll.FDSB(C10,"PCTCHG(FG_YIELD(0,,,,""YTM""),FG_YIELD(-1AM,,,,""YTM""))")</f>
        <v>-6.6083736000000002</v>
      </c>
      <c r="H10" s="26" cm="1">
        <f t="array" ref="H10">_xll.FDSB(C10,"PCTCHG(FG_YIELD(0,,,,""YTM""),FG_YIELD(-3AM,,,,""YTM""))")</f>
        <v>-11.194868</v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5.5</v>
      </c>
      <c r="M10" s="36" cm="1">
        <f t="array" ref="M10">_xll.FDSB(J10,"(SUBARRAY(NOT_NA(NO_REPEAT_F(FG_YIELD(now,-10AY,D))),0,1)-SUBARRAY(NOT_NA(NO_REPEAT_F(FG_YIELD(now,-10AY,D))),1,1))*100")</f>
        <v>25</v>
      </c>
      <c r="N10" s="38">
        <f t="shared" si="0"/>
        <v>-25</v>
      </c>
      <c r="O10" s="26">
        <f t="shared" si="5"/>
        <v>1.6122000000000001</v>
      </c>
      <c r="S10">
        <f t="shared" si="1"/>
        <v>0</v>
      </c>
      <c r="T10">
        <f t="shared" si="2"/>
        <v>1</v>
      </c>
      <c r="U10">
        <f t="shared" si="3"/>
        <v>1</v>
      </c>
      <c r="V10" s="47">
        <f t="shared" si="4"/>
        <v>0.5</v>
      </c>
      <c r="X10">
        <f t="shared" si="6"/>
        <v>7.1</v>
      </c>
    </row>
    <row r="11" spans="1:24" x14ac:dyDescent="0.3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3.8877999999999999</v>
      </c>
      <c r="G11" s="26" cm="1">
        <f t="array" ref="G11">_xll.FDSB(C11,"PCTCHG(FG_YIELD(0,,,,""YTM""),FG_YIELD(-1AM,,,,""YTM""))")</f>
        <v>-6.6083736000000002</v>
      </c>
      <c r="H11" s="26" cm="1">
        <f t="array" ref="H11">_xll.FDSB(C11,"PCTCHG(FG_YIELD(0,,,,""YTM""),FG_YIELD(-3AM,,,,""YTM""))")</f>
        <v>-11.194868</v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5.5</v>
      </c>
      <c r="M11" s="36" cm="1">
        <f t="array" ref="M11">_xll.FDSB(J11,"(SUBARRAY(NOT_NA(NO_REPEAT_F(FG_YIELD(now,-10AY,D))),0,1)-SUBARRAY(NOT_NA(NO_REPEAT_F(FG_YIELD(now,-10AY,D))),1,1))*100")</f>
        <v>25</v>
      </c>
      <c r="N11" s="38">
        <f t="shared" si="0"/>
        <v>-25</v>
      </c>
      <c r="O11" s="26">
        <f t="shared" si="5"/>
        <v>1.6122000000000001</v>
      </c>
      <c r="S11">
        <f t="shared" si="1"/>
        <v>0</v>
      </c>
      <c r="T11">
        <f t="shared" si="2"/>
        <v>1</v>
      </c>
      <c r="U11">
        <f t="shared" si="3"/>
        <v>1</v>
      </c>
      <c r="V11" s="47">
        <f t="shared" si="4"/>
        <v>0.5</v>
      </c>
      <c r="X11">
        <f t="shared" si="6"/>
        <v>7.1</v>
      </c>
    </row>
    <row r="12" spans="1:24" x14ac:dyDescent="0.35">
      <c r="A12" t="s">
        <v>865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2.984</v>
      </c>
      <c r="G12" s="26" cm="1">
        <f t="array" ref="G12">_xll.FDSB(C12,"PCTCHG(FG_YIELD(0,,,,""YTM""),FG_YIELD(-1AM,,,,""YTM""))")</f>
        <v>-3.4304191999999998</v>
      </c>
      <c r="H12" s="26" cm="1">
        <f t="array" ref="H12">_xll.FDSB(C12,"PCTCHG(FG_YIELD(0,,,,""YTM""),FG_YIELD(-3AM,,,,""YTM""))")</f>
        <v>2.367067</v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4.25</v>
      </c>
      <c r="M12" s="36" cm="1">
        <f t="array" ref="M12">_xll.FDSB(J12,"(SUBARRAY(NOT_NA(NO_REPEAT_F(FG_YIELD(now,-10AY,D))),0,1)-SUBARRAY(NOT_NA(NO_REPEAT_F(FG_YIELD(now,-10AY,D))),1,1))*100")</f>
        <v>-25</v>
      </c>
      <c r="N12" s="38">
        <f t="shared" si="0"/>
        <v>25</v>
      </c>
      <c r="O12" s="26">
        <f t="shared" si="5"/>
        <v>1.266</v>
      </c>
      <c r="S12">
        <f t="shared" si="1"/>
        <v>1</v>
      </c>
      <c r="T12">
        <f t="shared" si="2"/>
        <v>1</v>
      </c>
      <c r="U12">
        <f t="shared" si="3"/>
        <v>0</v>
      </c>
      <c r="V12" s="47">
        <f t="shared" si="4"/>
        <v>0.75</v>
      </c>
      <c r="X12">
        <f t="shared" si="6"/>
        <v>35.699999999999996</v>
      </c>
    </row>
    <row r="13" spans="1:24" x14ac:dyDescent="0.35">
      <c r="A13" t="s">
        <v>867</v>
      </c>
      <c r="B13" t="s">
        <v>875</v>
      </c>
      <c r="C13" t="s">
        <v>877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2.5409999999999999</v>
      </c>
      <c r="G13" s="26" cm="1">
        <f t="array" ref="G13">_xll.FDSB(C13,"PCTCHG(FG_YIELD(0,,,,""YTM""),FG_YIELD(-1AM,,,,""YTM""))")</f>
        <v>-6.4777373999999996</v>
      </c>
      <c r="H13" s="26" cm="1">
        <f t="array" ref="H13">_xll.FDSB(C13,"PCTCHG(FG_YIELD(0,,,,""YTM""),FG_YIELD(-3AM,,,,""YTM""))")</f>
        <v>-6.7522944999999996</v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4.25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O13" s="26">
        <f t="shared" si="5"/>
        <v>1.7090000000000001</v>
      </c>
      <c r="S13">
        <f t="shared" si="1"/>
        <v>1</v>
      </c>
      <c r="T13">
        <f t="shared" si="2"/>
        <v>1</v>
      </c>
      <c r="U13">
        <f t="shared" si="3"/>
        <v>1</v>
      </c>
      <c r="V13" s="47">
        <f t="shared" si="4"/>
        <v>1</v>
      </c>
      <c r="X13">
        <f t="shared" si="6"/>
        <v>42.8</v>
      </c>
    </row>
    <row r="14" spans="1:24" x14ac:dyDescent="0.35">
      <c r="A14" t="s">
        <v>864</v>
      </c>
      <c r="B14" t="s">
        <v>272</v>
      </c>
      <c r="C14" t="s">
        <v>878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1.9770000000000001</v>
      </c>
      <c r="G14" s="26" cm="1">
        <f t="array" ref="G14">_xll.FDSB(C14,"PCTCHG(FG_YIELD(0,,,,""YTM""),FG_YIELD(-1AM,,,,""YTM""))")</f>
        <v>-5.0888119999999999</v>
      </c>
      <c r="H14" s="26" cm="1">
        <f t="array" ref="H14">_xll.FDSB(C14,"PCTCHG(FG_YIELD(0,,,,""YTM""),FG_YIELD(-3AM,,,,""YTM""))")</f>
        <v>-13.705800999999999</v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3.75</v>
      </c>
      <c r="M14" s="36" cm="1">
        <f t="array" ref="M14">_xll.FDSB(J14,"(SUBARRAY(NOT_NA(NO_REPEAT_F(FG_YIELD(now,-10AY,D))),0,1)-SUBARRAY(NOT_NA(NO_REPEAT_F(FG_YIELD(now,-10AY,D))),1,1))*100")</f>
        <v>-25</v>
      </c>
      <c r="N14" s="38">
        <f t="shared" si="0"/>
        <v>25</v>
      </c>
      <c r="O14" s="26">
        <f t="shared" si="5"/>
        <v>1.7729999999999999</v>
      </c>
      <c r="S14">
        <f t="shared" si="1"/>
        <v>1</v>
      </c>
      <c r="T14">
        <f t="shared" si="2"/>
        <v>1</v>
      </c>
      <c r="U14">
        <f t="shared" si="3"/>
        <v>1</v>
      </c>
      <c r="V14" s="47">
        <f t="shared" si="4"/>
        <v>1</v>
      </c>
      <c r="X14">
        <f t="shared" si="6"/>
        <v>42.8</v>
      </c>
    </row>
    <row r="15" spans="1:24" x14ac:dyDescent="0.35">
      <c r="A15" t="s">
        <v>866</v>
      </c>
      <c r="B15" t="s">
        <v>876</v>
      </c>
      <c r="C15" t="s">
        <v>879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3.633</v>
      </c>
      <c r="G15" s="26" cm="1">
        <f t="array" ref="G15">_xll.FDSB(C15,"PCTCHG(FG_YIELD(0,,,,""YTM""),FG_YIELD(-1AM,,,,""YTM""))")</f>
        <v>-2.1809394000000002</v>
      </c>
      <c r="H15" s="26" cm="1">
        <f t="array" ref="H15">_xll.FDSB(C15,"PCTCHG(FG_YIELD(0,,,,""YTM""),FG_YIELD(-3AM,,,,""YTM""))")</f>
        <v>-1.9433205</v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4.25</v>
      </c>
      <c r="M15" s="36" cm="1">
        <f t="array" ref="M15">_xll.FDSB(J15,"(SUBARRAY(NOT_NA(NO_REPEAT_F(FG_YIELD(now,-10AY,D))),0,1)-SUBARRAY(NOT_NA(NO_REPEAT_F(FG_YIELD(now,-10AY,D))),1,1))*100")</f>
        <v>-25</v>
      </c>
      <c r="N15" s="38">
        <f t="shared" si="0"/>
        <v>25</v>
      </c>
      <c r="O15" s="26">
        <f t="shared" si="5"/>
        <v>0.61699999999999999</v>
      </c>
      <c r="S15">
        <f t="shared" si="1"/>
        <v>1</v>
      </c>
      <c r="T15">
        <f t="shared" si="2"/>
        <v>1</v>
      </c>
      <c r="U15">
        <f t="shared" si="3"/>
        <v>1</v>
      </c>
      <c r="V15" s="47">
        <f t="shared" si="4"/>
        <v>1</v>
      </c>
      <c r="X15">
        <f t="shared" si="6"/>
        <v>42.8</v>
      </c>
    </row>
    <row r="16" spans="1:24" x14ac:dyDescent="0.3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3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3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3.8877999999999999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3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3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3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3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.5" x14ac:dyDescent="0.45">
      <c r="A27" s="34"/>
      <c r="B27" s="35"/>
      <c r="C27" s="35"/>
      <c r="D27" s="35"/>
      <c r="E27" s="35"/>
      <c r="F27" s="35"/>
      <c r="G27" s="35"/>
      <c r="H27" s="35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0.453125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4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3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4.1295999999999999</v>
      </c>
      <c r="H2" cm="1">
        <f t="array" ref="H2">_xll.FDS(B2,"FG_ROE(0)")</f>
        <v>4.9620890276856597</v>
      </c>
      <c r="I2">
        <f>HLOOKUP(B2,'Index ROE'!$B$1:$N$25,24,FALSE)</f>
        <v>9.8238973987983247</v>
      </c>
      <c r="J2" cm="1">
        <f t="array" ref="J2">_xll.FDS(B2, "FMA_RBICS_REV_CURRENT(30, LOC, ""PORTAGG"")")</f>
        <v>14.3368259139163</v>
      </c>
      <c r="K2" s="74">
        <f>HLOOKUP(B2,'Index earnings'!$B$1:$N$25,25,FALSE)</f>
        <v>-9.3828148339384354E-3</v>
      </c>
      <c r="L2">
        <f>HLOOKUP(A2,'Yearly returns'!$B$1:$N$128,126,FALSE)</f>
        <v>-34.834679999999999</v>
      </c>
      <c r="M2">
        <f t="shared" ref="M2:M10" si="0">I2-G2</f>
        <v>5.6942973987983247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71.500000000000014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28.499999999999996</v>
      </c>
      <c r="R2">
        <f>N2*Assumption!$F$64 + O2*Assumption!$F$61 + P2*Assumption!$F$62 + Q2*Assumption!$F$63</f>
        <v>28.55</v>
      </c>
      <c r="S2" cm="1">
        <f t="array" ref="S2">_xlfn.PERCENTRANK.EXC(_xlfn._xlws.FILTER(R$2:R$14, ISNUMBER(R$2:R$14)),R2)*100</f>
        <v>14.2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3.9289999999999998</v>
      </c>
      <c r="H3" cm="1">
        <f t="array" ref="H3">_xll.FDS(B3,"FG_ROE(0)")</f>
        <v>12.396153314897299</v>
      </c>
      <c r="I3">
        <f>HLOOKUP(B3,'Index ROE'!$B$1:$N$25,24,FALSE)</f>
        <v>13.020733299173699</v>
      </c>
      <c r="J3" cm="1">
        <f t="array" ref="J3">_xll.FDS(B3, "FMA_RBICS_REV_CURRENT(30, LOC, ""PORTAGG"")")</f>
        <v>43.329225197178197</v>
      </c>
      <c r="K3" s="74">
        <f>HLOOKUP(B3,'Index earnings'!$B$1:$N$25,25,FALSE)</f>
        <v>1.1174820218081027E-2</v>
      </c>
      <c r="L3">
        <f>HLOOKUP(A3,'Yearly returns'!$B$1:$N$128,126,FALSE)</f>
        <v>-29.737985999999999</v>
      </c>
      <c r="M3">
        <f t="shared" si="0"/>
        <v>9.0917332991736988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7.1999999999999957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50</v>
      </c>
      <c r="R3">
        <f>N3*Assumption!$F$64 + O3*Assumption!$F$61 + P3*Assumption!$F$62 + Q3*Assumption!$F$63</f>
        <v>30.349999999999998</v>
      </c>
      <c r="S3" cm="1">
        <f t="array" ref="S3">_xlfn.PERCENTRANK.EXC(_xlfn._xlws.FILTER(R$2:R$14, ISNUMBER(R$2:R$14)),R3)*100</f>
        <v>21.4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3.0663999999999998</v>
      </c>
      <c r="H4" cm="1">
        <f t="array" ref="H4">_xll.FDS(B4,"FG_ROE(0)")</f>
        <v>10.9163800326979</v>
      </c>
      <c r="I4">
        <f>HLOOKUP(B4,'Index ROE'!$B$1:$N$25,24,FALSE)</f>
        <v>12.7516875895064</v>
      </c>
      <c r="J4" cm="1">
        <f t="array" ref="J4">_xll.FDS(B4, "FMA_RBICS_REV_CURRENT(30, LOC, ""PORTAGG"")")</f>
        <v>39.987632295614503</v>
      </c>
      <c r="K4" s="74">
        <f>HLOOKUP(B4,'Index earnings'!$B$1:$N$25,25,FALSE)</f>
        <v>4.0909866878857226E-2</v>
      </c>
      <c r="L4">
        <f>HLOOKUP(A4,'Yearly returns'!$B$1:$N$128,126,FALSE)</f>
        <v>-27.594691999999998</v>
      </c>
      <c r="M4">
        <f t="shared" si="0"/>
        <v>9.6852875895063999</v>
      </c>
      <c r="N4" cm="1">
        <f t="array" ref="N4">_xlfn.PERCENTRANK.EXC(_xlfn._xlws.FILTER(M$2:M$14, ISNUMBER(M$2:M$14)),M4)*100</f>
        <v>42.8</v>
      </c>
      <c r="O4" cm="1">
        <f t="array" ref="O4">(1-_xlfn.PERCENTRANK.EXC(_xlfn._xlws.FILTER(J$2:J$14, ISNUMBER(J$2:J$14)),J4))*100</f>
        <v>14.3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78.5</v>
      </c>
      <c r="R4">
        <f>N4*Assumption!$F$64 + O4*Assumption!$F$61 + P4*Assumption!$F$62 + Q4*Assumption!$F$63</f>
        <v>51.75</v>
      </c>
      <c r="S4" cm="1">
        <f t="array" ref="S4">_xlfn.PERCENTRANK.EXC(_xlfn._xlws.FILTER(R$2:R$14, ISNUMBER(R$2:R$14)),R4)*100</f>
        <v>64.2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2.2509999999999999</v>
      </c>
      <c r="H5" cm="1">
        <f t="array" ref="H5">_xll.FDS(B5,"FG_ROE(0)")</f>
        <v>10.763845408683</v>
      </c>
      <c r="I5">
        <f>HLOOKUP(B5,'Index ROE'!$B$1:$N$25,24,FALSE)</f>
        <v>11.983677793053701</v>
      </c>
      <c r="J5" cm="1">
        <f t="array" ref="J5">_xll.FDS(B5, "FMA_RBICS_REV_CURRENT(30, LOC, ""PORTAGG"")")</f>
        <v>22.704777155090699</v>
      </c>
      <c r="K5" s="74">
        <f>HLOOKUP(B5,'Index earnings'!$B$1:$N$25,25,FALSE)</f>
        <v>2.8283515901657452E-2</v>
      </c>
      <c r="L5">
        <f>HLOOKUP(A5,'Yearly returns'!$B$1:$N$128,126,FALSE)</f>
        <v>-37.366570000000003</v>
      </c>
      <c r="M5">
        <f t="shared" si="0"/>
        <v>9.7326777930537016</v>
      </c>
      <c r="N5" cm="1">
        <f t="array" ref="N5">_xlfn.PERCENTRANK.EXC(_xlfn._xlws.FILTER(M$2:M$14, ISNUMBER(M$2:M$14)),M5)*100</f>
        <v>50</v>
      </c>
      <c r="O5" cm="1">
        <f t="array" ref="O5">(1-_xlfn.PERCENTRANK.EXC(_xlfn._xlws.FILTER(J$2:J$14, ISNUMBER(J$2:J$14)),J5))*100</f>
        <v>42.900000000000006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21.4</v>
      </c>
      <c r="R5">
        <f>N5*Assumption!$F$64 + O5*Assumption!$F$61 + P5*Assumption!$F$62 + Q5*Assumption!$F$63</f>
        <v>42.85</v>
      </c>
      <c r="S5" cm="1">
        <f t="array" ref="S5">_xlfn.PERCENTRANK.EXC(_xlfn._xlws.FILTER(R$2:R$14, ISNUMBER(R$2:R$14)),R5)*100</f>
        <v>50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0.88190000000000002</v>
      </c>
      <c r="H6" cm="1">
        <f t="array" ref="H6">_xll.FDS(B6,"FG_ROE(0)")</f>
        <v>9.3493426309250403</v>
      </c>
      <c r="I6">
        <f>HLOOKUP(B6,'Index ROE'!$B$1:$N$25,24,FALSE)</f>
        <v>8.994618118763011</v>
      </c>
      <c r="J6" cm="1">
        <f t="array" ref="J6">_xll.FDS(B6, "FMA_RBICS_REV_CURRENT(30, LOC, ""PORTAGG"")")</f>
        <v>19.394573046078701</v>
      </c>
      <c r="K6" s="74">
        <f>HLOOKUP(B6,'Index earnings'!$B$1:$N$25,25,FALSE)</f>
        <v>2.4111181364210088E-2</v>
      </c>
      <c r="L6">
        <f>HLOOKUP(A6,'Yearly returns'!$B$1:$N$128,126,FALSE)</f>
        <v>-28.563445999999999</v>
      </c>
      <c r="M6">
        <f t="shared" si="0"/>
        <v>8.1127181187630111</v>
      </c>
      <c r="N6" cm="1">
        <f t="array" ref="N6">_xlfn.PERCENTRANK.EXC(_xlfn._xlws.FILTER(M$2:M$14, ISNUMBER(M$2:M$14)),M6)*100</f>
        <v>21.4</v>
      </c>
      <c r="O6" cm="1">
        <f t="array" ref="O6">(1-_xlfn.PERCENTRANK.EXC(_xlfn._xlws.FILTER(J$2:J$14, ISNUMBER(J$2:J$14)),J6))*100</f>
        <v>57.2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71.399999999999991</v>
      </c>
      <c r="R6">
        <f>N6*Assumption!$F$64 + O6*Assumption!$F$61 + P6*Assumption!$F$62 + Q6*Assumption!$F$63</f>
        <v>48.199999999999996</v>
      </c>
      <c r="S6" cm="1">
        <f t="array" ref="S6">_xlfn.PERCENTRANK.EXC(_xlfn._xlws.FILTER(R$2:R$14, ISNUMBER(R$2:R$14)),R6)*100</f>
        <v>57.099999999999994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0.43099999999999999</v>
      </c>
      <c r="H7" cm="1">
        <f t="array" ref="H7">_xll.FDS(B7,"FG_ROE(0)")</f>
        <v>19.347429734019499</v>
      </c>
      <c r="I7">
        <f>HLOOKUP(B7,'Index ROE'!$B$1:$N$25,24,FALSE)</f>
        <v>15.55096443559315</v>
      </c>
      <c r="J7" cm="1">
        <f t="array" ref="J7">_xll.FDS(B7, "FMA_RBICS_REV_CURRENT(30, LOC, ""PORTAGG"")")</f>
        <v>17.410590274719599</v>
      </c>
      <c r="K7" s="74">
        <f>HLOOKUP(B7,'Index earnings'!$B$1:$N$25,25,FALSE)</f>
        <v>4.6616158051884682E-2</v>
      </c>
      <c r="L7">
        <f>HLOOKUP(A7,'Yearly returns'!$B$1:$N$128,126,FALSE)</f>
        <v>-21.920849</v>
      </c>
      <c r="M7">
        <f t="shared" si="0"/>
        <v>15.11996443559315</v>
      </c>
      <c r="N7" cm="1">
        <f t="array" ref="N7">_xlfn.PERCENTRANK.EXC(_xlfn._xlws.FILTER(M$2:M$14, ISNUMBER(M$2:M$14)),M7)*100</f>
        <v>85.7</v>
      </c>
      <c r="O7" cm="1">
        <f t="array" ref="O7">(1-_xlfn.PERCENTRANK.EXC(_xlfn._xlws.FILTER(J$2:J$14, ISNUMBER(J$2:J$14)),J7))*100</f>
        <v>64.3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N7*Assumption!$F$64 + O7*Assumption!$F$61 + P7*Assumption!$F$62 + Q7*Assumption!$F$63</f>
        <v>78.55</v>
      </c>
      <c r="S7" cm="1">
        <f t="array" ref="S7">_xlfn.PERCENTRANK.EXC(_xlfn._xlws.FILTER(R$2:R$14, ISNUMBER(R$2:R$14)),R7)*100</f>
        <v>78.5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3.923</v>
      </c>
      <c r="H8" cm="1">
        <f t="array" ref="H8">_xll.FDS(B8,"FG_ROE(0)")</f>
        <v>13.9516415071905</v>
      </c>
      <c r="I8">
        <f>HLOOKUP(B8,'Index ROE'!$B$1:$N$25,24,FALSE)</f>
        <v>14.561964916400001</v>
      </c>
      <c r="J8" cm="1">
        <f t="array" ref="J8">_xll.FDS(B8, "FMA_RBICS_REV_CURRENT(30, LOC, ""PORTAGG"")")</f>
        <v>19.908691285524501</v>
      </c>
      <c r="K8" s="74">
        <f>HLOOKUP(B8,'Index earnings'!$B$1:$N$25,25,FALSE)</f>
        <v>3.7109465036002653E-3</v>
      </c>
      <c r="L8">
        <f>HLOOKUP(A8,'Yearly returns'!$B$1:$N$128,126,FALSE)</f>
        <v>-33.985267999999998</v>
      </c>
      <c r="M8">
        <f t="shared" si="0"/>
        <v>10.638964916400001</v>
      </c>
      <c r="N8" cm="1">
        <f t="array" ref="N8">_xlfn.PERCENTRANK.EXC(_xlfn._xlws.FILTER(M$2:M$14, ISNUMBER(M$2:M$14)),M8)*100</f>
        <v>64.2</v>
      </c>
      <c r="O8" cm="1">
        <f t="array" ref="O8">(1-_xlfn.PERCENTRANK.EXC(_xlfn._xlws.FILTER(J$2:J$14, ISNUMBER(J$2:J$14)),J8))*100</f>
        <v>50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35.699999999999996</v>
      </c>
      <c r="R8">
        <f>N8*Assumption!$F$64 + O8*Assumption!$F$61 + P8*Assumption!$F$62 + Q8*Assumption!$F$63</f>
        <v>41.024999999999999</v>
      </c>
      <c r="S8" cm="1">
        <f t="array" ref="S8">_xlfn.PERCENTRANK.EXC(_xlfn._xlws.FILTER(R$2:R$14, ISNUMBER(R$2:R$14)),R8)*100</f>
        <v>28.499999999999996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3.8877999999999999</v>
      </c>
      <c r="H9" cm="1">
        <f t="array" ref="H9">_xll.FDS(B9,"FG_ROE(0)")</f>
        <v>22.4092141065459</v>
      </c>
      <c r="I9">
        <f>HLOOKUP(B9,'Index ROE'!$B$1:$N$25,24,FALSE)</f>
        <v>21.036882269896502</v>
      </c>
      <c r="J9" cm="1">
        <f t="array" ref="J9">_xll.FDS(B9, "FMA_RBICS_REV_CURRENT(30, LOC, ""PORTAGG"")")</f>
        <v>0.83468112289229501</v>
      </c>
      <c r="K9" s="74">
        <f>HLOOKUP(B9,'Index earnings'!$B$1:$N$25,25,FALSE)</f>
        <v>0.12988959921025178</v>
      </c>
      <c r="L9">
        <f>HLOOKUP(A9,'Yearly returns'!$B$1:$N$128,126,FALSE)</f>
        <v>-28.665368999999998</v>
      </c>
      <c r="M9">
        <f t="shared" si="0"/>
        <v>17.149082269896503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64.2</v>
      </c>
      <c r="R9">
        <f>N9*Assumption!$F$64 + O9*Assumption!$F$61 + P9*Assumption!$F$62 + Q9*Assumption!$F$63</f>
        <v>85.674999999999997</v>
      </c>
      <c r="S9" cm="1">
        <f t="array" ref="S9">_xlfn.PERCENTRANK.EXC(_xlfn._xlws.FILTER(R$2:R$14, ISNUMBER(R$2:R$14)),R9)*100</f>
        <v>92.800000000000011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3.8877999999999999</v>
      </c>
      <c r="H10" cm="1">
        <f t="array" ref="H10">_xll.FDS(B10,"FG_ROE(0)")</f>
        <v>18.599861820109101</v>
      </c>
      <c r="I10">
        <f>HLOOKUP(B10,'Index ROE'!$B$1:$N$25,24,FALSE)</f>
        <v>16.391058174766847</v>
      </c>
      <c r="J10" cm="1">
        <f t="array" ref="J10">_xll.FDS(B10, "FMA_RBICS_REV_CURRENT(30, LOC, ""PORTAGG"")")</f>
        <v>12.576513836626299</v>
      </c>
      <c r="K10" s="74">
        <f>HLOOKUP(B10,'Index earnings'!$B$1:$N$25,25,FALSE)</f>
        <v>5.9884631603759342E-2</v>
      </c>
      <c r="L10">
        <f>HLOOKUP(A10,'Yearly returns'!$B$1:$N$128,126,FALSE)</f>
        <v>-17.953861</v>
      </c>
      <c r="M10">
        <f t="shared" si="0"/>
        <v>12.503258174766847</v>
      </c>
      <c r="N10" cm="1">
        <f t="array" ref="N10">_xlfn.PERCENTRANK.EXC(_xlfn._xlws.FILTER(M$2:M$14, ISNUMBER(M$2:M$14)),M10)*100</f>
        <v>78.5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83.9</v>
      </c>
      <c r="S10" cm="1">
        <f t="array" ref="S10">_xlfn.PERCENTRANK.EXC(_xlfn._xlws.FILTER(R$2:R$14, ISNUMBER(R$2:R$14)),R10)*100</f>
        <v>85.7</v>
      </c>
    </row>
    <row r="11" spans="1:19" x14ac:dyDescent="0.35">
      <c r="A11" t="s">
        <v>865</v>
      </c>
      <c r="B11" t="s">
        <v>865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2.984</v>
      </c>
      <c r="H11" cm="1">
        <f t="array" ref="H11">_xll.FDS(B11,"FG_ROE(0)")</f>
        <v>12.1904058253283</v>
      </c>
      <c r="I11">
        <f>HLOOKUP(B11,'Index ROE'!$B$1:$N$25,24,FALSE)</f>
        <v>11.16089938202855</v>
      </c>
      <c r="J11" cm="1">
        <f t="array" ref="J11">_xll.FDS(B11, "FMA_RBICS_REV_CURRENT(30, LOC, ""PORTAGG"")")</f>
        <v>11.6524471452004</v>
      </c>
      <c r="K11" s="74">
        <f>HLOOKUP(B11,'Index earnings'!$B$1:$N$25,25,FALSE)</f>
        <v>1.8533351259146347E-2</v>
      </c>
      <c r="L11">
        <f>HLOOKUP(A11,'Yearly returns'!$B$1:$N$128,126,FALSE)</f>
        <v>-29.531818000000001</v>
      </c>
      <c r="M11">
        <f t="shared" ref="M11:M14" si="1">I11-G11</f>
        <v>8.1768993820285498</v>
      </c>
      <c r="N11" cm="1">
        <f t="array" ref="N11">_xlfn.PERCENTRANK.EXC(_xlfn._xlws.FILTER(M$2:M$14, ISNUMBER(M$2:M$14)),M11)*100</f>
        <v>28.499999999999996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57.099999999999994</v>
      </c>
      <c r="R11">
        <f>N11*Assumption!$F$64 + O11*Assumption!$F$61 + P11*Assumption!$F$62 + Q11*Assumption!$F$63</f>
        <v>51.774999999999999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867</v>
      </c>
      <c r="B12" t="s">
        <v>867</v>
      </c>
      <c r="C12" t="str" cm="1">
        <f t="array" ref="C12">_xll.FDS(B12,"FG_COMPANY_NAME")</f>
        <v>iShares MSCI Netherlands ETF</v>
      </c>
      <c r="D12" t="s">
        <v>875</v>
      </c>
      <c r="E12" t="s">
        <v>877</v>
      </c>
      <c r="F12" t="str" cm="1">
        <f t="array" ref="F12">_xll.FDS(E12,"FG_YIELD_NAME")</f>
        <v>Netherlands Benchmark Bond - 10 Year</v>
      </c>
      <c r="G12">
        <f>VLOOKUP(A12,'LIQIDITY 2'!$A$3:$E$15,5,FALSE)</f>
        <v>2.5409999999999999</v>
      </c>
      <c r="H12" cm="1">
        <f t="array" ref="H12">_xll.FDS(B12,"FG_ROE(0)")</f>
        <v>10.8872004044461</v>
      </c>
      <c r="I12">
        <f>HLOOKUP(B12,'Index ROE'!$B$1:$N$25,24,FALSE)</f>
        <v>13.04966082823935</v>
      </c>
      <c r="J12" cm="1">
        <f t="array" ref="J12">_xll.FDS(B12, "FMA_RBICS_REV_CURRENT(30, LOC, ""PORTAGG"")")</f>
        <v>25.405881639078199</v>
      </c>
      <c r="K12" s="74">
        <f>HLOOKUP(B12,'Index earnings'!$B$1:$N$25,25,FALSE)</f>
        <v>3.4801405293916954E-2</v>
      </c>
      <c r="L12">
        <f>HLOOKUP(A12,'Yearly returns'!$B$1:$N$128,126,FALSE)</f>
        <v>-40.252791999999999</v>
      </c>
      <c r="M12">
        <f t="shared" si="1"/>
        <v>10.50866082823935</v>
      </c>
      <c r="N12" cm="1">
        <f t="array" ref="N12">_xlfn.PERCENTRANK.EXC(_xlfn._xlws.FILTER(M$2:M$14, ISNUMBER(M$2:M$14)),M12)*100</f>
        <v>57.099999999999994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7.1</v>
      </c>
      <c r="R12">
        <f>N12*Assumption!$F$64 + O12*Assumption!$F$61 + P12*Assumption!$F$62 + Q12*Assumption!$F$63</f>
        <v>41.05</v>
      </c>
      <c r="S12" cm="1">
        <f t="array" ref="S12">_xlfn.PERCENTRANK.EXC(_xlfn._xlws.FILTER(R$2:R$14, ISNUMBER(R$2:R$14)),R12)*100</f>
        <v>35.699999999999996</v>
      </c>
    </row>
    <row r="13" spans="1:19" x14ac:dyDescent="0.35">
      <c r="A13" t="s">
        <v>864</v>
      </c>
      <c r="B13" t="s">
        <v>864</v>
      </c>
      <c r="C13" t="str" cm="1">
        <f t="array" ref="C13">_xll.FDS(B13,"FG_COMPANY_NAME")</f>
        <v>iShares MSCI Sweden ETF</v>
      </c>
      <c r="D13" t="s">
        <v>272</v>
      </c>
      <c r="E13" t="s">
        <v>878</v>
      </c>
      <c r="F13" t="str" cm="1">
        <f t="array" ref="F13">_xll.FDS(E13,"FG_YIELD_NAME")</f>
        <v>Sweden Benchmark Bond - 10 Year</v>
      </c>
      <c r="G13">
        <f>VLOOKUP(A13,'LIQIDITY 2'!$A$3:$E$15,5,FALSE)</f>
        <v>1.9770000000000001</v>
      </c>
      <c r="H13" cm="1">
        <f t="array" ref="H13">_xll.FDS(B13,"FG_ROE(0)")</f>
        <v>17.021297724500801</v>
      </c>
      <c r="I13">
        <f>HLOOKUP(B13,'Index ROE'!$B$1:$N$25,24,FALSE)</f>
        <v>14.442959457883351</v>
      </c>
      <c r="J13" cm="1">
        <f t="array" ref="J13">_xll.FDS(B13, "FMA_RBICS_REV_CURRENT(30, LOC, ""PORTAGG"")")</f>
        <v>27.5589453559563</v>
      </c>
      <c r="K13" s="74">
        <f>HLOOKUP(B13,'Index earnings'!$B$1:$N$25,25,FALSE)</f>
        <v>2.4305006375947569E-2</v>
      </c>
      <c r="L13">
        <f>HLOOKUP(A13,'Yearly returns'!$B$1:$N$128,126,FALSE)</f>
        <v>-38.413555000000002</v>
      </c>
      <c r="M13">
        <f t="shared" si="1"/>
        <v>12.465959457883351</v>
      </c>
      <c r="N13" cm="1">
        <f t="array" ref="N13">_xlfn.PERCENTRANK.EXC(_xlfn._xlws.FILTER(M$2:M$14, ISNUMBER(M$2:M$14)),M13)*100</f>
        <v>71.399999999999991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14.2</v>
      </c>
      <c r="R13">
        <f>N13*Assumption!$F$64 + O13*Assumption!$F$61 + P13*Assumption!$F$62 + Q13*Assumption!$F$63</f>
        <v>41.05</v>
      </c>
      <c r="S13" cm="1">
        <f t="array" ref="S13">_xlfn.PERCENTRANK.EXC(_xlfn._xlws.FILTER(R$2:R$14, ISNUMBER(R$2:R$14)),R13)*100</f>
        <v>35.699999999999996</v>
      </c>
    </row>
    <row r="14" spans="1:19" x14ac:dyDescent="0.35">
      <c r="A14" t="s">
        <v>866</v>
      </c>
      <c r="B14" t="s">
        <v>866</v>
      </c>
      <c r="C14" t="str" cm="1">
        <f t="array" ref="C14">_xll.FDS(B14,"FG_COMPANY_NAME")</f>
        <v>iShares MSCI Italy ETF</v>
      </c>
      <c r="D14" t="s">
        <v>876</v>
      </c>
      <c r="E14" t="s">
        <v>879</v>
      </c>
      <c r="F14" t="str" cm="1">
        <f t="array" ref="F14">_xll.FDS(E14,"FG_YIELD_NAME")</f>
        <v>Italy Benchmark Bond - 10 Year</v>
      </c>
      <c r="G14">
        <f>VLOOKUP(A14,'LIQIDITY 2'!$A$3:$E$15,5,FALSE)</f>
        <v>3.633</v>
      </c>
      <c r="H14" cm="1">
        <f t="array" ref="H14">_xll.FDS(B14,"FG_ROE(0)")</f>
        <v>12.8099556964093</v>
      </c>
      <c r="I14">
        <f>HLOOKUP(B14,'Index ROE'!$B$1:$N$25,24,FALSE)</f>
        <v>9.6445775045501065</v>
      </c>
      <c r="J14" cm="1">
        <f t="array" ref="J14">_xll.FDS(B14, "FMA_RBICS_REV_CURRENT(30, LOC, ""PORTAGG"")")</f>
        <v>38.7145820793369</v>
      </c>
      <c r="K14" s="74">
        <f>HLOOKUP(B14,'Index earnings'!$B$1:$N$25,25,FALSE)</f>
        <v>9.2743946932130061E-3</v>
      </c>
      <c r="L14">
        <f>HLOOKUP(A14,'Yearly returns'!$B$1:$N$128,126,FALSE)</f>
        <v>-31.554663000000001</v>
      </c>
      <c r="M14">
        <f t="shared" si="1"/>
        <v>6.0115775045501065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42.8</v>
      </c>
      <c r="R14">
        <f>N14*Assumption!$F$64 + O14*Assumption!$F$61 + P14*Assumption!$F$62 + Q14*Assumption!$F$63</f>
        <v>24.974999999999998</v>
      </c>
      <c r="S14" cm="1">
        <f t="array" ref="S14">_xlfn.PERCENTRANK.EXC(_xlfn._xlws.FILTER(R$2:R$14, ISNUMBER(R$2:R$14)),R14)*100</f>
        <v>7.1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E1" activePane="topRight" state="frozen"/>
      <selection pane="topRight" activeCell="S15" sqref="S1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12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7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49" t="s">
        <v>861</v>
      </c>
      <c r="E1" s="72" t="s">
        <v>862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908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863</v>
      </c>
      <c r="AF1" s="72" t="s">
        <v>765</v>
      </c>
      <c r="AG1" s="72" t="s">
        <v>909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00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2">
        <f>VLOOKUP(C3,'Market Capitalisation'!$C$2:$G$14,5,FALSE)</f>
        <v>97755.483999999997</v>
      </c>
      <c r="E3" cm="1">
        <f t="array" ref="E3">_xll.FDS(C3,"FMA_COS_UP(""EPS"",""1M"",+1,0,,,""PORTAGG"",""MEANR"")")</f>
        <v>4</v>
      </c>
      <c r="F3" cm="1">
        <f t="array" ref="F3">_xll.FDS(C3,"FMA_COS_DOWN(""EPS"",""1M"",+1,0,,,""PORTAGG"",""MEANR"")")</f>
        <v>8</v>
      </c>
      <c r="G3" cm="1">
        <f t="array" ref="G3">_xll.FDS(A3,"SIZE(FG_CONSTITUENTS)")</f>
        <v>14</v>
      </c>
      <c r="H3" s="9">
        <f t="shared" ref="H3:H11" si="0">E3/$G3</f>
        <v>0.2857142857142857</v>
      </c>
      <c r="I3" s="9">
        <f t="shared" ref="I3:I11" si="1">F3/$G3</f>
        <v>0.5714285714285714</v>
      </c>
      <c r="J3" s="9">
        <f t="shared" ref="J3:J11" si="2">H3-I3</f>
        <v>-0.2857142857142857</v>
      </c>
      <c r="K3" s="5" cm="1">
        <f t="array" ref="K3">_xll.FDS(A3,"FMA_PCT_ABOVE_MAVG(200,0,,,,""PORTAGG"")")/100</f>
        <v>0.57142857142857106</v>
      </c>
      <c r="L3" s="41" cm="1">
        <f t="array" ref="L3">_xll.FDSB(A3,"PERCENT_CHANGE(FMA_EPS(+1,0,,,,""PORTAGG"",""MEAN""),FMA_EPS(+1,-1AM,,,,""PORTAGG"",""MEAN""))")</f>
        <v>-1.8872998976095301</v>
      </c>
      <c r="M3" s="41" cm="1">
        <f t="array" ref="M3">_xll.FDSB(A3,"PERCENT_CHANGE(FMA_EPS(+1,0,,,,""PORTAGG"",""MEAN""),FMA_EPS(+1,-3AM,,,,""PORTAGG"",""MEAN""))")</f>
        <v>2.3988562734493901</v>
      </c>
      <c r="N3" s="3" cm="1">
        <f t="array" ref="N3">_xll.FDS(C3,"FG_TOTAL_RETURNC(0,-1AM)")</f>
        <v>2.9304743000000002</v>
      </c>
      <c r="O3" s="3" cm="1">
        <f t="array" ref="O3">_xll.FDS(C3,"FG_TOTAL_RETURNC(0,-3AM)")</f>
        <v>6.4750195000000001</v>
      </c>
      <c r="P3" s="3" cm="1">
        <f t="array" ref="P3">_xll.FDS(C3,"FG_TOTAL_RETURNC(0,-6AM)")</f>
        <v>6.2650084000000001</v>
      </c>
      <c r="Q3" s="9" cm="1">
        <f t="array" ref="Q3">_xll.FDS(C3,"P_PRICE(0)/P_PRICE_HIGH_PR(0,,,,,,""PRICE"",""INTRA"",""52W"")")</f>
        <v>0.9850563</v>
      </c>
      <c r="R3" s="9" cm="1">
        <f t="array" ref="R3">_xll.FDS(C3,"P_PRICE(0)/P_PRICE_low_PR(0,,,,,,""PRICE"",""INTRA"",""52W"")-1")</f>
        <v>0.17279744</v>
      </c>
      <c r="S3" s="3" cm="1">
        <f t="array" ref="S3">_xll.FDS(C3,"FG_TOTAL_RETURNC(0,-12AM)")</f>
        <v>7.4403762999999996</v>
      </c>
      <c r="T3" s="4" cm="1">
        <f t="array" ref="T3">_xlfn.PERCENTRANK.EXC(_xlfn._xlws.FILTER($R$3:$R$15, ISNUMBER($R$3:$R$15)),R3)*100</f>
        <v>14.2</v>
      </c>
      <c r="U3" s="4">
        <f t="shared" ref="U3:U11" si="3">100-T3</f>
        <v>85.8</v>
      </c>
      <c r="V3" s="4" cm="1">
        <f t="array" ref="V3">_xlfn.PERCENTRANK.EXC(_xlfn._xlws.FILTER($Q$3:$Q$15, ISNUMBER($Q$3:$Q$15)),Q3)*100</f>
        <v>71.399999999999991</v>
      </c>
      <c r="W3" s="4" cm="1">
        <f t="array" ref="W3">_xlfn.PERCENTRANK.EXC(_xlfn._xlws.FILTER($O$3:$O$15, ISNUMBER($O$3:$O$15)),O3)*100</f>
        <v>92.800000000000011</v>
      </c>
      <c r="X3" s="4" cm="1">
        <f t="array" ref="X3">_xlfn.PERCENTRANK.EXC(_xlfn._xlws.FILTER($P$3:$P$15, ISNUMBER($P$3:$P$15)),P3)*100</f>
        <v>21.4</v>
      </c>
      <c r="Y3" s="201" cm="1">
        <f t="array" ref="Y3">_xlfn.PERCENTRANK.EXC(_xlfn._xlws.FILTER($S$3:$S$15, ISNUMBER($S$3:$S$15)),S3)*100</f>
        <v>14.2</v>
      </c>
      <c r="Z3" s="4" cm="1">
        <f t="array" ref="Z3">_xlfn.PERCENTRANK.EXC(_xlfn._xlws.FILTER($K$3:$K$15, ISNUMBER($K$3:$K$15)),K3)*100</f>
        <v>50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14.2</v>
      </c>
      <c r="AC3" s="4">
        <f t="shared" ref="AC3:AC15" si="4">_xlfn.PERCENTRANK.EXC($L$3:$L$15,L3)*100</f>
        <v>21.4</v>
      </c>
      <c r="AD3" s="4">
        <f t="shared" ref="AD3:AD15" si="5">_xlfn.PERCENTRANK.EXC($M$3:$M$15,M3)*100</f>
        <v>85.7</v>
      </c>
      <c r="AE3" s="4">
        <f t="shared" ref="AE3:AE15" si="6">_xlfn.PERCENTRANK.EXC($D$3:$D$15,D3)*100</f>
        <v>7.1</v>
      </c>
      <c r="AF3" s="4">
        <f>'Economic Momentum'!Q4</f>
        <v>28.499999999999996</v>
      </c>
      <c r="AG3" s="4">
        <f ca="1">'Economic Momentum'!R4</f>
        <v>14.2</v>
      </c>
      <c r="AH3" s="4">
        <f t="shared" ref="AH3:AH15" ca="1" si="7">SUMPRODUCT($U$2:$AG$2,U3:AG3)</f>
        <v>62.820000000000007</v>
      </c>
      <c r="AJ3" s="3" cm="1">
        <f t="array" aca="1" ref="AJ3" ca="1">_xlfn.PERCENTRANK.EXC(_xlfn._xlws.FILTER($AH$3:$AH$15, ISNUMBER($AH$3:$AH$15)),AH3)*100</f>
        <v>64.2</v>
      </c>
      <c r="AK3">
        <f t="shared" ref="AK3:AK15" si="8">COUNTIF(V3:AB3,"&gt;70")</f>
        <v>2</v>
      </c>
      <c r="AM3" s="4"/>
    </row>
    <row r="4" spans="1:39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42">
        <f>VLOOKUP(C4,'Market Capitalisation'!$C$2:$G$14,5,FALSE)</f>
        <v>1724404.1</v>
      </c>
      <c r="E4" cm="1">
        <f t="array" ref="E4">_xll.FDS(C4,"FMA_COS_UP(""EPS"",""1M"",+1,0,,,""PORTAGG"",""MEANR"")")</f>
        <v>18</v>
      </c>
      <c r="F4" cm="1">
        <f t="array" ref="F4">_xll.FDS(C4,"FMA_COS_DOWN(""EPS"",""1M"",+1,0,,,""PORTAGG"",""MEANR"")")</f>
        <v>37</v>
      </c>
      <c r="G4" cm="1">
        <f t="array" ref="G4">_xll.FDS(A4,"SIZE(FG_CONSTITUENTS)")</f>
        <v>60</v>
      </c>
      <c r="H4" s="9">
        <f t="shared" si="0"/>
        <v>0.3</v>
      </c>
      <c r="I4" s="9">
        <f t="shared" si="1"/>
        <v>0.6166666666666667</v>
      </c>
      <c r="J4" s="9">
        <f t="shared" si="2"/>
        <v>-0.31666666666666671</v>
      </c>
      <c r="K4" s="5" cm="1">
        <f t="array" ref="K4">_xll.FDS(A4,"FMA_PCT_ABOVE_MAVG(200,0,,,,""PORTAGG"")")/100</f>
        <v>0.677966101694915</v>
      </c>
      <c r="L4" s="41" cm="1">
        <f t="array" ref="L4">_xll.FDSB(A4,"PERCENT_CHANGE(FMA_EPS(+1,0,,,,""PORTAGG"",""MEAN""),FMA_EPS(+1,-1AM,,,,""PORTAGG"",""MEAN""))")</f>
        <v>-2.6018520120704398</v>
      </c>
      <c r="M4" s="41" cm="1">
        <f t="array" ref="M4">_xll.FDSB(A4,"PERCENT_CHANGE(FMA_EPS(+1,0,,,,""PORTAGG"",""MEAN""),FMA_EPS(+1,-3AM,,,,""PORTAGG"",""MEAN""))")</f>
        <v>-3.8254031916953801</v>
      </c>
      <c r="N4" s="3" cm="1">
        <f t="array" ref="N4">_xll.FDS(C4,"FG_TOTAL_RETURNC(0,-1AM)")</f>
        <v>-2.5009750999999998</v>
      </c>
      <c r="O4" s="3" cm="1">
        <f t="array" ref="O4">_xll.FDS(C4,"FG_TOTAL_RETURNC(0,-3AM)")</f>
        <v>1.2183666</v>
      </c>
      <c r="P4" s="3" cm="1">
        <f t="array" ref="P4">_xll.FDS(C4,"FG_TOTAL_RETURNC(0,-6AM)")</f>
        <v>7.1899533</v>
      </c>
      <c r="Q4" s="9" cm="1">
        <f t="array" ref="Q4">_xll.FDS(C4,"P_PRICE(0)/P_PRICE_HIGH_PR(0,,,,,,""PRICE"",""INTRA"",""52W"")")</f>
        <v>0.96818006000000001</v>
      </c>
      <c r="R4" s="9" cm="1">
        <f t="array" ref="R4">_xll.FDS(C4,"P_PRICE(0)/P_PRICE_low_PR(0,,,,,,""PRICE"",""INTRA"",""52W"")-1")</f>
        <v>0.21945274000000001</v>
      </c>
      <c r="S4" s="3" cm="1">
        <f t="array" ref="S4">_xll.FDS(C4,"FG_TOTAL_RETURNC(0,-12AM)")</f>
        <v>20.019638</v>
      </c>
      <c r="T4" s="4" cm="1">
        <f t="array" ref="T4">_xlfn.PERCENTRANK.EXC(_xlfn._xlws.FILTER($R$3:$R$15, ISNUMBER($R$3:$R$15)),R4)*100</f>
        <v>35.699999999999996</v>
      </c>
      <c r="U4" s="4">
        <f t="shared" si="3"/>
        <v>64.300000000000011</v>
      </c>
      <c r="V4" s="4" cm="1">
        <f t="array" ref="V4">_xlfn.PERCENTRANK.EXC(_xlfn._xlws.FILTER($Q$3:$Q$15, ISNUMBER($Q$3:$Q$15)),Q4)*100</f>
        <v>57.099999999999994</v>
      </c>
      <c r="W4" s="4" cm="1">
        <f t="array" ref="W4">_xlfn.PERCENTRANK.EXC(_xlfn._xlws.FILTER($O$3:$O$15, ISNUMBER($O$3:$O$15)),O4)*100</f>
        <v>42.8</v>
      </c>
      <c r="X4" s="4" cm="1">
        <f t="array" ref="X4">_xlfn.PERCENTRANK.EXC(_xlfn._xlws.FILTER($P$3:$P$15, ISNUMBER($P$3:$P$15)),P4)*100</f>
        <v>42.8</v>
      </c>
      <c r="Y4" s="201" cm="1">
        <f t="array" ref="Y4">_xlfn.PERCENTRANK.EXC(_xlfn._xlws.FILTER($S$3:$S$15, ISNUMBER($S$3:$S$15)),S4)*100</f>
        <v>50</v>
      </c>
      <c r="Z4" s="4" cm="1">
        <f t="array" ref="Z4">_xlfn.PERCENTRANK.EXC(_xlfn._xlws.FILTER($K$3:$K$15, ISNUMBER($K$3:$K$15)),K4)*100</f>
        <v>78.5</v>
      </c>
      <c r="AA4" s="4" cm="1">
        <f t="array" ref="AA4">_xlfn.PERCENTRANK.EXC(_xlfn._xlws.FILTER($H$3:$H$15, ISNUMBER($H$3:$H$15)),H4)*100</f>
        <v>21.4</v>
      </c>
      <c r="AB4" s="4" cm="1">
        <f t="array" ref="AB4">_xlfn.PERCENTRANK.EXC(_xlfn._xlws.FILTER($J$3:$J$15, ISNUMBER($J$3:$J$15)),J4)*100</f>
        <v>7.1</v>
      </c>
      <c r="AC4" s="4">
        <f t="shared" si="4"/>
        <v>14.2</v>
      </c>
      <c r="AD4" s="4">
        <f t="shared" si="5"/>
        <v>7.1</v>
      </c>
      <c r="AE4" s="4">
        <f t="shared" si="6"/>
        <v>35.699999999999996</v>
      </c>
      <c r="AF4" s="4">
        <f>'Economic Momentum'!Q5</f>
        <v>42.8</v>
      </c>
      <c r="AG4" s="4">
        <f ca="1">'Economic Momentum'!R5</f>
        <v>57.099999999999994</v>
      </c>
      <c r="AH4" s="4">
        <f t="shared" ca="1" si="7"/>
        <v>48.519999999999996</v>
      </c>
      <c r="AJ4" s="3" cm="1">
        <f t="array" aca="1" ref="AJ4" ca="1">_xlfn.PERCENTRANK.EXC(_xlfn._xlws.FILTER($AH$3:$AH$15, ISNUMBER($AH$3:$AH$15)),AH4)*100</f>
        <v>50</v>
      </c>
      <c r="AK4">
        <f t="shared" si="8"/>
        <v>1</v>
      </c>
      <c r="AM4" s="4"/>
    </row>
    <row r="5" spans="1:39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42">
        <f>VLOOKUP(C5,'Market Capitalisation'!$C$2:$G$14,5,FALSE)</f>
        <v>2828009.5</v>
      </c>
      <c r="E5" cm="1">
        <f t="array" ref="E5">_xll.FDS(C5,"FMA_COS_UP(""EPS"",""1M"",+1,0,,,""PORTAGG"",""MEANR"")")</f>
        <v>43</v>
      </c>
      <c r="F5" cm="1">
        <f t="array" ref="F5">_xll.FDS(C5,"FMA_COS_DOWN(""EPS"",""1M"",+1,0,,,""PORTAGG"",""MEANR"")")</f>
        <v>39</v>
      </c>
      <c r="G5" cm="1">
        <f t="array" ref="G5">_xll.FDS(A5,"SIZE(FG_CONSTITUENTS)")</f>
        <v>88</v>
      </c>
      <c r="H5" s="9">
        <f t="shared" si="0"/>
        <v>0.48863636363636365</v>
      </c>
      <c r="I5" s="9">
        <f t="shared" si="1"/>
        <v>0.44318181818181818</v>
      </c>
      <c r="J5" s="9">
        <f t="shared" si="2"/>
        <v>4.545454545454547E-2</v>
      </c>
      <c r="K5" s="5" cm="1">
        <f t="array" ref="K5">_xll.FDS(A5,"FMA_PCT_ABOVE_MAVG(200,0,,,,""PORTAGG"")")/100</f>
        <v>0.73863636363636398</v>
      </c>
      <c r="L5" s="41" cm="1">
        <f t="array" ref="L5">_xll.FDSB(A5,"PERCENT_CHANGE(FMA_EPS(+1,0,,,,""PORTAGG"",""MEAN""),FMA_EPS(+1,-1AM,,,,""PORTAGG"",""MEAN""))")</f>
        <v>0.52862805058654405</v>
      </c>
      <c r="M5" s="41" cm="1">
        <f t="array" ref="M5">_xll.FDSB(A5,"PERCENT_CHANGE(FMA_EPS(+1,0,,,,""PORTAGG"",""MEAN""),FMA_EPS(+1,-3AM,,,,""PORTAGG"",""MEAN""))")</f>
        <v>-0.34066240442576001</v>
      </c>
      <c r="N5" s="3" cm="1">
        <f t="array" ref="N5">_xll.FDS(C5,"FG_TOTAL_RETURNC(0,-1AM)")</f>
        <v>0.6149173</v>
      </c>
      <c r="O5" s="3" cm="1">
        <f t="array" ref="O5">_xll.FDS(C5,"FG_TOTAL_RETURNC(0,-3AM)")</f>
        <v>3.5034537000000001</v>
      </c>
      <c r="P5" s="3" cm="1">
        <f t="array" ref="P5">_xll.FDS(C5,"FG_TOTAL_RETURNC(0,-6AM)")</f>
        <v>8.0747599999999995</v>
      </c>
      <c r="Q5" s="9" cm="1">
        <f t="array" ref="Q5">_xll.FDS(C5,"P_PRICE(0)/P_PRICE_HIGH_PR(0,,,,,,""PRICE"",""INTRA"",""52W"")")</f>
        <v>0.99923664000000001</v>
      </c>
      <c r="R5" s="9" cm="1">
        <f t="array" ref="R5">_xll.FDS(C5,"P_PRICE(0)/P_PRICE_low_PR(0,,,,,,""PRICE"",""INTRA"",""52W"")-1")</f>
        <v>0.25023877999999999</v>
      </c>
      <c r="S5" s="3" cm="1">
        <f t="array" ref="S5">_xll.FDS(C5,"FG_TOTAL_RETURNC(0,-12AM)")</f>
        <v>18.565809999999999</v>
      </c>
      <c r="T5" s="4" cm="1">
        <f t="array" ref="T5">_xlfn.PERCENTRANK.EXC(_xlfn._xlws.FILTER($R$3:$R$15, ISNUMBER($R$3:$R$15)),R5)*100</f>
        <v>50</v>
      </c>
      <c r="U5" s="4">
        <f t="shared" si="3"/>
        <v>50</v>
      </c>
      <c r="V5" s="4" cm="1">
        <f t="array" ref="V5">_xlfn.PERCENTRANK.EXC(_xlfn._xlws.FILTER($Q$3:$Q$15, ISNUMBER($Q$3:$Q$15)),Q5)*100</f>
        <v>85.7</v>
      </c>
      <c r="W5" s="4" cm="1">
        <f t="array" ref="W5">_xlfn.PERCENTRANK.EXC(_xlfn._xlws.FILTER($O$3:$O$15, ISNUMBER($O$3:$O$15)),O5)*100</f>
        <v>64.2</v>
      </c>
      <c r="X5" s="4" cm="1">
        <f t="array" ref="X5">_xlfn.PERCENTRANK.EXC(_xlfn._xlws.FILTER($P$3:$P$15, ISNUMBER($P$3:$P$15)),P5)*100</f>
        <v>50</v>
      </c>
      <c r="Y5" s="201" cm="1">
        <f t="array" ref="Y5">_xlfn.PERCENTRANK.EXC(_xlfn._xlws.FILTER($S$3:$S$15, ISNUMBER($S$3:$S$15)),S5)*100</f>
        <v>35.699999999999996</v>
      </c>
      <c r="Z5" s="4" cm="1">
        <f t="array" ref="Z5">_xlfn.PERCENTRANK.EXC(_xlfn._xlws.FILTER($K$3:$K$15, ISNUMBER($K$3:$K$15)),K5)*100</f>
        <v>92.800000000000011</v>
      </c>
      <c r="AA5" s="4" cm="1">
        <f t="array" ref="AA5">_xlfn.PERCENTRANK.EXC(_xlfn._xlws.FILTER($H$3:$H$15, ISNUMBER($H$3:$H$15)),H5)*100</f>
        <v>57.099999999999994</v>
      </c>
      <c r="AB5" s="4" cm="1">
        <f t="array" ref="AB5">_xlfn.PERCENTRANK.EXC(_xlfn._xlws.FILTER($J$3:$J$15, ISNUMBER($J$3:$J$15)),J5)*100</f>
        <v>50</v>
      </c>
      <c r="AC5" s="4">
        <f t="shared" si="4"/>
        <v>64.2</v>
      </c>
      <c r="AD5" s="4">
        <f t="shared" si="5"/>
        <v>64.2</v>
      </c>
      <c r="AE5" s="4">
        <f t="shared" si="6"/>
        <v>57.099999999999994</v>
      </c>
      <c r="AF5" s="4">
        <f>'Economic Momentum'!Q6</f>
        <v>50</v>
      </c>
      <c r="AG5" s="4">
        <f ca="1">'Economic Momentum'!R6</f>
        <v>42.8</v>
      </c>
      <c r="AH5" s="4">
        <f t="shared" ca="1" si="7"/>
        <v>68.540000000000006</v>
      </c>
      <c r="AJ5" s="3" cm="1">
        <f t="array" aca="1" ref="AJ5" ca="1">_xlfn.PERCENTRANK.EXC(_xlfn._xlws.FILTER($AH$3:$AH$15, ISNUMBER($AH$3:$AH$15)),AH5)*100</f>
        <v>71.399999999999991</v>
      </c>
      <c r="AK5">
        <f t="shared" si="8"/>
        <v>2</v>
      </c>
      <c r="AM5" s="4"/>
    </row>
    <row r="6" spans="1:39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42">
        <f>VLOOKUP(C6,'Market Capitalisation'!$C$2:$G$14,5,FALSE)</f>
        <v>2263608.7999999998</v>
      </c>
      <c r="E6" cm="1">
        <f t="array" ref="E6">_xll.FDS(C6,"FMA_COS_UP(""EPS"",""1M"",+1,0,,,""PORTAGG"",""MEANR"")")</f>
        <v>27</v>
      </c>
      <c r="F6" cm="1">
        <f t="array" ref="F6">_xll.FDS(C6,"FMA_COS_DOWN(""EPS"",""1M"",+1,0,,,""PORTAGG"",""MEANR"")")</f>
        <v>29</v>
      </c>
      <c r="G6" cm="1">
        <f t="array" ref="G6">_xll.FDS(A6,"SIZE(FG_CONSTITUENTS)")</f>
        <v>58</v>
      </c>
      <c r="H6" s="9">
        <f t="shared" si="0"/>
        <v>0.46551724137931033</v>
      </c>
      <c r="I6" s="9">
        <f t="shared" si="1"/>
        <v>0.5</v>
      </c>
      <c r="J6" s="9">
        <f t="shared" si="2"/>
        <v>-3.4482758620689669E-2</v>
      </c>
      <c r="K6" s="5" cm="1">
        <f t="array" ref="K6">_xll.FDS(A6,"FMA_PCT_ABOVE_MAVG(200,0,,,,""PORTAGG"")")/100</f>
        <v>0.44827586206896597</v>
      </c>
      <c r="L6" s="41" cm="1">
        <f t="array" ref="L6">_xll.FDSB(A6,"PERCENT_CHANGE(FMA_EPS(+1,0,,,,""PORTAGG"",""MEAN""),FMA_EPS(+1,-1AM,,,,""PORTAGG"",""MEAN""))")</f>
        <v>-0.23402324003973901</v>
      </c>
      <c r="M6" s="41" cm="1">
        <f t="array" ref="M6">_xll.FDSB(A6,"PERCENT_CHANGE(FMA_EPS(+1,0,,,,""PORTAGG"",""MEAN""),FMA_EPS(+1,-3AM,,,,""PORTAGG"",""MEAN""))")</f>
        <v>-2.31462052507834</v>
      </c>
      <c r="N6" s="3" cm="1">
        <f t="array" ref="N6">_xll.FDS(C6,"FG_TOTAL_RETURNC(0,-1AM)")</f>
        <v>-0.72715879999999999</v>
      </c>
      <c r="O6" s="3" cm="1">
        <f t="array" ref="O6">_xll.FDS(C6,"FG_TOTAL_RETURNC(0,-3AM)")</f>
        <v>-0.54246782999999998</v>
      </c>
      <c r="P6" s="3" cm="1">
        <f t="array" ref="P6">_xll.FDS(C6,"FG_TOTAL_RETURNC(0,-6AM)")</f>
        <v>9.0291739999999994</v>
      </c>
      <c r="Q6" s="9" cm="1">
        <f t="array" ref="Q6">_xll.FDS(C6,"P_PRICE(0)/P_PRICE_HIGH_PR(0,,,,,,""PRICE"",""INTRA"",""52W"")")</f>
        <v>0.95885175</v>
      </c>
      <c r="R6" s="9" cm="1">
        <f t="array" ref="R6">_xll.FDS(C6,"P_PRICE(0)/P_PRICE_low_PR(0,,,,,,""PRICE"",""INTRA"",""52W"")-1")</f>
        <v>0.27099775999999998</v>
      </c>
      <c r="S6" s="3" cm="1">
        <f t="array" ref="S6">_xll.FDS(C6,"FG_TOTAL_RETURNC(0,-12AM)")</f>
        <v>16.201485000000002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42.8</v>
      </c>
      <c r="W6" s="4" cm="1">
        <f t="array" ref="W6">_xlfn.PERCENTRANK.EXC(_xlfn._xlws.FILTER($O$3:$O$15, ISNUMBER($O$3:$O$15)),O6)*100</f>
        <v>28.499999999999996</v>
      </c>
      <c r="X6" s="4" cm="1">
        <f t="array" ref="X6">_xlfn.PERCENTRANK.EXC(_xlfn._xlws.FILTER($P$3:$P$15, ISNUMBER($P$3:$P$15)),P6)*100</f>
        <v>57.099999999999994</v>
      </c>
      <c r="Y6" s="201" cm="1">
        <f t="array" ref="Y6">_xlfn.PERCENTRANK.EXC(_xlfn._xlws.FILTER($S$3:$S$15, ISNUMBER($S$3:$S$15)),S6)*100</f>
        <v>28.499999999999996</v>
      </c>
      <c r="Z6" s="4" cm="1">
        <f t="array" ref="Z6">_xlfn.PERCENTRANK.EXC(_xlfn._xlws.FILTER($K$3:$K$15, ISNUMBER($K$3:$K$15)),K6)*100</f>
        <v>21.4</v>
      </c>
      <c r="AA6" s="4" cm="1">
        <f t="array" ref="AA6">_xlfn.PERCENTRANK.EXC(_xlfn._xlws.FILTER($H$3:$H$15, ISNUMBER($H$3:$H$15)),H6)*100</f>
        <v>42.8</v>
      </c>
      <c r="AB6" s="4" cm="1">
        <f t="array" ref="AB6">_xlfn.PERCENTRANK.EXC(_xlfn._xlws.FILTER($J$3:$J$15, ISNUMBER($J$3:$J$15)),J6)*100</f>
        <v>42.8</v>
      </c>
      <c r="AC6" s="4">
        <f t="shared" si="4"/>
        <v>57.099999999999994</v>
      </c>
      <c r="AD6" s="4">
        <f t="shared" si="5"/>
        <v>28.499999999999996</v>
      </c>
      <c r="AE6" s="4">
        <f t="shared" si="6"/>
        <v>42.8</v>
      </c>
      <c r="AF6" s="4">
        <f>'Economic Momentum'!Q7</f>
        <v>7.1</v>
      </c>
      <c r="AG6" s="4">
        <f ca="1">'Economic Momentum'!R7</f>
        <v>64.2</v>
      </c>
      <c r="AH6" s="4">
        <f t="shared" ca="1" si="7"/>
        <v>42.8</v>
      </c>
      <c r="AJ6" s="3" cm="1">
        <f t="array" aca="1" ref="AJ6" ca="1">_xlfn.PERCENTRANK.EXC(_xlfn._xlws.FILTER($AH$3:$AH$15, ISNUMBER($AH$3:$AH$15)),AH6)*100</f>
        <v>42.8</v>
      </c>
      <c r="AK6">
        <f t="shared" si="8"/>
        <v>0</v>
      </c>
      <c r="AM6" s="4"/>
    </row>
    <row r="7" spans="1:39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42">
        <f>VLOOKUP(C7,'Market Capitalisation'!$C$2:$G$14,5,FALSE)</f>
        <v>6583668</v>
      </c>
      <c r="E7" cm="1">
        <f t="array" ref="E7">_xll.FDS(C7,"FMA_COS_UP(""EPS"",""1M"",+1,0,,,""PORTAGG"",""MEANR"")")</f>
        <v>100</v>
      </c>
      <c r="F7" cm="1">
        <f t="array" ref="F7">_xll.FDS(C7,"FMA_COS_DOWN(""EPS"",""1M"",+1,0,,,""PORTAGG"",""MEANR"")")</f>
        <v>67</v>
      </c>
      <c r="G7" cm="1">
        <f t="array" ref="G7">_xll.FDS(A7,"SIZE(FG_CONSTITUENTS)")</f>
        <v>205</v>
      </c>
      <c r="H7" s="9">
        <f t="shared" si="0"/>
        <v>0.48780487804878048</v>
      </c>
      <c r="I7" s="9">
        <f t="shared" si="1"/>
        <v>0.32682926829268294</v>
      </c>
      <c r="J7" s="9">
        <f t="shared" si="2"/>
        <v>0.16097560975609754</v>
      </c>
      <c r="K7" s="5" cm="1">
        <f t="array" ref="K7">_xll.FDS(A7,"FMA_PCT_ABOVE_MAVG(200,0,,,,""PORTAGG"")")/100</f>
        <v>0.41176470588235298</v>
      </c>
      <c r="L7" s="41" cm="1">
        <f t="array" ref="L7">_xll.FDSB(A7,"PERCENT_CHANGE(FMA_EPS(+1,0,,,,""PORTAGG"",""MEAN""),FMA_EPS(+1,-1AM,,,,""PORTAGG"",""MEAN""))")</f>
        <v>7.4436907070844498</v>
      </c>
      <c r="M7" s="41" cm="1">
        <f t="array" ref="M7">_xll.FDSB(A7,"PERCENT_CHANGE(FMA_EPS(+1,0,,,,""PORTAGG"",""MEAN""),FMA_EPS(+1,-3AM,,,,""PORTAGG"",""MEAN""))")</f>
        <v>6.7978349383838399</v>
      </c>
      <c r="N7" s="3" cm="1">
        <f t="array" ref="N7">_xll.FDS(C7,"FG_TOTAL_RETURNC(0,-1AM)")</f>
        <v>-3.5187721000000001</v>
      </c>
      <c r="O7" s="3" cm="1">
        <f t="array" ref="O7">_xll.FDS(C7,"FG_TOTAL_RETURNC(0,-3AM)")</f>
        <v>2.3706554999999998</v>
      </c>
      <c r="P7" s="3" cm="1">
        <f t="array" ref="P7">_xll.FDS(C7,"FG_TOTAL_RETURNC(0,-6AM)")</f>
        <v>3.3394097999999999</v>
      </c>
      <c r="Q7" s="9" cm="1">
        <f t="array" ref="Q7">_xll.FDS(C7,"P_PRICE(0)/P_PRICE_HIGH_PR(0,,,,,,""PRICE"",""INTRA"",""52W"")")</f>
        <v>0.96260319999999999</v>
      </c>
      <c r="R7" s="9" cm="1">
        <f t="array" ref="R7">_xll.FDS(C7,"P_PRICE(0)/P_PRICE_low_PR(0,,,,,,""PRICE"",""INTRA"",""52W"")-1")</f>
        <v>0.21276223999999999</v>
      </c>
      <c r="S7" s="3" cm="1">
        <f t="array" ref="S7">_xll.FDS(C7,"FG_TOTAL_RETURNC(0,-12AM)")</f>
        <v>19.275521999999999</v>
      </c>
      <c r="T7" s="4" cm="1">
        <f t="array" ref="T7">_xlfn.PERCENTRANK.EXC(_xlfn._xlws.FILTER($R$3:$R$15, ISNUMBER($R$3:$R$15)),R7)*100</f>
        <v>28.499999999999996</v>
      </c>
      <c r="U7" s="4">
        <f t="shared" si="3"/>
        <v>71.5</v>
      </c>
      <c r="V7" s="4" cm="1">
        <f t="array" ref="V7">_xlfn.PERCENTRANK.EXC(_xlfn._xlws.FILTER($Q$3:$Q$15, ISNUMBER($Q$3:$Q$15)),Q7)*100</f>
        <v>50</v>
      </c>
      <c r="W7" s="4" cm="1">
        <f t="array" ref="W7">_xlfn.PERCENTRANK.EXC(_xlfn._xlws.FILTER($O$3:$O$15, ISNUMBER($O$3:$O$15)),O7)*100</f>
        <v>57.099999999999994</v>
      </c>
      <c r="X7" s="4" cm="1">
        <f t="array" ref="X7">_xlfn.PERCENTRANK.EXC(_xlfn._xlws.FILTER($P$3:$P$15, ISNUMBER($P$3:$P$15)),P7)*100</f>
        <v>14.2</v>
      </c>
      <c r="Y7" s="201" cm="1">
        <f t="array" ref="Y7">_xlfn.PERCENTRANK.EXC(_xlfn._xlws.FILTER($S$3:$S$15, ISNUMBER($S$3:$S$15)),S7)*100</f>
        <v>42.8</v>
      </c>
      <c r="Z7" s="4" cm="1">
        <f t="array" ref="Z7">_xlfn.PERCENTRANK.EXC(_xlfn._xlws.FILTER($K$3:$K$15, ISNUMBER($K$3:$K$15)),K7)*100</f>
        <v>14.2</v>
      </c>
      <c r="AA7" s="4" cm="1">
        <f t="array" ref="AA7">_xlfn.PERCENTRANK.EXC(_xlfn._xlws.FILTER($H$3:$H$15, ISNUMBER($H$3:$H$15)),H7)*100</f>
        <v>50</v>
      </c>
      <c r="AB7" s="4" cm="1">
        <f t="array" ref="AB7">_xlfn.PERCENTRANK.EXC(_xlfn._xlws.FILTER($J$3:$J$15, ISNUMBER($J$3:$J$15)),J7)*100</f>
        <v>71.399999999999991</v>
      </c>
      <c r="AC7" s="4">
        <f t="shared" si="4"/>
        <v>92.800000000000011</v>
      </c>
      <c r="AD7" s="4">
        <f t="shared" si="5"/>
        <v>92.800000000000011</v>
      </c>
      <c r="AE7" s="4">
        <f t="shared" si="6"/>
        <v>78.5</v>
      </c>
      <c r="AF7" s="4">
        <f>'Economic Momentum'!Q8</f>
        <v>64.2</v>
      </c>
      <c r="AG7" s="4">
        <f ca="1">'Economic Momentum'!R8</f>
        <v>92.800000000000011</v>
      </c>
      <c r="AH7" s="4">
        <f t="shared" ca="1" si="7"/>
        <v>41.389999999999993</v>
      </c>
      <c r="AJ7" s="3" cm="1">
        <f t="array" aca="1" ref="AJ7" ca="1">_xlfn.PERCENTRANK.EXC(_xlfn._xlws.FILTER($AH$3:$AH$15, ISNUMBER($AH$3:$AH$15)),AH7)*100</f>
        <v>35.699999999999996</v>
      </c>
      <c r="AK7">
        <f t="shared" si="8"/>
        <v>1</v>
      </c>
      <c r="AM7" s="4"/>
    </row>
    <row r="8" spans="1:39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2">
        <f>VLOOKUP(C8,'Market Capitalisation'!$C$2:$G$14,5,FALSE)</f>
        <v>2282942</v>
      </c>
      <c r="E8" cm="1">
        <f t="array" ref="E8">_xll.FDS(C8,"FMA_COS_UP(""EPS"",""1M"",+1,0,,,""PORTAGG"",""MEANR"")")</f>
        <v>26</v>
      </c>
      <c r="F8" cm="1">
        <f t="array" ref="F8">_xll.FDS(C8,"FMA_COS_DOWN(""EPS"",""1M"",+1,0,,,""PORTAGG"",""MEANR"")")</f>
        <v>15</v>
      </c>
      <c r="G8" cm="1">
        <f t="array" ref="G8">_xll.FDS(A8,"SIZE(FG_CONSTITUENTS)")</f>
        <v>46</v>
      </c>
      <c r="H8" s="9">
        <f t="shared" si="0"/>
        <v>0.56521739130434778</v>
      </c>
      <c r="I8" s="9">
        <f t="shared" si="1"/>
        <v>0.32608695652173914</v>
      </c>
      <c r="J8" s="9">
        <f t="shared" si="2"/>
        <v>0.23913043478260865</v>
      </c>
      <c r="K8" s="5" cm="1">
        <f t="array" ref="K8">_xll.FDS(A8,"FMA_PCT_ABOVE_MAVG(200,0,,,,""PORTAGG"")")/100</f>
        <v>0.58695652173912993</v>
      </c>
      <c r="L8" s="41" cm="1">
        <f t="array" ref="L8">_xll.FDSB(A8,"PERCENT_CHANGE(FMA_EPS(+1,0,,,,""PORTAGG"",""MEAN""),FMA_EPS(+1,-1AM,,,,""PORTAGG"",""MEAN""))")</f>
        <v>3.20441180065938</v>
      </c>
      <c r="M8" s="41" cm="1">
        <f t="array" ref="M8">_xll.FDSB(A8,"PERCENT_CHANGE(FMA_EPS(+1,0,,,,""PORTAGG"",""MEAN""),FMA_EPS(+1,-3AM,,,,""PORTAGG"",""MEAN""))")</f>
        <v>2.3185419683267301</v>
      </c>
      <c r="N8" s="3" cm="1">
        <f t="array" ref="N8">_xll.FDS(C8,"FG_TOTAL_RETURNC(0,-1AM)")</f>
        <v>2.4419784999999998</v>
      </c>
      <c r="O8" s="3" cm="1">
        <f t="array" ref="O8">_xll.FDS(C8,"FG_TOTAL_RETURNC(0,-3AM)")</f>
        <v>6.154871</v>
      </c>
      <c r="P8" s="3" cm="1">
        <f t="array" ref="P8">_xll.FDS(C8,"FG_TOTAL_RETURNC(0,-6AM)")</f>
        <v>11.045229000000001</v>
      </c>
      <c r="Q8" s="9" cm="1">
        <f t="array" ref="Q8">_xll.FDS(C8,"P_PRICE(0)/P_PRICE_HIGH_PR(0,,,,,,""PRICE"",""INTRA"",""52W"")")</f>
        <v>0.99940925999999997</v>
      </c>
      <c r="R8" s="9" cm="1">
        <f t="array" ref="R8">_xll.FDS(C8,"P_PRICE(0)/P_PRICE_low_PR(0,,,,,,""PRICE"",""INTRA"",""52W"")-1")</f>
        <v>0.22166061000000001</v>
      </c>
      <c r="S8" s="3" cm="1">
        <f t="array" ref="S8">_xll.FDS(C8,"FG_TOTAL_RETURNC(0,-12AM)")</f>
        <v>13.675820999999999</v>
      </c>
      <c r="T8" s="4" cm="1">
        <f t="array" ref="T8">_xlfn.PERCENTRANK.EXC(_xlfn._xlws.FILTER($R$3:$R$15, ISNUMBER($R$3:$R$15)),R8)*100</f>
        <v>42.8</v>
      </c>
      <c r="U8" s="4">
        <f t="shared" si="3"/>
        <v>57.2</v>
      </c>
      <c r="V8" s="4" cm="1">
        <f t="array" ref="V8">_xlfn.PERCENTRANK.EXC(_xlfn._xlws.FILTER($Q$3:$Q$15, ISNUMBER($Q$3:$Q$15)),Q8)*100</f>
        <v>92.800000000000011</v>
      </c>
      <c r="W8" s="4" cm="1">
        <f t="array" ref="W8">_xlfn.PERCENTRANK.EXC(_xlfn._xlws.FILTER($O$3:$O$15, ISNUMBER($O$3:$O$15)),O8)*100</f>
        <v>85.7</v>
      </c>
      <c r="X8" s="4" cm="1">
        <f t="array" ref="X8">_xlfn.PERCENTRANK.EXC(_xlfn._xlws.FILTER($P$3:$P$15, ISNUMBER($P$3:$P$15)),P8)*100</f>
        <v>78.5</v>
      </c>
      <c r="Y8" s="201" cm="1">
        <f t="array" ref="Y8">_xlfn.PERCENTRANK.EXC(_xlfn._xlws.FILTER($S$3:$S$15, ISNUMBER($S$3:$S$15)),S8)*100</f>
        <v>21.4</v>
      </c>
      <c r="Z8" s="4" cm="1">
        <f t="array" ref="Z8">_xlfn.PERCENTRANK.EXC(_xlfn._xlws.FILTER($K$3:$K$15, ISNUMBER($K$3:$K$15)),K8)*100</f>
        <v>57.099999999999994</v>
      </c>
      <c r="AA8" s="4" cm="1">
        <f t="array" ref="AA8">_xlfn.PERCENTRANK.EXC(_xlfn._xlws.FILTER($H$3:$H$15, ISNUMBER($H$3:$H$15)),H8)*100</f>
        <v>85.7</v>
      </c>
      <c r="AB8" s="4" cm="1">
        <f t="array" ref="AB8">_xlfn.PERCENTRANK.EXC(_xlfn._xlws.FILTER($J$3:$J$15, ISNUMBER($J$3:$J$15)),J8)*100</f>
        <v>85.7</v>
      </c>
      <c r="AC8" s="4">
        <f t="shared" si="4"/>
        <v>85.7</v>
      </c>
      <c r="AD8" s="4">
        <f t="shared" si="5"/>
        <v>78.5</v>
      </c>
      <c r="AE8" s="4">
        <f t="shared" si="6"/>
        <v>50</v>
      </c>
      <c r="AF8" s="4">
        <f>'Economic Momentum'!Q9</f>
        <v>14.2</v>
      </c>
      <c r="AG8" s="4">
        <f ca="1">'Economic Momentum'!R9</f>
        <v>35.699999999999996</v>
      </c>
      <c r="AH8" s="4">
        <f t="shared" ca="1" si="7"/>
        <v>86.38000000000001</v>
      </c>
      <c r="AJ8" s="3" cm="1">
        <f t="array" aca="1" ref="AJ8" ca="1">_xlfn.PERCENTRANK.EXC(_xlfn._xlws.FILTER($AH$3:$AH$15, ISNUMBER($AH$3:$AH$15)),AH8)*100</f>
        <v>92.800000000000011</v>
      </c>
      <c r="AK8">
        <f t="shared" si="8"/>
        <v>5</v>
      </c>
      <c r="AM8" s="4"/>
    </row>
    <row r="9" spans="1:39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2">
        <f>VLOOKUP(C9,'Market Capitalisation'!$C$2:$G$14,5,FALSE)</f>
        <v>3318202.5</v>
      </c>
      <c r="E9" cm="1">
        <f t="array" ref="E9">_xll.FDS(C9,"FMA_COS_UP(""EPS"",""1M"",+1,0,,,""PORTAGG"",""MEANR"")")</f>
        <v>31</v>
      </c>
      <c r="F9" cm="1">
        <f t="array" ref="F9">_xll.FDS(C9,"FMA_COS_DOWN(""EPS"",""1M"",+1,0,,,""PORTAGG"",""MEANR"")")</f>
        <v>41</v>
      </c>
      <c r="G9" cm="1">
        <f t="array" ref="G9">_xll.FDS(A9,"SIZE(FG_CONSTITUENTS)")</f>
        <v>81</v>
      </c>
      <c r="H9" s="9">
        <f t="shared" si="0"/>
        <v>0.38271604938271603</v>
      </c>
      <c r="I9" s="9">
        <f t="shared" si="1"/>
        <v>0.50617283950617287</v>
      </c>
      <c r="J9" s="9">
        <f t="shared" si="2"/>
        <v>-0.12345679012345684</v>
      </c>
      <c r="K9" s="5" cm="1">
        <f t="array" ref="K9">_xll.FDS(A9,"FMA_PCT_ABOVE_MAVG(200,0,,,,""PORTAGG"")")/100</f>
        <v>0.63749999999999996</v>
      </c>
      <c r="L9" s="41" cm="1">
        <f t="array" ref="L9">_xll.FDSB(A9,"PERCENT_CHANGE(FMA_EPS(+1,0,,,,""PORTAGG"",""MEAN""),FMA_EPS(+1,-1AM,,,,""PORTAGG"",""MEAN""))")</f>
        <v>-0.60621944223914803</v>
      </c>
      <c r="M9" s="41" cm="1">
        <f t="array" ref="M9">_xll.FDSB(A9,"PERCENT_CHANGE(FMA_EPS(+1,0,,,,""PORTAGG"",""MEAN""),FMA_EPS(+1,-3AM,,,,""PORTAGG"",""MEAN""))")</f>
        <v>-0.35032276412529401</v>
      </c>
      <c r="N9" s="3" cm="1">
        <f t="array" ref="N9">_xll.FDS(C9,"FG_TOTAL_RETURNC(0,-1AM)")</f>
        <v>1.8704653</v>
      </c>
      <c r="O9" s="3" cm="1">
        <f t="array" ref="O9">_xll.FDS(C9,"FG_TOTAL_RETURNC(0,-3AM)")</f>
        <v>1.4855503999999999</v>
      </c>
      <c r="P9" s="3" cm="1">
        <f t="array" ref="P9">_xll.FDS(C9,"FG_TOTAL_RETURNC(0,-6AM)")</f>
        <v>13.845169</v>
      </c>
      <c r="Q9" s="9" cm="1">
        <f t="array" ref="Q9">_xll.FDS(C9,"P_PRICE(0)/P_PRICE_HIGH_PR(0,,,,,,""PRICE"",""INTRA"",""52W"")")</f>
        <v>0.99252010000000002</v>
      </c>
      <c r="R9" s="9" cm="1">
        <f t="array" ref="R9">_xll.FDS(C9,"P_PRICE(0)/P_PRICE_low_PR(0,,,,,,""PRICE"",""INTRA"",""52W"")-1")</f>
        <v>0.21068358000000001</v>
      </c>
      <c r="S9" s="3" cm="1">
        <f t="array" ref="S9">_xll.FDS(C9,"FG_TOTAL_RETURNC(0,-12AM)")</f>
        <v>20.142386999999999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78.5</v>
      </c>
      <c r="W9" s="4" cm="1">
        <f t="array" ref="W9">_xlfn.PERCENTRANK.EXC(_xlfn._xlws.FILTER($O$3:$O$15, ISNUMBER($O$3:$O$15)),O9)*100</f>
        <v>50</v>
      </c>
      <c r="X9" s="4" cm="1">
        <f t="array" ref="X9">_xlfn.PERCENTRANK.EXC(_xlfn._xlws.FILTER($P$3:$P$15, ISNUMBER($P$3:$P$15)),P9)*100</f>
        <v>92.800000000000011</v>
      </c>
      <c r="Y9" s="201" cm="1">
        <f t="array" ref="Y9">_xlfn.PERCENTRANK.EXC(_xlfn._xlws.FILTER($S$3:$S$15, ISNUMBER($S$3:$S$15)),S9)*100</f>
        <v>57.099999999999994</v>
      </c>
      <c r="Z9" s="4" cm="1">
        <f t="array" ref="Z9">_xlfn.PERCENTRANK.EXC(_xlfn._xlws.FILTER($K$3:$K$15, ISNUMBER($K$3:$K$15)),K9)*100</f>
        <v>64.2</v>
      </c>
      <c r="AA9" s="4" cm="1">
        <f t="array" ref="AA9">_xlfn.PERCENTRANK.EXC(_xlfn._xlws.FILTER($H$3:$H$15, ISNUMBER($H$3:$H$15)),H9)*100</f>
        <v>35.699999999999996</v>
      </c>
      <c r="AB9" s="4" cm="1">
        <f t="array" ref="AB9">_xlfn.PERCENTRANK.EXC(_xlfn._xlws.FILTER($J$3:$J$15, ISNUMBER($J$3:$J$15)),J9)*100</f>
        <v>35.699999999999996</v>
      </c>
      <c r="AC9" s="4">
        <f t="shared" si="4"/>
        <v>42.8</v>
      </c>
      <c r="AD9" s="4">
        <f t="shared" si="5"/>
        <v>57.099999999999994</v>
      </c>
      <c r="AE9" s="4">
        <f t="shared" si="6"/>
        <v>71.399999999999991</v>
      </c>
      <c r="AF9" s="4">
        <f>'Economic Momentum'!Q10</f>
        <v>92.800000000000011</v>
      </c>
      <c r="AG9" s="4">
        <f ca="1">'Economic Momentum'!R10</f>
        <v>78.5</v>
      </c>
      <c r="AH9" s="4">
        <f t="shared" ca="1" si="7"/>
        <v>74.240000000000009</v>
      </c>
      <c r="AJ9" s="3" cm="1">
        <f t="array" aca="1" ref="AJ9" ca="1">_xlfn.PERCENTRANK.EXC(_xlfn._xlws.FILTER($AH$3:$AH$15, ISNUMBER($AH$3:$AH$15)),AH9)*100</f>
        <v>85.7</v>
      </c>
      <c r="AK9">
        <f t="shared" si="8"/>
        <v>2</v>
      </c>
      <c r="AM9" s="4"/>
    </row>
    <row r="10" spans="1:39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2">
        <f>VLOOKUP(C10,'Market Capitalisation'!$C$2:$G$14,5,FALSE)</f>
        <v>57517052</v>
      </c>
      <c r="E10" cm="1">
        <f t="array" ref="E10">_xll.FDS(C10,"FMA_COS_UP(""EPS"",""1M"",+1,0,,,""PORTAGG"",""MEANR"")")</f>
        <v>50</v>
      </c>
      <c r="F10" cm="1">
        <f t="array" ref="F10">_xll.FDS(C10,"FMA_COS_DOWN(""EPS"",""1M"",+1,0,,,""PORTAGG"",""MEANR"")")</f>
        <v>38</v>
      </c>
      <c r="G10" cm="1">
        <f t="array" ref="G10">_xll.FDS(A10,"SIZE(FG_CONSTITUENTS)")</f>
        <v>102</v>
      </c>
      <c r="H10" s="9">
        <f t="shared" si="0"/>
        <v>0.49019607843137253</v>
      </c>
      <c r="I10" s="9">
        <f t="shared" si="1"/>
        <v>0.37254901960784315</v>
      </c>
      <c r="J10" s="9">
        <f t="shared" si="2"/>
        <v>0.11764705882352938</v>
      </c>
      <c r="K10" s="5" cm="1">
        <f t="array" ref="K10">_xll.FDS(A10,"FMA_PCT_ABOVE_MAVG(200,0,,,,""PORTAGG"")")/100</f>
        <v>0.64705882352941202</v>
      </c>
      <c r="L10" s="41" cm="1">
        <f t="array" ref="L10">_xll.FDSB(A10,"PERCENT_CHANGE(FMA_EPS(+1,0,,,,""PORTAGG"",""MEAN""),FMA_EPS(+1,-1AM,,,,""PORTAGG"",""MEAN""))")</f>
        <v>-2.8564710321309001</v>
      </c>
      <c r="M10" s="41" cm="1">
        <f t="array" ref="M10">_xll.FDSB(A10,"PERCENT_CHANGE(FMA_EPS(+1,0,,,,""PORTAGG"",""MEAN""),FMA_EPS(+1,-3AM,,,,""PORTAGG"",""MEAN""))")</f>
        <v>-2.2551609892091502</v>
      </c>
      <c r="N10" s="3" cm="1">
        <f t="array" ref="N10">_xll.FDS(C10,"FG_TOTAL_RETURNC(0,-1AM)")</f>
        <v>-4.2934299999999999</v>
      </c>
      <c r="O10" s="3" cm="1">
        <f t="array" ref="O10">_xll.FDS(C10,"FG_TOTAL_RETURNC(0,-3AM)")</f>
        <v>5.2686453000000002</v>
      </c>
      <c r="P10" s="3" cm="1">
        <f t="array" ref="P10">_xll.FDS(C10,"FG_TOTAL_RETURNC(0,-6AM)")</f>
        <v>10.6479645</v>
      </c>
      <c r="Q10" s="9" cm="1">
        <f t="array" ref="Q10">_xll.FDS(C10,"P_PRICE(0)/P_PRICE_HIGH_PR(0,,,,,,""PRICE"",""INTRA"",""52W"")")</f>
        <v>0.94341830000000004</v>
      </c>
      <c r="R10" s="9" cm="1">
        <f t="array" ref="R10">_xll.FDS(C10,"P_PRICE(0)/P_PRICE_low_PR(0,,,,,,""PRICE"",""INTRA"",""52W"")-1")</f>
        <v>0.38755655</v>
      </c>
      <c r="S10" s="3" cm="1">
        <f t="array" ref="S10">_xll.FDS(C10,"FG_TOTAL_RETURNC(0,-12AM)")</f>
        <v>31.931173000000001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21.4</v>
      </c>
      <c r="W10" s="4" cm="1">
        <f t="array" ref="W10">_xlfn.PERCENTRANK.EXC(_xlfn._xlws.FILTER($O$3:$O$15, ISNUMBER($O$3:$O$15)),O10)*100</f>
        <v>78.5</v>
      </c>
      <c r="X10" s="4" cm="1">
        <f t="array" ref="X10">_xlfn.PERCENTRANK.EXC(_xlfn._xlws.FILTER($P$3:$P$15, ISNUMBER($P$3:$P$15)),P10)*100</f>
        <v>64.2</v>
      </c>
      <c r="Y10" s="201" cm="1">
        <f t="array" ref="Y10">_xlfn.PERCENTRANK.EXC(_xlfn._xlws.FILTER($S$3:$S$15, ISNUMBER($S$3:$S$15)),S10)*100</f>
        <v>92.800000000000011</v>
      </c>
      <c r="Z10" s="4" cm="1">
        <f t="array" ref="Z10">_xlfn.PERCENTRANK.EXC(_xlfn._xlws.FILTER($K$3:$K$15, ISNUMBER($K$3:$K$15)),K10)*100</f>
        <v>71.399999999999991</v>
      </c>
      <c r="AA10" s="4" cm="1">
        <f t="array" ref="AA10">_xlfn.PERCENTRANK.EXC(_xlfn._xlws.FILTER($H$3:$H$15, ISNUMBER($H$3:$H$15)),H10)*100</f>
        <v>64.2</v>
      </c>
      <c r="AB10" s="4" cm="1">
        <f t="array" ref="AB10">_xlfn.PERCENTRANK.EXC(_xlfn._xlws.FILTER($J$3:$J$15, ISNUMBER($J$3:$J$15)),J10)*100</f>
        <v>64.2</v>
      </c>
      <c r="AC10" s="4">
        <f t="shared" si="4"/>
        <v>7.1</v>
      </c>
      <c r="AD10" s="4">
        <f t="shared" si="5"/>
        <v>35.699999999999996</v>
      </c>
      <c r="AE10" s="4">
        <f t="shared" si="6"/>
        <v>85.7</v>
      </c>
      <c r="AF10" s="4">
        <f>'Economic Momentum'!Q11</f>
        <v>78.5</v>
      </c>
      <c r="AG10" s="4">
        <f ca="1">'Economic Momentum'!R11</f>
        <v>21.4</v>
      </c>
      <c r="AH10" s="4">
        <f t="shared" ca="1" si="7"/>
        <v>51.370000000000005</v>
      </c>
      <c r="AJ10" s="3" cm="1">
        <f t="array" aca="1" ref="AJ10" ca="1">_xlfn.PERCENTRANK.EXC(_xlfn._xlws.FILTER($AH$3:$AH$15, ISNUMBER($AH$3:$AH$15)),AH10)*100</f>
        <v>57.099999999999994</v>
      </c>
      <c r="AK10">
        <f t="shared" si="8"/>
        <v>3</v>
      </c>
      <c r="AM10" s="4"/>
    </row>
    <row r="11" spans="1:39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2">
        <f>VLOOKUP(C11,'Market Capitalisation'!$C$2:$G$14,5,FALSE)</f>
        <v>57517052</v>
      </c>
      <c r="E11" cm="1">
        <f t="array" ref="E11">_xll.FDS(C11,"FMA_COS_UP(""EPS"",""1M"",+1,0,,,""PORTAGG"",""MEANR"")")</f>
        <v>271</v>
      </c>
      <c r="F11" cm="1">
        <f t="array" ref="F11">_xll.FDS(C11,"FMA_COS_DOWN(""EPS"",""1M"",+1,0,,,""PORTAGG"",""MEANR"")")</f>
        <v>188</v>
      </c>
      <c r="G11" cm="1">
        <f t="array" ref="G11">_xll.FDS(A11,"SIZE(FG_CONSTITUENTS)")</f>
        <v>503</v>
      </c>
      <c r="H11" s="9">
        <f t="shared" si="0"/>
        <v>0.53876739562624254</v>
      </c>
      <c r="I11" s="9">
        <f t="shared" si="1"/>
        <v>0.37375745526838966</v>
      </c>
      <c r="J11" s="9">
        <f t="shared" si="2"/>
        <v>0.16500994035785288</v>
      </c>
      <c r="K11" s="5" cm="1">
        <f t="array" ref="K11">_xll.FDS(A11,"FMA_PCT_ABOVE_MAVG(200,0,,,,""PORTAGG"")")/100</f>
        <v>0.70459081836327297</v>
      </c>
      <c r="L11" s="41" cm="1">
        <f t="array" ref="L11">_xll.FDSB(A11,"PERCENT_CHANGE(FMA_EPS(+1,0,,,,""PORTAGG"",""MEAN""),FMA_EPS(+1,-1AM,,,,""PORTAGG"",""MEAN""))")</f>
        <v>-0.30164130061505401</v>
      </c>
      <c r="M11" s="41" cm="1">
        <f t="array" ref="M11">_xll.FDSB(A11,"PERCENT_CHANGE(FMA_EPS(+1,0,,,,""PORTAGG"",""MEAN""),FMA_EPS(+1,-3AM,,,,""PORTAGG"",""MEAN""))")</f>
        <v>-0.68664470592249405</v>
      </c>
      <c r="N11" s="3" cm="1">
        <f t="array" ref="N11">_xll.FDS(C11,"FG_TOTAL_RETURNC(0,-1AM)")</f>
        <v>-1.8677174999999999</v>
      </c>
      <c r="O11" s="3" cm="1">
        <f t="array" ref="O11">_xll.FDS(C11,"FG_TOTAL_RETURNC(0,-3AM)")</f>
        <v>5.1846503999999998</v>
      </c>
      <c r="P11" s="3" cm="1">
        <f t="array" ref="P11">_xll.FDS(C11,"FG_TOTAL_RETURNC(0,-6AM)")</f>
        <v>11.677515</v>
      </c>
      <c r="Q11" s="9" cm="1">
        <f t="array" ref="Q11">_xll.FDS(C11,"P_PRICE(0)/P_PRICE_HIGH_PR(0,,,,,,""PRICE"",""INTRA"",""52W"")")</f>
        <v>0.98080193999999998</v>
      </c>
      <c r="R11" s="9" cm="1">
        <f t="array" ref="R11">_xll.FDS(C11,"P_PRICE(0)/P_PRICE_low_PR(0,,,,,,""PRICE"",""INTRA"",""52W"")-1")</f>
        <v>0.35458564999999997</v>
      </c>
      <c r="S11" s="3" cm="1">
        <f t="array" ref="S11">_xll.FDS(C11,"FG_TOTAL_RETURNC(0,-12AM)")</f>
        <v>27.855957</v>
      </c>
      <c r="T11" s="4" cm="1">
        <f t="array" ref="T11">_xlfn.PERCENTRANK.EXC(_xlfn._xlws.FILTER($R$3:$R$15, ISNUMBER($R$3:$R$15)),R11)*100</f>
        <v>78.5</v>
      </c>
      <c r="U11" s="4">
        <f t="shared" si="3"/>
        <v>21.5</v>
      </c>
      <c r="V11" s="4" cm="1">
        <f t="array" ref="V11">_xlfn.PERCENTRANK.EXC(_xlfn._xlws.FILTER($Q$3:$Q$15, ISNUMBER($Q$3:$Q$15)),Q11)*100</f>
        <v>64.2</v>
      </c>
      <c r="W11" s="4" cm="1">
        <f t="array" ref="W11">_xlfn.PERCENTRANK.EXC(_xlfn._xlws.FILTER($O$3:$O$15, ISNUMBER($O$3:$O$15)),O11)*100</f>
        <v>71.399999999999991</v>
      </c>
      <c r="X11" s="4" cm="1">
        <f t="array" ref="X11">_xlfn.PERCENTRANK.EXC(_xlfn._xlws.FILTER($P$3:$P$15, ISNUMBER($P$3:$P$15)),P11)*100</f>
        <v>85.7</v>
      </c>
      <c r="Y11" s="201" cm="1">
        <f t="array" ref="Y11">_xlfn.PERCENTRANK.EXC(_xlfn._xlws.FILTER($S$3:$S$15, ISNUMBER($S$3:$S$15)),S11)*100</f>
        <v>85.7</v>
      </c>
      <c r="Z11" s="4" cm="1">
        <f t="array" ref="Z11">_xlfn.PERCENTRANK.EXC(_xlfn._xlws.FILTER($K$3:$K$15, ISNUMBER($K$3:$K$15)),K11)*100</f>
        <v>85.7</v>
      </c>
      <c r="AA11" s="4" cm="1">
        <f t="array" ref="AA11">_xlfn.PERCENTRANK.EXC(_xlfn._xlws.FILTER($H$3:$H$15, ISNUMBER($H$3:$H$15)),H11)*100</f>
        <v>78.5</v>
      </c>
      <c r="AB11" s="4" cm="1">
        <f t="array" ref="AB11">_xlfn.PERCENTRANK.EXC(_xlfn._xlws.FILTER($J$3:$J$15, ISNUMBER($J$3:$J$15)),J11)*100</f>
        <v>78.5</v>
      </c>
      <c r="AC11" s="4">
        <f t="shared" si="4"/>
        <v>50</v>
      </c>
      <c r="AD11" s="4">
        <f t="shared" si="5"/>
        <v>50</v>
      </c>
      <c r="AE11" s="4">
        <f t="shared" si="6"/>
        <v>85.7</v>
      </c>
      <c r="AF11" s="4">
        <f>'Economic Momentum'!Q12</f>
        <v>78.5</v>
      </c>
      <c r="AG11" s="4">
        <f ca="1">'Economic Momentum'!R12</f>
        <v>21.4</v>
      </c>
      <c r="AH11" s="4">
        <f t="shared" ca="1" si="7"/>
        <v>72.81</v>
      </c>
      <c r="AJ11" s="3" cm="1">
        <f t="array" aca="1" ref="AJ11" ca="1">_xlfn.PERCENTRANK.EXC(_xlfn._xlws.FILTER($AH$3:$AH$15, ISNUMBER($AH$3:$AH$15)),AH11)*100</f>
        <v>78.5</v>
      </c>
      <c r="AK11">
        <f t="shared" si="8"/>
        <v>6</v>
      </c>
      <c r="AM11" s="4"/>
    </row>
    <row r="12" spans="1:39" x14ac:dyDescent="0.35">
      <c r="A12" t="s">
        <v>865</v>
      </c>
      <c r="B12" t="str" cm="1">
        <f t="array" ref="B12">_xll.FDS(A12,"FG_COMPANY_NAME")</f>
        <v>iShares MSCI France ETF</v>
      </c>
      <c r="C12" t="s">
        <v>865</v>
      </c>
      <c r="D12" s="142">
        <f>VLOOKUP(C12,'Market Capitalisation'!$C$2:$G$14,5,FALSE)</f>
        <v>3157173.3</v>
      </c>
      <c r="E12" cm="1">
        <f t="array" ref="E12">_xll.FDS(C12,"FMA_COS_UP(""EPS"",""1M"",+1,0,,,""PORTAGG"",""MEANR"")")</f>
        <v>23</v>
      </c>
      <c r="F12" cm="1">
        <f t="array" ref="F12">_xll.FDS(C12,"FMA_COS_DOWN(""EPS"",""1M"",+1,0,,,""PORTAGG"",""MEANR"")")</f>
        <v>34</v>
      </c>
      <c r="G12" cm="1">
        <f t="array" ref="G12">_xll.FDS(A12,"SIZE(FG_CONSTITUENTS)")</f>
        <v>62</v>
      </c>
      <c r="H12" s="9">
        <f t="shared" ref="H12:H15" si="9">E12/$G12</f>
        <v>0.37096774193548387</v>
      </c>
      <c r="I12" s="9">
        <f t="shared" ref="I12:I15" si="10">F12/$G12</f>
        <v>0.54838709677419351</v>
      </c>
      <c r="J12" s="9">
        <f t="shared" ref="J12:J15" si="11">H12-I12</f>
        <v>-0.17741935483870963</v>
      </c>
      <c r="K12" s="5" cm="1">
        <f t="array" ref="K12">_xll.FDS(A12,"FMA_PCT_ABOVE_MAVG(200,0,,,,""PORTAGG"")")/100</f>
        <v>0.32258064516128998</v>
      </c>
      <c r="L12" s="41" cm="1">
        <f t="array" ref="L12">_xll.FDSB(A12,"PERCENT_CHANGE(FMA_EPS(+1,0,,,,""PORTAGG"",""MEAN""),FMA_EPS(+1,-1AM,,,,""PORTAGG"",""MEAN""))")</f>
        <v>-1.13004616415131</v>
      </c>
      <c r="M12" s="41" cm="1">
        <f t="array" ref="M12">_xll.FDSB(A12,"PERCENT_CHANGE(FMA_EPS(+1,0,,,,""PORTAGG"",""MEAN""),FMA_EPS(+1,-3AM,,,,""PORTAGG"",""MEAN""))")</f>
        <v>-2.8582666238811498</v>
      </c>
      <c r="N12" s="3" cm="1">
        <f t="array" ref="N12">_xll.FDS(C12,"FG_TOTAL_RETURNC(0,-1AM)")</f>
        <v>-0.56381820000000005</v>
      </c>
      <c r="O12" s="3" cm="1">
        <f t="array" ref="O12">_xll.FDS(C12,"FG_TOTAL_RETURNC(0,-3AM)")</f>
        <v>-5.9432387000000002</v>
      </c>
      <c r="P12" s="3" cm="1">
        <f t="array" ref="P12">_xll.FDS(C12,"FG_TOTAL_RETURNC(0,-6AM)")</f>
        <v>1.5639782</v>
      </c>
      <c r="Q12" s="9" cm="1">
        <f t="array" ref="Q12">_xll.FDS(C12,"P_PRICE(0)/P_PRICE_HIGH_PR(0,,,,,,""PRICE"",""INTRA"",""52W"")")</f>
        <v>0.91079812999999998</v>
      </c>
      <c r="R12" s="9" cm="1">
        <f t="array" ref="R12">_xll.FDS(C12,"P_PRICE(0)/P_PRICE_low_PR(0,,,,,,""PRICE"",""INTRA"",""52W"")-1")</f>
        <v>0.15270352000000001</v>
      </c>
      <c r="S12" s="3" cm="1">
        <f t="array" ref="S12">_xll.FDS(C12,"FG_TOTAL_RETURNC(0,-12AM)")</f>
        <v>6.9305060000000003</v>
      </c>
      <c r="T12" s="4" cm="1">
        <f t="array" ref="T12">_xlfn.PERCENTRANK.EXC(_xlfn._xlws.FILTER($R$3:$R$15, ISNUMBER($R$3:$R$15)),R12)*100</f>
        <v>7.1</v>
      </c>
      <c r="U12" s="4">
        <f t="shared" ref="U12:U15" si="12">100-T12</f>
        <v>92.9</v>
      </c>
      <c r="V12" s="4" cm="1">
        <f t="array" ref="V12">_xlfn.PERCENTRANK.EXC(_xlfn._xlws.FILTER($Q$3:$Q$15, ISNUMBER($Q$3:$Q$15)),Q12)*100</f>
        <v>7.1</v>
      </c>
      <c r="W12" s="4" cm="1">
        <f t="array" ref="W12">_xlfn.PERCENTRANK.EXC(_xlfn._xlws.FILTER($O$3:$O$15, ISNUMBER($O$3:$O$15)),O12)*100</f>
        <v>7.1</v>
      </c>
      <c r="X12" s="4" cm="1">
        <f t="array" ref="X12">_xlfn.PERCENTRANK.EXC(_xlfn._xlws.FILTER($P$3:$P$15, ISNUMBER($P$3:$P$15)),P12)*100</f>
        <v>7.1</v>
      </c>
      <c r="Y12" s="201" cm="1">
        <f t="array" ref="Y12">_xlfn.PERCENTRANK.EXC(_xlfn._xlws.FILTER($S$3:$S$15, ISNUMBER($S$3:$S$15)),S12)*100</f>
        <v>7.1</v>
      </c>
      <c r="Z12" s="4" cm="1">
        <f t="array" ref="Z12">_xlfn.PERCENTRANK.EXC(_xlfn._xlws.FILTER($K$3:$K$15, ISNUMBER($K$3:$K$15)),K12)*100</f>
        <v>7.1</v>
      </c>
      <c r="AA12" s="4" cm="1">
        <f t="array" ref="AA12">_xlfn.PERCENTRANK.EXC(_xlfn._xlws.FILTER($H$3:$H$15, ISNUMBER($H$3:$H$15)),H12)*100</f>
        <v>28.499999999999996</v>
      </c>
      <c r="AB12" s="4" cm="1">
        <f t="array" ref="AB12">_xlfn.PERCENTRANK.EXC(_xlfn._xlws.FILTER($J$3:$J$15, ISNUMBER($J$3:$J$15)),J12)*100</f>
        <v>28.499999999999996</v>
      </c>
      <c r="AC12" s="4">
        <f t="shared" si="4"/>
        <v>28.499999999999996</v>
      </c>
      <c r="AD12" s="4">
        <f t="shared" si="5"/>
        <v>14.2</v>
      </c>
      <c r="AE12" s="4">
        <f t="shared" si="6"/>
        <v>64.2</v>
      </c>
      <c r="AF12" s="4">
        <f>'Economic Momentum'!Q13</f>
        <v>21.4</v>
      </c>
      <c r="AG12" s="4">
        <f ca="1">'Economic Momentum'!R13</f>
        <v>50</v>
      </c>
      <c r="AH12" s="4">
        <f t="shared" ca="1" si="7"/>
        <v>7.1</v>
      </c>
      <c r="AJ12" s="3" cm="1">
        <f t="array" aca="1" ref="AJ12" ca="1">_xlfn.PERCENTRANK.EXC(_xlfn._xlws.FILTER($AH$3:$AH$15, ISNUMBER($AH$3:$AH$15)),AH12)*100</f>
        <v>7.1</v>
      </c>
      <c r="AK12">
        <f t="shared" si="8"/>
        <v>0</v>
      </c>
    </row>
    <row r="13" spans="1:39" x14ac:dyDescent="0.35">
      <c r="A13" t="s">
        <v>867</v>
      </c>
      <c r="B13" t="str" cm="1">
        <f t="array" ref="B13">_xll.FDS(A13,"FG_COMPANY_NAME")</f>
        <v>iShares MSCI Netherlands ETF</v>
      </c>
      <c r="C13" t="s">
        <v>867</v>
      </c>
      <c r="D13" s="142">
        <f>VLOOKUP(C13,'Market Capitalisation'!$C$2:$G$14,5,FALSE)</f>
        <v>1119828.8999999999</v>
      </c>
      <c r="E13" cm="1">
        <f t="array" ref="E13">_xll.FDS(C13,"FMA_COS_UP(""EPS"",""1M"",+1,0,,,""PORTAGG"",""MEANR"")")</f>
        <v>26</v>
      </c>
      <c r="F13" cm="1">
        <f t="array" ref="F13">_xll.FDS(C13,"FMA_COS_DOWN(""EPS"",""1M"",+1,0,,,""PORTAGG"",""MEANR"")")</f>
        <v>20</v>
      </c>
      <c r="G13" cm="1">
        <f t="array" ref="G13">_xll.FDS(A13,"SIZE(FG_CONSTITUENTS)")</f>
        <v>53</v>
      </c>
      <c r="H13" s="9">
        <f t="shared" si="9"/>
        <v>0.49056603773584906</v>
      </c>
      <c r="I13" s="9">
        <f t="shared" si="10"/>
        <v>0.37735849056603776</v>
      </c>
      <c r="J13" s="9">
        <f t="shared" si="11"/>
        <v>0.1132075471698113</v>
      </c>
      <c r="K13" s="5" cm="1">
        <f t="array" ref="K13">_xll.FDS(A13,"FMA_PCT_ABOVE_MAVG(200,0,,,,""PORTAGG"")")/100</f>
        <v>0.49056603773584895</v>
      </c>
      <c r="L13" s="41" cm="1">
        <f t="array" ref="L13">_xll.FDSB(A13,"PERCENT_CHANGE(FMA_EPS(+1,0,,,,""PORTAGG"",""MEAN""),FMA_EPS(+1,-1AM,,,,""PORTAGG"",""MEAN""))")</f>
        <v>2.74178017246081</v>
      </c>
      <c r="M13" s="41" cm="1">
        <f t="array" ref="M13">_xll.FDSB(A13,"PERCENT_CHANGE(FMA_EPS(+1,0,,,,""PORTAGG"",""MEAN""),FMA_EPS(+1,-3AM,,,,""PORTAGG"",""MEAN""))")</f>
        <v>0.10907942366076399</v>
      </c>
      <c r="N13" s="3" cm="1">
        <f t="array" ref="N13">_xll.FDS(C13,"FG_TOTAL_RETURNC(0,-1AM)")</f>
        <v>-4.7427773000000002</v>
      </c>
      <c r="O13" s="3" cm="1">
        <f t="array" ref="O13">_xll.FDS(C13,"FG_TOTAL_RETURNC(0,-3AM)")</f>
        <v>-2.1524489999999998</v>
      </c>
      <c r="P13" s="3" cm="1">
        <f t="array" ref="P13">_xll.FDS(C13,"FG_TOTAL_RETURNC(0,-6AM)")</f>
        <v>6.5621375999999998</v>
      </c>
      <c r="Q13" s="9" cm="1">
        <f t="array" ref="Q13">_xll.FDS(C13,"P_PRICE(0)/P_PRICE_HIGH_PR(0,,,,,,""PRICE"",""INTRA"",""52W"")")</f>
        <v>0.93927970000000005</v>
      </c>
      <c r="R13" s="9" cm="1">
        <f t="array" ref="R13">_xll.FDS(C13,"P_PRICE(0)/P_PRICE_low_PR(0,,,,,,""PRICE"",""INTRA"",""52W"")-1")</f>
        <v>0.37255442</v>
      </c>
      <c r="S13" s="3" cm="1">
        <f t="array" ref="S13">_xll.FDS(C13,"FG_TOTAL_RETURNC(0,-12AM)")</f>
        <v>21.24213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14.2</v>
      </c>
      <c r="W13" s="4" cm="1">
        <f t="array" ref="W13">_xlfn.PERCENTRANK.EXC(_xlfn._xlws.FILTER($O$3:$O$15, ISNUMBER($O$3:$O$15)),O13)*100</f>
        <v>21.4</v>
      </c>
      <c r="X13" s="4" cm="1">
        <f t="array" ref="X13">_xlfn.PERCENTRANK.EXC(_xlfn._xlws.FILTER($P$3:$P$15, ISNUMBER($P$3:$P$15)),P13)*100</f>
        <v>28.499999999999996</v>
      </c>
      <c r="Y13" s="201" cm="1">
        <f t="array" ref="Y13">_xlfn.PERCENTRANK.EXC(_xlfn._xlws.FILTER($S$3:$S$15, ISNUMBER($S$3:$S$15)),S13)*100</f>
        <v>64.2</v>
      </c>
      <c r="Z13" s="4" cm="1">
        <f t="array" ref="Z13">_xlfn.PERCENTRANK.EXC(_xlfn._xlws.FILTER($K$3:$K$15, ISNUMBER($K$3:$K$15)),K13)*100</f>
        <v>28.499999999999996</v>
      </c>
      <c r="AA13" s="4" cm="1">
        <f t="array" ref="AA13">_xlfn.PERCENTRANK.EXC(_xlfn._xlws.FILTER($H$3:$H$15, ISNUMBER($H$3:$H$15)),H13)*100</f>
        <v>71.399999999999991</v>
      </c>
      <c r="AB13" s="4" cm="1">
        <f t="array" ref="AB13">_xlfn.PERCENTRANK.EXC(_xlfn._xlws.FILTER($J$3:$J$15, ISNUMBER($J$3:$J$15)),J13)*100</f>
        <v>57.099999999999994</v>
      </c>
      <c r="AC13" s="4">
        <f t="shared" si="4"/>
        <v>78.5</v>
      </c>
      <c r="AD13" s="4">
        <f t="shared" si="5"/>
        <v>71.399999999999991</v>
      </c>
      <c r="AE13" s="4">
        <f t="shared" si="6"/>
        <v>28.499999999999996</v>
      </c>
      <c r="AF13" s="4">
        <f>'Economic Momentum'!Q14</f>
        <v>71.399999999999991</v>
      </c>
      <c r="AG13" s="4">
        <f ca="1">'Economic Momentum'!R14</f>
        <v>85.7</v>
      </c>
      <c r="AH13" s="4">
        <f t="shared" ca="1" si="7"/>
        <v>20.65</v>
      </c>
      <c r="AJ13" s="3" cm="1">
        <f t="array" aca="1" ref="AJ13" ca="1">_xlfn.PERCENTRANK.EXC(_xlfn._xlws.FILTER($AH$3:$AH$15, ISNUMBER($AH$3:$AH$15)),AH13)*100</f>
        <v>14.2</v>
      </c>
      <c r="AK13">
        <f t="shared" si="8"/>
        <v>1</v>
      </c>
    </row>
    <row r="14" spans="1:39" x14ac:dyDescent="0.35">
      <c r="A14" t="s">
        <v>864</v>
      </c>
      <c r="B14" t="str" cm="1">
        <f t="array" ref="B14">_xll.FDS(A14,"FG_COMPANY_NAME")</f>
        <v>iShares MSCI Sweden ETF</v>
      </c>
      <c r="C14" t="s">
        <v>864</v>
      </c>
      <c r="D14" s="142">
        <f>VLOOKUP(C14,'Market Capitalisation'!$C$2:$G$14,5,FALSE)</f>
        <v>1019947.5</v>
      </c>
      <c r="E14" cm="1">
        <f t="array" ref="E14">_xll.FDS(C14,"FMA_COS_UP(""EPS"",""1M"",+1,0,,,""PORTAGG"",""MEANR"")")</f>
        <v>13</v>
      </c>
      <c r="F14" cm="1">
        <f t="array" ref="F14">_xll.FDS(C14,"FMA_COS_DOWN(""EPS"",""1M"",+1,0,,,""PORTAGG"",""MEANR"")")</f>
        <v>22</v>
      </c>
      <c r="G14" cm="1">
        <f t="array" ref="G14">_xll.FDS(A14,"SIZE(FG_CONSTITUENTS)")</f>
        <v>45</v>
      </c>
      <c r="H14" s="9">
        <f t="shared" si="9"/>
        <v>0.28888888888888886</v>
      </c>
      <c r="I14" s="9">
        <f t="shared" si="10"/>
        <v>0.48888888888888887</v>
      </c>
      <c r="J14" s="9">
        <f t="shared" si="11"/>
        <v>-0.2</v>
      </c>
      <c r="K14" s="5" cm="1">
        <f t="array" ref="K14">_xll.FDS(A14,"FMA_PCT_ABOVE_MAVG(200,0,,,,""PORTAGG"")")/100</f>
        <v>0.54545454545454497</v>
      </c>
      <c r="L14" s="41" cm="1">
        <f t="array" ref="L14">_xll.FDSB(A14,"PERCENT_CHANGE(FMA_EPS(+1,0,,,,""PORTAGG"",""MEAN""),FMA_EPS(+1,-1AM,,,,""PORTAGG"",""MEAN""))")</f>
        <v>1.5498400959576999</v>
      </c>
      <c r="M14" s="41" cm="1">
        <f t="array" ref="M14">_xll.FDSB(A14,"PERCENT_CHANGE(FMA_EPS(+1,0,,,,""PORTAGG"",""MEAN""),FMA_EPS(+1,-3AM,,,,""PORTAGG"",""MEAN""))")</f>
        <v>-1.1777069663214601</v>
      </c>
      <c r="N14" s="3" cm="1">
        <f t="array" ref="N14">_xll.FDS(C14,"FG_TOTAL_RETURNC(0,-1AM)")</f>
        <v>-2.3052692000000001</v>
      </c>
      <c r="O14" s="3" cm="1">
        <f t="array" ref="O14">_xll.FDS(C14,"FG_TOTAL_RETURNC(0,-3AM)")</f>
        <v>-0.4653871</v>
      </c>
      <c r="P14" s="3" cm="1">
        <f t="array" ref="P14">_xll.FDS(C14,"FG_TOTAL_RETURNC(0,-6AM)")</f>
        <v>6.6720366000000002</v>
      </c>
      <c r="Q14" s="9" cm="1">
        <f t="array" ref="Q14">_xll.FDS(C14,"P_PRICE(0)/P_PRICE_HIGH_PR(0,,,,,,""PRICE"",""INTRA"",""52W"")")</f>
        <v>0.94396239999999998</v>
      </c>
      <c r="R14" s="9" cm="1">
        <f t="array" ref="R14">_xll.FDS(C14,"P_PRICE(0)/P_PRICE_low_PR(0,,,,,,""PRICE"",""INTRA"",""52W"")-1")</f>
        <v>0.31204164000000001</v>
      </c>
      <c r="S14" s="3" cm="1">
        <f t="array" ref="S14">_xll.FDS(C14,"FG_TOTAL_RETURNC(0,-12AM)")</f>
        <v>26.034092000000001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28.499999999999996</v>
      </c>
      <c r="W14" s="4" cm="1">
        <f t="array" ref="W14">_xlfn.PERCENTRANK.EXC(_xlfn._xlws.FILTER($O$3:$O$15, ISNUMBER($O$3:$O$15)),O14)*100</f>
        <v>35.699999999999996</v>
      </c>
      <c r="X14" s="4" cm="1">
        <f t="array" ref="X14">_xlfn.PERCENTRANK.EXC(_xlfn._xlws.FILTER($P$3:$P$15, ISNUMBER($P$3:$P$15)),P14)*100</f>
        <v>35.699999999999996</v>
      </c>
      <c r="Y14" s="201" cm="1">
        <f t="array" ref="Y14">_xlfn.PERCENTRANK.EXC(_xlfn._xlws.FILTER($S$3:$S$15, ISNUMBER($S$3:$S$15)),S14)*100</f>
        <v>78.5</v>
      </c>
      <c r="Z14" s="4" cm="1">
        <f t="array" ref="Z14">_xlfn.PERCENTRANK.EXC(_xlfn._xlws.FILTER($K$3:$K$15, ISNUMBER($K$3:$K$15)),K14)*100</f>
        <v>35.699999999999996</v>
      </c>
      <c r="AA14" s="4" cm="1">
        <f t="array" ref="AA14">_xlfn.PERCENTRANK.EXC(_xlfn._xlws.FILTER($H$3:$H$15, ISNUMBER($H$3:$H$15)),H14)*100</f>
        <v>14.2</v>
      </c>
      <c r="AB14" s="4" cm="1">
        <f t="array" ref="AB14">_xlfn.PERCENTRANK.EXC(_xlfn._xlws.FILTER($J$3:$J$15, ISNUMBER($J$3:$J$15)),J14)*100</f>
        <v>21.4</v>
      </c>
      <c r="AC14" s="4">
        <f t="shared" si="4"/>
        <v>71.399999999999991</v>
      </c>
      <c r="AD14" s="4">
        <f t="shared" si="5"/>
        <v>42.8</v>
      </c>
      <c r="AE14" s="4">
        <f t="shared" si="6"/>
        <v>21.4</v>
      </c>
      <c r="AF14" s="4">
        <f>'Economic Momentum'!Q15</f>
        <v>57.099999999999994</v>
      </c>
      <c r="AG14" s="4">
        <f ca="1">'Economic Momentum'!R15</f>
        <v>71.399999999999991</v>
      </c>
      <c r="AH14" s="4">
        <f t="shared" ca="1" si="7"/>
        <v>32.82</v>
      </c>
      <c r="AJ14" s="3" cm="1">
        <f t="array" aca="1" ref="AJ14" ca="1">_xlfn.PERCENTRANK.EXC(_xlfn._xlws.FILTER($AH$3:$AH$15, ISNUMBER($AH$3:$AH$15)),AH14)*100</f>
        <v>21.4</v>
      </c>
      <c r="AK14">
        <f t="shared" si="8"/>
        <v>1</v>
      </c>
    </row>
    <row r="15" spans="1:39" x14ac:dyDescent="0.35">
      <c r="A15" t="s">
        <v>866</v>
      </c>
      <c r="B15" t="str" cm="1">
        <f t="array" ref="B15">_xll.FDS(A15,"FG_COMPANY_NAME")</f>
        <v>iShares MSCI Italy ETF</v>
      </c>
      <c r="C15" t="s">
        <v>866</v>
      </c>
      <c r="D15" s="142">
        <f>VLOOKUP(C15,'Market Capitalisation'!$C$2:$G$14,5,FALSE)</f>
        <v>861066</v>
      </c>
      <c r="E15" cm="1">
        <f t="array" ref="E15">_xll.FDS(C15,"FMA_COS_UP(""EPS"",""1M"",+1,0,,,""PORTAGG"",""MEANR"")")</f>
        <v>15</v>
      </c>
      <c r="F15" cm="1">
        <f t="array" ref="F15">_xll.FDS(C15,"FMA_COS_DOWN(""EPS"",""1M"",+1,0,,,""PORTAGG"",""MEANR"")")</f>
        <v>8</v>
      </c>
      <c r="G15" cm="1">
        <f t="array" ref="G15">_xll.FDS(A15,"SIZE(FG_CONSTITUENTS)")</f>
        <v>26</v>
      </c>
      <c r="H15" s="9">
        <f t="shared" si="9"/>
        <v>0.57692307692307687</v>
      </c>
      <c r="I15" s="9">
        <f t="shared" si="10"/>
        <v>0.30769230769230771</v>
      </c>
      <c r="J15" s="9">
        <f t="shared" si="11"/>
        <v>0.26923076923076916</v>
      </c>
      <c r="K15" s="5" cm="1">
        <f t="array" ref="K15">_xll.FDS(A15,"FMA_PCT_ABOVE_MAVG(200,0,,,,""PORTAGG"")")/100</f>
        <v>0.56000000000000005</v>
      </c>
      <c r="L15" s="41" cm="1">
        <f t="array" ref="L15">_xll.FDSB(A15,"PERCENT_CHANGE(FMA_EPS(+1,0,,,,""PORTAGG"",""MEAN""),FMA_EPS(+1,-1AM,,,,""PORTAGG"",""MEAN""))")</f>
        <v>-0.62543130436092798</v>
      </c>
      <c r="M15" s="41" cm="1">
        <f t="array" ref="M15">_xll.FDSB(A15,"PERCENT_CHANGE(FMA_EPS(+1,0,,,,""PORTAGG"",""MEAN""),FMA_EPS(+1,-3AM,,,,""PORTAGG"",""MEAN""))")</f>
        <v>-2.5901355351420099</v>
      </c>
      <c r="N15" s="3" cm="1">
        <f t="array" ref="N15">_xll.FDS(C15,"FG_TOTAL_RETURNC(0,-1AM)")</f>
        <v>-1.5087366</v>
      </c>
      <c r="O15" s="3" cm="1">
        <f t="array" ref="O15">_xll.FDS(C15,"FG_TOTAL_RETURNC(0,-3AM)")</f>
        <v>-2.7505337999999999</v>
      </c>
      <c r="P15" s="3" cm="1">
        <f t="array" ref="P15">_xll.FDS(C15,"FG_TOTAL_RETURNC(0,-6AM)")</f>
        <v>10.847424999999999</v>
      </c>
      <c r="Q15" s="9" cm="1">
        <f t="array" ref="Q15">_xll.FDS(C15,"P_PRICE(0)/P_PRICE_HIGH_PR(0,,,,,,""PRICE"",""INTRA"",""52W"")")</f>
        <v>0.94513590000000003</v>
      </c>
      <c r="R15" s="9" cm="1">
        <f t="array" ref="R15">_xll.FDS(C15,"P_PRICE(0)/P_PRICE_low_PR(0,,,,,,""PRICE"",""INTRA"",""52W"")-1")</f>
        <v>0.28244006999999999</v>
      </c>
      <c r="S15" s="3" cm="1">
        <f t="array" ref="S15">_xll.FDS(C15,"FG_TOTAL_RETURNC(0,-12AM)")</f>
        <v>23.048400000000001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35.699999999999996</v>
      </c>
      <c r="W15" s="4" cm="1">
        <f t="array" ref="W15">_xlfn.PERCENTRANK.EXC(_xlfn._xlws.FILTER($O$3:$O$15, ISNUMBER($O$3:$O$15)),O15)*100</f>
        <v>14.2</v>
      </c>
      <c r="X15" s="4" cm="1">
        <f t="array" ref="X15">_xlfn.PERCENTRANK.EXC(_xlfn._xlws.FILTER($P$3:$P$15, ISNUMBER($P$3:$P$15)),P15)*100</f>
        <v>71.399999999999991</v>
      </c>
      <c r="Y15" s="201" cm="1">
        <f t="array" ref="Y15">_xlfn.PERCENTRANK.EXC(_xlfn._xlws.FILTER($S$3:$S$15, ISNUMBER($S$3:$S$15)),S15)*100</f>
        <v>71.399999999999991</v>
      </c>
      <c r="Z15" s="4" cm="1">
        <f t="array" ref="Z15">_xlfn.PERCENTRANK.EXC(_xlfn._xlws.FILTER($K$3:$K$15, ISNUMBER($K$3:$K$15)),K15)*100</f>
        <v>42.8</v>
      </c>
      <c r="AA15" s="4" cm="1">
        <f t="array" ref="AA15">_xlfn.PERCENTRANK.EXC(_xlfn._xlws.FILTER($H$3:$H$15, ISNUMBER($H$3:$H$15)),H15)*100</f>
        <v>92.800000000000011</v>
      </c>
      <c r="AB15" s="4" cm="1">
        <f t="array" ref="AB15">_xlfn.PERCENTRANK.EXC(_xlfn._xlws.FILTER($J$3:$J$15, ISNUMBER($J$3:$J$15)),J15)*100</f>
        <v>92.800000000000011</v>
      </c>
      <c r="AC15" s="4">
        <f t="shared" si="4"/>
        <v>35.699999999999996</v>
      </c>
      <c r="AD15" s="4">
        <f t="shared" si="5"/>
        <v>21.4</v>
      </c>
      <c r="AE15" s="4">
        <f t="shared" si="6"/>
        <v>14.2</v>
      </c>
      <c r="AF15" s="4">
        <f>'Economic Momentum'!Q16</f>
        <v>35.699999999999996</v>
      </c>
      <c r="AG15" s="4">
        <f ca="1">'Economic Momentum'!R16</f>
        <v>7.1</v>
      </c>
      <c r="AH15" s="4">
        <f t="shared" ca="1" si="7"/>
        <v>39.959999999999994</v>
      </c>
      <c r="AJ15" s="3" cm="1">
        <f t="array" aca="1" ref="AJ15" ca="1">_xlfn.PERCENTRANK.EXC(_xlfn._xlws.FILTER($AH$3:$AH$15, ISNUMBER($AH$3:$AH$15)),AH15)*100</f>
        <v>28.499999999999996</v>
      </c>
      <c r="AK15">
        <f t="shared" si="8"/>
        <v>4</v>
      </c>
    </row>
    <row r="16" spans="1:39" x14ac:dyDescent="0.3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35">
      <c r="A17" s="1" t="s">
        <v>779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3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466</v>
      </c>
      <c r="F18" cm="1">
        <f t="array" ref="F18">_xll.FDS(C18,"FMA_COS_DOWN(""EPS"",""1M"",+1,0,,,""PORTAGG"",""MEANR"")")</f>
        <v>488</v>
      </c>
      <c r="G18" cm="1">
        <f t="array" ref="G18">_xll.FDS(A18,"SIZE(FG_CONSTITUENTS)")</f>
        <v>1283</v>
      </c>
      <c r="H18" s="9">
        <f>E18/$G18</f>
        <v>0.36321122369446607</v>
      </c>
      <c r="I18" s="9">
        <f>F18/$G18</f>
        <v>0.38035853468433362</v>
      </c>
      <c r="J18" s="9">
        <f t="shared" ref="J18" si="13">H18-I18</f>
        <v>-1.7147310989867548E-2</v>
      </c>
      <c r="K18" s="5" cm="1">
        <f t="array" ref="K18">_xll.FDS(A18,"FMA_PCT_ABOVE_MAVG(200,0,,,,""PORTAGG"")")/100</f>
        <v>0.60111464968152906</v>
      </c>
      <c r="L18" s="41" cm="1">
        <f t="array" ref="L18">_xll.FDSB(A18,"PERCENT_CHANGE(FMA_EPS(+1,0,,,,""PORTAGG"",""MEAN""),FMA_EPS(+1,-1AM,,,,""PORTAGG"",""MEAN""))")</f>
        <v>0</v>
      </c>
      <c r="M18" s="41" cm="1">
        <f t="array" ref="M18">_xll.FDSB(A18,"PERCENT_CHANGE(FMA_EPS(+1,0,,,,""PORTAGG"",""MEAN""),FMA_EPS(+1,-3AM,,,,""PORTAGG"",""MEAN""))")</f>
        <v>1.0664214354272299</v>
      </c>
      <c r="N18" s="3" cm="1">
        <f t="array" ref="N18">_xll.FDS(C18,"FG_TOTAL_RETURNC(0,-1AM)")</f>
        <v>-0.27532578000000002</v>
      </c>
      <c r="O18" s="3" cm="1">
        <f t="array" ref="O18">_xll.FDS(C18,"FG_TOTAL_RETURNC(0,-3AM)")</f>
        <v>-3.0356646000000001E-2</v>
      </c>
      <c r="P18" s="3" cm="1">
        <f t="array" ref="P18">_xll.FDS(C18,"FG_TOTAL_RETURNC(0,-6AM)")</f>
        <v>9.2118380000000002</v>
      </c>
      <c r="Q18" s="9" cm="1">
        <f t="array" ref="Q18">_xll.FDS(C18,"P_PRICE(0)/P_PRICE_HIGH_PR(0,,,,,,""PRICE"",""INTRA"",""52W"")")</f>
        <v>0.97375303999999996</v>
      </c>
      <c r="R18" s="9" cm="1">
        <f t="array" ref="R18">_xll.FDS(C18,"P_PRICE(0)/P_PRICE_low_PR(0,,,,,,""PRICE"",""INTRA"",""52W"")-1")</f>
        <v>0.24990915999999999</v>
      </c>
      <c r="S18" s="3" cm="1">
        <f t="array" ref="S18">_xll.FDS(C18,"FG_TOTAL_RETURNC(0,-12AM)")</f>
        <v>17.651367</v>
      </c>
      <c r="W18" s="4"/>
      <c r="X18" s="4"/>
      <c r="Y18" s="201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35">
      <c r="A19" t="s">
        <v>6</v>
      </c>
      <c r="B19" t="s">
        <v>749</v>
      </c>
      <c r="C19" t="str">
        <f>A19</f>
        <v>VWO</v>
      </c>
      <c r="E19" cm="1">
        <f t="array" ref="E19">_xll.FDS(C19,"FMA_COS_UP(""EPS"",""1M"",+1,0,,,""PORTAGG"",""MEANR"")")</f>
        <v>818</v>
      </c>
      <c r="F19" cm="1">
        <f t="array" ref="F19">_xll.FDS(C19,"FMA_COS_DOWN(""EPS"",""1M"",+1,0,,,""PORTAGG"",""MEANR"")")</f>
        <v>971</v>
      </c>
      <c r="G19" cm="1">
        <f t="array" ref="G19">_xll.FDS(A19,"SIZE(FG_CONSTITUENTS)")</f>
        <v>4764</v>
      </c>
      <c r="H19" s="9">
        <f>E19/$G19</f>
        <v>0.17170445004198154</v>
      </c>
      <c r="I19" s="9">
        <f>F19/$G19</f>
        <v>0.20382031905961376</v>
      </c>
      <c r="J19" s="9">
        <f t="shared" ref="J19" si="14">H19-I19</f>
        <v>-3.211586901763222E-2</v>
      </c>
      <c r="K19" s="5" cm="1">
        <f t="array" ref="K19">_xll.FDS(A19,"FMA_PCT_ABOVE_MAVG(200,0,,,,""PORTAGG"")")/100</f>
        <v>0.402891670263271</v>
      </c>
      <c r="L19" s="41" cm="1">
        <f t="array" ref="L19">_xll.FDSB(A19,"PERCENT_CHANGE(FMA_EPS(+1,0,,,,""PORTAGG"",""MEAN""),FMA_EPS(+1,-1AM,,,,""PORTAGG"",""MEAN""))")</f>
        <v>0</v>
      </c>
      <c r="M19" s="41" cm="1">
        <f t="array" ref="M19">_xll.FDSB(A19,"PERCENT_CHANGE(FMA_EPS(+1,0,,,,""PORTAGG"",""MEAN""),FMA_EPS(+1,-3AM,,,,""PORTAGG"",""MEAN""))")</f>
        <v>-0.25120888887679199</v>
      </c>
      <c r="N19" s="3" cm="1">
        <f t="array" ref="N19">_xll.FDS(C19,"FG_TOTAL_RETURNC(0,-1AM)")</f>
        <v>-1.4974654000000001</v>
      </c>
      <c r="O19" s="3" cm="1">
        <f t="array" ref="O19">_xll.FDS(C19,"FG_TOTAL_RETURNC(0,-3AM)")</f>
        <v>0.74809789999999998</v>
      </c>
      <c r="P19" s="3" cm="1">
        <f t="array" ref="P19">_xll.FDS(C19,"FG_TOTAL_RETURNC(0,-6AM)")</f>
        <v>9.3817950000000003</v>
      </c>
      <c r="Q19" s="9" cm="1">
        <f t="array" ref="Q19">_xll.FDS(C19,"P_PRICE(0)/P_PRICE_HIGH_PR(0,,,,,,""PRICE"",""INTRA"",""52W"")")</f>
        <v>0.97823950000000004</v>
      </c>
      <c r="R19" s="9" cm="1">
        <f t="array" ref="R19">_xll.FDS(C19,"P_PRICE(0)/P_PRICE_low_PR(0,,,,,,""PRICE"",""INTRA"",""52W"")-1")</f>
        <v>0.19423306000000001</v>
      </c>
      <c r="S19" s="3" cm="1">
        <f t="array" ref="S19">_xll.FDS(C19,"FG_TOTAL_RETURNC(0,-12AM)")</f>
        <v>15.890002000000001</v>
      </c>
    </row>
    <row r="20" spans="1:37" x14ac:dyDescent="0.35">
      <c r="A20" t="s">
        <v>780</v>
      </c>
      <c r="B20" t="s">
        <v>781</v>
      </c>
      <c r="C20" t="str">
        <f t="shared" ref="C20" si="15">A20</f>
        <v>URTH</v>
      </c>
      <c r="E20" cm="1">
        <f t="array" ref="E20">_xll.FDS(C20,"FMA_COS_UP(""EPS"",""1M"",+1,0,,,""PORTAGG"",""MEANR"")")</f>
        <v>696</v>
      </c>
      <c r="F20" cm="1">
        <f t="array" ref="F20">_xll.FDS(C20,"FMA_COS_DOWN(""EPS"",""1M"",+1,0,,,""PORTAGG"",""MEANR"")")</f>
        <v>580</v>
      </c>
      <c r="G20" cm="1">
        <f t="array" ref="G20">_xll.FDS(A20,"SIZE(FG_CONSTITUENTS)")</f>
        <v>1429</v>
      </c>
      <c r="H20" s="9">
        <f t="shared" ref="H20" si="16">E20/$G20</f>
        <v>0.48705388383484954</v>
      </c>
      <c r="I20" s="9">
        <f t="shared" ref="I20" si="17">F20/$G20</f>
        <v>0.40587823652904131</v>
      </c>
      <c r="J20" s="9">
        <f t="shared" ref="J20" si="18">H20-I20</f>
        <v>8.117564730580823E-2</v>
      </c>
      <c r="K20" s="5" cm="1">
        <f t="array" ref="K20">_xll.FDS(A20,"FMA_PCT_ABOVE_MAVG(200,0,,,,""PORTAGG"")")/100</f>
        <v>0.58976157082748903</v>
      </c>
      <c r="L20" s="41" cm="1">
        <f t="array" ref="L20">_xll.FDSB(A20,"PERCENT_CHANGE(FMA_EPS(+1,0,,,,""PORTAGG"",""MEAN""),FMA_EPS(+1,-1AM,,,,""PORTAGG"",""MEAN""))")</f>
        <v>0.32006802379701699</v>
      </c>
      <c r="M20" s="41" cm="1">
        <f t="array" ref="M20">_xll.FDSB(A20,"PERCENT_CHANGE(FMA_EPS(+1,0,,,,""PORTAGG"",""MEAN""),FMA_EPS(+1,-3AM,,,,""PORTAGG"",""MEAN""))")</f>
        <v>-0.39386590477226002</v>
      </c>
      <c r="N20" s="3" cm="1">
        <f t="array" ref="N20">_xll.FDS(C20,"FG_TOTAL_RETURNC(0,-1AM)")</f>
        <v>-1.6894937000000001</v>
      </c>
      <c r="O20" s="3" cm="1">
        <f t="array" ref="O20">_xll.FDS(C20,"FG_TOTAL_RETURNC(0,-3AM)")</f>
        <v>3.7544012000000002</v>
      </c>
      <c r="P20" s="3" cm="1">
        <f t="array" ref="P20">_xll.FDS(C20,"FG_TOTAL_RETURNC(0,-6AM)")</f>
        <v>10.068071</v>
      </c>
      <c r="Q20" s="9" cm="1">
        <f t="array" ref="Q20">_xll.FDS(C20,"P_PRICE(0)/P_PRICE_HIGH_PR(0,,,,,,""PRICE"",""INTRA"",""52W"")")</f>
        <v>0.98233610000000005</v>
      </c>
      <c r="R20" s="9" cm="1">
        <f t="array" ref="R20">_xll.FDS(C20,"P_PRICE(0)/P_PRICE_low_PR(0,,,,,,""PRICE"",""INTRA"",""52W"")-1")</f>
        <v>0.31394958000000001</v>
      </c>
      <c r="S20" s="3" cm="1">
        <f t="array" ref="S20">_xll.FDS(C20,"FG_TOTAL_RETURNC(0,-12AM)")</f>
        <v>24.861453999999998</v>
      </c>
    </row>
    <row r="21" spans="1:37" x14ac:dyDescent="0.35">
      <c r="A21" t="s">
        <v>46</v>
      </c>
      <c r="B21" t="s">
        <v>816</v>
      </c>
      <c r="C21" t="str">
        <f t="shared" ref="C21:C22" si="19">A21</f>
        <v>EWJ</v>
      </c>
      <c r="E21" cm="1">
        <f t="array" ref="E21">_xll.FDS(C21,"FMA_COS_UP(""EPS"",""1M"",+1,0,,,""PORTAGG"",""MEANR"")")</f>
        <v>100</v>
      </c>
      <c r="F21" cm="1">
        <f t="array" ref="F21">_xll.FDS(C21,"FMA_COS_DOWN(""EPS"",""1M"",+1,0,,,""PORTAGG"",""MEANR"")")</f>
        <v>67</v>
      </c>
      <c r="G21" cm="1">
        <f t="array" ref="G21">_xll.FDS(A21,"SIZE(FG_CONSTITUENTS)")</f>
        <v>205</v>
      </c>
      <c r="H21" s="9">
        <f t="shared" ref="H21:H22" si="20">E21/$G21</f>
        <v>0.48780487804878048</v>
      </c>
      <c r="I21" s="9">
        <f t="shared" ref="I21:I22" si="21">F21/$G21</f>
        <v>0.32682926829268294</v>
      </c>
      <c r="J21" s="9">
        <f t="shared" ref="J21:J22" si="22">H21-I21</f>
        <v>0.16097560975609754</v>
      </c>
      <c r="K21" s="5" cm="1">
        <f t="array" ref="K21">_xll.FDS(A21,"FMA_PCT_ABOVE_MAVG(200,0,,,,""PORTAGG"")")/100</f>
        <v>0.41176470588235298</v>
      </c>
      <c r="L21" s="41" cm="1">
        <f t="array" ref="L21">_xll.FDSB(A21,"PERCENT_CHANGE(FMA_EPS(+1,0,,,,""PORTAGG"",""MEAN""),FMA_EPS(+1,-1AM,,,,""PORTAGG"",""MEAN""))")</f>
        <v>7.4436907070844498</v>
      </c>
      <c r="M21" s="41" cm="1">
        <f t="array" ref="M21">_xll.FDSB(A21,"PERCENT_CHANGE(FMA_EPS(+1,0,,,,""PORTAGG"",""MEAN""),FMA_EPS(+1,-3AM,,,,""PORTAGG"",""MEAN""))")</f>
        <v>6.7978349383838399</v>
      </c>
      <c r="N21" s="3" cm="1">
        <f t="array" ref="N21">_xll.FDS(C21,"FG_TOTAL_RETURNC(0,-1AM)")</f>
        <v>-3.5187721000000001</v>
      </c>
      <c r="O21" s="3" cm="1">
        <f t="array" ref="O21">_xll.FDS(C21,"FG_TOTAL_RETURNC(0,-3AM)")</f>
        <v>2.3706554999999998</v>
      </c>
      <c r="P21" s="3" cm="1">
        <f t="array" ref="P21">_xll.FDS(C21,"FG_TOTAL_RETURNC(0,-6AM)")</f>
        <v>3.3394097999999999</v>
      </c>
      <c r="Q21" s="9" cm="1">
        <f t="array" ref="Q21">_xll.FDS(C21,"P_PRICE(0)/P_PRICE_HIGH_PR(0,,,,,,""PRICE"",""INTRA"",""52W"")")</f>
        <v>0.96260319999999999</v>
      </c>
      <c r="R21" s="9" cm="1">
        <f t="array" ref="R21">_xll.FDS(C21,"P_PRICE(0)/P_PRICE_low_PR(0,,,,,,""PRICE"",""INTRA"",""52W"")-1")</f>
        <v>0.21276223999999999</v>
      </c>
      <c r="S21" s="3" cm="1">
        <f t="array" ref="S21">_xll.FDS(C21,"FG_TOTAL_RETURNC(0,-12AM)")</f>
        <v>19.275521999999999</v>
      </c>
    </row>
    <row r="22" spans="1:37" x14ac:dyDescent="0.3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271</v>
      </c>
      <c r="F22" cm="1">
        <f t="array" ref="F22">_xll.FDS(C22,"FMA_COS_DOWN(""EPS"",""1M"",+1,0,,,""PORTAGG"",""MEANR"")")</f>
        <v>188</v>
      </c>
      <c r="G22" cm="1">
        <f t="array" ref="G22">_xll.FDS(A22,"SIZE(FG_CONSTITUENTS)")</f>
        <v>503</v>
      </c>
      <c r="H22" s="9">
        <f t="shared" si="20"/>
        <v>0.53876739562624254</v>
      </c>
      <c r="I22" s="9">
        <f t="shared" si="21"/>
        <v>0.37375745526838966</v>
      </c>
      <c r="J22" s="9">
        <f t="shared" si="22"/>
        <v>0.16500994035785288</v>
      </c>
      <c r="K22" s="5" cm="1">
        <f t="array" ref="K22">_xll.FDS(A22,"FMA_PCT_ABOVE_MAVG(200,0,,,,""PORTAGG"")")/100</f>
        <v>0.70459081836327297</v>
      </c>
      <c r="L22" s="41" cm="1">
        <f t="array" ref="L22">_xll.FDSB(A22,"PERCENT_CHANGE(FMA_EPS(+1,0,,,,""PORTAGG"",""MEAN""),FMA_EPS(+1,-1AM,,,,""PORTAGG"",""MEAN""))")</f>
        <v>-0.30164130061505401</v>
      </c>
      <c r="M22" s="41" cm="1">
        <f t="array" ref="M22">_xll.FDSB(A22,"PERCENT_CHANGE(FMA_EPS(+1,0,,,,""PORTAGG"",""MEAN""),FMA_EPS(+1,-3AM,,,,""PORTAGG"",""MEAN""))")</f>
        <v>-0.68664470592249405</v>
      </c>
      <c r="N22" s="3" cm="1">
        <f t="array" ref="N22">_xll.FDS(C22,"FG_TOTAL_RETURNC(0,-1AM)")</f>
        <v>-1.8677174999999999</v>
      </c>
      <c r="O22" s="3" cm="1">
        <f t="array" ref="O22">_xll.FDS(C22,"FG_TOTAL_RETURNC(0,-3AM)")</f>
        <v>5.1846503999999998</v>
      </c>
      <c r="P22" s="3" cm="1">
        <f t="array" ref="P22">_xll.FDS(C22,"FG_TOTAL_RETURNC(0,-6AM)")</f>
        <v>11.677515</v>
      </c>
      <c r="Q22" s="9" cm="1">
        <f t="array" ref="Q22">_xll.FDS(C22,"P_PRICE(0)/P_PRICE_HIGH_PR(0,,,,,,""PRICE"",""INTRA"",""52W"")")</f>
        <v>0.98080193999999998</v>
      </c>
      <c r="R22" s="9" cm="1">
        <f t="array" ref="R22">_xll.FDS(C22,"P_PRICE(0)/P_PRICE_low_PR(0,,,,,,""PRICE"",""INTRA"",""52W"")-1")</f>
        <v>0.35458564999999997</v>
      </c>
      <c r="S22" s="3" cm="1">
        <f t="array" ref="S22">_xll.FDS(C22,"FG_TOTAL_RETURNC(0,-12AM)")</f>
        <v>27.855957</v>
      </c>
    </row>
    <row r="23" spans="1:37" x14ac:dyDescent="0.35">
      <c r="A23" t="s">
        <v>895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20</v>
      </c>
      <c r="F23" cm="1">
        <f t="array" ref="F23">_xll.FDS(C23,"FMA_COS_DOWN(""EPS"",""1M"",+1,0,,,""PORTAGG"",""MEANR"")")</f>
        <v>26</v>
      </c>
      <c r="G23" cm="1">
        <f t="array" ref="G23">_xll.FDS(A23,"SIZE(FG_CONSTITUENTS)")</f>
        <v>52</v>
      </c>
      <c r="H23" s="9">
        <f t="shared" ref="H23" si="24">E23/$G23</f>
        <v>0.38461538461538464</v>
      </c>
      <c r="I23" s="9">
        <f t="shared" ref="I23" si="25">F23/$G23</f>
        <v>0.5</v>
      </c>
      <c r="J23" s="9">
        <f t="shared" ref="J23" si="26">H23-I23</f>
        <v>-0.11538461538461536</v>
      </c>
      <c r="K23" s="5" cm="1">
        <f t="array" ref="K23">_xll.FDS(A23,"FMA_PCT_ABOVE_MAVG(200,0,,,,""PORTAGG"")")/100</f>
        <v>0.52941176470588203</v>
      </c>
      <c r="L23" s="41" cm="1">
        <f t="array" ref="L23">_xll.FDSB(A23,"PERCENT_CHANGE(FMA_EPS(+1,0,,,,""PORTAGG"",""MEAN""),FMA_EPS(+1,-1AM,,,,""PORTAGG"",""MEAN""))")</f>
        <v>-0.69071654638729196</v>
      </c>
      <c r="M23" s="41" cm="1">
        <f t="array" ref="M23">_xll.FDSB(A23,"PERCENT_CHANGE(FMA_EPS(+1,0,,,,""PORTAGG"",""MEAN""),FMA_EPS(+1,-3AM,,,,""PORTAGG"",""MEAN""))")</f>
        <v>2.0198204030895401</v>
      </c>
      <c r="N23" s="3" cm="1">
        <f t="array" ref="N23">_xll.FDS(C23,"FG_TOTAL_RETURNC(0,-1AM)")</f>
        <v>-0.93949439999999995</v>
      </c>
      <c r="O23" s="3" cm="1">
        <f t="array" ref="O23">_xll.FDS(C23,"FG_TOTAL_RETURNC(0,-3AM)")</f>
        <v>-9.3125879999999999</v>
      </c>
      <c r="P23" s="3" cm="1">
        <f t="array" ref="P23">_xll.FDS(C23,"FG_TOTAL_RETURNC(0,-6AM)")</f>
        <v>14.626991</v>
      </c>
      <c r="Q23" s="9" cm="1">
        <f t="array" ref="Q23">_xll.FDS(C23,"P_PRICE(0)/P_PRICE_HIGH_PR(0,,,,,,""PRICE"",""INTRA"",""52W"")")</f>
        <v>0.89265156000000001</v>
      </c>
      <c r="R23" s="9" cm="1">
        <f t="array" ref="R23">_xll.FDS(C23,"P_PRICE(0)/P_PRICE_low_PR(0,,,,,,""PRICE"",""INTRA"",""52W"")-1")</f>
        <v>0.26366245999999999</v>
      </c>
      <c r="S23" s="3" cm="1">
        <f t="array" ref="S23">_xll.FDS(C23,"FG_TOTAL_RETURNC(0,-12AM)")</f>
        <v>1.8596767999999999</v>
      </c>
    </row>
    <row r="24" spans="1:37" x14ac:dyDescent="0.35">
      <c r="Q24" s="9"/>
      <c r="R24" s="9"/>
    </row>
    <row r="25" spans="1:37" x14ac:dyDescent="0.35">
      <c r="Q25" s="9"/>
      <c r="R25" s="9"/>
    </row>
    <row r="26" spans="1:37" ht="15" customHeight="1" x14ac:dyDescent="0.35">
      <c r="E26" s="43"/>
      <c r="F26" s="43"/>
      <c r="Q26" s="9"/>
      <c r="R26" s="9"/>
    </row>
    <row r="27" spans="1:37" ht="15" customHeight="1" x14ac:dyDescent="0.35">
      <c r="E27" s="43"/>
      <c r="F27" s="43"/>
      <c r="Q27" s="9"/>
      <c r="R27" s="9"/>
    </row>
    <row r="28" spans="1:37" ht="15" customHeight="1" x14ac:dyDescent="0.35">
      <c r="E28" s="43"/>
      <c r="F28" s="43"/>
      <c r="Q28" s="9"/>
      <c r="R28" s="9"/>
    </row>
    <row r="29" spans="1:37" ht="15" customHeight="1" x14ac:dyDescent="0.35">
      <c r="C29" s="1"/>
      <c r="D29" s="1"/>
      <c r="E29" s="43"/>
      <c r="F29" s="43"/>
      <c r="Q29" s="9"/>
      <c r="R29" s="9"/>
    </row>
    <row r="30" spans="1:37" ht="15" customHeight="1" x14ac:dyDescent="0.35">
      <c r="E30" s="43"/>
      <c r="F30" s="43"/>
      <c r="Q30" s="9"/>
      <c r="R30" s="9"/>
    </row>
    <row r="31" spans="1:37" ht="15" customHeight="1" x14ac:dyDescent="0.35">
      <c r="E31" s="43"/>
      <c r="F31" s="43"/>
      <c r="Q31" s="9"/>
      <c r="R31" s="9"/>
    </row>
    <row r="32" spans="1:37" ht="15" customHeight="1" x14ac:dyDescent="0.35">
      <c r="E32" s="43"/>
      <c r="F32" s="43"/>
      <c r="Q32" s="9"/>
      <c r="R32" s="9"/>
    </row>
    <row r="33" spans="3:18" ht="15" customHeight="1" x14ac:dyDescent="0.35">
      <c r="E33" s="43"/>
      <c r="F33" s="43"/>
      <c r="P33" s="1"/>
      <c r="Q33" s="9"/>
      <c r="R33" s="9"/>
    </row>
    <row r="34" spans="3:18" ht="15" customHeight="1" x14ac:dyDescent="0.35">
      <c r="E34" s="43"/>
      <c r="F34" s="43"/>
      <c r="Q34" s="9"/>
      <c r="R34" s="9"/>
    </row>
    <row r="35" spans="3:18" ht="15" customHeight="1" x14ac:dyDescent="0.35">
      <c r="E35" s="43"/>
      <c r="F35" s="43"/>
      <c r="Q35" s="9"/>
      <c r="R35" s="9"/>
    </row>
    <row r="36" spans="3:18" ht="15" customHeight="1" x14ac:dyDescent="0.35">
      <c r="C36" s="1"/>
      <c r="D36" s="1"/>
      <c r="E36" s="43"/>
      <c r="F36" s="43"/>
      <c r="Q36" s="9"/>
      <c r="R36" s="9"/>
    </row>
    <row r="37" spans="3:18" ht="15" customHeight="1" x14ac:dyDescent="0.35">
      <c r="E37" s="43"/>
      <c r="F37" s="43"/>
      <c r="Q37" s="9"/>
      <c r="R37" s="9"/>
    </row>
    <row r="38" spans="3:18" ht="15" customHeight="1" x14ac:dyDescent="0.35">
      <c r="E38" s="43"/>
      <c r="F38" s="43"/>
      <c r="Q38" s="9"/>
      <c r="R38" s="9"/>
    </row>
    <row r="39" spans="3:18" ht="15" customHeight="1" x14ac:dyDescent="0.35">
      <c r="E39" s="43"/>
      <c r="F39" s="43"/>
      <c r="Q39" s="9"/>
      <c r="R39" s="9"/>
    </row>
    <row r="40" spans="3:18" ht="15" customHeight="1" x14ac:dyDescent="0.35">
      <c r="E40" s="43"/>
      <c r="F40" s="43"/>
      <c r="Q40" s="9"/>
      <c r="R40" s="9"/>
    </row>
    <row r="41" spans="3:18" ht="15" customHeight="1" x14ac:dyDescent="0.35">
      <c r="C41" s="1"/>
      <c r="D41" s="1"/>
      <c r="E41" s="43"/>
      <c r="F41" s="43"/>
      <c r="Q41" s="9"/>
      <c r="R41" s="9"/>
    </row>
    <row r="42" spans="3:18" ht="15" customHeight="1" x14ac:dyDescent="0.35">
      <c r="E42" s="43"/>
      <c r="F42" s="43"/>
      <c r="Q42" s="9"/>
      <c r="R42" s="9"/>
    </row>
    <row r="43" spans="3:18" ht="15" customHeight="1" x14ac:dyDescent="0.35">
      <c r="E43" s="43"/>
      <c r="F43" s="43"/>
      <c r="Q43" s="9"/>
      <c r="R43" s="9"/>
    </row>
    <row r="44" spans="3:18" ht="15" customHeight="1" x14ac:dyDescent="0.35">
      <c r="E44" s="43"/>
      <c r="F44" s="43"/>
      <c r="Q44" s="9"/>
      <c r="R44" s="9"/>
    </row>
    <row r="45" spans="3:18" ht="15" customHeight="1" x14ac:dyDescent="0.35">
      <c r="E45" s="43"/>
      <c r="F45" s="43"/>
      <c r="Q45" s="9"/>
      <c r="R45" s="9"/>
    </row>
    <row r="46" spans="3:18" ht="15" customHeight="1" x14ac:dyDescent="0.35">
      <c r="C46" s="1"/>
      <c r="D46" s="1"/>
      <c r="E46" s="43"/>
      <c r="F46" s="43"/>
      <c r="Q46" s="9"/>
      <c r="R46" s="9"/>
    </row>
    <row r="47" spans="3:18" ht="15" customHeight="1" x14ac:dyDescent="0.35">
      <c r="C47" s="1"/>
      <c r="D47" s="1"/>
      <c r="E47" s="43"/>
      <c r="F47" s="43"/>
    </row>
    <row r="48" spans="3:18" ht="15" customHeight="1" x14ac:dyDescent="0.35">
      <c r="E48" s="43"/>
      <c r="F48" s="43"/>
    </row>
    <row r="49" spans="5:7" ht="15" customHeight="1" x14ac:dyDescent="0.35">
      <c r="E49" s="43"/>
      <c r="F49" s="43"/>
    </row>
    <row r="50" spans="5:7" ht="15" customHeight="1" x14ac:dyDescent="0.35">
      <c r="E50" s="44"/>
      <c r="F50" s="44"/>
      <c r="G50" s="1"/>
    </row>
    <row r="51" spans="5:7" ht="15" customHeight="1" x14ac:dyDescent="0.35">
      <c r="E51" s="43"/>
      <c r="F51" s="43"/>
    </row>
    <row r="52" spans="5:7" ht="15" customHeight="1" x14ac:dyDescent="0.35">
      <c r="E52" s="43"/>
      <c r="F52" s="43"/>
    </row>
    <row r="53" spans="5:7" ht="15" customHeight="1" x14ac:dyDescent="0.35">
      <c r="E53" s="43"/>
      <c r="F53" s="43"/>
    </row>
    <row r="54" spans="5:7" ht="15" customHeight="1" x14ac:dyDescent="0.35">
      <c r="E54" s="43"/>
      <c r="F54" s="43"/>
    </row>
    <row r="55" spans="5:7" ht="15" customHeight="1" x14ac:dyDescent="0.35">
      <c r="E55" s="43"/>
      <c r="F55" s="43"/>
    </row>
    <row r="56" spans="5:7" ht="15" customHeight="1" x14ac:dyDescent="0.35">
      <c r="E56" s="43"/>
      <c r="F56" s="43"/>
    </row>
    <row r="57" spans="5:7" ht="15" customHeight="1" x14ac:dyDescent="0.35">
      <c r="E57" s="43"/>
      <c r="F57" s="43"/>
    </row>
    <row r="58" spans="5:7" ht="15" customHeight="1" x14ac:dyDescent="0.35">
      <c r="E58" s="44"/>
      <c r="F58" s="44"/>
      <c r="G58" s="1"/>
    </row>
    <row r="59" spans="5:7" ht="15" customHeight="1" x14ac:dyDescent="0.35">
      <c r="E59" s="43"/>
      <c r="F59" s="43"/>
    </row>
    <row r="60" spans="5:7" ht="15" customHeight="1" x14ac:dyDescent="0.35">
      <c r="E60" s="43"/>
      <c r="F60" s="43"/>
    </row>
    <row r="61" spans="5:7" ht="15" customHeight="1" x14ac:dyDescent="0.35">
      <c r="E61" s="43"/>
      <c r="F61" s="43"/>
    </row>
    <row r="62" spans="5:7" ht="15" customHeight="1" x14ac:dyDescent="0.35">
      <c r="E62" s="43"/>
      <c r="F62" s="43"/>
    </row>
    <row r="63" spans="5:7" ht="15" customHeight="1" x14ac:dyDescent="0.35">
      <c r="E63" s="43"/>
      <c r="F63" s="43"/>
    </row>
    <row r="64" spans="5:7" ht="15" customHeight="1" x14ac:dyDescent="0.35">
      <c r="E64" s="43"/>
      <c r="F64" s="43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5" x14ac:dyDescent="0.35"/>
  <cols>
    <col min="3" max="3" width="45.5429687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style="183" bestFit="1" customWidth="1"/>
    <col min="11" max="11" width="13.453125" style="183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402</v>
      </c>
      <c r="E3" s="46" t="s">
        <v>89</v>
      </c>
      <c r="H3" t="s">
        <v>403</v>
      </c>
      <c r="I3" t="s">
        <v>94</v>
      </c>
      <c r="J3" s="184"/>
      <c r="P3" t="s">
        <v>910</v>
      </c>
      <c r="R3" t="s">
        <v>911</v>
      </c>
    </row>
    <row r="4" spans="2:18" x14ac:dyDescent="0.3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-0.27050179000000002</v>
      </c>
      <c r="E4" s="9">
        <f>HLOOKUP(B4,'Monthly Returns'!$A$1:$Q$134, 132, FALSE)</f>
        <v>9.9173553719008267E-2</v>
      </c>
      <c r="H4" s="9">
        <f>HLOOKUP(B4,'Yearly returns'!$B$1:$N$140, 133, FALSE)</f>
        <v>0.17355371900826447</v>
      </c>
      <c r="I4" s="9">
        <f>HLOOKUP(B4,'Yearly returns'!$B$1:$N$140, 138, FALSE)</f>
        <v>0.51600000000000001</v>
      </c>
      <c r="J4" s="183">
        <f>1/E4</f>
        <v>10.083333333333334</v>
      </c>
      <c r="K4" s="185">
        <f>PERCENTRANK($J$4:$J$16,J4)*100</f>
        <v>58.3</v>
      </c>
      <c r="L4" s="47">
        <f>(1-PERCENTRANK($E$4:$E$16,E4))*100</f>
        <v>75</v>
      </c>
      <c r="M4" s="47">
        <f>(1-PERCENTRANK($H$4:$H$16,H4))*100</f>
        <v>33.4</v>
      </c>
      <c r="N4" s="47">
        <f>(1-PERCENTRANK($I$4:$I$16,I4))*100</f>
        <v>100</v>
      </c>
      <c r="P4">
        <f>L4*Assumption!$E$53 + M4*Assumption!$F$53 + N4*Assumption!$G$53</f>
        <v>77.099999999999994</v>
      </c>
      <c r="R4" cm="1">
        <f t="array" ref="R4">_xlfn.PERCENTRANK.EXC(_xlfn._xlws.FILTER(P$4:P$16, ISNUMBER(P$4:P$16)),P4)*100</f>
        <v>78.5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-0.37180042000000002</v>
      </c>
      <c r="E5" s="9">
        <f>HLOOKUP(B5,'Monthly Returns'!$A$1:$Q$134, 132, FALSE)</f>
        <v>0.12396694214876033</v>
      </c>
      <c r="H5" s="9">
        <f>HLOOKUP(B5,'Yearly returns'!$B$1:$N$140, 133, FALSE)</f>
        <v>0.16528925619834711</v>
      </c>
      <c r="I5" s="9">
        <f>HLOOKUP(B5,'Yearly returns'!$B$1:$N$140, 138, FALSE)</f>
        <v>0.877</v>
      </c>
      <c r="J5" s="183">
        <f t="shared" ref="J5:J16" si="0">1/E5</f>
        <v>8.0666666666666664</v>
      </c>
      <c r="K5" s="185">
        <f t="shared" ref="K5:K16" si="1">PERCENTRANK($J$4:$J$16,J5)*100</f>
        <v>25</v>
      </c>
      <c r="L5" s="47">
        <f t="shared" ref="L5:L16" si="2">(1-PERCENTRANK($E$4:$E$16,E5))*100</f>
        <v>25</v>
      </c>
      <c r="M5" s="47">
        <f t="shared" ref="M5:M16" si="3">(1-PERCENTRANK($H$4:$H$16,H5))*100</f>
        <v>41.7</v>
      </c>
      <c r="N5" s="47">
        <f t="shared" ref="N5:N16" si="4">(1-PERCENTRANK($I$4:$I$16,I5))*100</f>
        <v>16.700000000000003</v>
      </c>
      <c r="P5">
        <f>L5*Assumption!$E$53 + M5*Assumption!$F$53 + N5*Assumption!$G$53</f>
        <v>25.025000000000002</v>
      </c>
      <c r="R5" cm="1">
        <f t="array" ref="R5">_xlfn.PERCENTRANK.EXC(_xlfn._xlws.FILTER(P$4:P$16, ISNUMBER(P$4:P$16)),P5)*100</f>
        <v>14.2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-0.34857886999999999</v>
      </c>
      <c r="E6" s="9">
        <f>HLOOKUP(B6,'Monthly Returns'!$A$1:$Q$134, 132, FALSE)</f>
        <v>0.11570247933884298</v>
      </c>
      <c r="H6" s="9">
        <f>HLOOKUP(B6,'Yearly returns'!$B$1:$N$140, 133, FALSE)</f>
        <v>0.18181818181818182</v>
      </c>
      <c r="I6" s="9">
        <f>HLOOKUP(B6,'Yearly returns'!$B$1:$N$140, 138, FALSE)</f>
        <v>0.84399999999999997</v>
      </c>
      <c r="J6" s="183">
        <f t="shared" si="0"/>
        <v>8.6428571428571423</v>
      </c>
      <c r="K6" s="185">
        <f t="shared" si="1"/>
        <v>33.300000000000004</v>
      </c>
      <c r="L6" s="47">
        <f t="shared" si="2"/>
        <v>50</v>
      </c>
      <c r="M6" s="47">
        <f t="shared" si="3"/>
        <v>25</v>
      </c>
      <c r="N6" s="47">
        <f t="shared" si="4"/>
        <v>33.4</v>
      </c>
      <c r="P6">
        <f>L6*Assumption!$E$53 + M6*Assumption!$F$53 + N6*Assumption!$G$53</f>
        <v>35.450000000000003</v>
      </c>
      <c r="R6" cm="1">
        <f t="array" ref="R6">_xlfn.PERCENTRANK.EXC(_xlfn._xlws.FILTER(P$4:P$16, ISNUMBER(P$4:P$16)),P6)*100</f>
        <v>35.699999999999996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-0.36465400000000003</v>
      </c>
      <c r="E7" s="9">
        <f>HLOOKUP(B7,'Monthly Returns'!$A$1:$Q$134, 132, FALSE)</f>
        <v>0.1487603305785124</v>
      </c>
      <c r="H7" s="9">
        <f>HLOOKUP(B7,'Yearly returns'!$B$1:$N$140, 133, FALSE)</f>
        <v>0.26446280991735538</v>
      </c>
      <c r="I7" s="9">
        <f>HLOOKUP(B7,'Yearly returns'!$B$1:$N$140, 138, FALSE)</f>
        <v>0.72899999999999998</v>
      </c>
      <c r="J7" s="183">
        <f t="shared" si="0"/>
        <v>6.7222222222222223</v>
      </c>
      <c r="K7" s="185">
        <f t="shared" si="1"/>
        <v>8.3000000000000007</v>
      </c>
      <c r="L7" s="47">
        <f t="shared" si="2"/>
        <v>8.3999999999999968</v>
      </c>
      <c r="M7" s="47">
        <f t="shared" si="3"/>
        <v>8.3999999999999968</v>
      </c>
      <c r="N7" s="47">
        <f t="shared" si="4"/>
        <v>66.7</v>
      </c>
      <c r="P7">
        <f>L7*Assumption!$E$53 + M7*Assumption!$F$53 + N7*Assumption!$G$53</f>
        <v>37.549999999999997</v>
      </c>
      <c r="R7" cm="1">
        <f t="array" ref="R7">_xlfn.PERCENTRANK.EXC(_xlfn._xlws.FILTER(P$4:P$16, ISNUMBER(P$4:P$16)),P7)*100</f>
        <v>42.8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-0.26056457999999999</v>
      </c>
      <c r="E8" s="9">
        <f>HLOOKUP(B8,'Monthly Returns'!$A$1:$Q$134, 132, FALSE)</f>
        <v>9.9173553719008267E-2</v>
      </c>
      <c r="H8" s="9">
        <f>HLOOKUP(B8,'Yearly returns'!$B$1:$N$140, 133, FALSE)</f>
        <v>0.14049586776859505</v>
      </c>
      <c r="I8" s="9">
        <f>HLOOKUP(B8,'Yearly returns'!$B$1:$N$140, 138, FALSE)</f>
        <v>0.81899999999999995</v>
      </c>
      <c r="J8" s="183">
        <f t="shared" si="0"/>
        <v>10.083333333333334</v>
      </c>
      <c r="K8" s="185">
        <f t="shared" si="1"/>
        <v>58.3</v>
      </c>
      <c r="L8" s="47">
        <f t="shared" si="2"/>
        <v>75</v>
      </c>
      <c r="M8" s="47">
        <f t="shared" si="3"/>
        <v>66.7</v>
      </c>
      <c r="N8" s="47">
        <f t="shared" si="4"/>
        <v>41.7</v>
      </c>
      <c r="P8">
        <f>L8*Assumption!$E$53 + M8*Assumption!$F$53 + N8*Assumption!$G$53</f>
        <v>56.274999999999999</v>
      </c>
      <c r="R8" cm="1">
        <f t="array" ref="R8">_xlfn.PERCENTRANK.EXC(_xlfn._xlws.FILTER(P$4:P$16, ISNUMBER(P$4:P$16)),P8)*100</f>
        <v>57.099999999999994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-0.25894992999999999</v>
      </c>
      <c r="E9" s="9">
        <f>HLOOKUP(B9,'Monthly Returns'!$A$1:$Q$134, 132, FALSE)</f>
        <v>6.6115702479338845E-2</v>
      </c>
      <c r="H9" s="9">
        <f>HLOOKUP(B9,'Yearly returns'!$B$1:$N$140, 133, FALSE)</f>
        <v>0.12396694214876033</v>
      </c>
      <c r="I9" s="9">
        <f>HLOOKUP(B9,'Yearly returns'!$B$1:$N$140, 138, FALSE)</f>
        <v>0.72099999999999997</v>
      </c>
      <c r="J9" s="183">
        <f t="shared" si="0"/>
        <v>15.125</v>
      </c>
      <c r="K9" s="185">
        <f t="shared" si="1"/>
        <v>91.600000000000009</v>
      </c>
      <c r="L9" s="47">
        <f t="shared" si="2"/>
        <v>91.7</v>
      </c>
      <c r="M9" s="47">
        <f t="shared" si="3"/>
        <v>75</v>
      </c>
      <c r="N9" s="47">
        <f t="shared" si="4"/>
        <v>83.399999999999991</v>
      </c>
      <c r="P9">
        <f>L9*Assumption!$E$53 + M9*Assumption!$F$53 + N9*Assumption!$G$53</f>
        <v>83.375</v>
      </c>
      <c r="R9" cm="1">
        <f t="array" ref="R9">_xlfn.PERCENTRANK.EXC(_xlfn._xlws.FILTER(P$4:P$16, ISNUMBER(P$4:P$16)),P9)*100</f>
        <v>85.7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-0.35783714000000005</v>
      </c>
      <c r="E10" s="9">
        <f>HLOOKUP(B10,'Monthly Returns'!$A$1:$Q$134, 132, FALSE)</f>
        <v>9.9173553719008267E-2</v>
      </c>
      <c r="H10" s="9">
        <f>HLOOKUP(B10,'Yearly returns'!$B$1:$N$140, 133, FALSE)</f>
        <v>0.15702479338842976</v>
      </c>
      <c r="I10" s="9">
        <f>HLOOKUP(B10,'Yearly returns'!$B$1:$N$140, 138, FALSE)</f>
        <v>0.89300000000000002</v>
      </c>
      <c r="J10" s="183">
        <f t="shared" si="0"/>
        <v>10.083333333333334</v>
      </c>
      <c r="K10" s="185">
        <f t="shared" si="1"/>
        <v>58.3</v>
      </c>
      <c r="L10" s="47">
        <f t="shared" si="2"/>
        <v>75</v>
      </c>
      <c r="M10" s="47">
        <f t="shared" si="3"/>
        <v>50</v>
      </c>
      <c r="N10" s="47">
        <f t="shared" si="4"/>
        <v>8.3999999999999968</v>
      </c>
      <c r="P10">
        <f>L10*Assumption!$E$53 + M10*Assumption!$F$53 + N10*Assumption!$G$53</f>
        <v>35.449999999999996</v>
      </c>
      <c r="R10" cm="1">
        <f t="array" ref="R10">_xlfn.PERCENTRANK.EXC(_xlfn._xlws.FILTER(P$4:P$16, ISNUMBER(P$4:P$16)),P10)*100</f>
        <v>28.499999999999996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-0.27846914</v>
      </c>
      <c r="E11" s="9">
        <f>HLOOKUP(B11,'Monthly Returns'!$A$1:$Q$134, 132, FALSE)</f>
        <v>7.43801652892562E-2</v>
      </c>
      <c r="H11" s="9">
        <f>HLOOKUP(B11,'Yearly returns'!$B$1:$N$140, 133, FALSE)</f>
        <v>6.6115702479338845E-2</v>
      </c>
      <c r="I11" s="9">
        <f>HLOOKUP(B11,'Yearly returns'!$B$1:$N$140, 138, FALSE)</f>
        <v>0.72099999999999997</v>
      </c>
      <c r="J11" s="183">
        <f t="shared" si="0"/>
        <v>13.444444444444445</v>
      </c>
      <c r="K11" s="185">
        <f t="shared" si="1"/>
        <v>83.3</v>
      </c>
      <c r="L11" s="47">
        <f t="shared" si="2"/>
        <v>83.399999999999991</v>
      </c>
      <c r="M11" s="47">
        <f t="shared" si="3"/>
        <v>100</v>
      </c>
      <c r="N11" s="47">
        <f t="shared" si="4"/>
        <v>83.399999999999991</v>
      </c>
      <c r="P11">
        <f>L11*Assumption!$E$53 + M11*Assumption!$F$53 + N11*Assumption!$G$53</f>
        <v>87.549999999999983</v>
      </c>
      <c r="R11" cm="1">
        <f t="array" ref="R11">_xlfn.PERCENTRANK.EXC(_xlfn._xlws.FILTER(P$4:P$16, ISNUMBER(P$4:P$16)),P11)*100</f>
        <v>92.800000000000011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-0.28954380000000002</v>
      </c>
      <c r="E12" s="9">
        <f>HLOOKUP(B12,'Monthly Returns'!$A$1:$Q$134, 132, FALSE)</f>
        <v>5.7851239669421489E-2</v>
      </c>
      <c r="H12" s="9">
        <f>HLOOKUP(B12,'Yearly returns'!$B$1:$N$140, 133, FALSE)</f>
        <v>6.6115702479338845E-2</v>
      </c>
      <c r="I12" s="9">
        <f>HLOOKUP(B12,'Yearly returns'!$B$1:$N$140, 138, FALSE)</f>
        <v>0.89300000000000002</v>
      </c>
      <c r="J12" s="183">
        <f t="shared" si="0"/>
        <v>17.285714285714285</v>
      </c>
      <c r="K12" s="185">
        <f t="shared" si="1"/>
        <v>100</v>
      </c>
      <c r="L12" s="47">
        <f t="shared" si="2"/>
        <v>100</v>
      </c>
      <c r="M12" s="47">
        <f t="shared" si="3"/>
        <v>100</v>
      </c>
      <c r="N12" s="47">
        <f t="shared" si="4"/>
        <v>8.3999999999999968</v>
      </c>
      <c r="P12">
        <f>L12*Assumption!$E$53 + M12*Assumption!$F$53 + N12*Assumption!$G$53</f>
        <v>54.199999999999996</v>
      </c>
      <c r="R12" cm="1">
        <f t="array" ref="R12">_xlfn.PERCENTRANK.EXC(_xlfn._xlws.FILTER(P$4:P$16, ISNUMBER(P$4:P$16)),P12)*100</f>
        <v>50</v>
      </c>
    </row>
    <row r="13" spans="2:18" x14ac:dyDescent="0.35">
      <c r="B13" t="s">
        <v>865</v>
      </c>
      <c r="C13" t="str" cm="1">
        <f t="array" ref="C13">_xll.FDS(B13,"FG_COMPANY_NAME")</f>
        <v>iShares MSCI France ETF</v>
      </c>
      <c r="D13" s="9">
        <f>HLOOKUP(B13,'Monthly Returns'!$A$1:$Q$134, 127, FALSE)</f>
        <v>-0.36079290000000003</v>
      </c>
      <c r="E13" s="9">
        <f>HLOOKUP(B13,'Monthly Returns'!$A$1:$Q$134, 132, FALSE)</f>
        <v>0.13223140495867769</v>
      </c>
      <c r="H13" s="9">
        <f>HLOOKUP(B13,'Yearly returns'!$B$1:$N$140, 133, FALSE)</f>
        <v>0.1487603305785124</v>
      </c>
      <c r="I13" s="9">
        <f>HLOOKUP(B13,'Yearly returns'!$B$1:$N$140, 138, FALSE)</f>
        <v>0.59</v>
      </c>
      <c r="J13" s="183">
        <f t="shared" si="0"/>
        <v>7.5625</v>
      </c>
      <c r="K13" s="185">
        <f t="shared" si="1"/>
        <v>16.600000000000001</v>
      </c>
      <c r="L13" s="47">
        <f t="shared" si="2"/>
        <v>16.700000000000003</v>
      </c>
      <c r="M13" s="47">
        <f t="shared" si="3"/>
        <v>58.400000000000006</v>
      </c>
      <c r="N13" s="47">
        <f t="shared" si="4"/>
        <v>91.7</v>
      </c>
      <c r="P13">
        <f>L13*Assumption!$E$53 + M13*Assumption!$F$53 + N13*Assumption!$G$53</f>
        <v>64.625</v>
      </c>
      <c r="R13" cm="1">
        <f t="array" ref="R13">_xlfn.PERCENTRANK.EXC(_xlfn._xlws.FILTER(P$4:P$16, ISNUMBER(P$4:P$16)),P13)*100</f>
        <v>64.2</v>
      </c>
    </row>
    <row r="14" spans="2:18" x14ac:dyDescent="0.35">
      <c r="B14" t="s">
        <v>867</v>
      </c>
      <c r="C14" t="str" cm="1">
        <f t="array" ref="C14">_xll.FDS(B14,"FG_COMPANY_NAME")</f>
        <v>iShares MSCI Netherlands ETF</v>
      </c>
      <c r="D14" s="9">
        <f>HLOOKUP(B14,'Monthly Returns'!$A$1:$Q$134, 127, FALSE)</f>
        <v>-0.33072926000000002</v>
      </c>
      <c r="E14" s="9">
        <f>HLOOKUP(B14,'Monthly Returns'!$A$1:$Q$134, 132, FALSE)</f>
        <v>0.11570247933884298</v>
      </c>
      <c r="H14" s="9">
        <f>HLOOKUP(B14,'Yearly returns'!$B$1:$N$140, 133, FALSE)</f>
        <v>0.11570247933884298</v>
      </c>
      <c r="I14" s="9">
        <f>HLOOKUP(B14,'Yearly returns'!$B$1:$N$140, 138, FALSE)</f>
        <v>0.72899999999999998</v>
      </c>
      <c r="J14" s="183">
        <f t="shared" si="0"/>
        <v>8.6428571428571423</v>
      </c>
      <c r="K14" s="185">
        <f t="shared" si="1"/>
        <v>33.300000000000004</v>
      </c>
      <c r="L14" s="47">
        <f t="shared" si="2"/>
        <v>50</v>
      </c>
      <c r="M14" s="47">
        <f t="shared" si="3"/>
        <v>83.399999999999991</v>
      </c>
      <c r="N14" s="47">
        <f t="shared" si="4"/>
        <v>66.7</v>
      </c>
      <c r="P14">
        <f>L14*Assumption!$E$53 + M14*Assumption!$F$53 + N14*Assumption!$G$53</f>
        <v>66.699999999999989</v>
      </c>
      <c r="R14" cm="1">
        <f t="array" ref="R14">_xlfn.PERCENTRANK.EXC(_xlfn._xlws.FILTER(P$4:P$16, ISNUMBER(P$4:P$16)),P14)*100</f>
        <v>71.399999999999991</v>
      </c>
    </row>
    <row r="15" spans="2:18" x14ac:dyDescent="0.35">
      <c r="B15" t="s">
        <v>864</v>
      </c>
      <c r="C15" t="str" cm="1">
        <f t="array" ref="C15">_xll.FDS(B15,"FG_COMPANY_NAME")</f>
        <v>iShares MSCI Sweden ETF</v>
      </c>
      <c r="D15" s="9">
        <f>HLOOKUP(B15,'Monthly Returns'!$A$1:$Q$134, 127, FALSE)</f>
        <v>-0.32753019999999999</v>
      </c>
      <c r="E15" s="9">
        <f>HLOOKUP(B15,'Monthly Returns'!$A$1:$Q$134, 132, FALSE)</f>
        <v>0.11570247933884298</v>
      </c>
      <c r="H15" s="9">
        <f>HLOOKUP(B15,'Yearly returns'!$B$1:$N$140, 133, FALSE)</f>
        <v>0.18181818181818182</v>
      </c>
      <c r="I15" s="9">
        <f>HLOOKUP(B15,'Yearly returns'!$B$1:$N$140, 138, FALSE)</f>
        <v>0.86</v>
      </c>
      <c r="J15" s="183">
        <f t="shared" si="0"/>
        <v>8.6428571428571423</v>
      </c>
      <c r="K15" s="185">
        <f t="shared" si="1"/>
        <v>33.300000000000004</v>
      </c>
      <c r="L15" s="47">
        <f t="shared" si="2"/>
        <v>50</v>
      </c>
      <c r="M15" s="47">
        <f t="shared" si="3"/>
        <v>25</v>
      </c>
      <c r="N15" s="47">
        <f t="shared" si="4"/>
        <v>25</v>
      </c>
      <c r="P15">
        <f>L15*Assumption!$E$53 + M15*Assumption!$F$53 + N15*Assumption!$G$53</f>
        <v>31.25</v>
      </c>
      <c r="R15" cm="1">
        <f t="array" ref="R15">_xlfn.PERCENTRANK.EXC(_xlfn._xlws.FILTER(P$4:P$16, ISNUMBER(P$4:P$16)),P15)*100</f>
        <v>21.4</v>
      </c>
    </row>
    <row r="16" spans="2:18" x14ac:dyDescent="0.35">
      <c r="B16" t="s">
        <v>866</v>
      </c>
      <c r="C16" t="str" cm="1">
        <f t="array" ref="C16">_xll.FDS(B16,"FG_COMPANY_NAME")</f>
        <v>iShares MSCI Italy ETF</v>
      </c>
      <c r="D16" s="9">
        <f>HLOOKUP(B16,'Monthly Returns'!$A$1:$Q$134, 127, FALSE)</f>
        <v>-0.39579160000000002</v>
      </c>
      <c r="E16" s="9">
        <f>HLOOKUP(B16,'Monthly Returns'!$A$1:$Q$134, 132, FALSE)</f>
        <v>0.16528925619834711</v>
      </c>
      <c r="H16" s="9">
        <f>HLOOKUP(B16,'Yearly returns'!$B$1:$N$140, 133, FALSE)</f>
        <v>0.2975206611570248</v>
      </c>
      <c r="I16" s="9">
        <f>HLOOKUP(B16,'Yearly returns'!$B$1:$N$140, 138, FALSE)</f>
        <v>0.745</v>
      </c>
      <c r="J16" s="183">
        <f t="shared" si="0"/>
        <v>6.05</v>
      </c>
      <c r="K16" s="185">
        <f t="shared" si="1"/>
        <v>0</v>
      </c>
      <c r="L16" s="47">
        <f t="shared" si="2"/>
        <v>0</v>
      </c>
      <c r="M16" s="47">
        <f t="shared" si="3"/>
        <v>0</v>
      </c>
      <c r="N16" s="47">
        <f t="shared" si="4"/>
        <v>50</v>
      </c>
      <c r="P16">
        <f>L16*Assumption!$E$53 + M16*Assumption!$F$53 + N16*Assumption!$G$53</f>
        <v>25</v>
      </c>
      <c r="R16" cm="1">
        <f t="array" ref="R16">_xlfn.PERCENTRANK.EXC(_xlfn._xlws.FILTER(P$4:P$16, ISNUMBER(P$4:P$16)),P16)*100</f>
        <v>7.1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1796875" bestFit="1" customWidth="1"/>
    <col min="2" max="2" width="34.4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821</v>
      </c>
      <c r="B4" t="s">
        <v>519</v>
      </c>
      <c r="C4" t="s">
        <v>820</v>
      </c>
      <c r="D4" t="s">
        <v>544</v>
      </c>
      <c r="F4" t="s">
        <v>783</v>
      </c>
      <c r="G4" s="110" t="s">
        <v>818</v>
      </c>
      <c r="H4" s="110" t="s">
        <v>817</v>
      </c>
      <c r="I4" s="110" t="s">
        <v>837</v>
      </c>
      <c r="J4" s="110" t="s">
        <v>819</v>
      </c>
      <c r="S4" s="110" t="s">
        <v>818</v>
      </c>
      <c r="T4" s="110" t="s">
        <v>817</v>
      </c>
      <c r="U4" s="110" t="s">
        <v>837</v>
      </c>
      <c r="V4" s="110" t="s">
        <v>819</v>
      </c>
    </row>
    <row r="5" spans="1:22" x14ac:dyDescent="0.3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0.70399999999999996</v>
      </c>
      <c r="G5" s="141" cm="1">
        <f t="array" ref="G5">_xll.FDSZ(C5,"FG_PRICE(0)")</f>
        <v>48.12</v>
      </c>
      <c r="H5" s="141" cm="1">
        <f t="array" ref="H5">_xll.FDSZ(C5,"FG_PRICE_MAVG(0,,,,30)")</f>
        <v>46.28219</v>
      </c>
      <c r="I5" s="141" cm="1">
        <f t="array" ref="I5">_xll.FDSZ(C5,"FG_PRICE_MAVG(0,,,,60)")</f>
        <v>45.990974000000001</v>
      </c>
      <c r="J5" s="141" cm="1">
        <f t="array" ref="J5">_xll.FDSZ(C5,"FG_PRICE_MAVG(0,,,,200)")</f>
        <v>45.799683000000002</v>
      </c>
      <c r="L5">
        <f>IF($G5&gt;H5, 1, 0)</f>
        <v>1</v>
      </c>
      <c r="M5">
        <f>IF($G5&gt;I5, 1, 0)</f>
        <v>1</v>
      </c>
      <c r="N5">
        <f>IF($G5&gt;J5, 1, 0)</f>
        <v>1</v>
      </c>
      <c r="P5">
        <f>SUM(L5:N5)</f>
        <v>3</v>
      </c>
      <c r="R5" t="s">
        <v>839</v>
      </c>
      <c r="S5" s="7" cm="1">
        <f t="array" ref="S5">_xll.FDSZ($R5,"FG_PRICE(0)")</f>
        <v>410.29935</v>
      </c>
      <c r="T5" s="7" cm="1">
        <f t="array" ref="T5">_xll.FDSZ($R5,"FG_PRICE(0)")</f>
        <v>410.29935</v>
      </c>
      <c r="U5" s="7" cm="1">
        <f t="array" ref="U5">_xll.FDSZ($R5,"FG_PRICE(0)")</f>
        <v>410.29935</v>
      </c>
      <c r="V5" s="7" cm="1">
        <f t="array" ref="V5">_xll.FDSZ($R5,"FG_PRICE(0)")</f>
        <v>410.29935</v>
      </c>
    </row>
    <row r="6" spans="1:22" x14ac:dyDescent="0.3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0.22900000000000001</v>
      </c>
      <c r="G6" s="141" cm="1">
        <f t="array" ref="G6">_xll.FDSZ(C6,"FG_PRICE(0)")</f>
        <v>24.95</v>
      </c>
      <c r="H6" s="141" cm="1">
        <f t="array" ref="H6">_xll.FDSZ(C6,"FG_PRICE_MAVG(0,,,,30)")</f>
        <v>24.664999999999999</v>
      </c>
      <c r="I6" s="141" cm="1">
        <f t="array" ref="I6">_xll.FDSZ(C6,"FG_PRICE_MAVG(0,,,,60)")</f>
        <v>24.592500000000001</v>
      </c>
      <c r="J6" s="141" cm="1">
        <f t="array" ref="J6">_xll.FDSZ(C6,"FG_PRICE_MAVG(0,,,,200)")</f>
        <v>23.903749999999999</v>
      </c>
      <c r="L6">
        <f t="shared" ref="L6:L17" si="0">IF($G6&gt;H6, 1, 0)</f>
        <v>1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3</v>
      </c>
      <c r="R6" t="s">
        <v>840</v>
      </c>
      <c r="S6" s="7" cm="1">
        <f t="array" ref="S6">_xll.FDSZ($R6,"FG_PRICE(0)")</f>
        <v>368.07574</v>
      </c>
      <c r="T6" s="7" cm="1">
        <f t="array" ref="T6">_xll.FDSZ($R6,"FG_PRICE(0)")</f>
        <v>368.07574</v>
      </c>
      <c r="U6" s="7" cm="1">
        <f t="array" ref="U6">_xll.FDSZ($R6,"FG_PRICE(0)")</f>
        <v>368.07574</v>
      </c>
      <c r="V6" s="7" cm="1">
        <f t="array" ref="V6">_xll.FDSZ($R6,"FG_PRICE(0)")</f>
        <v>368.07574</v>
      </c>
    </row>
    <row r="7" spans="1:22" x14ac:dyDescent="0.3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0.45900000000000002</v>
      </c>
      <c r="G7" s="141" cm="1">
        <f t="array" ref="G7">_xll.FDSZ(C7,"FG_PRICE(0)")</f>
        <v>39.270000000000003</v>
      </c>
      <c r="H7" s="141" cm="1">
        <f t="array" ref="H7">_xll.FDSZ(C7,"FG_PRICE_MAVG(0,,,,30)")</f>
        <v>38.170333999999997</v>
      </c>
      <c r="I7" s="141" cm="1">
        <f t="array" ref="I7">_xll.FDSZ(C7,"FG_PRICE_MAVG(0,,,,60)")</f>
        <v>37.755665</v>
      </c>
      <c r="J7" s="141" cm="1">
        <f t="array" ref="J7">_xll.FDSZ(C7,"FG_PRICE_MAVG(0,,,,200)")</f>
        <v>36.844549999999998</v>
      </c>
      <c r="L7">
        <f t="shared" si="0"/>
        <v>1</v>
      </c>
      <c r="M7">
        <f t="shared" si="1"/>
        <v>1</v>
      </c>
      <c r="N7">
        <f t="shared" si="2"/>
        <v>1</v>
      </c>
      <c r="P7">
        <f t="shared" si="3"/>
        <v>3</v>
      </c>
      <c r="R7" t="s">
        <v>841</v>
      </c>
      <c r="S7" s="7" cm="1">
        <f t="array" ref="S7">_xll.FDSZ($R7,"FG_PRICE(0)")</f>
        <v>301.60876000000002</v>
      </c>
      <c r="T7" s="7" cm="1">
        <f t="array" ref="T7">_xll.FDSZ($R7,"FG_PRICE(0)")</f>
        <v>301.60876000000002</v>
      </c>
      <c r="U7" s="7" cm="1">
        <f t="array" ref="U7">_xll.FDSZ($R7,"FG_PRICE(0)")</f>
        <v>301.60876000000002</v>
      </c>
      <c r="V7" s="7" cm="1">
        <f t="array" ref="V7">_xll.FDSZ($R7,"FG_PRICE(0)")</f>
        <v>301.60876000000002</v>
      </c>
    </row>
    <row r="8" spans="1:22" x14ac:dyDescent="0.3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0.38500000000000001</v>
      </c>
      <c r="G8" s="141" cm="1">
        <f t="array" ref="G8">_xll.FDSZ(C8,"FG_PRICE(0)")</f>
        <v>31.4</v>
      </c>
      <c r="H8" s="141" cm="1">
        <f t="array" ref="H8">_xll.FDSZ(C8,"FG_PRICE_MAVG(0,,,,30)")</f>
        <v>30.852333000000002</v>
      </c>
      <c r="I8" s="141" cm="1">
        <f t="array" ref="I8">_xll.FDSZ(C8,"FG_PRICE_MAVG(0,,,,60)")</f>
        <v>31.034834</v>
      </c>
      <c r="J8" s="141" cm="1">
        <f t="array" ref="J8">_xll.FDSZ(C8,"FG_PRICE_MAVG(0,,,,200)")</f>
        <v>30.134399999999999</v>
      </c>
      <c r="L8">
        <f t="shared" si="0"/>
        <v>1</v>
      </c>
      <c r="M8">
        <f t="shared" si="1"/>
        <v>1</v>
      </c>
      <c r="N8">
        <f t="shared" si="2"/>
        <v>1</v>
      </c>
      <c r="P8">
        <f t="shared" si="3"/>
        <v>3</v>
      </c>
      <c r="R8" t="s">
        <v>838</v>
      </c>
      <c r="S8" s="7" cm="1">
        <f t="array" ref="S8">_xll.FDSZ($R8,"FG_PRICE(0)")</f>
        <v>9.7924170000000004</v>
      </c>
      <c r="T8" s="7" cm="1">
        <f t="array" ref="T8">_xll.FDSZ($R8,"FG_PRICE(0)")</f>
        <v>9.7924170000000004</v>
      </c>
      <c r="U8" s="7" cm="1">
        <f t="array" ref="U8">_xll.FDSZ($R8,"FG_PRICE(0)")</f>
        <v>9.7924170000000004</v>
      </c>
      <c r="V8" s="7" cm="1">
        <f t="array" ref="V8">_xll.FDSZ($R8,"FG_PRICE(0)")</f>
        <v>9.7924170000000004</v>
      </c>
    </row>
    <row r="9" spans="1:22" x14ac:dyDescent="0.3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0.155</v>
      </c>
      <c r="G9" s="141" cm="1">
        <f t="array" ref="G9">_xll.FDSZ(C9,"FG_PRICE(0)")</f>
        <v>69.37</v>
      </c>
      <c r="H9" s="141" cm="1">
        <f t="array" ref="H9">_xll.FDSZ(C9,"FG_PRICE_MAVG(0,,,,30)")</f>
        <v>68.533000000000001</v>
      </c>
      <c r="I9" s="141" cm="1">
        <f t="array" ref="I9">_xll.FDSZ(C9,"FG_PRICE_MAVG(0,,,,60)")</f>
        <v>68.314499999999995</v>
      </c>
      <c r="J9" s="141" cm="1">
        <f t="array" ref="J9">_xll.FDSZ(C9,"FG_PRICE_MAVG(0,,,,200)")</f>
        <v>66.913799999999995</v>
      </c>
      <c r="L9">
        <f t="shared" si="0"/>
        <v>1</v>
      </c>
      <c r="M9">
        <f t="shared" si="1"/>
        <v>1</v>
      </c>
      <c r="N9">
        <f t="shared" si="2"/>
        <v>1</v>
      </c>
      <c r="P9">
        <f t="shared" si="3"/>
        <v>3</v>
      </c>
      <c r="R9" t="s">
        <v>842</v>
      </c>
      <c r="S9" s="7" cm="1">
        <f t="array" ref="S9">_xll.FDSZ($R9,"FG_PRICE(0)")</f>
        <v>177.98276000000001</v>
      </c>
      <c r="T9" s="7" cm="1">
        <f t="array" ref="T9">_xll.FDSZ($R9,"FG_PRICE(0)")</f>
        <v>177.98276000000001</v>
      </c>
      <c r="U9" s="7" cm="1">
        <f t="array" ref="U9">_xll.FDSZ($R9,"FG_PRICE(0)")</f>
        <v>177.98276000000001</v>
      </c>
      <c r="V9" s="7" cm="1">
        <f t="array" ref="V9">_xll.FDSZ($R9,"FG_PRICE(0)")</f>
        <v>177.98276000000001</v>
      </c>
    </row>
    <row r="10" spans="1:22" x14ac:dyDescent="0.3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0.66300000000000003</v>
      </c>
      <c r="G10" s="141" cm="1">
        <f t="array" ref="G10">_xll.FDSZ(C10,"FG_PRICE(0)")</f>
        <v>50.76</v>
      </c>
      <c r="H10" s="141" cm="1">
        <f t="array" ref="H10">_xll.FDSZ(C10,"FG_PRICE_MAVG(0,,,,30)")</f>
        <v>49.645332000000003</v>
      </c>
      <c r="I10" s="141" cm="1">
        <f t="array" ref="I10">_xll.FDSZ(C10,"FG_PRICE_MAVG(0,,,,60)")</f>
        <v>49.249169999999999</v>
      </c>
      <c r="J10" s="141" cm="1">
        <f t="array" ref="J10">_xll.FDSZ(C10,"FG_PRICE_MAVG(0,,,,200)")</f>
        <v>47.375900000000001</v>
      </c>
      <c r="L10">
        <f t="shared" si="0"/>
        <v>1</v>
      </c>
      <c r="M10">
        <f t="shared" si="1"/>
        <v>1</v>
      </c>
      <c r="N10">
        <f t="shared" si="2"/>
        <v>1</v>
      </c>
      <c r="P10">
        <f t="shared" si="3"/>
        <v>3</v>
      </c>
      <c r="R10" t="s">
        <v>843</v>
      </c>
      <c r="S10" s="7" cm="1">
        <f t="array" ref="S10">_xll.FDSZ($R10,"FG_PRICE(0)")</f>
        <v>346.14947999999998</v>
      </c>
      <c r="T10" s="7" cm="1">
        <f t="array" ref="T10">_xll.FDSZ($R10,"FG_PRICE(0)")</f>
        <v>346.14947999999998</v>
      </c>
      <c r="U10" s="7" cm="1">
        <f t="array" ref="U10">_xll.FDSZ($R10,"FG_PRICE(0)")</f>
        <v>346.14947999999998</v>
      </c>
      <c r="V10" s="7" cm="1">
        <f t="array" ref="V10">_xll.FDSZ($R10,"FG_PRICE(0)")</f>
        <v>346.14947999999998</v>
      </c>
    </row>
    <row r="11" spans="1:22" x14ac:dyDescent="0.3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0.59</v>
      </c>
      <c r="G11" s="141" cm="1">
        <f t="array" ref="G11">_xll.FDSZ(C11,"FG_PRICE(0)")</f>
        <v>36.49</v>
      </c>
      <c r="H11" s="141" cm="1">
        <f t="array" ref="H11">_xll.FDSZ(C11,"FG_PRICE_MAVG(0,,,,30)")</f>
        <v>35.622</v>
      </c>
      <c r="I11" s="141" cm="1">
        <f t="array" ref="I11">_xll.FDSZ(C11,"FG_PRICE_MAVG(0,,,,60)")</f>
        <v>35.586834000000003</v>
      </c>
      <c r="J11" s="141" cm="1">
        <f t="array" ref="J11">_xll.FDSZ(C11,"FG_PRICE_MAVG(0,,,,200)")</f>
        <v>33.906700000000001</v>
      </c>
      <c r="L11">
        <f t="shared" si="0"/>
        <v>1</v>
      </c>
      <c r="M11">
        <f t="shared" si="1"/>
        <v>1</v>
      </c>
      <c r="N11">
        <f t="shared" si="2"/>
        <v>1</v>
      </c>
      <c r="P11">
        <f t="shared" si="3"/>
        <v>3</v>
      </c>
      <c r="R11" t="s">
        <v>844</v>
      </c>
      <c r="S11" s="7" cm="1">
        <f t="array" ref="S11">_xll.FDSZ($R11,"FG_PRICE(0)")</f>
        <v>131.34503000000001</v>
      </c>
      <c r="T11" s="7" cm="1">
        <f t="array" ref="T11">_xll.FDSZ($R11,"FG_PRICE(0)")</f>
        <v>131.34503000000001</v>
      </c>
      <c r="U11" s="7" cm="1">
        <f t="array" ref="U11">_xll.FDSZ($R11,"FG_PRICE(0)")</f>
        <v>131.34503000000001</v>
      </c>
      <c r="V11" s="7" cm="1">
        <f t="array" ref="V11">_xll.FDSZ($R11,"FG_PRICE(0)")</f>
        <v>131.34503000000001</v>
      </c>
    </row>
    <row r="12" spans="1:22" x14ac:dyDescent="0.3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0.122</v>
      </c>
      <c r="G12" s="141" cm="1">
        <f t="array" ref="G12">_xll.FDSZ(C12,"FG_PRICE(0)")</f>
        <v>475.03</v>
      </c>
      <c r="H12" s="141" cm="1">
        <f t="array" ref="H12">_xll.FDSZ(C12,"FG_PRICE_MAVG(0,,,,30)")</f>
        <v>469.88567999999998</v>
      </c>
      <c r="I12" s="141" cm="1">
        <f t="array" ref="I12">_xll.FDSZ(C12,"FG_PRICE_MAVG(0,,,,60)")</f>
        <v>470.41649999999998</v>
      </c>
      <c r="J12" s="141" cm="1">
        <f t="array" ref="J12">_xll.FDSZ(C12,"FG_PRICE_MAVG(0,,,,200)")</f>
        <v>434.48394999999999</v>
      </c>
      <c r="L12">
        <f t="shared" si="0"/>
        <v>1</v>
      </c>
      <c r="M12">
        <f t="shared" si="1"/>
        <v>1</v>
      </c>
      <c r="N12">
        <f t="shared" si="2"/>
        <v>1</v>
      </c>
      <c r="P12">
        <f t="shared" si="3"/>
        <v>3</v>
      </c>
      <c r="R12" t="s">
        <v>845</v>
      </c>
      <c r="S12" s="7" cm="1">
        <f t="array" ref="S12">_xll.FDSZ($R12,"FG_PRICE(0)")</f>
        <v>415.21503000000001</v>
      </c>
      <c r="T12" s="7" cm="1">
        <f t="array" ref="T12">_xll.FDSZ($R12,"FG_PRICE(0)")</f>
        <v>415.21503000000001</v>
      </c>
      <c r="U12" s="7" cm="1">
        <f t="array" ref="U12">_xll.FDSZ($R12,"FG_PRICE(0)")</f>
        <v>415.21503000000001</v>
      </c>
      <c r="V12" s="7" cm="1">
        <f t="array" ref="V12">_xll.FDSZ($R12,"FG_PRICE(0)")</f>
        <v>415.21503000000001</v>
      </c>
    </row>
    <row r="13" spans="1:22" x14ac:dyDescent="0.3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0.17199999999999999</v>
      </c>
      <c r="G13" s="141" cm="1">
        <f t="array" ref="G13">_xll.FDSZ(C13,"FG_PRICE(0)")</f>
        <v>554.30999999999995</v>
      </c>
      <c r="H13" s="141" cm="1">
        <f t="array" ref="H13">_xll.FDSZ(C13,"FG_PRICE_MAVG(0,,,,30)")</f>
        <v>545.60429999999997</v>
      </c>
      <c r="I13" s="141" cm="1">
        <f t="array" ref="I13">_xll.FDSZ(C13,"FG_PRICE_MAVG(0,,,,60)")</f>
        <v>542.15329999999994</v>
      </c>
      <c r="J13" s="141" cm="1">
        <f t="array" ref="J13">_xll.FDSZ(C13,"FG_PRICE_MAVG(0,,,,200)")</f>
        <v>505.14400000000001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845</v>
      </c>
      <c r="S13" s="7" cm="1">
        <f t="array" ref="S13">_xll.FDSZ($R13,"FG_PRICE(0)")</f>
        <v>415.21503000000001</v>
      </c>
      <c r="T13" s="7" cm="1">
        <f t="array" ref="T13">_xll.FDSZ($R13,"FG_PRICE(0)")</f>
        <v>415.21503000000001</v>
      </c>
      <c r="U13" s="7" cm="1">
        <f t="array" ref="U13">_xll.FDSZ($R13,"FG_PRICE(0)")</f>
        <v>415.21503000000001</v>
      </c>
      <c r="V13" s="7" cm="1">
        <f t="array" ref="V13">_xll.FDSZ($R13,"FG_PRICE(0)")</f>
        <v>415.21503000000001</v>
      </c>
    </row>
    <row r="14" spans="1:22" x14ac:dyDescent="0.35">
      <c r="A14" t="s">
        <v>869</v>
      </c>
      <c r="B14" t="str" cm="1">
        <f t="array" ref="B14">_xll.FDS(C14,"FG_COMPANY_NAME")</f>
        <v>iShares MSCI France ETF</v>
      </c>
      <c r="C14" t="s">
        <v>865</v>
      </c>
      <c r="D14" t="s">
        <v>621</v>
      </c>
      <c r="E14" t="s">
        <v>865</v>
      </c>
      <c r="F14" s="9">
        <f>HLOOKUP(E14,'Monthly Returns'!$A$1:$AE$136,134,FALSE)</f>
        <v>0.38500000000000001</v>
      </c>
      <c r="G14" s="141" cm="1">
        <f t="array" ref="G14">_xll.FDSZ(C14,"FG_PRICE(0)")</f>
        <v>38.799999999999997</v>
      </c>
      <c r="H14" s="141" cm="1">
        <f t="array" ref="H14">_xll.FDSZ(C14,"FG_PRICE_MAVG(0,,,,30)")</f>
        <v>38.280665999999997</v>
      </c>
      <c r="I14" s="141" cm="1">
        <f t="array" ref="I14">_xll.FDSZ(C14,"FG_PRICE_MAVG(0,,,,60)")</f>
        <v>39.093165999999997</v>
      </c>
      <c r="J14" s="141" cm="1">
        <f t="array" ref="J14">_xll.FDSZ(C14,"FG_PRICE_MAVG(0,,,,200)")</f>
        <v>39.229027000000002</v>
      </c>
      <c r="L14">
        <f t="shared" si="0"/>
        <v>1</v>
      </c>
      <c r="M14">
        <f t="shared" si="1"/>
        <v>0</v>
      </c>
      <c r="N14">
        <f t="shared" si="2"/>
        <v>0</v>
      </c>
      <c r="P14">
        <f t="shared" si="3"/>
        <v>1</v>
      </c>
      <c r="R14" t="s">
        <v>845</v>
      </c>
      <c r="S14" s="7" cm="1">
        <f t="array" ref="S14">_xll.FDSZ($R14,"FG_PRICE(0)")</f>
        <v>415.21503000000001</v>
      </c>
      <c r="T14" s="7" cm="1">
        <f t="array" ref="T14">_xll.FDSZ($R14,"FG_PRICE(0)")</f>
        <v>415.21503000000001</v>
      </c>
      <c r="U14" s="7" cm="1">
        <f t="array" ref="U14">_xll.FDSZ($R14,"FG_PRICE(0)")</f>
        <v>415.21503000000001</v>
      </c>
      <c r="V14" s="7" cm="1">
        <f t="array" ref="V14">_xll.FDSZ($R14,"FG_PRICE(0)")</f>
        <v>415.21503000000001</v>
      </c>
    </row>
    <row r="15" spans="1:22" x14ac:dyDescent="0.35">
      <c r="A15" t="s">
        <v>870</v>
      </c>
      <c r="B15" t="str" cm="1">
        <f t="array" ref="B15">_xll.FDS(C15,"FG_COMPANY_NAME")</f>
        <v>iShares MSCI Netherlands ETF</v>
      </c>
      <c r="C15" t="s">
        <v>867</v>
      </c>
      <c r="D15" t="s">
        <v>673</v>
      </c>
      <c r="E15" t="s">
        <v>867</v>
      </c>
      <c r="F15" s="9">
        <f>HLOOKUP(E15,'Monthly Returns'!$A$1:$AE$136,134,FALSE)</f>
        <v>0.13100000000000001</v>
      </c>
      <c r="G15" s="141" cm="1">
        <f t="array" ref="G15">_xll.FDSZ(C15,"FG_PRICE(0)")</f>
        <v>49.81</v>
      </c>
      <c r="H15" s="141" cm="1">
        <f t="array" ref="H15">_xll.FDSZ(C15,"FG_PRICE_MAVG(0,,,,30)")</f>
        <v>49.357334000000002</v>
      </c>
      <c r="I15" s="141" cm="1">
        <f t="array" ref="I15">_xll.FDSZ(C15,"FG_PRICE_MAVG(0,,,,60)")</f>
        <v>50.276584999999997</v>
      </c>
      <c r="J15" s="141" cm="1">
        <f t="array" ref="J15">_xll.FDSZ(C15,"FG_PRICE_MAVG(0,,,,200)")</f>
        <v>47.269660000000002</v>
      </c>
      <c r="L15">
        <f t="shared" si="0"/>
        <v>1</v>
      </c>
      <c r="M15">
        <f t="shared" si="1"/>
        <v>0</v>
      </c>
      <c r="N15">
        <f t="shared" si="2"/>
        <v>1</v>
      </c>
      <c r="P15">
        <f t="shared" si="3"/>
        <v>2</v>
      </c>
      <c r="R15" t="s">
        <v>845</v>
      </c>
      <c r="S15" s="7" cm="1">
        <f t="array" ref="S15">_xll.FDSZ($R15,"FG_PRICE(0)")</f>
        <v>415.21503000000001</v>
      </c>
      <c r="T15" s="7" cm="1">
        <f t="array" ref="T15">_xll.FDSZ($R15,"FG_PRICE(0)")</f>
        <v>415.21503000000001</v>
      </c>
      <c r="U15" s="7" cm="1">
        <f t="array" ref="U15">_xll.FDSZ($R15,"FG_PRICE(0)")</f>
        <v>415.21503000000001</v>
      </c>
      <c r="V15" s="7" cm="1">
        <f t="array" ref="V15">_xll.FDSZ($R15,"FG_PRICE(0)")</f>
        <v>415.21503000000001</v>
      </c>
    </row>
    <row r="16" spans="1:22" x14ac:dyDescent="0.35">
      <c r="A16" t="s">
        <v>273</v>
      </c>
      <c r="B16" t="str" cm="1">
        <f t="array" ref="B16">_xll.FDS(C16,"FG_COMPANY_NAME")</f>
        <v>iShares MSCI Sweden ETF</v>
      </c>
      <c r="C16" t="s">
        <v>864</v>
      </c>
      <c r="D16" t="s">
        <v>705</v>
      </c>
      <c r="E16" t="s">
        <v>864</v>
      </c>
      <c r="F16" s="9">
        <f>HLOOKUP(E16,'Monthly Returns'!$A$1:$AE$136,134,FALSE)</f>
        <v>0.27800000000000002</v>
      </c>
      <c r="G16" s="141" cm="1">
        <f t="array" ref="G16">_xll.FDSZ(C16,"FG_PRICE(0)")</f>
        <v>40.26</v>
      </c>
      <c r="H16" s="141" cm="1">
        <f t="array" ref="H16">_xll.FDSZ(C16,"FG_PRICE_MAVG(0,,,,30)")</f>
        <v>39.789332999999999</v>
      </c>
      <c r="I16" s="141" cm="1">
        <f t="array" ref="I16">_xll.FDSZ(C16,"FG_PRICE_MAVG(0,,,,60)")</f>
        <v>40.44</v>
      </c>
      <c r="J16" s="141" cm="1">
        <f t="array" ref="J16">_xll.FDSZ(C16,"FG_PRICE_MAVG(0,,,,200)")</f>
        <v>38.898623999999998</v>
      </c>
      <c r="L16">
        <f t="shared" si="0"/>
        <v>1</v>
      </c>
      <c r="M16">
        <f t="shared" si="1"/>
        <v>0</v>
      </c>
      <c r="N16">
        <f t="shared" si="2"/>
        <v>1</v>
      </c>
      <c r="P16">
        <f t="shared" si="3"/>
        <v>2</v>
      </c>
      <c r="R16" t="s">
        <v>845</v>
      </c>
      <c r="S16" s="7" cm="1">
        <f t="array" ref="S16">_xll.FDSZ($R16,"FG_PRICE(0)")</f>
        <v>415.21503000000001</v>
      </c>
      <c r="T16" s="7" cm="1">
        <f t="array" ref="T16">_xll.FDSZ($R16,"FG_PRICE(0)")</f>
        <v>415.21503000000001</v>
      </c>
      <c r="U16" s="7" cm="1">
        <f t="array" ref="U16">_xll.FDSZ($R16,"FG_PRICE(0)")</f>
        <v>415.21503000000001</v>
      </c>
      <c r="V16" s="7" cm="1">
        <f t="array" ref="V16">_xll.FDSZ($R16,"FG_PRICE(0)")</f>
        <v>415.21503000000001</v>
      </c>
    </row>
    <row r="17" spans="1:22" x14ac:dyDescent="0.35">
      <c r="A17" t="s">
        <v>868</v>
      </c>
      <c r="B17" t="str" cm="1">
        <f t="array" ref="B17">_xll.FDS(C17,"FG_COMPANY_NAME")</f>
        <v>iShares MSCI Italy ETF</v>
      </c>
      <c r="C17" t="s">
        <v>866</v>
      </c>
      <c r="D17" t="s">
        <v>641</v>
      </c>
      <c r="E17" t="s">
        <v>866</v>
      </c>
      <c r="F17" s="9">
        <f>HLOOKUP(E17,'Monthly Returns'!$A$1:$AE$136,134,FALSE)</f>
        <v>0.33600000000000002</v>
      </c>
      <c r="G17" s="141" cm="1">
        <f t="array" ref="G17">_xll.FDSZ(C17,"FG_PRICE(0)")</f>
        <v>37.21</v>
      </c>
      <c r="H17" s="141" cm="1">
        <f t="array" ref="H17">_xll.FDSZ(C17,"FG_PRICE_MAVG(0,,,,30)")</f>
        <v>36.811</v>
      </c>
      <c r="I17" s="141" cm="1">
        <f t="array" ref="I17">_xll.FDSZ(C17,"FG_PRICE_MAVG(0,,,,60)")</f>
        <v>37.055332</v>
      </c>
      <c r="J17" s="141" cm="1">
        <f t="array" ref="J17">_xll.FDSZ(C17,"FG_PRICE_MAVG(0,,,,200)")</f>
        <v>35.563200000000002</v>
      </c>
      <c r="L17">
        <f t="shared" si="0"/>
        <v>1</v>
      </c>
      <c r="M17">
        <f t="shared" si="1"/>
        <v>1</v>
      </c>
      <c r="N17">
        <f t="shared" si="2"/>
        <v>1</v>
      </c>
      <c r="P17">
        <f t="shared" si="3"/>
        <v>3</v>
      </c>
      <c r="R17" t="s">
        <v>845</v>
      </c>
      <c r="S17" s="7" cm="1">
        <f t="array" ref="S17">_xll.FDSZ($R17,"FG_PRICE(0)")</f>
        <v>415.21503000000001</v>
      </c>
      <c r="T17" s="7" cm="1">
        <f t="array" ref="T17">_xll.FDSZ($R17,"FG_PRICE(0)")</f>
        <v>415.21503000000001</v>
      </c>
      <c r="U17" s="7" cm="1">
        <f t="array" ref="U17">_xll.FDSZ($R17,"FG_PRICE(0)")</f>
        <v>415.21503000000001</v>
      </c>
      <c r="V17" s="7" cm="1">
        <f t="array" ref="V17">_xll.FDSZ($R17,"FG_PRICE(0)")</f>
        <v>415.21503000000001</v>
      </c>
    </row>
    <row r="19" spans="1:22" x14ac:dyDescent="0.35">
      <c r="K19" s="1" t="s">
        <v>906</v>
      </c>
      <c r="L19" s="1">
        <f>SUM(L5:L17)</f>
        <v>13</v>
      </c>
      <c r="M19" s="1">
        <f t="shared" ref="M19:N19" si="4">SUM(M5:M17)</f>
        <v>10</v>
      </c>
      <c r="N19" s="1">
        <f t="shared" si="4"/>
        <v>12</v>
      </c>
    </row>
    <row r="20" spans="1:22" x14ac:dyDescent="0.3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88</v>
      </c>
      <c r="L22" s="182">
        <f>L19/L20</f>
        <v>1</v>
      </c>
      <c r="M22" s="182">
        <f t="shared" ref="M22:N22" si="6">M19/M20</f>
        <v>0.76923076923076927</v>
      </c>
      <c r="N22" s="182">
        <f t="shared" si="6"/>
        <v>0.92307692307692313</v>
      </c>
    </row>
    <row r="23" spans="1:22" x14ac:dyDescent="0.35">
      <c r="A23" t="s">
        <v>865</v>
      </c>
      <c r="B23" t="s">
        <v>869</v>
      </c>
      <c r="C23" t="str" cm="1">
        <f t="array" ref="C23">_xll.FDS(A23,"FG_COMPANY_NAME")</f>
        <v>iShares MSCI France ETF</v>
      </c>
      <c r="D23" t="s">
        <v>865</v>
      </c>
    </row>
    <row r="24" spans="1:22" x14ac:dyDescent="0.35">
      <c r="A24" t="s">
        <v>867</v>
      </c>
      <c r="B24" t="s">
        <v>870</v>
      </c>
      <c r="C24" t="str" cm="1">
        <f t="array" ref="C24">_xll.FDS(A24,"FG_COMPANY_NAME")</f>
        <v>iShares MSCI Netherlands ETF</v>
      </c>
      <c r="D24" t="s">
        <v>867</v>
      </c>
    </row>
    <row r="25" spans="1:22" x14ac:dyDescent="0.35">
      <c r="A25" t="s">
        <v>864</v>
      </c>
      <c r="B25" t="s">
        <v>273</v>
      </c>
      <c r="C25" t="str" cm="1">
        <f t="array" ref="C25">_xll.FDS(A25,"FG_COMPANY_NAME")</f>
        <v>iShares MSCI Sweden ETF</v>
      </c>
      <c r="D25" t="s">
        <v>864</v>
      </c>
    </row>
    <row r="26" spans="1:22" x14ac:dyDescent="0.35">
      <c r="A26" t="s">
        <v>866</v>
      </c>
      <c r="B26" t="s">
        <v>868</v>
      </c>
      <c r="C26" t="str" cm="1">
        <f t="array" ref="C26">_xll.FDS(A26,"FG_COMPANY_NAME")</f>
        <v>iShares MSCI Italy ETF</v>
      </c>
      <c r="D26" t="s">
        <v>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 t="s">
        <v>789</v>
      </c>
      <c r="H2" t="s">
        <v>790</v>
      </c>
      <c r="I2" t="s">
        <v>791</v>
      </c>
      <c r="J2" t="s">
        <v>792</v>
      </c>
      <c r="S2" t="s">
        <v>793</v>
      </c>
    </row>
    <row r="3" spans="1:20" x14ac:dyDescent="0.35">
      <c r="A3" t="s">
        <v>794</v>
      </c>
      <c r="B3" t="s">
        <v>795</v>
      </c>
      <c r="C3" cm="1">
        <f t="array" ref="C3">_xll.FDS($A3,"FG_PRICE(0)")</f>
        <v>98.55</v>
      </c>
      <c r="D3" cm="1">
        <f t="array" ref="D3">_xll.FDS($A3,"FG_PRICE_MAVG(0,,,,30)")</f>
        <v>105.49366999999999</v>
      </c>
      <c r="E3" s="47" cm="1">
        <f t="array" ref="E3">_xll.FDS($A3,"FG_PRICE_CHANGE(0,-1AM)")</f>
        <v>-9.9094981259712895</v>
      </c>
      <c r="F3" s="47" cm="1">
        <f t="array" ref="F3">_xll.FDS($A3,"FG_PRICE_CHANGE(0,-3AM)")</f>
        <v>-15.661103979460799</v>
      </c>
      <c r="G3" s="47" cm="1">
        <f t="array" ref="G3">_xll.FDS($A3,"FG_PRICE_CHANGE(0,-6AM)")</f>
        <v>-23.776007425168199</v>
      </c>
      <c r="H3" s="47" cm="1">
        <f t="array" ref="H3">_xll.FDS($A3,"FG_PRICE_CHANGE(0,-1AY)")</f>
        <v>-5.9727125274305903</v>
      </c>
      <c r="I3" s="47" cm="1">
        <f t="array" ref="I3">_xll.FDS($A3,"FG_PRICE(0)/MAX(FG_PRICE(0,-1AY))")</f>
        <v>0.68361542730299696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1</v>
      </c>
      <c r="T3">
        <f>S3</f>
        <v>1</v>
      </c>
    </row>
    <row r="4" spans="1:20" x14ac:dyDescent="0.35">
      <c r="A4" t="s">
        <v>796</v>
      </c>
      <c r="B4" t="s">
        <v>797</v>
      </c>
      <c r="C4" cm="1">
        <f t="array" ref="C4">_xll.FDS($A4,"FG_PRICE(0)")</f>
        <v>4.1275000000000004</v>
      </c>
      <c r="D4" cm="1">
        <f t="array" ref="D4">_xll.FDS($A4,"FG_PRICE_MAVG(0,,,,30)")</f>
        <v>4.2030000000000003</v>
      </c>
      <c r="E4" s="47" cm="1">
        <f t="array" ref="E4">_xll.FDS($A4,"FG_PRICE_CHANGE(0,-1AM)")</f>
        <v>-7.1219621962196102</v>
      </c>
      <c r="F4" s="47" cm="1">
        <f t="array" ref="F4">_xll.FDS($A4,"FG_PRICE_CHANGE(0,-3AM)")</f>
        <v>-15.6275551921504</v>
      </c>
      <c r="G4" s="47" cm="1">
        <f t="array" ref="G4">_xll.FDS($A4,"FG_PRICE_CHANGE(0,-6AM)")</f>
        <v>7.5429911412193897</v>
      </c>
      <c r="H4" s="47" cm="1">
        <f t="array" ref="H4">_xll.FDS($A4,"FG_PRICE_CHANGE(0,-1AY)")</f>
        <v>13.035738737505101</v>
      </c>
      <c r="I4" s="47" cm="1">
        <f t="array" ref="I4">_xll.FDS($A4,"FG_PRICE(0)/MAX(FG_PRICE(0,-1AY))")</f>
        <v>0.80630982613791802</v>
      </c>
      <c r="J4" cm="1">
        <f t="array" ref="J4">_xll.FDS($A4,"MAX(FG_PRICE(0,-5AY))")</f>
        <v>5.1189999999999998</v>
      </c>
      <c r="P4" t="s">
        <v>27</v>
      </c>
      <c r="Q4" t="s">
        <v>433</v>
      </c>
      <c r="R4" t="s">
        <v>27</v>
      </c>
      <c r="S4">
        <f>IF(E4&lt;$C$19, 1, IF(E4&gt;$C$20,-1,0))</f>
        <v>1</v>
      </c>
      <c r="T4">
        <f t="shared" ref="T4:T5" si="0">S4</f>
        <v>1</v>
      </c>
    </row>
    <row r="5" spans="1:20" x14ac:dyDescent="0.35">
      <c r="A5" t="s">
        <v>798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-1.20814635830169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0</v>
      </c>
      <c r="T5">
        <f t="shared" si="0"/>
        <v>0</v>
      </c>
    </row>
    <row r="6" spans="1:20" x14ac:dyDescent="0.35">
      <c r="A6" t="s">
        <v>799</v>
      </c>
      <c r="B6" t="s">
        <v>800</v>
      </c>
      <c r="C6" cm="1">
        <f t="array" ref="C6">_xll.FDS($A6,"FG_PRICE(0)")</f>
        <v>5.3</v>
      </c>
      <c r="D6" cm="1">
        <f t="array" ref="D6">_xll.FDS($A6,"FG_PRICE_MAVG(0,,,,30)")</f>
        <v>5.3784165000000002</v>
      </c>
      <c r="E6" s="47" cm="1">
        <f t="array" ref="E6">_xll.FDS($A6,"FG_PRICE_CHANGE(0,-1AM)")</f>
        <v>-0.141309467734341</v>
      </c>
      <c r="F6" s="47" cm="1">
        <f t="array" ref="F6">_xll.FDS($A6,"FG_PRICE_CHANGE(0,-3AM)")</f>
        <v>-20.0904636260837</v>
      </c>
      <c r="G6" s="47" cm="1">
        <f t="array" ref="G6">_xll.FDS($A6,"FG_PRICE_CHANGE(0,-6AM)")</f>
        <v>-5.4415700267618297</v>
      </c>
      <c r="H6" s="47" cm="1">
        <f t="array" ref="H6">_xll.FDS($A6,"FG_PRICE_CHANGE(0,-1AY)")</f>
        <v>-11.3341698034295</v>
      </c>
      <c r="I6" s="47" cm="1">
        <f t="array" ref="I6">_xll.FDS($A6,"FG_PRICE(0)/MAX(FG_PRICE(0,-1AY))")</f>
        <v>0.75687254551945704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35">
      <c r="A7" t="s">
        <v>801</v>
      </c>
      <c r="B7" t="s">
        <v>802</v>
      </c>
      <c r="C7" cm="1">
        <f t="array" ref="C7">_xll.FDS($A7,"FG_PRICE(0)")</f>
        <v>3872</v>
      </c>
      <c r="D7" cm="1">
        <f t="array" ref="D7">_xll.FDS($A7,"FG_PRICE_MAVG(0,,,,30)")</f>
        <v>3957.1333</v>
      </c>
      <c r="E7" s="47" cm="1">
        <f t="array" ref="E7">_xll.FDS($A7,"FG_PRICE_CHANGE(0,-1AM)")</f>
        <v>-2.3701462430660598</v>
      </c>
      <c r="F7" s="47" cm="1">
        <f t="array" ref="F7">_xll.FDS($A7,"FG_PRICE_CHANGE(0,-3AM)")</f>
        <v>1.2817159298979901</v>
      </c>
      <c r="G7" s="47" cm="1">
        <f t="array" ref="G7">_xll.FDS($A7,"FG_PRICE_CHANGE(0,-6AM)")</f>
        <v>-0.97186700767263301</v>
      </c>
      <c r="H7" s="47" cm="1">
        <f t="array" ref="H7">_xll.FDS($A7,"FG_PRICE_CHANGE(0,-1AY)")</f>
        <v>1.4941022280471801</v>
      </c>
      <c r="I7" s="47" cm="1">
        <f t="array" ref="I7">_xll.FDS($A7,"FG_PRICE(0)/MAX(FG_PRICE(0,-1AY))")</f>
        <v>0.84559947586809303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35">
      <c r="A8" t="s">
        <v>803</v>
      </c>
      <c r="B8" t="s">
        <v>804</v>
      </c>
      <c r="C8" cm="1">
        <f t="array" ref="C8">_xll.FDS($A8,"FG_PRICE(0)")</f>
        <v>945</v>
      </c>
      <c r="D8" cm="1">
        <f t="array" ref="D8">_xll.FDS($A8,"FG_PRICE_MAVG(0,,,,30)")</f>
        <v>964.1</v>
      </c>
      <c r="E8" s="47" cm="1">
        <f t="array" ref="E8">_xll.FDS($A8,"FG_PRICE_CHANGE(0,-1AM)")</f>
        <v>-4.1582150101419897</v>
      </c>
      <c r="F8" s="47" cm="1">
        <f t="array" ref="F8">_xll.FDS($A8,"FG_PRICE_CHANGE(0,-3AM)")</f>
        <v>-11.350844277673501</v>
      </c>
      <c r="G8" s="47" cm="1">
        <f t="array" ref="G8">_xll.FDS($A8,"FG_PRICE_CHANGE(0,-6AM)")</f>
        <v>5</v>
      </c>
      <c r="H8" s="47" cm="1">
        <f t="array" ref="H8">_xll.FDS($A8,"FG_PRICE_CHANGE(0,-1AY)")</f>
        <v>5.5865921787709496</v>
      </c>
      <c r="I8" s="47" cm="1">
        <f t="array" ref="I8">_xll.FDS($A8,"FG_PRICE(0)/MAX(FG_PRICE(0,-1AY))")</f>
        <v>0.88400374181478003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35">
      <c r="A9" t="s">
        <v>805</v>
      </c>
      <c r="B9" t="s">
        <v>806</v>
      </c>
      <c r="C9" cm="1">
        <f t="array" ref="C9">_xll.FDS($A9,"FG_PRICE(0)")</f>
        <v>15905</v>
      </c>
      <c r="D9" cm="1">
        <f t="array" ref="D9">_xll.FDS($A9,"FG_PRICE_MAVG(0,,,,30)")</f>
        <v>16114.5</v>
      </c>
      <c r="E9" s="47" cm="1">
        <f t="array" ref="E9">_xll.FDS($A9,"FG_PRICE_CHANGE(0,-1AM)")</f>
        <v>-3.2248250684514801</v>
      </c>
      <c r="F9" s="47" cm="1">
        <f t="array" ref="F9">_xll.FDS($A9,"FG_PRICE_CHANGE(0,-3AM)")</f>
        <v>-17.739850012929899</v>
      </c>
      <c r="G9" s="47" cm="1">
        <f t="array" ref="G9">_xll.FDS($A9,"FG_PRICE_CHANGE(0,-6AM)")</f>
        <v>-1.14978247358608</v>
      </c>
      <c r="H9" s="47" cm="1">
        <f t="array" ref="H9">_xll.FDS($A9,"FG_PRICE_CHANGE(0,-1AY)")</f>
        <v>-19.8740554156171</v>
      </c>
      <c r="I9" s="47" cm="1">
        <f t="array" ref="I9">_xll.FDS($A9,"FG_PRICE(0)/MAX(FG_PRICE(0,-1AY))")</f>
        <v>0.74759106933020003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0</v>
      </c>
      <c r="T9">
        <f t="shared" ref="T9" si="1">S9</f>
        <v>0</v>
      </c>
    </row>
    <row r="10" spans="1:20" x14ac:dyDescent="0.35">
      <c r="A10" t="s">
        <v>807</v>
      </c>
      <c r="B10" t="s">
        <v>808</v>
      </c>
      <c r="C10" cm="1">
        <f t="array" ref="C10">_xll.FDS($A10,"FG_PRICE(0)")</f>
        <v>944</v>
      </c>
      <c r="D10" cm="1">
        <f t="array" ref="D10">_xll.FDS($A10,"FG_PRICE_MAVG(0,,,,30)")</f>
        <v>943.3</v>
      </c>
      <c r="E10" s="47" cm="1">
        <f t="array" ref="E10">_xll.FDS($A10,"FG_PRICE_CHANGE(0,-1AM)")</f>
        <v>-0.63157894736841602</v>
      </c>
      <c r="F10" s="47" cm="1">
        <f t="array" ref="F10">_xll.FDS($A10,"FG_PRICE_CHANGE(0,-3AM)")</f>
        <v>-7.8125</v>
      </c>
      <c r="G10" s="47" cm="1">
        <f t="array" ref="G10">_xll.FDS($A10,"FG_PRICE_CHANGE(0,-6AM)")</f>
        <v>-1.15183246073298</v>
      </c>
      <c r="H10" s="47" cm="1">
        <f t="array" ref="H10">_xll.FDS($A10,"FG_PRICE_CHANGE(0,-1AY)")</f>
        <v>-23.3766233766234</v>
      </c>
      <c r="I10" s="47" cm="1">
        <f t="array" ref="I10">_xll.FDS($A10,"FG_PRICE(0)/MAX(FG_PRICE(0,-1AY))")</f>
        <v>0.72337164750957805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809</v>
      </c>
      <c r="C11" cm="1">
        <f t="array" ref="C11">_xll.FDS($A11,"FG_PRICE(0)")</f>
        <v>516.70000000000005</v>
      </c>
      <c r="D11" cm="1">
        <f t="array" ref="D11">_xll.FDS($A11,"FG_PRICE_MAVG(0,,,,30)")</f>
        <v>534.33330000000001</v>
      </c>
      <c r="E11" s="47" cm="1">
        <f t="array" ref="E11">_xll.FDS($A11,"FG_PRICE_CHANGE(0,-1AM)")</f>
        <v>-10.2795624240319</v>
      </c>
      <c r="F11" s="47" cm="1">
        <f t="array" ref="F11">_xll.FDS($A11,"FG_PRICE_CHANGE(0,-3AM)")</f>
        <v>-3.6367027228645998</v>
      </c>
      <c r="G11" s="47" cm="1">
        <f t="array" ref="G11">_xll.FDS($A11,"FG_PRICE_CHANGE(0,-6AM)")</f>
        <v>-19.050603164656099</v>
      </c>
      <c r="H11" s="47" cm="1">
        <f t="array" ref="H11">_xll.FDS($A11,"FG_PRICE_CHANGE(0,-1AY)")</f>
        <v>-26.354047890535899</v>
      </c>
      <c r="I11" s="47" cm="1">
        <f t="array" ref="I11">_xll.FDS($A11,"FG_PRICE(0)/MAX(FG_PRICE(0,-1AY))")</f>
        <v>0.676840450615667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810</v>
      </c>
      <c r="B12" t="s">
        <v>811</v>
      </c>
      <c r="C12" cm="1">
        <f t="array" ref="C12">_xll.FDS($A12,"FG_PRICE(0)")</f>
        <v>0.88307000000000002</v>
      </c>
      <c r="D12" cm="1">
        <f t="array" ref="D12">_xll.FDS($A12,"FG_PRICE_MAVG(0,,,,30)")</f>
        <v>0.90866166000000004</v>
      </c>
      <c r="E12" s="47" cm="1">
        <f t="array" ref="E12">_xll.FDS($A12,"FG_PRICE_CHANGE(0,-1AM)")</f>
        <v>-5.0462365591397802</v>
      </c>
      <c r="F12" s="47" cm="1">
        <f t="array" ref="F12">_xll.FDS($A12,"FG_PRICE_CHANGE(0,-3AM)")</f>
        <v>-8.3734773719520597</v>
      </c>
      <c r="G12" s="47" cm="1">
        <f t="array" ref="G12">_xll.FDS($A12,"FG_PRICE_CHANGE(0,-6AM)")</f>
        <v>-9.0669349202555392</v>
      </c>
      <c r="H12" s="47" cm="1">
        <f t="array" ref="H12">_xll.FDS($A12,"FG_PRICE_CHANGE(0,-1AY)")</f>
        <v>-8.6782498555307193</v>
      </c>
      <c r="I12" s="47" cm="1">
        <f t="array" ref="I12">_xll.FDS($A12,"FG_PRICE(0)/MAX(FG_PRICE(0,-1AY))")</f>
        <v>0.84910576923076897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1</v>
      </c>
      <c r="T13">
        <f t="shared" ref="T13:T23" si="2">S13</f>
        <v>1</v>
      </c>
    </row>
    <row r="14" spans="1:20" x14ac:dyDescent="0.35">
      <c r="P14" t="s">
        <v>22</v>
      </c>
      <c r="Q14" t="s">
        <v>439</v>
      </c>
      <c r="R14" t="s">
        <v>22</v>
      </c>
    </row>
    <row r="15" spans="1:20" x14ac:dyDescent="0.35">
      <c r="P15" t="s">
        <v>28</v>
      </c>
      <c r="Q15" t="s">
        <v>440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441</v>
      </c>
      <c r="R18" t="s">
        <v>31</v>
      </c>
    </row>
    <row r="19" spans="2:20" x14ac:dyDescent="0.35">
      <c r="B19" t="s">
        <v>813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35">
      <c r="B20" t="s">
        <v>814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35">
      <c r="P21" t="s">
        <v>34</v>
      </c>
      <c r="Q21" t="s">
        <v>443</v>
      </c>
      <c r="R21" t="s">
        <v>34</v>
      </c>
      <c r="S21" s="1"/>
    </row>
    <row r="22" spans="2:20" x14ac:dyDescent="0.35">
      <c r="P22" t="s">
        <v>37</v>
      </c>
      <c r="Q22" t="s">
        <v>444</v>
      </c>
      <c r="R22" t="s">
        <v>37</v>
      </c>
    </row>
    <row r="23" spans="2:20" x14ac:dyDescent="0.3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431</v>
      </c>
      <c r="Q24" t="s">
        <v>446</v>
      </c>
      <c r="R24" t="s">
        <v>431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447</v>
      </c>
      <c r="R30" t="s">
        <v>48</v>
      </c>
    </row>
    <row r="31" spans="2:20" x14ac:dyDescent="0.35">
      <c r="P31" t="s">
        <v>51</v>
      </c>
      <c r="Q31" t="s">
        <v>448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_xll.FDS(B1,"JULIAN(FMA_DIV_YLD(LTMA,-10AY,0,AM,""PORTAGG"",""MEANR"").dates)")</f>
        <v>41866</v>
      </c>
      <c r="B2" s="3" cm="1">
        <f t="array" ref="B2:B122">_xll.FDS(B1,"FMA_PE(LTMA,-10AY,0,AM,""PORTAGG"",""MEANR"")")</f>
        <v>17.91548203036</v>
      </c>
      <c r="C2" s="3" cm="1">
        <f t="array" ref="C2:C122">_xll.FDS(C1,"FMA_PE(LTMA,-10AY,0,AM,""PORTAGG"",""MEANR"")")</f>
        <v>15.371225532892799</v>
      </c>
      <c r="D2" s="3" cm="1">
        <f t="array" ref="D2:D122">_xll.FDS(D1,"FMA_PE(LTMA,-10AY,0,AM,""PORTAGG"",""MEANR"")")</f>
        <v>16.319267185431698</v>
      </c>
      <c r="E2" s="3" cm="1">
        <f t="array" ref="E2:E122">_xll.FDS(E1,"FMA_PE(LTMA,-10AY,0,AM,""PORTAGG"",""MEANR"")")</f>
        <v>13.892845959771799</v>
      </c>
      <c r="F2" s="3" cm="1">
        <f t="array" ref="F2:F122">_xll.FDS(F1,"FMA_PE(LTMA,-10AY,0,AM,""PORTAGG"",""MEANR"")")</f>
        <v>15.061032571280499</v>
      </c>
      <c r="G2" s="3" cm="1">
        <f t="array" ref="G2:G122">_xll.FDS(G1,"FMA_PE(LTMA,-10AY,0,AM,""PORTAGG"",""MEANR"")")</f>
        <v>17.088286802036599</v>
      </c>
      <c r="H2" s="3" cm="1">
        <f t="array" ref="H2:H122">_xll.FDS(H1,"FMA_PE(LTMA,-10AY,0,AM,""PORTAGG"",""MEANR"")")</f>
        <v>14.158518346815001</v>
      </c>
      <c r="I2" s="3" cm="1">
        <f t="array" ref="I2:I122">_xll.FDS(I1,"FMA_PE(LTMA,-10AY,0,AM,""PORTAGG"",""MEANR"")")</f>
        <v>19.1861699893287</v>
      </c>
      <c r="J2" s="3" cm="1">
        <f t="array" ref="J2:J122">_xll.FDS(J1,"FMA_PE(LTMA,-10AY,0,AM,""PORTAGG"",""MEANR"")")</f>
        <v>16.273149728353999</v>
      </c>
      <c r="K2" s="3" cm="1">
        <f t="array" ref="K2:K122">_xll.FDS(K1,"FMA_PE(LTMA,-10AY,0,AM,""PORTAGG"",""MEANR"")")</f>
        <v>15.073004984053</v>
      </c>
      <c r="L2" s="3" cm="1">
        <f t="array" ref="L2:L122">_xll.FDS(L1,"FMA_PE(LTMA,-10AY,0,AM,""PORTAGG"",""MEANR"")")</f>
        <v>16.1897218337818</v>
      </c>
      <c r="M2" s="3" cm="1">
        <f t="array" ref="M2:M122">_xll.FDS(M1,"FMA_PE(LTMA,-10AY,0,AM,""PORTAGG"",""MEANR"")")</f>
        <v>15.8467368467113</v>
      </c>
      <c r="N2" s="3" cm="1">
        <f t="array" ref="N2:N122">_xll.FDS(N1,"FMA_PE(LTMA,-10AY,0,AM,""PORTAGG"",""MEANR"")")</f>
        <v>16.689013657587601</v>
      </c>
    </row>
    <row r="3" spans="1:14" x14ac:dyDescent="0.35">
      <c r="A3" s="2">
        <v>41898</v>
      </c>
      <c r="B3" s="3">
        <v>17.830431176201301</v>
      </c>
      <c r="C3" s="3">
        <v>15.0750111252304</v>
      </c>
      <c r="D3" s="3">
        <v>16.4270345126519</v>
      </c>
      <c r="E3" s="3">
        <v>14.235945963844999</v>
      </c>
      <c r="F3" s="3">
        <v>15.21820114666</v>
      </c>
      <c r="G3" s="3">
        <v>17.406884076341299</v>
      </c>
      <c r="H3" s="3">
        <v>14.1457013355292</v>
      </c>
      <c r="I3" s="3">
        <v>19.390088855221698</v>
      </c>
      <c r="J3" s="3">
        <v>16.537337868685</v>
      </c>
      <c r="K3" s="3">
        <v>15.4356810322396</v>
      </c>
      <c r="L3" s="3">
        <v>16.6877854928651</v>
      </c>
      <c r="M3" s="3">
        <v>15.9558625735944</v>
      </c>
      <c r="N3" s="3">
        <v>17.883183164679402</v>
      </c>
    </row>
    <row r="4" spans="1:14" x14ac:dyDescent="0.35">
      <c r="A4" s="2">
        <v>41928</v>
      </c>
      <c r="B4" s="3">
        <v>17.6117183089885</v>
      </c>
      <c r="C4" s="3">
        <v>14.734092383718901</v>
      </c>
      <c r="D4" s="3">
        <v>15.1961178616978</v>
      </c>
      <c r="E4" s="3">
        <v>13.0065018792119</v>
      </c>
      <c r="F4" s="3">
        <v>14.2081279245576</v>
      </c>
      <c r="G4" s="3">
        <v>16.2035021232996</v>
      </c>
      <c r="H4" s="3">
        <v>13.1973723136622</v>
      </c>
      <c r="I4" s="3">
        <v>18.244576291160101</v>
      </c>
      <c r="J4" s="3">
        <v>15.684575221764399</v>
      </c>
      <c r="K4" s="3">
        <v>14.136398400602101</v>
      </c>
      <c r="L4" s="3">
        <v>15.466837240214399</v>
      </c>
      <c r="M4" s="3">
        <v>14.9543258481942</v>
      </c>
      <c r="N4" s="3">
        <v>15.933549439292699</v>
      </c>
    </row>
    <row r="5" spans="1:14" x14ac:dyDescent="0.35">
      <c r="A5" s="2">
        <v>41957</v>
      </c>
      <c r="B5" s="3">
        <v>18.7856298745461</v>
      </c>
      <c r="C5" s="3">
        <v>15.1098108753778</v>
      </c>
      <c r="D5" s="3">
        <v>15.815458758919499</v>
      </c>
      <c r="E5" s="3">
        <v>13.631444946116799</v>
      </c>
      <c r="F5" s="3">
        <v>15.982576754669701</v>
      </c>
      <c r="G5" s="3">
        <v>17.470997398329299</v>
      </c>
      <c r="H5" s="3">
        <v>13.8915771326427</v>
      </c>
      <c r="I5" s="3">
        <v>20.0326641392295</v>
      </c>
      <c r="J5" s="3">
        <v>16.893600919097398</v>
      </c>
      <c r="K5" s="3">
        <v>14.87478269779</v>
      </c>
      <c r="L5" s="3">
        <v>17.260240168834201</v>
      </c>
      <c r="M5" s="3">
        <v>16.6901899666018</v>
      </c>
      <c r="N5" s="3">
        <v>17.354713470084299</v>
      </c>
    </row>
    <row r="6" spans="1:14" x14ac:dyDescent="0.35">
      <c r="A6" s="2">
        <v>41989</v>
      </c>
      <c r="B6" s="3">
        <v>18.9054410639603</v>
      </c>
      <c r="C6" s="3">
        <v>13.990545561306</v>
      </c>
      <c r="D6" s="3">
        <v>14.863275939857401</v>
      </c>
      <c r="E6" s="3">
        <v>13.977255418479899</v>
      </c>
      <c r="F6" s="3">
        <v>15.138918773759301</v>
      </c>
      <c r="G6" s="3">
        <v>16.996785330474399</v>
      </c>
      <c r="H6" s="3">
        <v>13.347241315316801</v>
      </c>
      <c r="I6" s="3">
        <v>19.437729111684199</v>
      </c>
      <c r="J6" s="3">
        <v>16.504337258431701</v>
      </c>
      <c r="K6" s="3">
        <v>14.5486477510934</v>
      </c>
      <c r="L6" s="3">
        <v>16.961768181230202</v>
      </c>
      <c r="M6" s="3">
        <v>17.048064177246001</v>
      </c>
      <c r="N6" s="3">
        <v>17.9245860486613</v>
      </c>
    </row>
    <row r="7" spans="1:14" x14ac:dyDescent="0.35">
      <c r="A7" s="2">
        <v>42020</v>
      </c>
      <c r="B7" s="3">
        <v>19.417833128354101</v>
      </c>
      <c r="C7" s="3">
        <v>14.4967175436913</v>
      </c>
      <c r="D7" s="3">
        <v>15.289376963440899</v>
      </c>
      <c r="E7" s="3">
        <v>14.805503885188701</v>
      </c>
      <c r="F7" s="3">
        <v>15.345766396041601</v>
      </c>
      <c r="G7" s="3">
        <v>16.014746713951499</v>
      </c>
      <c r="H7" s="3">
        <v>13.626945151973199</v>
      </c>
      <c r="I7" s="3">
        <v>19.535213360567301</v>
      </c>
      <c r="J7" s="3">
        <v>16.9591436776908</v>
      </c>
      <c r="K7" s="3">
        <v>15.3428384201067</v>
      </c>
      <c r="L7" s="3">
        <v>18.090362975048599</v>
      </c>
      <c r="M7" s="3">
        <v>17.5544061642548</v>
      </c>
      <c r="N7" s="3">
        <v>19.9002375160191</v>
      </c>
    </row>
    <row r="8" spans="1:14" x14ac:dyDescent="0.35">
      <c r="A8" s="2">
        <v>42048</v>
      </c>
      <c r="B8" s="3">
        <v>20.017002944026501</v>
      </c>
      <c r="C8" s="3">
        <v>15.992758416720999</v>
      </c>
      <c r="D8" s="3">
        <v>16.652474664029199</v>
      </c>
      <c r="E8" s="3">
        <v>15.8521558227276</v>
      </c>
      <c r="F8" s="3">
        <v>16.061630638816599</v>
      </c>
      <c r="G8" s="3">
        <v>17.334918024213799</v>
      </c>
      <c r="H8" s="3">
        <v>14.660163515819599</v>
      </c>
      <c r="I8" s="3">
        <v>20.503105924457198</v>
      </c>
      <c r="J8" s="3">
        <v>17.549487542970599</v>
      </c>
      <c r="K8" s="3">
        <v>16.714979955750302</v>
      </c>
      <c r="L8" s="3">
        <v>19.233606824607101</v>
      </c>
      <c r="M8" s="3">
        <v>19.805548147586101</v>
      </c>
      <c r="N8" s="3">
        <v>42.469796285180898</v>
      </c>
    </row>
    <row r="9" spans="1:14" x14ac:dyDescent="0.35">
      <c r="A9" s="2">
        <v>42079</v>
      </c>
      <c r="B9" s="3">
        <v>20.440172121380499</v>
      </c>
      <c r="C9" s="3">
        <v>16.142590902965999</v>
      </c>
      <c r="D9" s="3">
        <v>17.018442150164802</v>
      </c>
      <c r="E9" s="3">
        <v>16.616570011885401</v>
      </c>
      <c r="F9" s="3">
        <v>16.916656321340302</v>
      </c>
      <c r="G9" s="3">
        <v>17.999217545531</v>
      </c>
      <c r="H9" s="3">
        <v>15.160326762595799</v>
      </c>
      <c r="I9" s="3">
        <v>20.617982908358201</v>
      </c>
      <c r="J9" s="3">
        <v>17.5430314028849</v>
      </c>
      <c r="K9" s="3">
        <v>17.586632817808901</v>
      </c>
      <c r="L9" s="3">
        <v>20.138986328273901</v>
      </c>
      <c r="M9" s="3">
        <v>20.157673153749698</v>
      </c>
      <c r="N9" s="3">
        <v>43.796808735494103</v>
      </c>
    </row>
    <row r="10" spans="1:14" x14ac:dyDescent="0.35">
      <c r="A10" s="2">
        <v>42110</v>
      </c>
      <c r="B10" s="3">
        <v>20.217977327848899</v>
      </c>
      <c r="C10" s="3">
        <v>16.3988907253907</v>
      </c>
      <c r="D10" s="3">
        <v>17.268298286445699</v>
      </c>
      <c r="E10" s="3">
        <v>16.493235237353101</v>
      </c>
      <c r="F10" s="3">
        <v>16.9301573254941</v>
      </c>
      <c r="G10" s="3">
        <v>18.2192925407691</v>
      </c>
      <c r="H10" s="3">
        <v>15.5228280600933</v>
      </c>
      <c r="I10" s="3">
        <v>20.4758049215094</v>
      </c>
      <c r="J10" s="3">
        <v>17.563365395945201</v>
      </c>
      <c r="K10" s="3">
        <v>17.673458709401601</v>
      </c>
      <c r="L10" s="3">
        <v>19.917043852917299</v>
      </c>
      <c r="M10" s="3">
        <v>19.821947463227801</v>
      </c>
      <c r="N10" s="3">
        <v>41.027666106593699</v>
      </c>
    </row>
    <row r="11" spans="1:14" x14ac:dyDescent="0.35">
      <c r="A11" s="2">
        <v>42139</v>
      </c>
      <c r="B11" s="3">
        <v>19.999759491271998</v>
      </c>
      <c r="C11" s="3">
        <v>16.307634433263701</v>
      </c>
      <c r="D11" s="3">
        <v>17.227991158614198</v>
      </c>
      <c r="E11" s="3">
        <v>16.053881164598899</v>
      </c>
      <c r="F11" s="3">
        <v>16.967318960269399</v>
      </c>
      <c r="G11" s="3">
        <v>18.0596897370386</v>
      </c>
      <c r="H11" s="3">
        <v>15.706076298140999</v>
      </c>
      <c r="I11" s="3">
        <v>20.3364625893627</v>
      </c>
      <c r="J11" s="3">
        <v>17.5736238276499</v>
      </c>
      <c r="K11" s="3">
        <v>17.425042599934201</v>
      </c>
      <c r="L11" s="3">
        <v>19.5093799629052</v>
      </c>
      <c r="M11" s="3">
        <v>19.111407417898601</v>
      </c>
      <c r="N11" s="3">
        <v>38.344963392634902</v>
      </c>
    </row>
    <row r="12" spans="1:14" x14ac:dyDescent="0.35">
      <c r="A12" s="2">
        <v>42171</v>
      </c>
      <c r="B12" s="3">
        <v>19.870616458154601</v>
      </c>
      <c r="C12" s="3">
        <v>15.9804273830329</v>
      </c>
      <c r="D12" s="3">
        <v>17.135760503104201</v>
      </c>
      <c r="E12" s="3">
        <v>15.5666538525806</v>
      </c>
      <c r="F12" s="3">
        <v>16.947483729666601</v>
      </c>
      <c r="G12" s="3">
        <v>17.8807004496018</v>
      </c>
      <c r="H12" s="3">
        <v>15.58702487653</v>
      </c>
      <c r="I12" s="3">
        <v>20.077553129929399</v>
      </c>
      <c r="J12" s="3">
        <v>17.461560878430301</v>
      </c>
      <c r="K12" s="3">
        <v>17.103092009973299</v>
      </c>
      <c r="L12" s="3">
        <v>19.001415623386801</v>
      </c>
      <c r="M12" s="3">
        <v>18.819975153189599</v>
      </c>
      <c r="N12" s="3">
        <v>34.921028064388501</v>
      </c>
    </row>
    <row r="13" spans="1:14" x14ac:dyDescent="0.35">
      <c r="A13" s="2">
        <v>42201</v>
      </c>
      <c r="B13" s="3">
        <v>19.744822221998898</v>
      </c>
      <c r="C13" s="3">
        <v>16.130662921599999</v>
      </c>
      <c r="D13" s="3">
        <v>17.155398208753201</v>
      </c>
      <c r="E13" s="3">
        <v>15.7746553858961</v>
      </c>
      <c r="F13" s="3">
        <v>16.868792844597401</v>
      </c>
      <c r="G13" s="3">
        <v>18.280390018439199</v>
      </c>
      <c r="H13" s="3">
        <v>15.807870812842699</v>
      </c>
      <c r="I13" s="3">
        <v>20.260426488020801</v>
      </c>
      <c r="J13" s="3">
        <v>17.603859108970401</v>
      </c>
      <c r="K13" s="3">
        <v>17.4074524152145</v>
      </c>
      <c r="L13" s="3">
        <v>19.284163367327999</v>
      </c>
      <c r="M13" s="3">
        <v>18.833891413301199</v>
      </c>
      <c r="N13" s="3">
        <v>32.579860013951802</v>
      </c>
    </row>
    <row r="14" spans="1:14" x14ac:dyDescent="0.35">
      <c r="A14" s="2">
        <v>42230</v>
      </c>
      <c r="B14" s="3">
        <v>19.354569360213599</v>
      </c>
      <c r="C14" s="3">
        <v>15.7391463649467</v>
      </c>
      <c r="D14" s="3">
        <v>16.958089784626399</v>
      </c>
      <c r="E14" s="3">
        <v>15.0386280276146</v>
      </c>
      <c r="F14" s="3">
        <v>16.789880511372299</v>
      </c>
      <c r="G14" s="3">
        <v>17.984715805653099</v>
      </c>
      <c r="H14" s="3">
        <v>15.6220284400382</v>
      </c>
      <c r="I14" s="3">
        <v>20.243748093949701</v>
      </c>
      <c r="J14" s="3">
        <v>17.470105535320499</v>
      </c>
      <c r="K14" s="3">
        <v>16.8660987859848</v>
      </c>
      <c r="L14" s="3">
        <v>18.3055441095897</v>
      </c>
      <c r="M14" s="3">
        <v>18.331375233661401</v>
      </c>
      <c r="N14" s="3">
        <v>30.010537745157801</v>
      </c>
    </row>
    <row r="15" spans="1:14" x14ac:dyDescent="0.35">
      <c r="A15" s="2">
        <v>42263</v>
      </c>
      <c r="B15" s="3">
        <v>19.083682671328301</v>
      </c>
      <c r="C15" s="3">
        <v>15.3222029732748</v>
      </c>
      <c r="D15" s="3">
        <v>16.722939940381199</v>
      </c>
      <c r="E15" s="3">
        <v>14.1753977303733</v>
      </c>
      <c r="F15" s="3">
        <v>15.3845871301627</v>
      </c>
      <c r="G15" s="3">
        <v>17.458580629423199</v>
      </c>
      <c r="H15" s="3">
        <v>15.276261269864699</v>
      </c>
      <c r="I15" s="3">
        <v>19.6859842949099</v>
      </c>
      <c r="J15" s="3">
        <v>16.924462511515799</v>
      </c>
      <c r="K15" s="3">
        <v>16.034294588953301</v>
      </c>
      <c r="L15" s="3">
        <v>17.244046656424501</v>
      </c>
      <c r="M15" s="3">
        <v>17.172437233431001</v>
      </c>
      <c r="N15" s="3">
        <v>26.524290301485699</v>
      </c>
    </row>
    <row r="16" spans="1:14" x14ac:dyDescent="0.35">
      <c r="A16" s="2">
        <v>42293</v>
      </c>
      <c r="B16" s="3">
        <v>19.1368195551428</v>
      </c>
      <c r="C16" s="3">
        <v>15.673842823258999</v>
      </c>
      <c r="D16" s="3">
        <v>16.953101294358799</v>
      </c>
      <c r="E16" s="3">
        <v>13.9467038416892</v>
      </c>
      <c r="F16" s="3">
        <v>15.491529146970301</v>
      </c>
      <c r="G16" s="3">
        <v>17.527806045658</v>
      </c>
      <c r="H16" s="3">
        <v>15.7571704215956</v>
      </c>
      <c r="I16" s="3">
        <v>19.752297790997201</v>
      </c>
      <c r="J16" s="3">
        <v>17.1847933276884</v>
      </c>
      <c r="K16" s="3">
        <v>15.9960417350144</v>
      </c>
      <c r="L16" s="3">
        <v>17.095165143146701</v>
      </c>
      <c r="M16" s="3">
        <v>16.742666425336299</v>
      </c>
      <c r="N16" s="3">
        <v>24.2645142485921</v>
      </c>
    </row>
    <row r="17" spans="1:14" x14ac:dyDescent="0.35">
      <c r="A17" s="2">
        <v>42324</v>
      </c>
      <c r="B17" s="3">
        <v>19.2940373651046</v>
      </c>
      <c r="C17" s="3">
        <v>14.968926832308201</v>
      </c>
      <c r="D17" s="3">
        <v>16.586020801387701</v>
      </c>
      <c r="E17" s="3">
        <v>14.355319729460801</v>
      </c>
      <c r="F17" s="3">
        <v>16.018040461289001</v>
      </c>
      <c r="G17" s="3">
        <v>17.2518684280131</v>
      </c>
      <c r="H17" s="3">
        <v>15.469205565971</v>
      </c>
      <c r="I17" s="3">
        <v>20.021082000661799</v>
      </c>
      <c r="J17" s="3">
        <v>17.230859684802802</v>
      </c>
      <c r="K17" s="3">
        <v>16.0525224525061</v>
      </c>
      <c r="L17" s="3">
        <v>17.7304318431209</v>
      </c>
      <c r="M17" s="3">
        <v>16.576124436508799</v>
      </c>
      <c r="N17" s="3">
        <v>21.925627044555899</v>
      </c>
    </row>
    <row r="18" spans="1:14" x14ac:dyDescent="0.35">
      <c r="A18" s="2">
        <v>42354</v>
      </c>
      <c r="B18" s="3">
        <v>19.431338229764499</v>
      </c>
      <c r="C18" s="3">
        <v>15.152460583593401</v>
      </c>
      <c r="D18" s="3">
        <v>16.413799115727301</v>
      </c>
      <c r="E18" s="3">
        <v>13.8394652685847</v>
      </c>
      <c r="F18" s="3">
        <v>15.6169226650516</v>
      </c>
      <c r="G18" s="3">
        <v>17.185013692279401</v>
      </c>
      <c r="H18" s="3">
        <v>15.2836827774575</v>
      </c>
      <c r="I18" s="3">
        <v>20.4044781024763</v>
      </c>
      <c r="J18" s="3">
        <v>17.3600143656938</v>
      </c>
      <c r="K18" s="3">
        <v>15.484296906528</v>
      </c>
      <c r="L18" s="3">
        <v>17.0663526988765</v>
      </c>
      <c r="M18" s="3">
        <v>16.056039630052599</v>
      </c>
      <c r="N18" s="3">
        <v>19.045180631966701</v>
      </c>
    </row>
    <row r="19" spans="1:14" x14ac:dyDescent="0.35">
      <c r="A19" s="2">
        <v>42384</v>
      </c>
      <c r="B19" s="3">
        <v>19.2866706508681</v>
      </c>
      <c r="C19" s="3">
        <v>14.688911328528601</v>
      </c>
      <c r="D19" s="3">
        <v>14.614080256696999</v>
      </c>
      <c r="E19" s="3">
        <v>12.434742956048</v>
      </c>
      <c r="F19" s="3">
        <v>14.318579786696899</v>
      </c>
      <c r="G19" s="3">
        <v>16.079632055310501</v>
      </c>
      <c r="H19" s="3">
        <v>14.521775842277</v>
      </c>
      <c r="I19" s="3">
        <v>18.263432883592799</v>
      </c>
      <c r="J19" s="3">
        <v>15.776711047748501</v>
      </c>
      <c r="K19" s="3">
        <v>14.0278255720747</v>
      </c>
      <c r="L19" s="3">
        <v>15.432246166966699</v>
      </c>
      <c r="M19" s="3">
        <v>14.3421430706431</v>
      </c>
      <c r="N19" s="3">
        <v>16.144303011085501</v>
      </c>
    </row>
    <row r="20" spans="1:14" x14ac:dyDescent="0.35">
      <c r="A20" s="2">
        <v>42416</v>
      </c>
      <c r="B20" s="3">
        <v>18.9530711917171</v>
      </c>
      <c r="C20" s="3">
        <v>15.041100456349699</v>
      </c>
      <c r="D20" s="3">
        <v>15.1776425740984</v>
      </c>
      <c r="E20" s="3">
        <v>12.1282791103047</v>
      </c>
      <c r="F20" s="3">
        <v>13.596419154267799</v>
      </c>
      <c r="G20" s="3">
        <v>16.399313651884199</v>
      </c>
      <c r="H20" s="3">
        <v>14.6318530421771</v>
      </c>
      <c r="I20" s="3">
        <v>17.985234574342201</v>
      </c>
      <c r="J20" s="3">
        <v>16.2966838906097</v>
      </c>
      <c r="K20" s="3">
        <v>14.3700980426644</v>
      </c>
      <c r="L20" s="3">
        <v>15.264759122267201</v>
      </c>
      <c r="M20" s="3">
        <v>14.7432067654417</v>
      </c>
      <c r="N20" s="3">
        <v>14.994517040411299</v>
      </c>
    </row>
    <row r="21" spans="1:14" x14ac:dyDescent="0.35">
      <c r="A21" s="2">
        <v>42445</v>
      </c>
      <c r="B21" s="3">
        <v>19.346348516512801</v>
      </c>
      <c r="C21" s="3">
        <v>15.130618771676399</v>
      </c>
      <c r="D21" s="3">
        <v>15.9798451268357</v>
      </c>
      <c r="E21" s="3">
        <v>12.7621582469798</v>
      </c>
      <c r="F21" s="3">
        <v>13.8870820654403</v>
      </c>
      <c r="G21" s="3">
        <v>16.634840443848301</v>
      </c>
      <c r="H21" s="3">
        <v>15.668857191313</v>
      </c>
      <c r="I21" s="3">
        <v>18.293402553918799</v>
      </c>
      <c r="J21" s="3">
        <v>16.188193427520002</v>
      </c>
      <c r="K21" s="3">
        <v>15.195483300079699</v>
      </c>
      <c r="L21" s="3">
        <v>16.421755049417499</v>
      </c>
      <c r="M21" s="3">
        <v>15.623537675408199</v>
      </c>
      <c r="N21" s="3">
        <v>15.4391193653531</v>
      </c>
    </row>
    <row r="22" spans="1:14" x14ac:dyDescent="0.35">
      <c r="A22" s="2">
        <v>42475</v>
      </c>
      <c r="B22" s="3">
        <v>19.464336126866499</v>
      </c>
      <c r="C22" s="3">
        <v>15.277632226235699</v>
      </c>
      <c r="D22" s="3">
        <v>16.1416154074434</v>
      </c>
      <c r="E22" s="3">
        <v>12.842965995313</v>
      </c>
      <c r="F22" s="3">
        <v>13.8661892851473</v>
      </c>
      <c r="G22" s="3">
        <v>16.806592096390499</v>
      </c>
      <c r="H22" s="3">
        <v>15.9393670751932</v>
      </c>
      <c r="I22" s="3">
        <v>18.476385481340401</v>
      </c>
      <c r="J22" s="3">
        <v>16.445215307047398</v>
      </c>
      <c r="K22" s="3">
        <v>15.235073097571901</v>
      </c>
      <c r="L22" s="3">
        <v>16.394344971526898</v>
      </c>
      <c r="M22" s="3">
        <v>15.6474832747269</v>
      </c>
      <c r="N22" s="3">
        <v>15.2829594089</v>
      </c>
    </row>
    <row r="23" spans="1:14" x14ac:dyDescent="0.35">
      <c r="A23" s="2">
        <v>42506</v>
      </c>
      <c r="B23" s="3">
        <v>19.619665627364199</v>
      </c>
      <c r="C23" s="3">
        <v>15.684966815594301</v>
      </c>
      <c r="D23" s="3">
        <v>16.5364536344069</v>
      </c>
      <c r="E23" s="3">
        <v>12.7924202541773</v>
      </c>
      <c r="F23" s="3">
        <v>13.8446212613597</v>
      </c>
      <c r="G23" s="3">
        <v>16.841725123558799</v>
      </c>
      <c r="H23" s="3">
        <v>15.8793565388084</v>
      </c>
      <c r="I23" s="3">
        <v>18.392363765393899</v>
      </c>
      <c r="J23" s="3">
        <v>16.565182572190999</v>
      </c>
      <c r="K23" s="3">
        <v>15.052012349564601</v>
      </c>
      <c r="L23" s="3">
        <v>16.128027546211101</v>
      </c>
      <c r="M23" s="3">
        <v>15.4429262470632</v>
      </c>
      <c r="N23" s="3">
        <v>15.4528088824277</v>
      </c>
    </row>
    <row r="24" spans="1:14" x14ac:dyDescent="0.35">
      <c r="A24" s="2">
        <v>42537</v>
      </c>
      <c r="B24" s="3">
        <v>19.649773957203099</v>
      </c>
      <c r="C24" s="3">
        <v>15.5121894297094</v>
      </c>
      <c r="D24" s="3">
        <v>16.6298498763935</v>
      </c>
      <c r="E24" s="3">
        <v>12.5398626095884</v>
      </c>
      <c r="F24" s="3">
        <v>13.620921066455001</v>
      </c>
      <c r="G24" s="3">
        <v>16.687482158483402</v>
      </c>
      <c r="H24" s="3">
        <v>15.6649281587461</v>
      </c>
      <c r="I24" s="3">
        <v>18.4786327785902</v>
      </c>
      <c r="J24" s="3">
        <v>16.745738637785099</v>
      </c>
      <c r="K24" s="3">
        <v>14.7013576963997</v>
      </c>
      <c r="L24" s="3">
        <v>15.7097840906727</v>
      </c>
      <c r="M24" s="3">
        <v>15.13813574604</v>
      </c>
      <c r="N24" s="3">
        <v>14.5082970275297</v>
      </c>
    </row>
    <row r="25" spans="1:14" x14ac:dyDescent="0.35">
      <c r="A25" s="2">
        <v>42566</v>
      </c>
      <c r="B25" s="3">
        <v>19.9812940631355</v>
      </c>
      <c r="C25" s="3">
        <v>16.101515187422301</v>
      </c>
      <c r="D25" s="3">
        <v>17.137995660627201</v>
      </c>
      <c r="E25" s="3">
        <v>12.9193952947314</v>
      </c>
      <c r="F25" s="3">
        <v>14.1554741515511</v>
      </c>
      <c r="G25" s="3">
        <v>17.3242519198926</v>
      </c>
      <c r="H25" s="3">
        <v>16.458534105425102</v>
      </c>
      <c r="I25" s="3">
        <v>19.023264615601299</v>
      </c>
      <c r="J25" s="3">
        <v>17.245174705281599</v>
      </c>
      <c r="K25" s="3">
        <v>14.993707480139699</v>
      </c>
      <c r="L25" s="3">
        <v>15.967932657915499</v>
      </c>
      <c r="M25" s="3">
        <v>15.625956962512999</v>
      </c>
      <c r="N25" s="3">
        <v>14.6834441813784</v>
      </c>
    </row>
    <row r="26" spans="1:14" x14ac:dyDescent="0.35">
      <c r="A26" s="2">
        <v>42598</v>
      </c>
      <c r="B26" s="3">
        <v>20.6318113397266</v>
      </c>
      <c r="C26" s="3">
        <v>16.622780711314199</v>
      </c>
      <c r="D26" s="3">
        <v>17.447129424633999</v>
      </c>
      <c r="E26" s="3">
        <v>13.4244260726328</v>
      </c>
      <c r="F26" s="3">
        <v>13.995891872208199</v>
      </c>
      <c r="G26" s="3">
        <v>17.897704268571498</v>
      </c>
      <c r="H26" s="3">
        <v>16.929703189262401</v>
      </c>
      <c r="I26" s="3">
        <v>19.545636365152699</v>
      </c>
      <c r="J26" s="3">
        <v>17.5146088223823</v>
      </c>
      <c r="K26" s="3">
        <v>15.013395654561601</v>
      </c>
      <c r="L26" s="3">
        <v>16.147997569840999</v>
      </c>
      <c r="M26" s="3">
        <v>15.998193610726</v>
      </c>
      <c r="N26" s="3">
        <v>15.032847878311401</v>
      </c>
    </row>
    <row r="27" spans="1:14" x14ac:dyDescent="0.35">
      <c r="A27" s="2">
        <v>42629</v>
      </c>
      <c r="B27" s="3">
        <v>20.7799639113457</v>
      </c>
      <c r="C27" s="3">
        <v>16.278763481534199</v>
      </c>
      <c r="D27" s="3">
        <v>17.503883660972299</v>
      </c>
      <c r="E27" s="3">
        <v>13.321155487903701</v>
      </c>
      <c r="F27" s="3">
        <v>14.1347798618028</v>
      </c>
      <c r="G27" s="3">
        <v>17.834477350752</v>
      </c>
      <c r="H27" s="3">
        <v>16.654391669021599</v>
      </c>
      <c r="I27" s="3">
        <v>19.694326583160102</v>
      </c>
      <c r="J27" s="3">
        <v>17.484039997096701</v>
      </c>
      <c r="K27" s="3">
        <v>14.6746970155932</v>
      </c>
      <c r="L27" s="3">
        <v>15.7667852999638</v>
      </c>
      <c r="M27" s="3">
        <v>15.998553291842599</v>
      </c>
      <c r="N27" s="3">
        <v>14.4842834856679</v>
      </c>
    </row>
    <row r="28" spans="1:14" x14ac:dyDescent="0.35">
      <c r="A28" s="2">
        <v>42657</v>
      </c>
      <c r="B28" s="3">
        <v>20.4744921967783</v>
      </c>
      <c r="C28" s="3">
        <v>16.7829674339016</v>
      </c>
      <c r="D28" s="3">
        <v>17.874883143882901</v>
      </c>
      <c r="E28" s="3">
        <v>13.6820613375122</v>
      </c>
      <c r="F28" s="3">
        <v>14.3625418902155</v>
      </c>
      <c r="G28" s="3">
        <v>17.9042062599483</v>
      </c>
      <c r="H28" s="3">
        <v>16.915311839079699</v>
      </c>
      <c r="I28" s="3">
        <v>19.825106011445701</v>
      </c>
      <c r="J28" s="3">
        <v>17.594966388518198</v>
      </c>
      <c r="K28" s="3">
        <v>14.9304309377164</v>
      </c>
      <c r="L28" s="3">
        <v>15.8482008666429</v>
      </c>
      <c r="M28" s="3">
        <v>16.991402583098001</v>
      </c>
      <c r="N28" s="3">
        <v>14.6991916510975</v>
      </c>
    </row>
    <row r="29" spans="1:14" x14ac:dyDescent="0.35">
      <c r="A29" s="2">
        <v>42690</v>
      </c>
      <c r="B29" s="3">
        <v>19.890259547167499</v>
      </c>
      <c r="C29" s="3">
        <v>16.879139845241198</v>
      </c>
      <c r="D29" s="3">
        <v>18.4834490805647</v>
      </c>
      <c r="E29" s="3">
        <v>13.6822527389721</v>
      </c>
      <c r="F29" s="3">
        <v>15.126071462143599</v>
      </c>
      <c r="G29" s="3">
        <v>17.621331192952201</v>
      </c>
      <c r="H29" s="3">
        <v>16.250603631142098</v>
      </c>
      <c r="I29" s="3">
        <v>19.7721727446526</v>
      </c>
      <c r="J29" s="3">
        <v>18.016038007490199</v>
      </c>
      <c r="K29" s="3">
        <v>14.787106254654599</v>
      </c>
      <c r="L29" s="3">
        <v>15.556278602650901</v>
      </c>
      <c r="M29" s="3">
        <v>17.095515981363199</v>
      </c>
      <c r="N29" s="3">
        <v>14.308950207086999</v>
      </c>
    </row>
    <row r="30" spans="1:14" x14ac:dyDescent="0.35">
      <c r="A30" s="2">
        <v>42720</v>
      </c>
      <c r="B30" s="3">
        <v>19.550714252456</v>
      </c>
      <c r="C30" s="3">
        <v>17.2656872029063</v>
      </c>
      <c r="D30" s="3">
        <v>19.196348222136201</v>
      </c>
      <c r="E30" s="3">
        <v>14.605632542558199</v>
      </c>
      <c r="F30" s="3">
        <v>16.637551121612301</v>
      </c>
      <c r="G30" s="3">
        <v>18.066753429357298</v>
      </c>
      <c r="H30" s="3">
        <v>16.936042208670798</v>
      </c>
      <c r="I30" s="3">
        <v>20.3620809062086</v>
      </c>
      <c r="J30" s="3">
        <v>18.8285687523753</v>
      </c>
      <c r="K30" s="3">
        <v>15.639021150818399</v>
      </c>
      <c r="L30" s="3">
        <v>16.0828483935714</v>
      </c>
      <c r="M30" s="3">
        <v>18.3076274568384</v>
      </c>
      <c r="N30" s="3">
        <v>16.3027663274373</v>
      </c>
    </row>
    <row r="31" spans="1:14" x14ac:dyDescent="0.35">
      <c r="A31" s="2">
        <v>42748</v>
      </c>
      <c r="B31" s="3">
        <v>20.415154258844701</v>
      </c>
      <c r="C31" s="3">
        <v>17.899478016068901</v>
      </c>
      <c r="D31" s="3">
        <v>19.554377553316101</v>
      </c>
      <c r="E31" s="3">
        <v>14.9405384559455</v>
      </c>
      <c r="F31" s="3">
        <v>16.631460362506601</v>
      </c>
      <c r="G31" s="3">
        <v>18.7173341123518</v>
      </c>
      <c r="H31" s="3">
        <v>17.3701048915432</v>
      </c>
      <c r="I31" s="3">
        <v>21.033039230799599</v>
      </c>
      <c r="J31" s="3">
        <v>19.023310778664602</v>
      </c>
      <c r="K31" s="3">
        <v>15.9757532534259</v>
      </c>
      <c r="L31" s="3">
        <v>16.440876407480499</v>
      </c>
      <c r="M31" s="3">
        <v>18.272590511740098</v>
      </c>
      <c r="N31" s="3">
        <v>27.708500491864001</v>
      </c>
    </row>
    <row r="32" spans="1:14" x14ac:dyDescent="0.35">
      <c r="A32" s="2">
        <v>42782</v>
      </c>
      <c r="B32" s="3">
        <v>20.391332182785401</v>
      </c>
      <c r="C32" s="3">
        <v>18.033674891261601</v>
      </c>
      <c r="D32" s="3">
        <v>19.835527094143799</v>
      </c>
      <c r="E32" s="3">
        <v>14.9838885959031</v>
      </c>
      <c r="F32" s="3">
        <v>16.294878785850901</v>
      </c>
      <c r="G32" s="3">
        <v>19.5541419977943</v>
      </c>
      <c r="H32" s="3">
        <v>17.289540731724799</v>
      </c>
      <c r="I32" s="3">
        <v>21.668424055713501</v>
      </c>
      <c r="J32" s="3">
        <v>19.429800075277502</v>
      </c>
      <c r="K32" s="3">
        <v>15.633910627066101</v>
      </c>
      <c r="L32" s="3">
        <v>16.423181660685302</v>
      </c>
      <c r="M32" s="3">
        <v>17.507353131222999</v>
      </c>
      <c r="N32" s="3">
        <v>20.796667247650699</v>
      </c>
    </row>
    <row r="33" spans="1:14" x14ac:dyDescent="0.35">
      <c r="A33" s="2">
        <v>42810</v>
      </c>
      <c r="B33" s="3">
        <v>19.741891442061402</v>
      </c>
      <c r="C33" s="3">
        <v>17.4320813612851</v>
      </c>
      <c r="D33" s="3">
        <v>19.2574041392818</v>
      </c>
      <c r="E33" s="3">
        <v>14.9734195435705</v>
      </c>
      <c r="F33" s="3">
        <v>15.9219599290247</v>
      </c>
      <c r="G33" s="3">
        <v>19.633229430774598</v>
      </c>
      <c r="H33" s="3">
        <v>17.268523330561202</v>
      </c>
      <c r="I33" s="3">
        <v>21.6994449712532</v>
      </c>
      <c r="J33" s="3">
        <v>19.445893711344699</v>
      </c>
      <c r="K33" s="3">
        <v>15.6148432630188</v>
      </c>
      <c r="L33" s="3">
        <v>16.5057542637552</v>
      </c>
      <c r="M33" s="3">
        <v>17.521916948357301</v>
      </c>
      <c r="N33" s="3">
        <v>82.331032159603296</v>
      </c>
    </row>
    <row r="34" spans="1:14" x14ac:dyDescent="0.35">
      <c r="A34" s="2">
        <v>42838</v>
      </c>
      <c r="B34" s="3">
        <v>19.815803711743701</v>
      </c>
      <c r="C34" s="3">
        <v>17.343945984861499</v>
      </c>
      <c r="D34" s="3">
        <v>18.960332629777199</v>
      </c>
      <c r="E34" s="3">
        <v>14.88237161468</v>
      </c>
      <c r="F34" s="3">
        <v>15.521472072599799</v>
      </c>
      <c r="G34" s="3">
        <v>19.421607365103601</v>
      </c>
      <c r="H34" s="3">
        <v>17.023136879781401</v>
      </c>
      <c r="I34" s="3">
        <v>21.5288296751513</v>
      </c>
      <c r="J34" s="3">
        <v>19.207054810493599</v>
      </c>
      <c r="K34" s="3">
        <v>15.614623915448201</v>
      </c>
      <c r="L34" s="3">
        <v>16.543263235766499</v>
      </c>
      <c r="M34" s="3">
        <v>17.5466888677906</v>
      </c>
      <c r="N34" s="3">
        <v>75.6114101750278</v>
      </c>
    </row>
    <row r="35" spans="1:14" x14ac:dyDescent="0.35">
      <c r="A35" s="2">
        <v>42871</v>
      </c>
      <c r="B35" s="3">
        <v>19.9576753938458</v>
      </c>
      <c r="C35" s="3">
        <v>17.130992621962601</v>
      </c>
      <c r="D35" s="3">
        <v>18.611585058664598</v>
      </c>
      <c r="E35" s="3">
        <v>14.8986780455805</v>
      </c>
      <c r="F35" s="3">
        <v>15.731732458719099</v>
      </c>
      <c r="G35" s="3">
        <v>19.598566796598799</v>
      </c>
      <c r="H35" s="3">
        <v>16.920239838180301</v>
      </c>
      <c r="I35" s="3">
        <v>21.8818747882422</v>
      </c>
      <c r="J35" s="3">
        <v>19.193430570486299</v>
      </c>
      <c r="K35" s="3">
        <v>15.8822143721315</v>
      </c>
      <c r="L35" s="3">
        <v>16.773423886026102</v>
      </c>
      <c r="M35" s="3">
        <v>18.162693842750301</v>
      </c>
      <c r="N35" s="3">
        <v>68.259659021010094</v>
      </c>
    </row>
    <row r="36" spans="1:14" x14ac:dyDescent="0.35">
      <c r="A36" s="2">
        <v>42902</v>
      </c>
      <c r="B36" s="3">
        <v>20.077791739061499</v>
      </c>
      <c r="C36" s="3">
        <v>16.881450139885999</v>
      </c>
      <c r="D36" s="3">
        <v>18.1752045616531</v>
      </c>
      <c r="E36" s="3">
        <v>14.766349642378101</v>
      </c>
      <c r="F36" s="3">
        <v>15.622539240135501</v>
      </c>
      <c r="G36" s="3">
        <v>19.501511668971201</v>
      </c>
      <c r="H36" s="3">
        <v>16.598412962028998</v>
      </c>
      <c r="I36" s="3">
        <v>21.7612940494373</v>
      </c>
      <c r="J36" s="3">
        <v>19.1742879317122</v>
      </c>
      <c r="K36" s="3">
        <v>15.715821945795399</v>
      </c>
      <c r="L36" s="3">
        <v>16.650961573333099</v>
      </c>
      <c r="M36" s="3">
        <v>17.629168526669599</v>
      </c>
      <c r="N36" s="3">
        <v>60.789487283378797</v>
      </c>
    </row>
    <row r="37" spans="1:14" x14ac:dyDescent="0.35">
      <c r="A37" s="2">
        <v>42930</v>
      </c>
      <c r="B37" s="3">
        <v>20.152004496119599</v>
      </c>
      <c r="C37" s="3">
        <v>16.850367898185201</v>
      </c>
      <c r="D37" s="3">
        <v>18.011346967272502</v>
      </c>
      <c r="E37" s="3">
        <v>14.652719889294501</v>
      </c>
      <c r="F37" s="3">
        <v>15.5096257915626</v>
      </c>
      <c r="G37" s="3">
        <v>19.437988025263401</v>
      </c>
      <c r="H37" s="3">
        <v>16.458803516705999</v>
      </c>
      <c r="I37" s="3">
        <v>22.080095585988701</v>
      </c>
      <c r="J37" s="3">
        <v>19.201974905499601</v>
      </c>
      <c r="K37" s="3">
        <v>15.735855693337999</v>
      </c>
      <c r="L37" s="3">
        <v>16.694414624512799</v>
      </c>
      <c r="M37" s="3">
        <v>17.754015336923</v>
      </c>
      <c r="N37" s="3">
        <v>54.444072239835997</v>
      </c>
    </row>
    <row r="38" spans="1:14" x14ac:dyDescent="0.35">
      <c r="A38" s="2">
        <v>42963</v>
      </c>
      <c r="B38" s="3">
        <v>20.740025641518901</v>
      </c>
      <c r="C38" s="3">
        <v>16.784703411021301</v>
      </c>
      <c r="D38" s="3">
        <v>17.722077621326299</v>
      </c>
      <c r="E38" s="3">
        <v>14.2829520448523</v>
      </c>
      <c r="F38" s="3">
        <v>15.120838560869901</v>
      </c>
      <c r="G38" s="3">
        <v>19.246894136855399</v>
      </c>
      <c r="H38" s="3">
        <v>16.213711334725598</v>
      </c>
      <c r="I38" s="3">
        <v>22.1393229362372</v>
      </c>
      <c r="J38" s="3">
        <v>19.105189095103299</v>
      </c>
      <c r="K38" s="3">
        <v>15.5922171640052</v>
      </c>
      <c r="L38" s="3">
        <v>16.727686391469899</v>
      </c>
      <c r="M38" s="3">
        <v>16.905749106725199</v>
      </c>
      <c r="N38" s="3">
        <v>46.726292034917897</v>
      </c>
    </row>
    <row r="39" spans="1:14" x14ac:dyDescent="0.35">
      <c r="A39" s="2">
        <v>42993</v>
      </c>
      <c r="B39" s="3">
        <v>20.449893656136702</v>
      </c>
      <c r="C39" s="3">
        <v>16.497261528713199</v>
      </c>
      <c r="D39" s="3">
        <v>17.390889739083899</v>
      </c>
      <c r="E39" s="3">
        <v>14.359893991199099</v>
      </c>
      <c r="F39" s="3">
        <v>14.837542512855901</v>
      </c>
      <c r="G39" s="3">
        <v>19.290425718539002</v>
      </c>
      <c r="H39" s="3">
        <v>15.831917359683899</v>
      </c>
      <c r="I39" s="3">
        <v>22.325071847108099</v>
      </c>
      <c r="J39" s="3">
        <v>19.211311827369201</v>
      </c>
      <c r="K39" s="3">
        <v>15.711995051110801</v>
      </c>
      <c r="L39" s="3">
        <v>16.822591048548901</v>
      </c>
      <c r="M39" s="3">
        <v>17.116069935694799</v>
      </c>
      <c r="N39" s="3">
        <v>39.7047371536623</v>
      </c>
    </row>
    <row r="40" spans="1:14" x14ac:dyDescent="0.35">
      <c r="A40" s="2">
        <v>43024</v>
      </c>
      <c r="B40" s="3">
        <v>20.9136331103096</v>
      </c>
      <c r="C40" s="3">
        <v>16.575301214417799</v>
      </c>
      <c r="D40" s="3">
        <v>17.521662905779699</v>
      </c>
      <c r="E40" s="3">
        <v>14.815676668819901</v>
      </c>
      <c r="F40" s="3">
        <v>15.1915829336664</v>
      </c>
      <c r="G40" s="3">
        <v>19.755839481667898</v>
      </c>
      <c r="H40" s="3">
        <v>15.8555413218229</v>
      </c>
      <c r="I40" s="3">
        <v>22.715866840925901</v>
      </c>
      <c r="J40" s="3">
        <v>19.5685638688675</v>
      </c>
      <c r="K40" s="3">
        <v>16.052023594500199</v>
      </c>
      <c r="L40" s="3">
        <v>17.280465471199101</v>
      </c>
      <c r="M40" s="3">
        <v>17.556901497060299</v>
      </c>
      <c r="N40" s="3">
        <v>32.6816503311736</v>
      </c>
    </row>
    <row r="41" spans="1:14" x14ac:dyDescent="0.35">
      <c r="A41" s="2">
        <v>43055</v>
      </c>
      <c r="B41" s="3">
        <v>21.2605596891954</v>
      </c>
      <c r="C41" s="3">
        <v>16.606844919451799</v>
      </c>
      <c r="D41" s="3">
        <v>17.2816376832251</v>
      </c>
      <c r="E41" s="3">
        <v>15.1922411623725</v>
      </c>
      <c r="F41" s="3">
        <v>15.5561215758204</v>
      </c>
      <c r="G41" s="3">
        <v>20.135464026849299</v>
      </c>
      <c r="H41" s="3">
        <v>15.2209302778646</v>
      </c>
      <c r="I41" s="3">
        <v>23.0699458199405</v>
      </c>
      <c r="J41" s="3">
        <v>19.617279363438499</v>
      </c>
      <c r="K41" s="3">
        <v>15.895385039403999</v>
      </c>
      <c r="L41" s="3">
        <v>17.230731010685801</v>
      </c>
      <c r="M41" s="3">
        <v>18.211301589655001</v>
      </c>
      <c r="N41" s="3">
        <v>25.441810536989401</v>
      </c>
    </row>
    <row r="42" spans="1:14" x14ac:dyDescent="0.35">
      <c r="A42" s="2">
        <v>43084</v>
      </c>
      <c r="B42" s="3">
        <v>22.178933689875699</v>
      </c>
      <c r="C42" s="3">
        <v>16.614390611766002</v>
      </c>
      <c r="D42" s="3">
        <v>17.178158433058499</v>
      </c>
      <c r="E42" s="3">
        <v>15.465363626783899</v>
      </c>
      <c r="F42" s="3">
        <v>16.043752685634601</v>
      </c>
      <c r="G42" s="3">
        <v>20.584194345732101</v>
      </c>
      <c r="H42" s="3">
        <v>15.2129207186856</v>
      </c>
      <c r="I42" s="3">
        <v>23.5511027597558</v>
      </c>
      <c r="J42" s="3">
        <v>20.245039381029802</v>
      </c>
      <c r="K42" s="3">
        <v>16.046706022553501</v>
      </c>
      <c r="L42" s="3">
        <v>17.322936221857798</v>
      </c>
      <c r="M42" s="3">
        <v>17.936322051430899</v>
      </c>
      <c r="N42" s="3">
        <v>18.934916804686601</v>
      </c>
    </row>
    <row r="43" spans="1:14" x14ac:dyDescent="0.35">
      <c r="A43" s="2">
        <v>43116</v>
      </c>
      <c r="B43" s="3">
        <v>21.892266305803101</v>
      </c>
      <c r="C43" s="3">
        <v>16.7264135844555</v>
      </c>
      <c r="D43" s="3">
        <v>17.244814513964201</v>
      </c>
      <c r="E43" s="3">
        <v>15.5823334723248</v>
      </c>
      <c r="F43" s="3">
        <v>17.007746464804899</v>
      </c>
      <c r="G43" s="3">
        <v>20.987767273232901</v>
      </c>
      <c r="H43" s="3">
        <v>15.6746606254511</v>
      </c>
      <c r="I43" s="3">
        <v>24.680164787797398</v>
      </c>
      <c r="J43" s="3">
        <v>20.886682963421698</v>
      </c>
      <c r="K43" s="3">
        <v>16.5886903232973</v>
      </c>
      <c r="L43" s="3">
        <v>17.543495997767099</v>
      </c>
      <c r="M43" s="3">
        <v>18.157987490544901</v>
      </c>
      <c r="N43" s="3">
        <v>15.9595571475332</v>
      </c>
    </row>
    <row r="44" spans="1:14" x14ac:dyDescent="0.35">
      <c r="A44" s="2">
        <v>43147</v>
      </c>
      <c r="B44" s="3">
        <v>21.874513361131299</v>
      </c>
      <c r="C44" s="3">
        <v>16.348062710048001</v>
      </c>
      <c r="D44" s="3">
        <v>15.909619082998301</v>
      </c>
      <c r="E44" s="3">
        <v>14.5329369343567</v>
      </c>
      <c r="F44" s="3">
        <v>15.0221899402473</v>
      </c>
      <c r="G44" s="3">
        <v>21.802982471816001</v>
      </c>
      <c r="H44" s="3">
        <v>14.701670998310799</v>
      </c>
      <c r="I44" s="3">
        <v>23.965741981684399</v>
      </c>
      <c r="J44" s="3">
        <v>20.0308807036986</v>
      </c>
      <c r="K44" s="3">
        <v>15.7154374416483</v>
      </c>
      <c r="L44" s="3">
        <v>16.521642830762399</v>
      </c>
      <c r="M44" s="3">
        <v>16.743230538000901</v>
      </c>
      <c r="N44" s="3">
        <v>14.4947001707681</v>
      </c>
    </row>
    <row r="45" spans="1:14" x14ac:dyDescent="0.35">
      <c r="A45" s="2">
        <v>43175</v>
      </c>
      <c r="B45" s="3">
        <v>22.570091467049501</v>
      </c>
      <c r="C45" s="3">
        <v>16.456460218115399</v>
      </c>
      <c r="D45" s="3">
        <v>15.8167066919703</v>
      </c>
      <c r="E45" s="3">
        <v>14.2028946496887</v>
      </c>
      <c r="F45" s="3">
        <v>14.3822592309669</v>
      </c>
      <c r="G45" s="3">
        <v>20.969054769654601</v>
      </c>
      <c r="H45" s="3">
        <v>13.9431176558217</v>
      </c>
      <c r="I45" s="3">
        <v>24.071331752556699</v>
      </c>
      <c r="J45" s="3">
        <v>19.708534960942199</v>
      </c>
      <c r="K45" s="3">
        <v>15.5723302975611</v>
      </c>
      <c r="L45" s="3">
        <v>16.653808172903702</v>
      </c>
      <c r="M45" s="3">
        <v>16.9421789863474</v>
      </c>
      <c r="N45" s="3">
        <v>14.1852545697043</v>
      </c>
    </row>
    <row r="46" spans="1:14" x14ac:dyDescent="0.35">
      <c r="A46" s="2">
        <v>43206</v>
      </c>
      <c r="B46" s="3">
        <v>22.380105485194399</v>
      </c>
      <c r="C46" s="3">
        <v>16.277002430116401</v>
      </c>
      <c r="D46" s="3">
        <v>15.57110009002</v>
      </c>
      <c r="E46" s="3">
        <v>14.1181481258766</v>
      </c>
      <c r="F46" s="3">
        <v>14.238339132067001</v>
      </c>
      <c r="G46" s="3">
        <v>20.440436035041301</v>
      </c>
      <c r="H46" s="3">
        <v>13.9419801971904</v>
      </c>
      <c r="I46" s="3">
        <v>23.5161078569691</v>
      </c>
      <c r="J46" s="3">
        <v>19.3286560949483</v>
      </c>
      <c r="K46" s="3">
        <v>15.5136481217748</v>
      </c>
      <c r="L46" s="3">
        <v>16.6078470923308</v>
      </c>
      <c r="M46" s="3">
        <v>16.766874205557599</v>
      </c>
      <c r="N46" s="3">
        <v>14.125897867028399</v>
      </c>
    </row>
    <row r="47" spans="1:14" x14ac:dyDescent="0.35">
      <c r="A47" s="2">
        <v>43236</v>
      </c>
      <c r="B47" s="3">
        <v>22.348676975372999</v>
      </c>
      <c r="C47" s="3">
        <v>16.344396624407501</v>
      </c>
      <c r="D47" s="3">
        <v>15.6459287303562</v>
      </c>
      <c r="E47" s="3">
        <v>14.219507817872801</v>
      </c>
      <c r="F47" s="3">
        <v>14.292223814981901</v>
      </c>
      <c r="G47" s="3">
        <v>20.142417039886901</v>
      </c>
      <c r="H47" s="3">
        <v>14.108695364490099</v>
      </c>
      <c r="I47" s="3">
        <v>23.2853869617934</v>
      </c>
      <c r="J47" s="3">
        <v>19.056076200312901</v>
      </c>
      <c r="K47" s="3">
        <v>15.596944415984099</v>
      </c>
      <c r="L47" s="3">
        <v>16.624965593839701</v>
      </c>
      <c r="M47" s="3">
        <v>16.823096515600401</v>
      </c>
      <c r="N47" s="3">
        <v>13.9983187552813</v>
      </c>
    </row>
    <row r="48" spans="1:14" x14ac:dyDescent="0.35">
      <c r="A48" s="2">
        <v>43266</v>
      </c>
      <c r="B48" s="3">
        <v>22.837132017185201</v>
      </c>
      <c r="C48" s="3">
        <v>16.152694239718901</v>
      </c>
      <c r="D48" s="3">
        <v>15.6023470359393</v>
      </c>
      <c r="E48" s="3">
        <v>14.2373079989336</v>
      </c>
      <c r="F48" s="3">
        <v>14.167236305793001</v>
      </c>
      <c r="G48" s="3">
        <v>19.513586226267801</v>
      </c>
      <c r="H48" s="3">
        <v>13.898472979084</v>
      </c>
      <c r="I48" s="3">
        <v>23.390957061603</v>
      </c>
      <c r="J48" s="3">
        <v>18.938996237334202</v>
      </c>
      <c r="K48" s="3">
        <v>15.4131642136325</v>
      </c>
      <c r="L48" s="3">
        <v>16.717246706789499</v>
      </c>
      <c r="M48" s="3">
        <v>16.502848768002401</v>
      </c>
      <c r="N48" s="3">
        <v>13.5107993476456</v>
      </c>
    </row>
    <row r="49" spans="1:14" x14ac:dyDescent="0.35">
      <c r="A49" s="2">
        <v>43297</v>
      </c>
      <c r="B49" s="3">
        <v>22.8657689892955</v>
      </c>
      <c r="C49" s="3">
        <v>16.276075261663401</v>
      </c>
      <c r="D49" s="3">
        <v>15.5472063083901</v>
      </c>
      <c r="E49" s="3">
        <v>14.0357602630725</v>
      </c>
      <c r="F49" s="3">
        <v>13.867163444857001</v>
      </c>
      <c r="G49" s="3">
        <v>19.288654188208799</v>
      </c>
      <c r="H49" s="3">
        <v>13.774569655777899</v>
      </c>
      <c r="I49" s="3">
        <v>23.3455985302211</v>
      </c>
      <c r="J49" s="3">
        <v>18.7170306458944</v>
      </c>
      <c r="K49" s="3">
        <v>15.2651372147256</v>
      </c>
      <c r="L49" s="3">
        <v>16.626860367661799</v>
      </c>
      <c r="M49" s="3">
        <v>16.461014102349498</v>
      </c>
      <c r="N49" s="3">
        <v>13.2235348620734</v>
      </c>
    </row>
    <row r="50" spans="1:14" x14ac:dyDescent="0.35">
      <c r="A50" s="2">
        <v>43328</v>
      </c>
      <c r="B50" s="3">
        <v>23.076831506907201</v>
      </c>
      <c r="C50" s="3">
        <v>16.4223832341942</v>
      </c>
      <c r="D50" s="3">
        <v>15.3245245877253</v>
      </c>
      <c r="E50" s="3">
        <v>13.876437413072001</v>
      </c>
      <c r="F50" s="3">
        <v>13.5245951063148</v>
      </c>
      <c r="G50" s="3">
        <v>18.876314097956001</v>
      </c>
      <c r="H50" s="3">
        <v>13.6117060548226</v>
      </c>
      <c r="I50" s="3">
        <v>23.0109296613212</v>
      </c>
      <c r="J50" s="3">
        <v>18.559989969312699</v>
      </c>
      <c r="K50" s="3">
        <v>14.9633100523706</v>
      </c>
      <c r="L50" s="3">
        <v>16.5394395288418</v>
      </c>
      <c r="M50" s="3">
        <v>16.520592397645899</v>
      </c>
      <c r="N50" s="3">
        <v>12.649709959308</v>
      </c>
    </row>
    <row r="51" spans="1:14" x14ac:dyDescent="0.35">
      <c r="A51" s="2">
        <v>43357</v>
      </c>
      <c r="B51" s="3">
        <v>23.5735467937231</v>
      </c>
      <c r="C51" s="3">
        <v>16.002233772700201</v>
      </c>
      <c r="D51" s="3">
        <v>15.0159706571943</v>
      </c>
      <c r="E51" s="3">
        <v>13.8469045000514</v>
      </c>
      <c r="F51" s="3">
        <v>13.555564309780401</v>
      </c>
      <c r="G51" s="3">
        <v>18.6590302815512</v>
      </c>
      <c r="H51" s="3">
        <v>13.385477450572299</v>
      </c>
      <c r="I51" s="3">
        <v>23.141917623244101</v>
      </c>
      <c r="J51" s="3">
        <v>18.618205468010899</v>
      </c>
      <c r="K51" s="3">
        <v>14.902503278105099</v>
      </c>
      <c r="L51" s="3">
        <v>16.283262384578698</v>
      </c>
      <c r="M51" s="3">
        <v>16.683482001677699</v>
      </c>
      <c r="N51" s="3">
        <v>12.496791207880401</v>
      </c>
    </row>
    <row r="52" spans="1:14" x14ac:dyDescent="0.35">
      <c r="A52" s="2">
        <v>43389</v>
      </c>
      <c r="B52" s="3">
        <v>22.643911982414899</v>
      </c>
      <c r="C52" s="3">
        <v>15.372012951310801</v>
      </c>
      <c r="D52" s="3">
        <v>14.5812780707233</v>
      </c>
      <c r="E52" s="3">
        <v>13.468127380240899</v>
      </c>
      <c r="F52" s="3">
        <v>13.158523105799</v>
      </c>
      <c r="G52" s="3">
        <v>17.812729267127999</v>
      </c>
      <c r="H52" s="3">
        <v>12.984085637734699</v>
      </c>
      <c r="I52" s="3">
        <v>22.372324851103301</v>
      </c>
      <c r="J52" s="3">
        <v>17.9829653433857</v>
      </c>
      <c r="K52" s="3">
        <v>14.386488324229999</v>
      </c>
      <c r="L52" s="3">
        <v>15.7243314020097</v>
      </c>
      <c r="M52" s="3">
        <v>15.8200523332528</v>
      </c>
      <c r="N52" s="3">
        <v>11.817341497783501</v>
      </c>
    </row>
    <row r="53" spans="1:14" x14ac:dyDescent="0.35">
      <c r="A53" s="2">
        <v>43420</v>
      </c>
      <c r="B53" s="3">
        <v>22.720777881036199</v>
      </c>
      <c r="C53" s="3">
        <v>15.0557026032624</v>
      </c>
      <c r="D53" s="3">
        <v>14.107601794778001</v>
      </c>
      <c r="E53" s="3">
        <v>12.9794593873438</v>
      </c>
      <c r="F53" s="3">
        <v>12.6288741947664</v>
      </c>
      <c r="G53" s="3">
        <v>17.638567306400201</v>
      </c>
      <c r="H53" s="3">
        <v>12.7023905463366</v>
      </c>
      <c r="I53" s="3">
        <v>20.701360101106498</v>
      </c>
      <c r="J53" s="3">
        <v>17.255367794408301</v>
      </c>
      <c r="K53" s="3">
        <v>13.9356086321765</v>
      </c>
      <c r="L53" s="3">
        <v>15.514110034106199</v>
      </c>
      <c r="M53" s="3">
        <v>14.903590335419199</v>
      </c>
      <c r="N53" s="3">
        <v>11.2121493992115</v>
      </c>
    </row>
    <row r="54" spans="1:14" x14ac:dyDescent="0.35">
      <c r="A54" s="2">
        <v>43448</v>
      </c>
      <c r="B54" s="3">
        <v>22.611389310036099</v>
      </c>
      <c r="C54" s="3">
        <v>14.596807754415</v>
      </c>
      <c r="D54" s="3">
        <v>13.490435769897999</v>
      </c>
      <c r="E54" s="3">
        <v>12.481084226430699</v>
      </c>
      <c r="F54" s="3">
        <v>12.279519883749099</v>
      </c>
      <c r="G54" s="3">
        <v>16.975746100762802</v>
      </c>
      <c r="H54" s="3">
        <v>12.1910621665007</v>
      </c>
      <c r="I54" s="3">
        <v>19.603827326047501</v>
      </c>
      <c r="J54" s="3">
        <v>16.2170730943309</v>
      </c>
      <c r="K54" s="3">
        <v>13.350372378239101</v>
      </c>
      <c r="L54" s="3">
        <v>14.906782510017999</v>
      </c>
      <c r="M54" s="3">
        <v>14.382028335430601</v>
      </c>
      <c r="N54" s="3">
        <v>10.8737477659887</v>
      </c>
    </row>
    <row r="55" spans="1:14" x14ac:dyDescent="0.35">
      <c r="A55" s="2">
        <v>43481</v>
      </c>
      <c r="B55" s="3">
        <v>23.429241006784899</v>
      </c>
      <c r="C55" s="3">
        <v>15.130109691356401</v>
      </c>
      <c r="D55" s="3">
        <v>13.916970211875199</v>
      </c>
      <c r="E55" s="3">
        <v>12.4861286396936</v>
      </c>
      <c r="F55" s="3">
        <v>11.8533307542213</v>
      </c>
      <c r="G55" s="3">
        <v>17.069618091656899</v>
      </c>
      <c r="H55" s="3">
        <v>12.2447025575601</v>
      </c>
      <c r="I55" s="3">
        <v>19.724825217754798</v>
      </c>
      <c r="J55" s="3">
        <v>16.165082873697699</v>
      </c>
      <c r="K55" s="3">
        <v>13.220666668918</v>
      </c>
      <c r="L55" s="3">
        <v>14.6524500454614</v>
      </c>
      <c r="M55" s="3">
        <v>15.0298177002092</v>
      </c>
      <c r="N55" s="3">
        <v>11.020459525768</v>
      </c>
    </row>
    <row r="56" spans="1:14" x14ac:dyDescent="0.35">
      <c r="A56" s="2">
        <v>43511</v>
      </c>
      <c r="B56" s="3">
        <v>23.821019752360499</v>
      </c>
      <c r="C56" s="3">
        <v>15.6489885190806</v>
      </c>
      <c r="D56" s="3">
        <v>14.694286605312101</v>
      </c>
      <c r="E56" s="3">
        <v>13.0500552139688</v>
      </c>
      <c r="F56" s="3">
        <v>12.408873108884199</v>
      </c>
      <c r="G56" s="3">
        <v>17.905965542058301</v>
      </c>
      <c r="H56" s="3">
        <v>12.8363496045825</v>
      </c>
      <c r="I56" s="3">
        <v>20.760157103496699</v>
      </c>
      <c r="J56" s="3">
        <v>17.077215917171799</v>
      </c>
      <c r="K56" s="3">
        <v>14.193526173623599</v>
      </c>
      <c r="L56" s="3">
        <v>16.128568890803901</v>
      </c>
      <c r="M56" s="3">
        <v>18.4479125766109</v>
      </c>
      <c r="N56" s="3">
        <v>11.1305089337494</v>
      </c>
    </row>
    <row r="57" spans="1:14" x14ac:dyDescent="0.35">
      <c r="A57" s="2">
        <v>43539</v>
      </c>
      <c r="B57" s="3">
        <v>24.0857067825863</v>
      </c>
      <c r="C57" s="3">
        <v>15.864695306604901</v>
      </c>
      <c r="D57" s="3">
        <v>14.7333914127315</v>
      </c>
      <c r="E57" s="3">
        <v>13.2335376668333</v>
      </c>
      <c r="F57" s="3">
        <v>12.7014294929199</v>
      </c>
      <c r="G57" s="3">
        <v>18.3217764710399</v>
      </c>
      <c r="H57" s="3">
        <v>12.963781332040799</v>
      </c>
      <c r="I57" s="3">
        <v>20.9834539553982</v>
      </c>
      <c r="J57" s="3">
        <v>17.128284575588399</v>
      </c>
      <c r="K57" s="3">
        <v>14.608651501669501</v>
      </c>
      <c r="L57" s="3">
        <v>16.204884785732101</v>
      </c>
      <c r="M57" s="3">
        <v>18.051134296691799</v>
      </c>
      <c r="N57" s="3">
        <v>11.3091144024336</v>
      </c>
    </row>
    <row r="58" spans="1:14" x14ac:dyDescent="0.35">
      <c r="A58" s="2">
        <v>43571</v>
      </c>
      <c r="B58" s="3">
        <v>24.163141538696799</v>
      </c>
      <c r="C58" s="3">
        <v>15.877673532426201</v>
      </c>
      <c r="D58" s="3">
        <v>14.670642502094299</v>
      </c>
      <c r="E58" s="3">
        <v>13.323431765512399</v>
      </c>
      <c r="F58" s="3">
        <v>12.7759205653146</v>
      </c>
      <c r="G58" s="3">
        <v>18.306203041974999</v>
      </c>
      <c r="H58" s="3">
        <v>13.040127471794699</v>
      </c>
      <c r="I58" s="3">
        <v>21.264284931113099</v>
      </c>
      <c r="J58" s="3">
        <v>17.2484788778956</v>
      </c>
      <c r="K58" s="3">
        <v>14.6514070004147</v>
      </c>
      <c r="L58" s="3">
        <v>16.286156232401002</v>
      </c>
      <c r="M58" s="3">
        <v>17.8420120255882</v>
      </c>
      <c r="N58" s="3">
        <v>11.3448691918277</v>
      </c>
    </row>
    <row r="59" spans="1:14" x14ac:dyDescent="0.35">
      <c r="A59" s="2">
        <v>43601</v>
      </c>
      <c r="B59" s="3">
        <v>24.307588935410099</v>
      </c>
      <c r="C59" s="3">
        <v>15.8544464242137</v>
      </c>
      <c r="D59" s="3">
        <v>14.5410656648975</v>
      </c>
      <c r="E59" s="3">
        <v>13.3467371377752</v>
      </c>
      <c r="F59" s="3">
        <v>12.6181753258649</v>
      </c>
      <c r="G59" s="3">
        <v>18.192889495057901</v>
      </c>
      <c r="H59" s="3">
        <v>12.9273114060358</v>
      </c>
      <c r="I59" s="3">
        <v>21.292100113774499</v>
      </c>
      <c r="J59" s="3">
        <v>17.179197527753299</v>
      </c>
      <c r="K59" s="3">
        <v>14.582290235603899</v>
      </c>
      <c r="L59" s="3">
        <v>16.249888652778701</v>
      </c>
      <c r="M59" s="3">
        <v>17.5598975828206</v>
      </c>
      <c r="N59" s="3">
        <v>11.175261239372301</v>
      </c>
    </row>
    <row r="60" spans="1:14" x14ac:dyDescent="0.35">
      <c r="A60" s="2">
        <v>43630</v>
      </c>
      <c r="B60" s="3">
        <v>24.336943849170101</v>
      </c>
      <c r="C60" s="3">
        <v>16.097412184265401</v>
      </c>
      <c r="D60" s="3">
        <v>14.451540644941099</v>
      </c>
      <c r="E60" s="3">
        <v>13.192677448707199</v>
      </c>
      <c r="F60" s="3">
        <v>12.777406715647601</v>
      </c>
      <c r="G60" s="3">
        <v>18.2649458859688</v>
      </c>
      <c r="H60" s="3">
        <v>12.9374450250517</v>
      </c>
      <c r="I60" s="3">
        <v>21.259323536434302</v>
      </c>
      <c r="J60" s="3">
        <v>17.2155347367706</v>
      </c>
      <c r="K60" s="3">
        <v>14.4685640919284</v>
      </c>
      <c r="L60" s="3">
        <v>16.226768584517899</v>
      </c>
      <c r="M60" s="3">
        <v>17.147550918197702</v>
      </c>
      <c r="N60" s="3">
        <v>11.009924892361299</v>
      </c>
    </row>
    <row r="61" spans="1:14" x14ac:dyDescent="0.35">
      <c r="A61" s="2">
        <v>43662</v>
      </c>
      <c r="B61" s="3">
        <v>24.979590739980601</v>
      </c>
      <c r="C61" s="3">
        <v>16.222203363593302</v>
      </c>
      <c r="D61" s="3">
        <v>14.504317111739001</v>
      </c>
      <c r="E61" s="3">
        <v>13.574858302904</v>
      </c>
      <c r="F61" s="3">
        <v>12.952754739493599</v>
      </c>
      <c r="G61" s="3">
        <v>18.308205506000998</v>
      </c>
      <c r="H61" s="3">
        <v>13.1662995777807</v>
      </c>
      <c r="I61" s="3">
        <v>22.066781804871599</v>
      </c>
      <c r="J61" s="3">
        <v>17.6623888475178</v>
      </c>
      <c r="K61" s="3">
        <v>14.877269201957899</v>
      </c>
      <c r="L61" s="3">
        <v>16.5169025212323</v>
      </c>
      <c r="M61" s="3">
        <v>17.070501743303101</v>
      </c>
      <c r="N61" s="3">
        <v>11.3691976676153</v>
      </c>
    </row>
    <row r="62" spans="1:14" x14ac:dyDescent="0.35">
      <c r="A62" s="2">
        <v>43693</v>
      </c>
      <c r="B62" s="3">
        <v>25.032273500832702</v>
      </c>
      <c r="C62" s="3">
        <v>16.0557866071596</v>
      </c>
      <c r="D62" s="3">
        <v>14.3046126127651</v>
      </c>
      <c r="E62" s="3">
        <v>13.2410566979382</v>
      </c>
      <c r="F62" s="3">
        <v>12.646979305022899</v>
      </c>
      <c r="G62" s="3">
        <v>18.115840431576299</v>
      </c>
      <c r="H62" s="3">
        <v>12.6656607264676</v>
      </c>
      <c r="I62" s="3">
        <v>21.633405722890899</v>
      </c>
      <c r="J62" s="3">
        <v>17.3653734233629</v>
      </c>
      <c r="K62" s="3">
        <v>14.468229807934399</v>
      </c>
      <c r="L62" s="3">
        <v>16.228982432431</v>
      </c>
      <c r="M62" s="3">
        <v>15.782756130716701</v>
      </c>
      <c r="N62" s="3">
        <v>10.8001183198277</v>
      </c>
    </row>
    <row r="63" spans="1:14" x14ac:dyDescent="0.35">
      <c r="A63" s="2">
        <v>43724</v>
      </c>
      <c r="B63" s="3">
        <v>28.543421331915699</v>
      </c>
      <c r="C63" s="3">
        <v>16.719708159625</v>
      </c>
      <c r="D63" s="3">
        <v>14.683415232939</v>
      </c>
      <c r="E63" s="3">
        <v>14.0090683370574</v>
      </c>
      <c r="F63" s="3">
        <v>13.5201338810139</v>
      </c>
      <c r="G63" s="3">
        <v>18.3369166934446</v>
      </c>
      <c r="H63" s="3">
        <v>13.055894092550799</v>
      </c>
      <c r="I63" s="3">
        <v>22.2251125537985</v>
      </c>
      <c r="J63" s="3">
        <v>17.873032672519098</v>
      </c>
      <c r="K63" s="3">
        <v>14.9960347047105</v>
      </c>
      <c r="L63" s="3">
        <v>17.021795047750999</v>
      </c>
      <c r="M63" s="3">
        <v>16.351359517279299</v>
      </c>
      <c r="N63" s="3">
        <v>11.3008729408175</v>
      </c>
    </row>
    <row r="64" spans="1:14" x14ac:dyDescent="0.35">
      <c r="A64" s="2">
        <v>43754</v>
      </c>
      <c r="B64" s="3">
        <v>29.3602560678301</v>
      </c>
      <c r="C64" s="3">
        <v>17.103646332799801</v>
      </c>
      <c r="D64" s="3">
        <v>14.5933183219044</v>
      </c>
      <c r="E64" s="3">
        <v>14.365102792322499</v>
      </c>
      <c r="F64" s="3">
        <v>13.796587323959301</v>
      </c>
      <c r="G64" s="3">
        <v>18.422290498679999</v>
      </c>
      <c r="H64" s="3">
        <v>13.126442707691499</v>
      </c>
      <c r="I64" s="3">
        <v>22.557212688101899</v>
      </c>
      <c r="J64" s="3">
        <v>18.042594682659999</v>
      </c>
      <c r="K64" s="3">
        <v>15.358749705360101</v>
      </c>
      <c r="L64" s="3">
        <v>17.231362914587599</v>
      </c>
      <c r="M64" s="3">
        <v>16.5616069610031</v>
      </c>
      <c r="N64" s="3">
        <v>11.5155733386959</v>
      </c>
    </row>
    <row r="65" spans="1:14" x14ac:dyDescent="0.35">
      <c r="A65" s="2">
        <v>43784</v>
      </c>
      <c r="B65" s="3">
        <v>29.194579285155601</v>
      </c>
      <c r="C65" s="3">
        <v>17.597238371348801</v>
      </c>
      <c r="D65" s="3">
        <v>15.150904475869099</v>
      </c>
      <c r="E65" s="3">
        <v>15.1325487943312</v>
      </c>
      <c r="F65" s="3">
        <v>14.4505060974383</v>
      </c>
      <c r="G65" s="3">
        <v>18.887571922566899</v>
      </c>
      <c r="H65" s="3">
        <v>13.368073687985</v>
      </c>
      <c r="I65" s="3">
        <v>23.615836909524099</v>
      </c>
      <c r="J65" s="3">
        <v>18.839762216603699</v>
      </c>
      <c r="K65" s="3">
        <v>16.105354374629101</v>
      </c>
      <c r="L65" s="3">
        <v>18.008499636085499</v>
      </c>
      <c r="M65" s="3">
        <v>16.216160532163499</v>
      </c>
      <c r="N65" s="3">
        <v>12.007555792085</v>
      </c>
    </row>
    <row r="66" spans="1:14" x14ac:dyDescent="0.35">
      <c r="A66" s="2">
        <v>43815</v>
      </c>
      <c r="B66" s="3">
        <v>31.3754498842708</v>
      </c>
      <c r="C66" s="3">
        <v>18.009471644696202</v>
      </c>
      <c r="D66" s="3">
        <v>15.208451020136099</v>
      </c>
      <c r="E66" s="3">
        <v>15.573813791015001</v>
      </c>
      <c r="F66" s="3">
        <v>15.2926664119138</v>
      </c>
      <c r="G66" s="3">
        <v>19.3769069592046</v>
      </c>
      <c r="H66" s="3">
        <v>14.098121656122</v>
      </c>
      <c r="I66" s="3">
        <v>24.7732146405429</v>
      </c>
      <c r="J66" s="3">
        <v>19.491028914396701</v>
      </c>
      <c r="K66" s="3">
        <v>16.431369448924201</v>
      </c>
      <c r="L66" s="3">
        <v>18.682768576057899</v>
      </c>
      <c r="M66" s="3">
        <v>16.244482873529599</v>
      </c>
      <c r="N66" s="3">
        <v>12.0709206774712</v>
      </c>
    </row>
    <row r="67" spans="1:14" x14ac:dyDescent="0.35">
      <c r="A67" s="2">
        <v>43846</v>
      </c>
      <c r="B67" s="3">
        <v>32.851029643068998</v>
      </c>
      <c r="C67" s="3">
        <v>18.611982345107499</v>
      </c>
      <c r="D67" s="3">
        <v>15.600992126630199</v>
      </c>
      <c r="E67" s="3">
        <v>15.672283040001</v>
      </c>
      <c r="F67" s="3">
        <v>15.407602941150699</v>
      </c>
      <c r="G67" s="3">
        <v>19.779907623518501</v>
      </c>
      <c r="H67" s="3">
        <v>14.2185978120371</v>
      </c>
      <c r="I67" s="3">
        <v>26.476425094894399</v>
      </c>
      <c r="J67" s="3">
        <v>20.360858364712801</v>
      </c>
      <c r="K67" s="3">
        <v>16.673210072326999</v>
      </c>
      <c r="L67" s="3">
        <v>18.741232185695001</v>
      </c>
      <c r="M67" s="3">
        <v>16.798687902277599</v>
      </c>
      <c r="N67" s="3">
        <v>12.279784383894301</v>
      </c>
    </row>
    <row r="68" spans="1:14" x14ac:dyDescent="0.35">
      <c r="A68" s="2">
        <v>43875</v>
      </c>
      <c r="B68" s="3">
        <v>33.323888385085198</v>
      </c>
      <c r="C68" s="3">
        <v>18.889983409067</v>
      </c>
      <c r="D68" s="3">
        <v>15.734423015637599</v>
      </c>
      <c r="E68" s="3">
        <v>16.272088288727701</v>
      </c>
      <c r="F68" s="3">
        <v>15.3906448758942</v>
      </c>
      <c r="G68" s="3">
        <v>20.078176104687198</v>
      </c>
      <c r="H68" s="3">
        <v>13.851737973950801</v>
      </c>
      <c r="I68" s="3">
        <v>27.2039444144262</v>
      </c>
      <c r="J68" s="3">
        <v>20.5215638574211</v>
      </c>
      <c r="K68" s="3">
        <v>16.723766891291401</v>
      </c>
      <c r="L68" s="3">
        <v>20.028150079254299</v>
      </c>
      <c r="M68" s="3">
        <v>14.432854245754401</v>
      </c>
      <c r="N68" s="3">
        <v>12.738684257548099</v>
      </c>
    </row>
    <row r="69" spans="1:14" x14ac:dyDescent="0.35">
      <c r="A69" s="2">
        <v>43906</v>
      </c>
      <c r="B69" s="3">
        <v>30.007022397676899</v>
      </c>
      <c r="C69" s="3">
        <v>16.206264350509699</v>
      </c>
      <c r="D69" s="3">
        <v>13.845507582632401</v>
      </c>
      <c r="E69" s="3">
        <v>13.312851985532401</v>
      </c>
      <c r="F69" s="3">
        <v>13.4668960388109</v>
      </c>
      <c r="G69" s="3">
        <v>17.4090744063123</v>
      </c>
      <c r="H69" s="3">
        <v>11.8995748641536</v>
      </c>
      <c r="I69" s="3">
        <v>22.9747180217934</v>
      </c>
      <c r="J69" s="3">
        <v>17.2491523301683</v>
      </c>
      <c r="K69" s="3">
        <v>13.956781788711</v>
      </c>
      <c r="L69" s="3">
        <v>16.539784735360701</v>
      </c>
      <c r="M69" s="3">
        <v>12.352232157742</v>
      </c>
      <c r="N69" s="3">
        <v>10.689595025410901</v>
      </c>
    </row>
    <row r="70" spans="1:14" x14ac:dyDescent="0.35">
      <c r="A70" s="2">
        <v>43937</v>
      </c>
      <c r="B70" s="3">
        <v>31.261251275905799</v>
      </c>
      <c r="C70" s="3">
        <v>16.857767712489</v>
      </c>
      <c r="D70" s="3">
        <v>14.802857113865199</v>
      </c>
      <c r="E70" s="3">
        <v>14.306684848735101</v>
      </c>
      <c r="F70" s="3">
        <v>13.9890304139272</v>
      </c>
      <c r="G70" s="3">
        <v>18.212240847600999</v>
      </c>
      <c r="H70" s="3">
        <v>12.8344290662129</v>
      </c>
      <c r="I70" s="3">
        <v>24.530211002620401</v>
      </c>
      <c r="J70" s="3">
        <v>18.575945194322198</v>
      </c>
      <c r="K70" s="3">
        <v>15.0226773132463</v>
      </c>
      <c r="L70" s="3">
        <v>17.432009792980601</v>
      </c>
      <c r="M70" s="3">
        <v>13.7870634492115</v>
      </c>
      <c r="N70" s="3">
        <v>11.498791899022899</v>
      </c>
    </row>
    <row r="71" spans="1:14" x14ac:dyDescent="0.35">
      <c r="A71" s="2">
        <v>43966</v>
      </c>
      <c r="B71" s="3">
        <v>32.112421616684202</v>
      </c>
      <c r="C71" s="3">
        <v>17.385931758659101</v>
      </c>
      <c r="D71" s="3">
        <v>16.376452127788099</v>
      </c>
      <c r="E71" s="3">
        <v>15.214535628152699</v>
      </c>
      <c r="F71" s="3">
        <v>14.5358586027846</v>
      </c>
      <c r="G71" s="3">
        <v>18.7266479224091</v>
      </c>
      <c r="H71" s="3">
        <v>13.842915634888399</v>
      </c>
      <c r="I71" s="3">
        <v>25.6827404299666</v>
      </c>
      <c r="J71" s="3">
        <v>19.629239035170801</v>
      </c>
      <c r="K71" s="3">
        <v>15.9100011692137</v>
      </c>
      <c r="L71" s="3">
        <v>17.838090930184201</v>
      </c>
      <c r="M71" s="3">
        <v>14.748242105168901</v>
      </c>
      <c r="N71" s="3">
        <v>13.350117904643801</v>
      </c>
    </row>
    <row r="72" spans="1:14" x14ac:dyDescent="0.35">
      <c r="A72" s="2">
        <v>43998</v>
      </c>
      <c r="B72" s="3">
        <v>32.030385301163399</v>
      </c>
      <c r="C72" s="3">
        <v>18.460744161360299</v>
      </c>
      <c r="D72" s="3">
        <v>17.2361464855299</v>
      </c>
      <c r="E72" s="3">
        <v>17.291673955237201</v>
      </c>
      <c r="F72" s="3">
        <v>16.654579515663102</v>
      </c>
      <c r="G72" s="3">
        <v>19.3174239155145</v>
      </c>
      <c r="H72" s="3">
        <v>15.0822420825248</v>
      </c>
      <c r="I72" s="3">
        <v>27.328527467728001</v>
      </c>
      <c r="J72" s="3">
        <v>21.015096247851201</v>
      </c>
      <c r="K72" s="3">
        <v>18.051902228975699</v>
      </c>
      <c r="L72" s="3">
        <v>19.319503066362198</v>
      </c>
      <c r="M72" s="3">
        <v>16.551072374345299</v>
      </c>
      <c r="N72" s="3">
        <v>15.8980225288137</v>
      </c>
    </row>
    <row r="73" spans="1:14" x14ac:dyDescent="0.35">
      <c r="A73" s="2">
        <v>44028</v>
      </c>
      <c r="B73" s="3">
        <v>33.383192427284101</v>
      </c>
      <c r="C73" s="3">
        <v>18.7948651260186</v>
      </c>
      <c r="D73" s="3">
        <v>17.786093112524998</v>
      </c>
      <c r="E73" s="3">
        <v>18.758063582435099</v>
      </c>
      <c r="F73" s="3">
        <v>17.523751220649999</v>
      </c>
      <c r="G73" s="3">
        <v>20.181877224948401</v>
      </c>
      <c r="H73" s="3">
        <v>15.5940967899953</v>
      </c>
      <c r="I73" s="3">
        <v>28.677592738448102</v>
      </c>
      <c r="J73" s="3">
        <v>21.974677459234901</v>
      </c>
      <c r="K73" s="3">
        <v>19.966740084539001</v>
      </c>
      <c r="L73" s="3">
        <v>20.231308269732502</v>
      </c>
      <c r="M73" s="3">
        <v>18.162001660928201</v>
      </c>
      <c r="N73" s="3">
        <v>17.447219820490801</v>
      </c>
    </row>
    <row r="74" spans="1:14" x14ac:dyDescent="0.35">
      <c r="A74" s="2">
        <v>44057</v>
      </c>
      <c r="B74" s="3">
        <v>33.644167655666799</v>
      </c>
      <c r="C74" s="3">
        <v>19.5686698312632</v>
      </c>
      <c r="D74" s="3">
        <v>18.1787020406619</v>
      </c>
      <c r="E74" s="3">
        <v>19.480658679539602</v>
      </c>
      <c r="F74" s="3">
        <v>18.1584822140202</v>
      </c>
      <c r="G74" s="3">
        <v>20.356438288202298</v>
      </c>
      <c r="H74" s="3">
        <v>16.281093602803299</v>
      </c>
      <c r="I74" s="3">
        <v>29.279595254100698</v>
      </c>
      <c r="J74" s="3">
        <v>22.7727949133176</v>
      </c>
      <c r="K74" s="3">
        <v>22.003208803020101</v>
      </c>
      <c r="L74" s="3">
        <v>20.891500735749599</v>
      </c>
      <c r="M74" s="3">
        <v>17.545144135661999</v>
      </c>
      <c r="N74" s="3">
        <v>17.7453990965437</v>
      </c>
    </row>
    <row r="75" spans="1:14" x14ac:dyDescent="0.35">
      <c r="A75" s="2">
        <v>44090</v>
      </c>
      <c r="B75" s="3">
        <v>33.8890080409723</v>
      </c>
      <c r="C75" s="3">
        <v>19.507267549485199</v>
      </c>
      <c r="D75" s="3">
        <v>18.2826838943013</v>
      </c>
      <c r="E75" s="3">
        <v>20.644441359028399</v>
      </c>
      <c r="F75" s="3">
        <v>19.8478506678122</v>
      </c>
      <c r="G75" s="3">
        <v>21.1032835026455</v>
      </c>
      <c r="H75" s="3">
        <v>16.9907573494894</v>
      </c>
      <c r="I75" s="3">
        <v>30.168394157927601</v>
      </c>
      <c r="J75" s="3">
        <v>23.370747712382499</v>
      </c>
      <c r="K75" s="3">
        <v>23.554216775092101</v>
      </c>
      <c r="L75" s="3">
        <v>21.749540674935002</v>
      </c>
      <c r="M75" s="3">
        <v>17.990698452565098</v>
      </c>
      <c r="N75" s="3">
        <v>18.4961530995663</v>
      </c>
    </row>
    <row r="76" spans="1:14" x14ac:dyDescent="0.35">
      <c r="A76" s="2">
        <v>44120</v>
      </c>
      <c r="B76" s="3">
        <v>35.187628319231798</v>
      </c>
      <c r="C76" s="3">
        <v>19.8796492616489</v>
      </c>
      <c r="D76" s="3">
        <v>18.819729010005599</v>
      </c>
      <c r="E76" s="3">
        <v>20.6238676354725</v>
      </c>
      <c r="F76" s="3">
        <v>20.361685675660901</v>
      </c>
      <c r="G76" s="3">
        <v>20.909403157973799</v>
      </c>
      <c r="H76" s="3">
        <v>16.992426552908299</v>
      </c>
      <c r="I76" s="3">
        <v>32.1481851713949</v>
      </c>
      <c r="J76" s="3">
        <v>24.364595672209301</v>
      </c>
      <c r="K76" s="3">
        <v>24.2611290213217</v>
      </c>
      <c r="L76" s="3">
        <v>22.6582798999587</v>
      </c>
      <c r="M76" s="3">
        <v>16.346689440845701</v>
      </c>
      <c r="N76" s="3">
        <v>18.957251857329702</v>
      </c>
    </row>
    <row r="77" spans="1:14" x14ac:dyDescent="0.35">
      <c r="A77" s="2">
        <v>44151</v>
      </c>
      <c r="B77" s="3">
        <v>36.228562357347897</v>
      </c>
      <c r="C77" s="3">
        <v>21.515553345151499</v>
      </c>
      <c r="D77" s="3">
        <v>19.505826505922101</v>
      </c>
      <c r="E77" s="3">
        <v>20.698636572999899</v>
      </c>
      <c r="F77" s="3">
        <v>22.136922619633999</v>
      </c>
      <c r="G77" s="3">
        <v>21.400723044527599</v>
      </c>
      <c r="H77" s="3">
        <v>18.598933850612799</v>
      </c>
      <c r="I77" s="3">
        <v>32.245658581380397</v>
      </c>
      <c r="J77" s="3">
        <v>25.182169013124199</v>
      </c>
      <c r="K77" s="3">
        <v>27.219511100398101</v>
      </c>
      <c r="L77" s="3">
        <v>24.730940951155901</v>
      </c>
      <c r="M77" s="3">
        <v>16.565477615227199</v>
      </c>
      <c r="N77" s="3">
        <v>20.978171106058799</v>
      </c>
    </row>
    <row r="78" spans="1:14" x14ac:dyDescent="0.35">
      <c r="A78" s="2">
        <v>44181</v>
      </c>
      <c r="B78" s="3">
        <v>36.815436223544999</v>
      </c>
      <c r="C78" s="3">
        <v>22.720324175564699</v>
      </c>
      <c r="D78" s="3">
        <v>20.287095085851298</v>
      </c>
      <c r="E78" s="3">
        <v>21.467713840763</v>
      </c>
      <c r="F78" s="3">
        <v>22.893240499839401</v>
      </c>
      <c r="G78" s="3">
        <v>21.3296407861815</v>
      </c>
      <c r="H78" s="3">
        <v>19.5901219478753</v>
      </c>
      <c r="I78" s="3">
        <v>34.613206231368501</v>
      </c>
      <c r="J78" s="3">
        <v>26.164240200555501</v>
      </c>
      <c r="K78" s="3">
        <v>28.2679908658037</v>
      </c>
      <c r="L78" s="3">
        <v>26.408375387238799</v>
      </c>
      <c r="M78" s="3">
        <v>17.152546508428799</v>
      </c>
      <c r="N78" s="3">
        <v>22.737111323469001</v>
      </c>
    </row>
    <row r="79" spans="1:14" x14ac:dyDescent="0.35">
      <c r="A79" s="2">
        <v>44211</v>
      </c>
      <c r="B79" s="3">
        <v>37.458280017736598</v>
      </c>
      <c r="C79" s="3">
        <v>23.257172696768901</v>
      </c>
      <c r="D79" s="3">
        <v>21.080439758426898</v>
      </c>
      <c r="E79" s="3">
        <v>21.864544955894701</v>
      </c>
      <c r="F79" s="3">
        <v>23.974536978770299</v>
      </c>
      <c r="G79" s="3">
        <v>21.973984026871399</v>
      </c>
      <c r="H79" s="3">
        <v>20.2047061894819</v>
      </c>
      <c r="I79" s="3">
        <v>34.709958557747797</v>
      </c>
      <c r="J79" s="3">
        <v>27.128753899555601</v>
      </c>
      <c r="K79" s="3">
        <v>28.716677222971001</v>
      </c>
      <c r="L79" s="3">
        <v>28.2860812933856</v>
      </c>
      <c r="M79" s="3">
        <v>18.5501347110363</v>
      </c>
      <c r="N79" s="3">
        <v>23.317799800399399</v>
      </c>
    </row>
    <row r="80" spans="1:14" x14ac:dyDescent="0.35">
      <c r="A80" s="2">
        <v>44243</v>
      </c>
      <c r="B80" s="3">
        <v>35.195040641602297</v>
      </c>
      <c r="C80" s="3">
        <v>23.1627356205287</v>
      </c>
      <c r="D80" s="3">
        <v>20.956792966445999</v>
      </c>
      <c r="E80" s="3">
        <v>21.473753899959501</v>
      </c>
      <c r="F80" s="3">
        <v>24.134566563557499</v>
      </c>
      <c r="G80" s="3">
        <v>21.3186513541491</v>
      </c>
      <c r="H80" s="3">
        <v>20.002001931667898</v>
      </c>
      <c r="I80" s="3">
        <v>35.448943831067602</v>
      </c>
      <c r="J80" s="3">
        <v>27.351066062530698</v>
      </c>
      <c r="K80" s="3">
        <v>27.8433481473282</v>
      </c>
      <c r="L80" s="3">
        <v>30.304601013350599</v>
      </c>
      <c r="M80" s="3">
        <v>17.734710868239699</v>
      </c>
      <c r="N80" s="3">
        <v>20.554315926419999</v>
      </c>
    </row>
    <row r="81" spans="1:14" x14ac:dyDescent="0.35">
      <c r="A81" s="2">
        <v>44271</v>
      </c>
      <c r="B81" s="3">
        <v>34.613615554658402</v>
      </c>
      <c r="C81" s="3">
        <v>21.640461808687899</v>
      </c>
      <c r="D81" s="3">
        <v>19.811150657601601</v>
      </c>
      <c r="E81" s="3">
        <v>20.183616238174402</v>
      </c>
      <c r="F81" s="3">
        <v>21.586452090677302</v>
      </c>
      <c r="G81" s="3">
        <v>20.4787310319916</v>
      </c>
      <c r="H81" s="3">
        <v>18.603202827709801</v>
      </c>
      <c r="I81" s="3">
        <v>32.781501314550503</v>
      </c>
      <c r="J81" s="3">
        <v>26.182325665408101</v>
      </c>
      <c r="K81" s="3">
        <v>26.7374231880951</v>
      </c>
      <c r="L81" s="3">
        <v>28.731127363905902</v>
      </c>
      <c r="M81" s="3">
        <v>17.968377674916599</v>
      </c>
      <c r="N81" s="3">
        <v>20.077948697663999</v>
      </c>
    </row>
    <row r="82" spans="1:14" x14ac:dyDescent="0.35">
      <c r="A82" s="2">
        <v>44302</v>
      </c>
      <c r="B82" s="3">
        <v>34.525060215616101</v>
      </c>
      <c r="C82" s="3">
        <v>21.272406053701999</v>
      </c>
      <c r="D82" s="3">
        <v>19.472701126388898</v>
      </c>
      <c r="E82" s="3">
        <v>19.907488828686901</v>
      </c>
      <c r="F82" s="3">
        <v>21.1151100567754</v>
      </c>
      <c r="G82" s="3">
        <v>20.649610022204101</v>
      </c>
      <c r="H82" s="3">
        <v>18.026734453565599</v>
      </c>
      <c r="I82" s="3">
        <v>32.933143276246902</v>
      </c>
      <c r="J82" s="3">
        <v>25.995465338138299</v>
      </c>
      <c r="K82" s="3">
        <v>25.938865228989101</v>
      </c>
      <c r="L82" s="3">
        <v>28.454542410034499</v>
      </c>
      <c r="M82" s="3">
        <v>18.492755510607498</v>
      </c>
      <c r="N82" s="3">
        <v>19.513641063496198</v>
      </c>
    </row>
    <row r="83" spans="1:14" x14ac:dyDescent="0.35">
      <c r="A83" s="2">
        <v>44330</v>
      </c>
      <c r="B83" s="3">
        <v>34.680917917397402</v>
      </c>
      <c r="C83" s="3">
        <v>20.767569135073</v>
      </c>
      <c r="D83" s="3">
        <v>18.991606527611001</v>
      </c>
      <c r="E83" s="3">
        <v>19.053843829259701</v>
      </c>
      <c r="F83" s="3">
        <v>20.3508293220216</v>
      </c>
      <c r="G83" s="3">
        <v>20.437777147093801</v>
      </c>
      <c r="H83" s="3">
        <v>17.436971551864499</v>
      </c>
      <c r="I83" s="3">
        <v>31.5634397982124</v>
      </c>
      <c r="J83" s="3">
        <v>25.30444738217</v>
      </c>
      <c r="K83" s="3">
        <v>25.0290128216003</v>
      </c>
      <c r="L83" s="3">
        <v>27.3622205377843</v>
      </c>
      <c r="M83" s="3">
        <v>17.562053508489399</v>
      </c>
      <c r="N83" s="3">
        <v>18.7722002440644</v>
      </c>
    </row>
    <row r="84" spans="1:14" x14ac:dyDescent="0.35">
      <c r="A84" s="2">
        <v>44363</v>
      </c>
      <c r="B84" s="3">
        <v>35.463911322591798</v>
      </c>
      <c r="C84" s="3">
        <v>20.628785175456098</v>
      </c>
      <c r="D84" s="3">
        <v>18.649963718048401</v>
      </c>
      <c r="E84" s="3">
        <v>18.6617748933493</v>
      </c>
      <c r="F84" s="3">
        <v>20.118627497962901</v>
      </c>
      <c r="G84" s="3">
        <v>20.964152975295399</v>
      </c>
      <c r="H84" s="3">
        <v>16.9333320423159</v>
      </c>
      <c r="I84" s="3">
        <v>31.473733881119301</v>
      </c>
      <c r="J84" s="3">
        <v>24.869675054072399</v>
      </c>
      <c r="K84" s="3">
        <v>24.363829995541</v>
      </c>
      <c r="L84" s="3">
        <v>26.977910755838302</v>
      </c>
      <c r="M84" s="3">
        <v>17.9959496654959</v>
      </c>
      <c r="N84" s="3">
        <v>18.452285148226601</v>
      </c>
    </row>
    <row r="85" spans="1:14" x14ac:dyDescent="0.35">
      <c r="A85" s="2">
        <v>44393</v>
      </c>
      <c r="B85" s="3">
        <v>36.484100747311203</v>
      </c>
      <c r="C85" s="3">
        <v>19.4227864908401</v>
      </c>
      <c r="D85" s="3">
        <v>18.015286234245199</v>
      </c>
      <c r="E85" s="3">
        <v>17.962411156369601</v>
      </c>
      <c r="F85" s="3">
        <v>19.427884506570201</v>
      </c>
      <c r="G85" s="3">
        <v>20.952768317510898</v>
      </c>
      <c r="H85" s="3">
        <v>15.8730768116259</v>
      </c>
      <c r="I85" s="3">
        <v>31.8082566217067</v>
      </c>
      <c r="J85" s="3">
        <v>24.550995835857499</v>
      </c>
      <c r="K85" s="3">
        <v>22.882018877202899</v>
      </c>
      <c r="L85" s="3">
        <v>26.239193236650799</v>
      </c>
      <c r="M85" s="3">
        <v>17.745254436097699</v>
      </c>
      <c r="N85" s="3">
        <v>17.489081593940799</v>
      </c>
    </row>
    <row r="86" spans="1:14" x14ac:dyDescent="0.35">
      <c r="A86" s="2">
        <v>44424</v>
      </c>
      <c r="B86" s="3">
        <v>36.974511544842002</v>
      </c>
      <c r="C86" s="3">
        <v>19.248004562220899</v>
      </c>
      <c r="D86" s="3">
        <v>17.495125432757</v>
      </c>
      <c r="E86" s="3">
        <v>17.2264183146359</v>
      </c>
      <c r="F86" s="3">
        <v>18.656235192811899</v>
      </c>
      <c r="G86" s="3">
        <v>21.199295130293802</v>
      </c>
      <c r="H86" s="3">
        <v>15.1209006390776</v>
      </c>
      <c r="I86" s="3">
        <v>31.308249679027401</v>
      </c>
      <c r="J86" s="3">
        <v>24.107673943593301</v>
      </c>
      <c r="K86" s="3">
        <v>21.758799270027801</v>
      </c>
      <c r="L86" s="3">
        <v>25.932370754453501</v>
      </c>
      <c r="M86" s="3">
        <v>17.4910281344679</v>
      </c>
      <c r="N86" s="3">
        <v>16.247999712069898</v>
      </c>
    </row>
    <row r="87" spans="1:14" x14ac:dyDescent="0.35">
      <c r="A87" s="2">
        <v>44455</v>
      </c>
      <c r="B87" s="3">
        <v>38.367393230838601</v>
      </c>
      <c r="C87" s="3">
        <v>18.848999647054899</v>
      </c>
      <c r="D87" s="3">
        <v>16.900886361128698</v>
      </c>
      <c r="E87" s="3">
        <v>16.509907687444102</v>
      </c>
      <c r="F87" s="3">
        <v>18.7081157961325</v>
      </c>
      <c r="G87" s="3">
        <v>20.697137141037501</v>
      </c>
      <c r="H87" s="3">
        <v>14.2721681353751</v>
      </c>
      <c r="I87" s="3">
        <v>31.4882497968959</v>
      </c>
      <c r="J87" s="3">
        <v>23.648849007947899</v>
      </c>
      <c r="K87" s="3">
        <v>20.380208275197301</v>
      </c>
      <c r="L87" s="3">
        <v>25.6534828530021</v>
      </c>
      <c r="M87" s="3">
        <v>17.512518513063199</v>
      </c>
      <c r="N87" s="3">
        <v>15.0964957382505</v>
      </c>
    </row>
    <row r="88" spans="1:14" x14ac:dyDescent="0.35">
      <c r="A88" s="2">
        <v>44484</v>
      </c>
      <c r="B88" s="3">
        <v>38.600490266068597</v>
      </c>
      <c r="C88" s="3">
        <v>18.719751679529999</v>
      </c>
      <c r="D88" s="3">
        <v>16.721190590196201</v>
      </c>
      <c r="E88" s="3">
        <v>16.013608688576099</v>
      </c>
      <c r="F88" s="3">
        <v>17.867652654881802</v>
      </c>
      <c r="G88" s="3">
        <v>20.4932502600136</v>
      </c>
      <c r="H88" s="3">
        <v>13.9507118430422</v>
      </c>
      <c r="I88" s="3">
        <v>30.697854841692099</v>
      </c>
      <c r="J88" s="3">
        <v>23.183022109574001</v>
      </c>
      <c r="K88" s="3">
        <v>19.3079381267966</v>
      </c>
      <c r="L88" s="3">
        <v>24.503395010232499</v>
      </c>
      <c r="M88" s="3">
        <v>17.458674536841102</v>
      </c>
      <c r="N88" s="3">
        <v>14.4903992555711</v>
      </c>
    </row>
    <row r="89" spans="1:14" x14ac:dyDescent="0.35">
      <c r="A89" s="2">
        <v>44516</v>
      </c>
      <c r="B89" s="3">
        <v>38.839736603776203</v>
      </c>
      <c r="C89" s="3">
        <v>18.343649105129899</v>
      </c>
      <c r="D89" s="3">
        <v>16.515536466895501</v>
      </c>
      <c r="E89" s="3">
        <v>15.3578491048566</v>
      </c>
      <c r="F89" s="3">
        <v>17.588880680189401</v>
      </c>
      <c r="G89" s="3">
        <v>21.033670692507599</v>
      </c>
      <c r="H89" s="3">
        <v>13.192545960700601</v>
      </c>
      <c r="I89" s="3">
        <v>32.077948092324498</v>
      </c>
      <c r="J89" s="3">
        <v>23.430392363286</v>
      </c>
      <c r="K89" s="3">
        <v>18.599707761970201</v>
      </c>
      <c r="L89" s="3">
        <v>24.5335886597532</v>
      </c>
      <c r="M89" s="3">
        <v>16.8363972437051</v>
      </c>
      <c r="N89" s="3">
        <v>13.843723613367301</v>
      </c>
    </row>
    <row r="90" spans="1:14" x14ac:dyDescent="0.35">
      <c r="A90" s="2">
        <v>44546</v>
      </c>
      <c r="B90" s="3">
        <v>38.474325911798097</v>
      </c>
      <c r="C90" s="3">
        <v>17.5448983247096</v>
      </c>
      <c r="D90" s="3">
        <v>15.4117159577122</v>
      </c>
      <c r="E90" s="3">
        <v>14.2642835237905</v>
      </c>
      <c r="F90" s="3">
        <v>16.565082112363399</v>
      </c>
      <c r="G90" s="3">
        <v>21.371390498981501</v>
      </c>
      <c r="H90" s="3">
        <v>12.4071968281505</v>
      </c>
      <c r="I90" s="3">
        <v>30.984039108009299</v>
      </c>
      <c r="J90" s="3">
        <v>22.888826839977501</v>
      </c>
      <c r="K90" s="3">
        <v>17.3191700145283</v>
      </c>
      <c r="L90" s="3">
        <v>22.2861852925822</v>
      </c>
      <c r="M90" s="3">
        <v>16.232349426933698</v>
      </c>
      <c r="N90" s="3">
        <v>12.2178366025252</v>
      </c>
    </row>
    <row r="91" spans="1:14" x14ac:dyDescent="0.35">
      <c r="A91" s="2">
        <v>44575</v>
      </c>
      <c r="B91" s="3">
        <v>38.129272964544597</v>
      </c>
      <c r="C91" s="3">
        <v>17.698889495439101</v>
      </c>
      <c r="D91" s="3">
        <v>15.5671639505639</v>
      </c>
      <c r="E91" s="3">
        <v>14.0934204288255</v>
      </c>
      <c r="F91" s="3">
        <v>15.866022692093599</v>
      </c>
      <c r="G91" s="3">
        <v>20.8293094697787</v>
      </c>
      <c r="H91" s="3">
        <v>12.7048407391176</v>
      </c>
      <c r="I91" s="3">
        <v>30.390409065356</v>
      </c>
      <c r="J91" s="3">
        <v>22.607789479743801</v>
      </c>
      <c r="K91" s="3">
        <v>16.977069042599702</v>
      </c>
      <c r="L91" s="3">
        <v>21.820992257634298</v>
      </c>
      <c r="M91" s="3">
        <v>15.885902990211999</v>
      </c>
      <c r="N91" s="3">
        <v>12.125775004066099</v>
      </c>
    </row>
    <row r="92" spans="1:14" x14ac:dyDescent="0.35">
      <c r="A92" s="2">
        <v>44608</v>
      </c>
      <c r="B92" s="3">
        <v>36.742536342031201</v>
      </c>
      <c r="C92" s="3">
        <v>16.210457451056602</v>
      </c>
      <c r="D92" s="3">
        <v>15.5206850982622</v>
      </c>
      <c r="E92" s="3">
        <v>13.2853625582812</v>
      </c>
      <c r="F92" s="3">
        <v>15.217232386960699</v>
      </c>
      <c r="G92" s="3">
        <v>18.612170485830301</v>
      </c>
      <c r="H92" s="3">
        <v>12.808588292119</v>
      </c>
      <c r="I92" s="3">
        <v>27.514721384622899</v>
      </c>
      <c r="J92" s="3">
        <v>21.298025574431499</v>
      </c>
      <c r="K92" s="3">
        <v>16.021447997591199</v>
      </c>
      <c r="L92" s="3">
        <v>19.9863165060518</v>
      </c>
      <c r="M92" s="3">
        <v>12.237070884281399</v>
      </c>
      <c r="N92" s="3">
        <v>11.760972718537399</v>
      </c>
    </row>
    <row r="93" spans="1:14" x14ac:dyDescent="0.35">
      <c r="A93" s="2">
        <v>44636</v>
      </c>
      <c r="B93" s="3">
        <v>35.011986678346503</v>
      </c>
      <c r="C93" s="3">
        <v>15.6760298193623</v>
      </c>
      <c r="D93" s="3">
        <v>15.1000712662977</v>
      </c>
      <c r="E93" s="3">
        <v>12.4961970977895</v>
      </c>
      <c r="F93" s="3">
        <v>14.543568599866999</v>
      </c>
      <c r="G93" s="3">
        <v>18.456394264529301</v>
      </c>
      <c r="H93" s="3">
        <v>12.419403719072699</v>
      </c>
      <c r="I93" s="3">
        <v>26.522118137173798</v>
      </c>
      <c r="J93" s="3">
        <v>20.6042707625537</v>
      </c>
      <c r="K93" s="3">
        <v>15.3539524747918</v>
      </c>
      <c r="L93" s="3">
        <v>18.373271671994001</v>
      </c>
      <c r="M93" s="3">
        <v>11.9482313316926</v>
      </c>
      <c r="N93" s="3">
        <v>10.5714124062306</v>
      </c>
    </row>
    <row r="94" spans="1:14" x14ac:dyDescent="0.35">
      <c r="A94" s="2">
        <v>44665</v>
      </c>
      <c r="B94" s="3">
        <v>34.4962054461311</v>
      </c>
      <c r="C94" s="3">
        <v>15.662555774154299</v>
      </c>
      <c r="D94" s="3">
        <v>14.9320499078101</v>
      </c>
      <c r="E94" s="3">
        <v>12.3439781009498</v>
      </c>
      <c r="F94" s="3">
        <v>14.480911978048599</v>
      </c>
      <c r="G94" s="3">
        <v>18.6824282663476</v>
      </c>
      <c r="H94" s="3">
        <v>12.2458605888793</v>
      </c>
      <c r="I94" s="3">
        <v>26.337275155300201</v>
      </c>
      <c r="J94" s="3">
        <v>20.455318909872901</v>
      </c>
      <c r="K94" s="3">
        <v>15.069955793170999</v>
      </c>
      <c r="L94" s="3">
        <v>18.423579950809401</v>
      </c>
      <c r="M94" s="3">
        <v>12.207975001627799</v>
      </c>
      <c r="N94" s="3">
        <v>10.5267190562693</v>
      </c>
    </row>
    <row r="95" spans="1:14" x14ac:dyDescent="0.35">
      <c r="A95" s="2">
        <v>44697</v>
      </c>
      <c r="B95" s="3">
        <v>33.943249927931902</v>
      </c>
      <c r="C95" s="3">
        <v>15.054450952292999</v>
      </c>
      <c r="D95" s="3">
        <v>14.2960363980845</v>
      </c>
      <c r="E95" s="3">
        <v>12.044905671616</v>
      </c>
      <c r="F95" s="3">
        <v>14.1895566445409</v>
      </c>
      <c r="G95" s="3">
        <v>18.1473763038254</v>
      </c>
      <c r="H95" s="3">
        <v>11.762724683785301</v>
      </c>
      <c r="I95" s="3">
        <v>25.225363586061299</v>
      </c>
      <c r="J95" s="3">
        <v>19.6690091950069</v>
      </c>
      <c r="K95" s="3">
        <v>14.4676635893303</v>
      </c>
      <c r="L95" s="3">
        <v>17.969931834385498</v>
      </c>
      <c r="M95" s="3">
        <v>13.3224931578709</v>
      </c>
      <c r="N95" s="3">
        <v>10.249808259644601</v>
      </c>
    </row>
    <row r="96" spans="1:14" x14ac:dyDescent="0.35">
      <c r="A96" s="2">
        <v>44728</v>
      </c>
      <c r="B96" s="3">
        <v>32.722562864389197</v>
      </c>
      <c r="C96" s="3">
        <v>14.243451521403999</v>
      </c>
      <c r="D96" s="3">
        <v>13.6393487008903</v>
      </c>
      <c r="E96" s="3">
        <v>11.5937864053589</v>
      </c>
      <c r="F96" s="3">
        <v>13.948076001363599</v>
      </c>
      <c r="G96" s="3">
        <v>17.3744130384502</v>
      </c>
      <c r="H96" s="3">
        <v>11.2608861063018</v>
      </c>
      <c r="I96" s="3">
        <v>23.913645737674202</v>
      </c>
      <c r="J96" s="3">
        <v>18.657359300773901</v>
      </c>
      <c r="K96" s="3">
        <v>13.710201824658199</v>
      </c>
      <c r="L96" s="3">
        <v>17.650095068128302</v>
      </c>
      <c r="M96" s="3">
        <v>13.0990640303301</v>
      </c>
      <c r="N96" s="3">
        <v>9.5108508291283709</v>
      </c>
    </row>
    <row r="97" spans="1:14" x14ac:dyDescent="0.35">
      <c r="A97" s="2">
        <v>44757</v>
      </c>
      <c r="B97" s="3">
        <v>33.010111153358601</v>
      </c>
      <c r="C97" s="3">
        <v>14.018667418019</v>
      </c>
      <c r="D97" s="3">
        <v>13.0431998914239</v>
      </c>
      <c r="E97" s="3">
        <v>11.3000117278324</v>
      </c>
      <c r="F97" s="3">
        <v>13.8332693753648</v>
      </c>
      <c r="G97" s="3">
        <v>17.726267482621601</v>
      </c>
      <c r="H97" s="3">
        <v>10.9066420033726</v>
      </c>
      <c r="I97" s="3">
        <v>24.407655901428999</v>
      </c>
      <c r="J97" s="3">
        <v>18.754863948036199</v>
      </c>
      <c r="K97" s="3">
        <v>13.305462875801</v>
      </c>
      <c r="L97" s="3">
        <v>18.265676354686502</v>
      </c>
      <c r="M97" s="3">
        <v>13.7600378546787</v>
      </c>
      <c r="N97" s="3">
        <v>9.0533648007963894</v>
      </c>
    </row>
    <row r="98" spans="1:14" x14ac:dyDescent="0.35">
      <c r="A98" s="2">
        <v>44789</v>
      </c>
      <c r="B98" s="3">
        <v>33.8539270454026</v>
      </c>
      <c r="C98" s="3">
        <v>14.6404625790494</v>
      </c>
      <c r="D98" s="3">
        <v>13.3589542339347</v>
      </c>
      <c r="E98" s="3">
        <v>11.339898586165299</v>
      </c>
      <c r="F98" s="3">
        <v>14.0553213806187</v>
      </c>
      <c r="G98" s="3">
        <v>18.312425366468499</v>
      </c>
      <c r="H98" s="3">
        <v>10.804235297166301</v>
      </c>
      <c r="I98" s="3">
        <v>26.5133521791745</v>
      </c>
      <c r="J98" s="3">
        <v>19.747207617071801</v>
      </c>
      <c r="K98" s="3">
        <v>13.2310144782106</v>
      </c>
      <c r="L98" s="3">
        <v>19.764409504303298</v>
      </c>
      <c r="M98" s="3">
        <v>15.050524539737999</v>
      </c>
      <c r="N98" s="3">
        <v>8.7265912759108808</v>
      </c>
    </row>
    <row r="99" spans="1:14" x14ac:dyDescent="0.35">
      <c r="A99" s="2">
        <v>44820</v>
      </c>
      <c r="B99" s="3">
        <v>33.735782992823502</v>
      </c>
      <c r="C99" s="3">
        <v>13.797663754172801</v>
      </c>
      <c r="D99" s="3">
        <v>12.712329746086599</v>
      </c>
      <c r="E99" s="3">
        <v>10.6291626951989</v>
      </c>
      <c r="F99" s="3">
        <v>13.580590793618599</v>
      </c>
      <c r="G99" s="3">
        <v>17.562442883847499</v>
      </c>
      <c r="H99" s="3">
        <v>10.036706158324501</v>
      </c>
      <c r="I99" s="3">
        <v>24.025242630202101</v>
      </c>
      <c r="J99" s="3">
        <v>18.261689617693499</v>
      </c>
      <c r="K99" s="3">
        <v>12.238306011742001</v>
      </c>
      <c r="L99" s="3">
        <v>18.071107535612899</v>
      </c>
      <c r="M99" s="3">
        <v>14.548699718306199</v>
      </c>
      <c r="N99" s="3">
        <v>8.42534118953348</v>
      </c>
    </row>
    <row r="100" spans="1:14" x14ac:dyDescent="0.35">
      <c r="A100" s="2">
        <v>44848</v>
      </c>
      <c r="B100" s="3">
        <v>31.058113125081601</v>
      </c>
      <c r="C100" s="3">
        <v>13.3955053427908</v>
      </c>
      <c r="D100" s="3">
        <v>11.9861223582625</v>
      </c>
      <c r="E100" s="3">
        <v>10.1307051883028</v>
      </c>
      <c r="F100" s="3">
        <v>13.1761374792508</v>
      </c>
      <c r="G100" s="3">
        <v>17.018413551991699</v>
      </c>
      <c r="H100" s="3">
        <v>9.3999338068058993</v>
      </c>
      <c r="I100" s="3">
        <v>22.147650398680501</v>
      </c>
      <c r="J100" s="3">
        <v>17.131423234527801</v>
      </c>
      <c r="K100" s="3">
        <v>11.5014207035218</v>
      </c>
      <c r="L100" s="3">
        <v>16.699435790248</v>
      </c>
      <c r="M100" s="3">
        <v>14.650352251091901</v>
      </c>
      <c r="N100" s="3">
        <v>7.9156788744197204</v>
      </c>
    </row>
    <row r="101" spans="1:14" x14ac:dyDescent="0.35">
      <c r="A101" s="2">
        <v>44881</v>
      </c>
      <c r="B101" s="3">
        <v>30.0816065111966</v>
      </c>
      <c r="C101" s="3">
        <v>14.207633548293501</v>
      </c>
      <c r="D101" s="3">
        <v>12.6005363914522</v>
      </c>
      <c r="E101" s="3">
        <v>10.9705690610046</v>
      </c>
      <c r="F101" s="3">
        <v>13.5431161951114</v>
      </c>
      <c r="G101" s="3">
        <v>19.445503756474899</v>
      </c>
      <c r="H101" s="3">
        <v>9.7439935978412109</v>
      </c>
      <c r="I101" s="3">
        <v>23.681275619651501</v>
      </c>
      <c r="J101" s="3">
        <v>18.292814046605098</v>
      </c>
      <c r="K101" s="3">
        <v>12.1863788833715</v>
      </c>
      <c r="L101" s="3">
        <v>18.4407829938161</v>
      </c>
      <c r="M101" s="3">
        <v>14.0159293067956</v>
      </c>
      <c r="N101" s="3">
        <v>8.4287473701693791</v>
      </c>
    </row>
    <row r="102" spans="1:14" x14ac:dyDescent="0.35">
      <c r="A102" s="2">
        <v>44911</v>
      </c>
      <c r="B102" s="3">
        <v>29.579550773352501</v>
      </c>
      <c r="C102" s="3">
        <v>13.982139251915999</v>
      </c>
      <c r="D102" s="3">
        <v>12.1941921297003</v>
      </c>
      <c r="E102" s="3">
        <v>10.449496023449999</v>
      </c>
      <c r="F102" s="3">
        <v>13.2699029886749</v>
      </c>
      <c r="G102" s="3">
        <v>20.0034162188729</v>
      </c>
      <c r="H102" s="3">
        <v>9.5758958723640806</v>
      </c>
      <c r="I102" s="3">
        <v>22.486196066406698</v>
      </c>
      <c r="J102" s="3">
        <v>17.585173573221699</v>
      </c>
      <c r="K102" s="3">
        <v>11.627975983032099</v>
      </c>
      <c r="L102" s="3">
        <v>18.016629278597101</v>
      </c>
      <c r="M102" s="3">
        <v>15.2740205501084</v>
      </c>
      <c r="N102" s="3">
        <v>7.4757163263452</v>
      </c>
    </row>
    <row r="103" spans="1:14" x14ac:dyDescent="0.35">
      <c r="A103" s="2">
        <v>44939</v>
      </c>
      <c r="B103" s="3">
        <v>29.640046548625602</v>
      </c>
      <c r="C103" s="3">
        <v>14.5110175390165</v>
      </c>
      <c r="D103" s="3">
        <v>12.632659695047</v>
      </c>
      <c r="E103" s="3">
        <v>11.391845505047</v>
      </c>
      <c r="F103" s="3">
        <v>12.8891005348232</v>
      </c>
      <c r="G103" s="3">
        <v>21.384247855043299</v>
      </c>
      <c r="H103" s="3">
        <v>10.192098969549701</v>
      </c>
      <c r="I103" s="3">
        <v>23.933709392082498</v>
      </c>
      <c r="J103" s="3">
        <v>18.130451007426899</v>
      </c>
      <c r="K103" s="3">
        <v>12.603858951659801</v>
      </c>
      <c r="L103" s="3">
        <v>19.3902702993623</v>
      </c>
      <c r="M103" s="3">
        <v>16.6364783151136</v>
      </c>
      <c r="N103" s="3">
        <v>8.0386208158185504</v>
      </c>
    </row>
    <row r="104" spans="1:14" x14ac:dyDescent="0.35">
      <c r="A104" s="2">
        <v>44973</v>
      </c>
      <c r="B104" s="3">
        <v>30.134259436748899</v>
      </c>
      <c r="C104" s="3">
        <v>14.5648442552563</v>
      </c>
      <c r="D104" s="3">
        <v>12.851662292361199</v>
      </c>
      <c r="E104" s="3">
        <v>11.702416213850601</v>
      </c>
      <c r="F104" s="3">
        <v>13.642984143832299</v>
      </c>
      <c r="G104" s="3">
        <v>21.2476462152739</v>
      </c>
      <c r="H104" s="3">
        <v>10.355753817226599</v>
      </c>
      <c r="I104" s="3">
        <v>25.910350130667801</v>
      </c>
      <c r="J104" s="3">
        <v>18.578006848759401</v>
      </c>
      <c r="K104" s="3">
        <v>13.019897018154101</v>
      </c>
      <c r="L104" s="3">
        <v>21.681055995819801</v>
      </c>
      <c r="M104" s="3">
        <v>26.367892781985599</v>
      </c>
      <c r="N104" s="3">
        <v>8.4120561749428902</v>
      </c>
    </row>
    <row r="105" spans="1:14" x14ac:dyDescent="0.35">
      <c r="A105" s="2">
        <v>45001</v>
      </c>
      <c r="B105" s="3">
        <v>29.072070581435302</v>
      </c>
      <c r="C105" s="3">
        <v>14.136172006218899</v>
      </c>
      <c r="D105" s="3">
        <v>12.516663138916799</v>
      </c>
      <c r="E105" s="3">
        <v>11.2764945656536</v>
      </c>
      <c r="F105" s="3">
        <v>13.5628748511794</v>
      </c>
      <c r="G105" s="3">
        <v>20.434163906022601</v>
      </c>
      <c r="H105" s="3">
        <v>10.137766446206401</v>
      </c>
      <c r="I105" s="3">
        <v>25.382365829988299</v>
      </c>
      <c r="J105" s="3">
        <v>18.034692883074499</v>
      </c>
      <c r="K105" s="3">
        <v>12.841359627076899</v>
      </c>
      <c r="L105" s="3">
        <v>20.359506330411602</v>
      </c>
      <c r="M105" s="3">
        <v>24.913462022522701</v>
      </c>
      <c r="N105" s="3">
        <v>8.2072117483732008</v>
      </c>
    </row>
    <row r="106" spans="1:14" x14ac:dyDescent="0.35">
      <c r="A106" s="2">
        <v>45030</v>
      </c>
      <c r="B106" s="3">
        <v>28.664048062803801</v>
      </c>
      <c r="C106" s="3">
        <v>14.363366161459499</v>
      </c>
      <c r="D106" s="3">
        <v>12.7555960868265</v>
      </c>
      <c r="E106" s="3">
        <v>11.425064560623101</v>
      </c>
      <c r="F106" s="3">
        <v>13.6875539287658</v>
      </c>
      <c r="G106" s="3">
        <v>20.409013377961799</v>
      </c>
      <c r="H106" s="3">
        <v>10.3971349686168</v>
      </c>
      <c r="I106" s="3">
        <v>25.663606386389699</v>
      </c>
      <c r="J106" s="3">
        <v>18.290839599694198</v>
      </c>
      <c r="K106" s="3">
        <v>13.1399715042298</v>
      </c>
      <c r="L106" s="3">
        <v>20.174944556868802</v>
      </c>
      <c r="M106" s="3">
        <v>23.948643064745902</v>
      </c>
      <c r="N106" s="3">
        <v>8.3997539823471605</v>
      </c>
    </row>
    <row r="107" spans="1:14" x14ac:dyDescent="0.35">
      <c r="A107" s="2">
        <v>45062</v>
      </c>
      <c r="B107" s="3">
        <v>28.214188687900101</v>
      </c>
      <c r="C107" s="3">
        <v>14.3499308955528</v>
      </c>
      <c r="D107" s="3">
        <v>12.832451659823199</v>
      </c>
      <c r="E107" s="3">
        <v>11.313078300964399</v>
      </c>
      <c r="F107" s="3">
        <v>13.971286346181399</v>
      </c>
      <c r="G107" s="3">
        <v>20.133838140560801</v>
      </c>
      <c r="H107" s="3">
        <v>10.3586654809829</v>
      </c>
      <c r="I107" s="3">
        <v>25.805113003177699</v>
      </c>
      <c r="J107" s="3">
        <v>18.2764324877093</v>
      </c>
      <c r="K107" s="3">
        <v>13.1495537145426</v>
      </c>
      <c r="L107" s="3">
        <v>19.594351726303099</v>
      </c>
      <c r="M107" s="3">
        <v>22.596758231279601</v>
      </c>
      <c r="N107" s="3">
        <v>8.2775685337370994</v>
      </c>
    </row>
    <row r="108" spans="1:14" x14ac:dyDescent="0.35">
      <c r="A108" s="2">
        <v>45093</v>
      </c>
      <c r="B108" s="3">
        <v>26.361675750622499</v>
      </c>
      <c r="C108" s="3">
        <v>14.609150174102099</v>
      </c>
      <c r="D108" s="3">
        <v>12.937016246609099</v>
      </c>
      <c r="E108" s="3">
        <v>11.355936032989799</v>
      </c>
      <c r="F108" s="3">
        <v>14.560549913555001</v>
      </c>
      <c r="G108" s="3">
        <v>19.503682529699901</v>
      </c>
      <c r="H108" s="3">
        <v>10.3984684376936</v>
      </c>
      <c r="I108" s="3">
        <v>27.185212086118401</v>
      </c>
      <c r="J108" s="3">
        <v>18.921812693461298</v>
      </c>
      <c r="K108" s="3">
        <v>13.2783376427617</v>
      </c>
      <c r="L108" s="3">
        <v>19.3670693149027</v>
      </c>
      <c r="M108" s="3">
        <v>21.556226810215101</v>
      </c>
      <c r="N108" s="3">
        <v>8.5518814801609899</v>
      </c>
    </row>
    <row r="109" spans="1:14" x14ac:dyDescent="0.35">
      <c r="A109" s="2">
        <v>45121</v>
      </c>
      <c r="B109" s="3">
        <v>25.8381185940531</v>
      </c>
      <c r="C109" s="3">
        <v>14.872112769604501</v>
      </c>
      <c r="D109" s="3">
        <v>13.2756053320647</v>
      </c>
      <c r="E109" s="3">
        <v>11.280272449480201</v>
      </c>
      <c r="F109" s="3">
        <v>14.450358137016201</v>
      </c>
      <c r="G109" s="3">
        <v>19.234246908008199</v>
      </c>
      <c r="H109" s="3">
        <v>10.4296450427429</v>
      </c>
      <c r="I109" s="3">
        <v>27.7839061153947</v>
      </c>
      <c r="J109" s="3">
        <v>19.3814592935226</v>
      </c>
      <c r="K109" s="3">
        <v>13.3424486720199</v>
      </c>
      <c r="L109" s="3">
        <v>19.348304850904899</v>
      </c>
      <c r="M109" s="3">
        <v>20.270025507107299</v>
      </c>
      <c r="N109" s="3">
        <v>8.6578893550374207</v>
      </c>
    </row>
    <row r="110" spans="1:14" x14ac:dyDescent="0.35">
      <c r="A110" s="2">
        <v>45154</v>
      </c>
      <c r="B110" s="3">
        <v>24.640687181444001</v>
      </c>
      <c r="C110" s="3">
        <v>14.8032832164563</v>
      </c>
      <c r="D110" s="3">
        <v>13.270737348695301</v>
      </c>
      <c r="E110" s="3">
        <v>11.170144428704701</v>
      </c>
      <c r="F110" s="3">
        <v>14.4491338372346</v>
      </c>
      <c r="G110" s="3">
        <v>18.812249523355501</v>
      </c>
      <c r="H110" s="3">
        <v>10.404662783361401</v>
      </c>
      <c r="I110" s="3">
        <v>26.180863080142601</v>
      </c>
      <c r="J110" s="3">
        <v>19.212923889971002</v>
      </c>
      <c r="K110" s="3">
        <v>13.224030333067899</v>
      </c>
      <c r="L110" s="3">
        <v>18.166437896557301</v>
      </c>
      <c r="M110" s="3">
        <v>18.598775792675699</v>
      </c>
      <c r="N110" s="3">
        <v>8.2017639611964999</v>
      </c>
    </row>
    <row r="111" spans="1:14" x14ac:dyDescent="0.35">
      <c r="A111" s="2">
        <v>45184</v>
      </c>
      <c r="B111" s="3">
        <v>23.995020624976299</v>
      </c>
      <c r="C111" s="3">
        <v>15.1881796580514</v>
      </c>
      <c r="D111" s="3">
        <v>13.783850851519</v>
      </c>
      <c r="E111" s="3">
        <v>11.2914602192935</v>
      </c>
      <c r="F111" s="3">
        <v>15.2717410184234</v>
      </c>
      <c r="G111" s="3">
        <v>18.870115202280701</v>
      </c>
      <c r="H111" s="3">
        <v>10.7154861908912</v>
      </c>
      <c r="I111" s="3">
        <v>26.4903165841618</v>
      </c>
      <c r="J111" s="3">
        <v>19.466926305896799</v>
      </c>
      <c r="K111" s="3">
        <v>13.3470216470006</v>
      </c>
      <c r="L111" s="3">
        <v>17.2868271254716</v>
      </c>
      <c r="M111" s="3">
        <v>17.434634800819399</v>
      </c>
      <c r="N111" s="3">
        <v>8.4179380415025804</v>
      </c>
    </row>
    <row r="112" spans="1:14" x14ac:dyDescent="0.35">
      <c r="A112" s="2">
        <v>45215</v>
      </c>
      <c r="B112" s="3">
        <v>23.185539545867499</v>
      </c>
      <c r="C112" s="3">
        <v>14.664793808997899</v>
      </c>
      <c r="D112" s="3">
        <v>13.350933497280099</v>
      </c>
      <c r="E112" s="3">
        <v>10.9466643662949</v>
      </c>
      <c r="F112" s="3">
        <v>14.6303883408827</v>
      </c>
      <c r="G112" s="3">
        <v>18.331097057314601</v>
      </c>
      <c r="H112" s="3">
        <v>10.6222833281038</v>
      </c>
      <c r="I112" s="3">
        <v>26.649797627780199</v>
      </c>
      <c r="J112" s="3">
        <v>19.4129506321446</v>
      </c>
      <c r="K112" s="3">
        <v>12.7920081723764</v>
      </c>
      <c r="L112" s="3">
        <v>16.3634336100538</v>
      </c>
      <c r="M112" s="3">
        <v>16.209417800529799</v>
      </c>
      <c r="N112" s="3">
        <v>8.2337595695563994</v>
      </c>
    </row>
    <row r="113" spans="1:25" x14ac:dyDescent="0.35">
      <c r="A113" s="2">
        <v>45246</v>
      </c>
      <c r="B113" s="3">
        <v>22.379485893235302</v>
      </c>
      <c r="C113" s="3">
        <v>15.0332658258097</v>
      </c>
      <c r="D113" s="3">
        <v>13.6300378986532</v>
      </c>
      <c r="E113" s="3">
        <v>11.336883027589099</v>
      </c>
      <c r="F113" s="3">
        <v>15.2480182215106</v>
      </c>
      <c r="G113" s="3">
        <v>17.771155828988299</v>
      </c>
      <c r="H113" s="3">
        <v>10.5744468060128</v>
      </c>
      <c r="I113" s="3">
        <v>27.500156948461299</v>
      </c>
      <c r="J113" s="3">
        <v>20.139680052395299</v>
      </c>
      <c r="K113" s="3">
        <v>13.136930204599899</v>
      </c>
      <c r="L113" s="3">
        <v>16.474449837969001</v>
      </c>
      <c r="M113" s="3">
        <v>15.761744042390699</v>
      </c>
      <c r="N113" s="3">
        <v>8.2165320247829303</v>
      </c>
    </row>
    <row r="114" spans="1:25" x14ac:dyDescent="0.35">
      <c r="A114" s="2">
        <v>45275</v>
      </c>
      <c r="B114" s="3">
        <v>23.879227029725499</v>
      </c>
      <c r="C114" s="3">
        <v>16.0748652986514</v>
      </c>
      <c r="D114" s="3">
        <v>14.1943437986932</v>
      </c>
      <c r="E114" s="3">
        <v>11.936229490119199</v>
      </c>
      <c r="F114" s="3">
        <v>15.051650965600301</v>
      </c>
      <c r="G114" s="3">
        <v>18.4520363813571</v>
      </c>
      <c r="H114" s="3">
        <v>11.0254652571899</v>
      </c>
      <c r="I114" s="3">
        <v>28.6983013593333</v>
      </c>
      <c r="J114" s="3">
        <v>21.252485845313899</v>
      </c>
      <c r="K114" s="3">
        <v>14.054010074697899</v>
      </c>
      <c r="L114" s="3">
        <v>16.992476261106599</v>
      </c>
      <c r="M114" s="3">
        <v>18.241342677501699</v>
      </c>
      <c r="N114" s="3">
        <v>8.8187459936056598</v>
      </c>
    </row>
    <row r="115" spans="1:25" x14ac:dyDescent="0.35">
      <c r="A115" s="2">
        <v>45307</v>
      </c>
      <c r="B115" s="3">
        <v>23.820971199939201</v>
      </c>
      <c r="C115" s="3">
        <v>15.9460707102913</v>
      </c>
      <c r="D115" s="3">
        <v>14.5867516966184</v>
      </c>
      <c r="E115" s="3">
        <v>11.7678063841587</v>
      </c>
      <c r="F115" s="3">
        <v>16.2693978905024</v>
      </c>
      <c r="G115" s="3">
        <v>18.377786946633901</v>
      </c>
      <c r="H115" s="3">
        <v>11.1210088262075</v>
      </c>
      <c r="I115" s="3">
        <v>29.0166636907549</v>
      </c>
      <c r="J115" s="3">
        <v>21.712810974366501</v>
      </c>
      <c r="K115" s="3">
        <v>13.9679791058565</v>
      </c>
      <c r="L115" s="3">
        <v>16.314133106081801</v>
      </c>
      <c r="M115" s="3">
        <v>17.141556540035602</v>
      </c>
      <c r="N115" s="3">
        <v>8.9908644097229296</v>
      </c>
    </row>
    <row r="116" spans="1:25" x14ac:dyDescent="0.35">
      <c r="A116" s="2">
        <v>45338</v>
      </c>
      <c r="B116" s="3">
        <v>23.0635498826774</v>
      </c>
      <c r="C116" s="3">
        <v>16.5334594800551</v>
      </c>
      <c r="D116" s="3">
        <v>14.7497323454767</v>
      </c>
      <c r="E116" s="3">
        <v>12.186417491053399</v>
      </c>
      <c r="F116" s="3">
        <v>16.8009615386582</v>
      </c>
      <c r="G116" s="3">
        <v>19.007939116445201</v>
      </c>
      <c r="H116" s="3">
        <v>11.352220072624601</v>
      </c>
      <c r="I116" s="3">
        <v>29.920677560143702</v>
      </c>
      <c r="J116" s="3">
        <v>22.455042863466002</v>
      </c>
      <c r="K116" s="3">
        <v>15.159986554216299</v>
      </c>
      <c r="L116" s="3">
        <v>17.906154945655398</v>
      </c>
      <c r="M116" s="3">
        <v>15.467010061272401</v>
      </c>
      <c r="N116" s="3">
        <v>9.0717589342036096</v>
      </c>
    </row>
    <row r="117" spans="1:25" x14ac:dyDescent="0.35">
      <c r="A117" s="2">
        <v>45366</v>
      </c>
      <c r="B117" s="3">
        <v>23.840064093624701</v>
      </c>
      <c r="C117" s="3">
        <v>16.579994153681302</v>
      </c>
      <c r="D117" s="3">
        <v>14.9214229547106</v>
      </c>
      <c r="E117" s="3">
        <v>12.527001421409601</v>
      </c>
      <c r="F117" s="3">
        <v>16.946673563202701</v>
      </c>
      <c r="G117" s="3">
        <v>19.199335423920399</v>
      </c>
      <c r="H117" s="3">
        <v>11.4654451558111</v>
      </c>
      <c r="I117" s="3">
        <v>30.074304369262801</v>
      </c>
      <c r="J117" s="3">
        <v>22.697934440034999</v>
      </c>
      <c r="K117" s="3">
        <v>15.5307691455507</v>
      </c>
      <c r="L117" s="3">
        <v>18.404387953060901</v>
      </c>
      <c r="M117" s="3">
        <v>15.935621233606399</v>
      </c>
      <c r="N117" s="3">
        <v>9.4236140331173193</v>
      </c>
    </row>
    <row r="118" spans="1:25" x14ac:dyDescent="0.35">
      <c r="A118" s="2">
        <v>45398</v>
      </c>
      <c r="B118" s="3">
        <v>24.081193874316199</v>
      </c>
      <c r="C118" s="3">
        <v>16.5019914975997</v>
      </c>
      <c r="D118" s="3">
        <v>14.841276843395301</v>
      </c>
      <c r="E118" s="3">
        <v>12.4699913272631</v>
      </c>
      <c r="F118" s="3">
        <v>16.834132652036502</v>
      </c>
      <c r="G118" s="3">
        <v>18.838565128154102</v>
      </c>
      <c r="H118" s="3">
        <v>11.467438265414501</v>
      </c>
      <c r="I118" s="3">
        <v>29.6516958385184</v>
      </c>
      <c r="J118" s="3">
        <v>22.4616735711977</v>
      </c>
      <c r="K118" s="3">
        <v>15.362325111836</v>
      </c>
      <c r="L118" s="3">
        <v>18.2644444457686</v>
      </c>
      <c r="M118" s="3">
        <v>15.876361433544099</v>
      </c>
      <c r="N118" s="3">
        <v>9.4030283173258695</v>
      </c>
    </row>
    <row r="119" spans="1:25" x14ac:dyDescent="0.35">
      <c r="A119" s="2">
        <v>45428</v>
      </c>
      <c r="B119" s="3">
        <v>24.669327300669099</v>
      </c>
      <c r="C119" s="3">
        <v>16.8256223616997</v>
      </c>
      <c r="D119" s="3">
        <v>14.977534401092299</v>
      </c>
      <c r="E119" s="3">
        <v>12.5951218231202</v>
      </c>
      <c r="F119" s="3">
        <v>16.7668024322417</v>
      </c>
      <c r="G119" s="3">
        <v>18.943102786661999</v>
      </c>
      <c r="H119" s="3">
        <v>11.7967419599984</v>
      </c>
      <c r="I119" s="3">
        <v>29.783348682650502</v>
      </c>
      <c r="J119" s="3">
        <v>22.608197718117399</v>
      </c>
      <c r="K119" s="3">
        <v>15.512001987214299</v>
      </c>
      <c r="L119" s="3">
        <v>18.355450550687301</v>
      </c>
      <c r="M119" s="3">
        <v>16.111073376428202</v>
      </c>
      <c r="N119" s="3">
        <v>9.6412273230476302</v>
      </c>
    </row>
    <row r="120" spans="1:25" x14ac:dyDescent="0.35">
      <c r="A120" s="2">
        <v>45457</v>
      </c>
      <c r="B120" s="3">
        <v>24.3652872294488</v>
      </c>
      <c r="C120" s="3">
        <v>16.7586675420959</v>
      </c>
      <c r="D120" s="3">
        <v>14.7516255726695</v>
      </c>
      <c r="E120" s="3">
        <v>12.3820529780236</v>
      </c>
      <c r="F120" s="3">
        <v>16.647374004640099</v>
      </c>
      <c r="G120" s="3">
        <v>18.877071706600798</v>
      </c>
      <c r="H120" s="3">
        <v>11.6188259823663</v>
      </c>
      <c r="I120" s="3">
        <v>30.151976037990899</v>
      </c>
      <c r="J120" s="3">
        <v>22.7125676778867</v>
      </c>
      <c r="K120" s="3">
        <v>14.9184201975226</v>
      </c>
      <c r="L120" s="3">
        <v>18.350353741504701</v>
      </c>
      <c r="M120" s="3">
        <v>15.9635383846393</v>
      </c>
      <c r="N120" s="3">
        <v>9.3765305888040409</v>
      </c>
    </row>
    <row r="121" spans="1:25" x14ac:dyDescent="0.35">
      <c r="A121" s="2">
        <v>45489</v>
      </c>
      <c r="B121" s="3">
        <v>24.995776580475599</v>
      </c>
      <c r="C121" s="3">
        <v>17.211990202970899</v>
      </c>
      <c r="D121" s="3">
        <v>15.2172768997416</v>
      </c>
      <c r="E121" s="3">
        <v>12.597014746626201</v>
      </c>
      <c r="F121" s="3">
        <v>17.039341837356702</v>
      </c>
      <c r="G121" s="3">
        <v>18.936628553194002</v>
      </c>
      <c r="H121" s="3">
        <v>11.775154774591</v>
      </c>
      <c r="I121" s="3">
        <v>30.614147997293699</v>
      </c>
      <c r="J121" s="3">
        <v>23.220439295131499</v>
      </c>
      <c r="K121" s="3">
        <v>14.949135912493301</v>
      </c>
      <c r="L121" s="3">
        <v>18.505418648602699</v>
      </c>
      <c r="M121" s="3">
        <v>16.596264096019802</v>
      </c>
      <c r="N121" s="3">
        <v>9.6773773628448403</v>
      </c>
    </row>
    <row r="122" spans="1:25" x14ac:dyDescent="0.35">
      <c r="A122" s="2">
        <v>45518</v>
      </c>
      <c r="B122" s="3">
        <v>25.708480269837299</v>
      </c>
      <c r="C122" s="3">
        <v>17.104187597628101</v>
      </c>
      <c r="D122" s="3">
        <v>15.115823365493</v>
      </c>
      <c r="E122" s="3">
        <v>12.381360828206001</v>
      </c>
      <c r="F122" s="3">
        <v>15.712525387473701</v>
      </c>
      <c r="G122" s="3">
        <v>18.7143750985697</v>
      </c>
      <c r="H122" s="3">
        <v>11.9271452114463</v>
      </c>
      <c r="I122" s="3">
        <v>30.273584870299999</v>
      </c>
      <c r="J122" s="3">
        <v>22.971823045984799</v>
      </c>
      <c r="K122" s="3">
        <v>14.749854627023799</v>
      </c>
      <c r="L122" s="3">
        <v>17.367002839805998</v>
      </c>
      <c r="M122" s="3">
        <v>16.1711553167912</v>
      </c>
      <c r="N122" s="3">
        <v>9.5519809729063301</v>
      </c>
    </row>
    <row r="124" spans="1:25" x14ac:dyDescent="0.35">
      <c r="A124" s="2" t="s">
        <v>91</v>
      </c>
      <c r="B124" s="3" cm="1">
        <f t="array" ref="B124">MIN(_xlfn._xlws.FILTER(B1:B122, ISNUMBER(B1:B122)))</f>
        <v>17.6117183089885</v>
      </c>
      <c r="C124" s="3" cm="1">
        <f t="array" ref="C124">MIN(_xlfn._xlws.FILTER(C1:C122, ISNUMBER(C1:C122)))</f>
        <v>13.3955053427908</v>
      </c>
      <c r="D124" s="3" cm="1">
        <f t="array" ref="D124">MIN(_xlfn._xlws.FILTER(D1:D122, ISNUMBER(D1:D122)))</f>
        <v>11.9861223582625</v>
      </c>
      <c r="E124" s="3" cm="1">
        <f t="array" ref="E124">MIN(_xlfn._xlws.FILTER(E1:E122, ISNUMBER(E1:E122)))</f>
        <v>10.1307051883028</v>
      </c>
      <c r="F124" s="3" cm="1">
        <f t="array" ref="F124">MIN(_xlfn._xlws.FILTER(F1:F122, ISNUMBER(F1:F122)))</f>
        <v>11.8533307542213</v>
      </c>
      <c r="G124" s="3" cm="1">
        <f t="array" ref="G124">MIN(_xlfn._xlws.FILTER(G1:G122, ISNUMBER(G1:G122)))</f>
        <v>16.014746713951499</v>
      </c>
      <c r="H124" s="3" cm="1">
        <f t="array" ref="H124">MIN(_xlfn._xlws.FILTER(H1:H122, ISNUMBER(H1:H122)))</f>
        <v>9.3999338068058993</v>
      </c>
      <c r="I124" s="3" cm="1">
        <f t="array" ref="I124">MIN(_xlfn._xlws.FILTER(I1:I122, ISNUMBER(I1:I122)))</f>
        <v>17.985234574342201</v>
      </c>
      <c r="J124" s="3" cm="1">
        <f t="array" ref="J124">MIN(_xlfn._xlws.FILTER(J1:J122, ISNUMBER(J1:J122)))</f>
        <v>15.684575221764399</v>
      </c>
      <c r="K124" s="3" cm="1">
        <f t="array" ref="K124">MIN(_xlfn._xlws.FILTER(K1:K122, ISNUMBER(K1:K122)))</f>
        <v>11.5014207035218</v>
      </c>
      <c r="L124" s="3" cm="1">
        <f t="array" ref="L124">MIN(_xlfn._xlws.FILTER(L1:L122, ISNUMBER(L1:L122)))</f>
        <v>14.6524500454614</v>
      </c>
      <c r="M124" s="3" cm="1">
        <f t="array" ref="M124">MIN(_xlfn._xlws.FILTER(M1:M122, ISNUMBER(M1:M122)))</f>
        <v>11.9482313316926</v>
      </c>
      <c r="N124" s="3" cm="1">
        <f t="array" ref="N124">MIN(_xlfn._xlws.FILTER(N1:N122, ISNUMBER(N1:N122)))</f>
        <v>7.4757163263452</v>
      </c>
    </row>
    <row r="125" spans="1:25" x14ac:dyDescent="0.35">
      <c r="A125" s="2" t="s">
        <v>92</v>
      </c>
      <c r="B125" s="3" cm="1">
        <f t="array" ref="B125">MAX(_xlfn._xlws.FILTER(B1:B122, ISNUMBER(B1:B122)))</f>
        <v>38.839736603776203</v>
      </c>
      <c r="C125" s="3" cm="1">
        <f t="array" ref="C125">MAX(_xlfn._xlws.FILTER(C1:C122, ISNUMBER(C1:C122)))</f>
        <v>23.257172696768901</v>
      </c>
      <c r="D125" s="3" cm="1">
        <f t="array" ref="D125">MAX(_xlfn._xlws.FILTER(D1:D122, ISNUMBER(D1:D122)))</f>
        <v>21.080439758426898</v>
      </c>
      <c r="E125" s="3" cm="1">
        <f t="array" ref="E125">MAX(_xlfn._xlws.FILTER(E1:E122, ISNUMBER(E1:E122)))</f>
        <v>21.864544955894701</v>
      </c>
      <c r="F125" s="3" cm="1">
        <f t="array" ref="F125">MAX(_xlfn._xlws.FILTER(F1:F122, ISNUMBER(F1:F122)))</f>
        <v>24.134566563557499</v>
      </c>
      <c r="G125" s="3" cm="1">
        <f t="array" ref="G125">MAX(_xlfn._xlws.FILTER(G1:G122, ISNUMBER(G1:G122)))</f>
        <v>21.973984026871399</v>
      </c>
      <c r="H125" s="3" cm="1">
        <f t="array" ref="H125">MAX(_xlfn._xlws.FILTER(H1:H122, ISNUMBER(H1:H122)))</f>
        <v>20.2047061894819</v>
      </c>
      <c r="I125" s="3" cm="1">
        <f t="array" ref="I125">MAX(_xlfn._xlws.FILTER(I1:I122, ISNUMBER(I1:I122)))</f>
        <v>35.448943831067602</v>
      </c>
      <c r="J125" s="3" cm="1">
        <f t="array" ref="J125">MAX(_xlfn._xlws.FILTER(J1:J122, ISNUMBER(J1:J122)))</f>
        <v>27.351066062530698</v>
      </c>
      <c r="K125" s="3" cm="1">
        <f t="array" ref="K125">MAX(_xlfn._xlws.FILTER(K1:K122, ISNUMBER(K1:K122)))</f>
        <v>28.716677222971001</v>
      </c>
      <c r="L125" s="3" cm="1">
        <f t="array" ref="L125">MAX(_xlfn._xlws.FILTER(L1:L122, ISNUMBER(L1:L122)))</f>
        <v>30.304601013350599</v>
      </c>
      <c r="M125" s="3" cm="1">
        <f t="array" ref="M125">MAX(_xlfn._xlws.FILTER(M1:M122, ISNUMBER(M1:M122)))</f>
        <v>26.367892781985599</v>
      </c>
      <c r="N125" s="3" cm="1">
        <f t="array" ref="N125">MAX(_xlfn._xlws.FILTER(N1:N122, ISNUMBER(N1:N122)))</f>
        <v>82.331032159603296</v>
      </c>
    </row>
    <row r="127" spans="1:25" x14ac:dyDescent="0.35">
      <c r="A127" s="2" t="s">
        <v>93</v>
      </c>
      <c r="B127" s="9" cm="1">
        <f t="array" ref="B127">_xlfn.PERCENTRANK.EXC(_xlfn._xlws.FILTER(B1:B122, ISNUMBER(B1:B122)),B121)</f>
        <v>0.59</v>
      </c>
      <c r="C127" s="9" cm="1">
        <f t="array" ref="C127">_xlfn.PERCENTRANK.EXC(_xlfn._xlws.FILTER(C1:C122, ISNUMBER(C1:C122)),C121)</f>
        <v>0.745</v>
      </c>
      <c r="D127" s="9" cm="1">
        <f t="array" ref="D127">_xlfn.PERCENTRANK.EXC(_xlfn._xlws.FILTER(D1:D122, ISNUMBER(D1:D122)),D121)</f>
        <v>0.42599999999999999</v>
      </c>
      <c r="E127" s="9" cm="1">
        <f t="array" ref="E127">_xlfn.PERCENTRANK.EXC(_xlfn._xlws.FILTER(E1:E122, ISNUMBER(E1:E122)),E121)</f>
        <v>0.28599999999999998</v>
      </c>
      <c r="F127" s="9" cm="1">
        <f t="array" ref="F127">_xlfn.PERCENTRANK.EXC(_xlfn._xlws.FILTER(F1:F122, ISNUMBER(F1:F122)),F121)</f>
        <v>0.85199999999999998</v>
      </c>
      <c r="G127" s="9" cm="1">
        <f t="array" ref="G127">_xlfn.PERCENTRANK.EXC(_xlfn._xlws.FILTER(G1:G122, ISNUMBER(G1:G122)),G121)</f>
        <v>0.55700000000000005</v>
      </c>
      <c r="H127" s="9" cm="1">
        <f t="array" ref="H127">_xlfn.PERCENTRANK.EXC(_xlfn._xlws.FILTER(H1:H122, ISNUMBER(H1:H122)),H121)</f>
        <v>0.21299999999999999</v>
      </c>
      <c r="I127" s="9" cm="1">
        <f t="array" ref="I127">_xlfn.PERCENTRANK.EXC(_xlfn._xlws.FILTER(I1:I122, ISNUMBER(I1:I122)),I121)</f>
        <v>0.86799999999999999</v>
      </c>
      <c r="J127" s="9" cm="1">
        <f t="array" ref="J127">_xlfn.PERCENTRANK.EXC(_xlfn._xlws.FILTER(J1:J122, ISNUMBER(J1:J122)),J121)</f>
        <v>0.877</v>
      </c>
      <c r="K127" s="9" cm="1">
        <f t="array" ref="K127">_xlfn.PERCENTRANK.EXC(_xlfn._xlws.FILTER(K1:K122, ISNUMBER(K1:K122)),K121)</f>
        <v>0.377</v>
      </c>
      <c r="L127" s="9" cm="1">
        <f t="array" ref="L127">_xlfn.PERCENTRANK.EXC(_xlfn._xlws.FILTER(L1:L122, ISNUMBER(L1:L122)),L121)</f>
        <v>0.68</v>
      </c>
      <c r="M127" s="9" cm="1">
        <f t="array" ref="M127">_xlfn.PERCENTRANK.EXC(_xlfn._xlws.FILTER(M1:M122, ISNUMBER(M1:M122)),M121)</f>
        <v>0.45</v>
      </c>
      <c r="N127" s="9" cm="1">
        <f t="array" ref="N127">_xlfn.PERCENTRANK.EXC(_xlfn._xlws.FILTER(N1:N122, ISNUMBER(N1:N122)),N121)</f>
        <v>0.221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41866</v>
      </c>
      <c r="B2" s="3" cm="1">
        <f t="array" ref="B2:B122">_xll.FDS(B1,"FMA_PE(NTMA,-10AY,0,AM,""PORTAGG"",""MEANR"")")</f>
        <v>17.0640200899694</v>
      </c>
      <c r="C2" s="3" cm="1">
        <f t="array" ref="C2:C122">_xll.FDS(C1,"FMA_PE(NTMA,-10AY,0,AM,""PORTAGG"",""MEANR"")")</f>
        <v>14.7660627172875</v>
      </c>
      <c r="D2" s="3" cm="1">
        <f t="array" ref="D2:D122">_xll.FDS(D1,"FMA_PE(NTMA,-10AY,0,AM,""PORTAGG"",""MEANR"")")</f>
        <v>15.0069709765165</v>
      </c>
      <c r="E2" s="3" cm="1">
        <f t="array" ref="E2:E122">_xll.FDS(E1,"FMA_PE(NTMA,-10AY,0,AM,""PORTAGG"",""MEANR"")")</f>
        <v>12.148359489921299</v>
      </c>
      <c r="F2" s="3" cm="1">
        <f t="array" ref="F2:F122">_xll.FDS(F1,"FMA_PE(NTMA,-10AY,0,AM,""PORTAGG"",""MEANR"")")</f>
        <v>13.6010207446168</v>
      </c>
      <c r="G2" s="3" cm="1">
        <f t="array" ref="G2:G122">_xll.FDS(G1,"FMA_PE(NTMA,-10AY,0,AM,""PORTAGG"",""MEANR"")")</f>
        <v>15.773685737101999</v>
      </c>
      <c r="H2" s="3" cm="1">
        <f t="array" ref="H2:H122">_xll.FDS(H1,"FMA_PE(NTMA,-10AY,0,AM,""PORTAGG"",""MEANR"")")</f>
        <v>13.3444614365721</v>
      </c>
      <c r="I2" s="3" cm="1">
        <f t="array" ref="I2:I122">_xll.FDS(I1,"FMA_PE(NTMA,-10AY,0,AM,""PORTAGG"",""MEANR"")")</f>
        <v>17.552255350528601</v>
      </c>
      <c r="J2" s="3" cm="1">
        <f t="array" ref="J2:J122">_xll.FDS(J1,"FMA_PE(NTMA,-10AY,0,AM,""PORTAGG"",""MEANR"")")</f>
        <v>15.0470916718712</v>
      </c>
      <c r="K2" s="3" cm="1">
        <f t="array" ref="K2:K122">_xll.FDS(K1,"FMA_PE(NTMA,-10AY,0,AM,""PORTAGG"",""MEANR"")")</f>
        <v>13.1231148310632</v>
      </c>
      <c r="L2" s="3" cm="1">
        <f t="array" ref="L2:L122">_xll.FDS(L1,"FMA_PE(NTMA,-10AY,0,AM,""PORTAGG"",""MEANR"")")</f>
        <v>13.806436441452099</v>
      </c>
      <c r="M2" s="3" cm="1">
        <f t="array" ref="M2:M122">_xll.FDS(M1,"FMA_PE(NTMA,-10AY,0,AM,""PORTAGG"",""MEANR"")")</f>
        <v>15.0521725222958</v>
      </c>
      <c r="N2" s="3" cm="1">
        <f t="array" ref="N2:N122">_xll.FDS(N1,"FMA_PE(NTMA,-10AY,0,AM,""PORTAGG"",""MEANR"")")</f>
        <v>13.038617398543799</v>
      </c>
    </row>
    <row r="3" spans="1:14" x14ac:dyDescent="0.35">
      <c r="A3" s="2">
        <v>41898</v>
      </c>
      <c r="B3" s="3">
        <v>17.0341245968389</v>
      </c>
      <c r="C3" s="3">
        <v>14.3458356174716</v>
      </c>
      <c r="D3" s="3">
        <v>15.128280584914799</v>
      </c>
      <c r="E3" s="3">
        <v>12.7208827627622</v>
      </c>
      <c r="F3" s="3">
        <v>13.889533894887601</v>
      </c>
      <c r="G3" s="3">
        <v>16.139438324599102</v>
      </c>
      <c r="H3" s="3">
        <v>13.332448210597001</v>
      </c>
      <c r="I3" s="3">
        <v>17.6356018849403</v>
      </c>
      <c r="J3" s="3">
        <v>15.264097983004699</v>
      </c>
      <c r="K3" s="3">
        <v>13.662294640549501</v>
      </c>
      <c r="L3" s="3">
        <v>14.5536665081857</v>
      </c>
      <c r="M3" s="3">
        <v>14.6950227973146</v>
      </c>
      <c r="N3" s="3">
        <v>13.828874882389799</v>
      </c>
    </row>
    <row r="4" spans="1:14" x14ac:dyDescent="0.35">
      <c r="A4" s="2">
        <v>41928</v>
      </c>
      <c r="B4" s="3">
        <v>16.730251205191902</v>
      </c>
      <c r="C4" s="3">
        <v>13.876883708628499</v>
      </c>
      <c r="D4" s="3">
        <v>13.6072805306442</v>
      </c>
      <c r="E4" s="3">
        <v>11.3427987713535</v>
      </c>
      <c r="F4" s="3">
        <v>12.619764085647899</v>
      </c>
      <c r="G4" s="3">
        <v>14.628613536697101</v>
      </c>
      <c r="H4" s="3">
        <v>12.267113013665</v>
      </c>
      <c r="I4" s="3">
        <v>16.120354563141799</v>
      </c>
      <c r="J4" s="3">
        <v>14.223625577790999</v>
      </c>
      <c r="K4" s="3">
        <v>12.1989231502553</v>
      </c>
      <c r="L4" s="3">
        <v>13.165355974178301</v>
      </c>
      <c r="M4" s="3">
        <v>13.2205410635012</v>
      </c>
      <c r="N4" s="3">
        <v>11.8026050763357</v>
      </c>
    </row>
    <row r="5" spans="1:14" x14ac:dyDescent="0.35">
      <c r="A5" s="2">
        <v>41957</v>
      </c>
      <c r="B5" s="3">
        <v>18.088770087435599</v>
      </c>
      <c r="C5" s="3">
        <v>14.3732068651079</v>
      </c>
      <c r="D5" s="3">
        <v>14.656949438132999</v>
      </c>
      <c r="E5" s="3">
        <v>12.2076243999072</v>
      </c>
      <c r="F5" s="3">
        <v>14.6319284028082</v>
      </c>
      <c r="G5" s="3">
        <v>16.014286017292001</v>
      </c>
      <c r="H5" s="3">
        <v>13.359123205152001</v>
      </c>
      <c r="I5" s="3">
        <v>17.9690043435943</v>
      </c>
      <c r="J5" s="3">
        <v>15.6408499114879</v>
      </c>
      <c r="K5" s="3">
        <v>13.1655248503178</v>
      </c>
      <c r="L5" s="3">
        <v>14.7453221406543</v>
      </c>
      <c r="M5" s="3">
        <v>15.281563447189001</v>
      </c>
      <c r="N5" s="3">
        <v>12.566323629492</v>
      </c>
    </row>
    <row r="6" spans="1:14" x14ac:dyDescent="0.35">
      <c r="A6" s="2">
        <v>41989</v>
      </c>
      <c r="B6" s="3">
        <v>17.9743574826411</v>
      </c>
      <c r="C6" s="3">
        <v>13.7657055367401</v>
      </c>
      <c r="D6" s="3">
        <v>14.605126567286099</v>
      </c>
      <c r="E6" s="3">
        <v>12.549430720126299</v>
      </c>
      <c r="F6" s="3">
        <v>13.7340423283507</v>
      </c>
      <c r="G6" s="3">
        <v>15.533601287881799</v>
      </c>
      <c r="H6" s="3">
        <v>13.315792924425001</v>
      </c>
      <c r="I6" s="3">
        <v>17.112572956959202</v>
      </c>
      <c r="J6" s="3">
        <v>15.2664542129901</v>
      </c>
      <c r="K6" s="3">
        <v>13.204760179652199</v>
      </c>
      <c r="L6" s="3">
        <v>14.3395988932407</v>
      </c>
      <c r="M6" s="3">
        <v>15.2130226606854</v>
      </c>
      <c r="N6" s="3">
        <v>12.249040374153999</v>
      </c>
    </row>
    <row r="7" spans="1:14" x14ac:dyDescent="0.35">
      <c r="A7" s="2">
        <v>42020</v>
      </c>
      <c r="B7" s="3">
        <v>18.5478301470677</v>
      </c>
      <c r="C7" s="3">
        <v>14.448427476446801</v>
      </c>
      <c r="D7" s="3">
        <v>15.5026934232119</v>
      </c>
      <c r="E7" s="3">
        <v>13.3310697659629</v>
      </c>
      <c r="F7" s="3">
        <v>13.7228271357823</v>
      </c>
      <c r="G7" s="3">
        <v>15.0684969938974</v>
      </c>
      <c r="H7" s="3">
        <v>14.200991445325499</v>
      </c>
      <c r="I7" s="3">
        <v>16.933023279921301</v>
      </c>
      <c r="J7" s="3">
        <v>15.9384278995937</v>
      </c>
      <c r="K7" s="3">
        <v>14.310118685396301</v>
      </c>
      <c r="L7" s="3">
        <v>15.092685874733901</v>
      </c>
      <c r="M7" s="3">
        <v>15.629468021384801</v>
      </c>
      <c r="N7" s="3">
        <v>12.971391281477599</v>
      </c>
    </row>
    <row r="8" spans="1:14" x14ac:dyDescent="0.35">
      <c r="A8" s="2">
        <v>42048</v>
      </c>
      <c r="B8" s="3">
        <v>19.115692959157698</v>
      </c>
      <c r="C8" s="3">
        <v>16.075489149283399</v>
      </c>
      <c r="D8" s="3">
        <v>17.4078061118425</v>
      </c>
      <c r="E8" s="3">
        <v>14.288685581226501</v>
      </c>
      <c r="F8" s="3">
        <v>14.409245604621599</v>
      </c>
      <c r="G8" s="3">
        <v>17.009273524289402</v>
      </c>
      <c r="H8" s="3">
        <v>15.503670268042599</v>
      </c>
      <c r="I8" s="3">
        <v>17.916132680944401</v>
      </c>
      <c r="J8" s="3">
        <v>16.8655024277584</v>
      </c>
      <c r="K8" s="3">
        <v>15.848858426504099</v>
      </c>
      <c r="L8" s="3">
        <v>16.1618023240271</v>
      </c>
      <c r="M8" s="3">
        <v>16.760723561582001</v>
      </c>
      <c r="N8" s="3">
        <v>14.62394735332</v>
      </c>
    </row>
    <row r="9" spans="1:14" x14ac:dyDescent="0.35">
      <c r="A9" s="2">
        <v>42079</v>
      </c>
      <c r="B9" s="3">
        <v>19.047506009565701</v>
      </c>
      <c r="C9" s="3">
        <v>15.8434058760519</v>
      </c>
      <c r="D9" s="3">
        <v>17.0783898152239</v>
      </c>
      <c r="E9" s="3">
        <v>15.7477684646027</v>
      </c>
      <c r="F9" s="3">
        <v>15.383548288965599</v>
      </c>
      <c r="G9" s="3">
        <v>17.6322951913506</v>
      </c>
      <c r="H9" s="3">
        <v>15.3190241073252</v>
      </c>
      <c r="I9" s="3">
        <v>17.7839476424559</v>
      </c>
      <c r="J9" s="3">
        <v>16.6779630916507</v>
      </c>
      <c r="K9" s="3">
        <v>16.638719093474101</v>
      </c>
      <c r="L9" s="3">
        <v>17.687321163365301</v>
      </c>
      <c r="M9" s="3">
        <v>17.3247666307389</v>
      </c>
      <c r="N9" s="3">
        <v>15.6682586347601</v>
      </c>
    </row>
    <row r="10" spans="1:14" x14ac:dyDescent="0.35">
      <c r="A10" s="2">
        <v>42110</v>
      </c>
      <c r="B10" s="3">
        <v>18.521532766894399</v>
      </c>
      <c r="C10" s="3">
        <v>16.6149859087678</v>
      </c>
      <c r="D10" s="3">
        <v>17.468665873309501</v>
      </c>
      <c r="E10" s="3">
        <v>15.386447781236299</v>
      </c>
      <c r="F10" s="3">
        <v>15.7276601985903</v>
      </c>
      <c r="G10" s="3">
        <v>18.283909982892801</v>
      </c>
      <c r="H10" s="3">
        <v>16.144975025247501</v>
      </c>
      <c r="I10" s="3">
        <v>17.970382614501201</v>
      </c>
      <c r="J10" s="3">
        <v>16.755400583081698</v>
      </c>
      <c r="K10" s="3">
        <v>16.941890102376501</v>
      </c>
      <c r="L10" s="3">
        <v>17.531560253338402</v>
      </c>
      <c r="M10" s="3">
        <v>16.992316924996999</v>
      </c>
      <c r="N10" s="3">
        <v>16.0604617587713</v>
      </c>
    </row>
    <row r="11" spans="1:14" x14ac:dyDescent="0.35">
      <c r="A11" s="2">
        <v>42139</v>
      </c>
      <c r="B11" s="3">
        <v>18.157748127263901</v>
      </c>
      <c r="C11" s="3">
        <v>16.1448385527572</v>
      </c>
      <c r="D11" s="3">
        <v>16.789873396279798</v>
      </c>
      <c r="E11" s="3">
        <v>14.279960880956001</v>
      </c>
      <c r="F11" s="3">
        <v>15.876333483762799</v>
      </c>
      <c r="G11" s="3">
        <v>17.668352710266699</v>
      </c>
      <c r="H11" s="3">
        <v>16.1600649341813</v>
      </c>
      <c r="I11" s="3">
        <v>18.034241715018599</v>
      </c>
      <c r="J11" s="3">
        <v>16.7321049064136</v>
      </c>
      <c r="K11" s="3">
        <v>16.192689253357599</v>
      </c>
      <c r="L11" s="3">
        <v>16.879777261953699</v>
      </c>
      <c r="M11" s="3">
        <v>15.832666268048399</v>
      </c>
      <c r="N11" s="3">
        <v>15.881899550209701</v>
      </c>
    </row>
    <row r="12" spans="1:14" x14ac:dyDescent="0.35">
      <c r="A12" s="2">
        <v>42171</v>
      </c>
      <c r="B12" s="3">
        <v>18.054227975756099</v>
      </c>
      <c r="C12" s="3">
        <v>15.288943476392401</v>
      </c>
      <c r="D12" s="3">
        <v>16.198342570634299</v>
      </c>
      <c r="E12" s="3">
        <v>13.516108662222299</v>
      </c>
      <c r="F12" s="3">
        <v>15.7488170101434</v>
      </c>
      <c r="G12" s="3">
        <v>17.165197613352301</v>
      </c>
      <c r="H12" s="3">
        <v>15.4122699758374</v>
      </c>
      <c r="I12" s="3">
        <v>17.749809518677498</v>
      </c>
      <c r="J12" s="3">
        <v>16.3841196768422</v>
      </c>
      <c r="K12" s="3">
        <v>15.4900423804837</v>
      </c>
      <c r="L12" s="3">
        <v>16.245520167273298</v>
      </c>
      <c r="M12" s="3">
        <v>15.7645053365449</v>
      </c>
      <c r="N12" s="3">
        <v>14.8238715000992</v>
      </c>
    </row>
    <row r="13" spans="1:14" x14ac:dyDescent="0.35">
      <c r="A13" s="2">
        <v>42201</v>
      </c>
      <c r="B13" s="3">
        <v>18.0773175241054</v>
      </c>
      <c r="C13" s="3">
        <v>15.6091166809952</v>
      </c>
      <c r="D13" s="3">
        <v>15.954259593622901</v>
      </c>
      <c r="E13" s="3">
        <v>14.192586396954599</v>
      </c>
      <c r="F13" s="3">
        <v>15.613107169963399</v>
      </c>
      <c r="G13" s="3">
        <v>17.845959065248099</v>
      </c>
      <c r="H13" s="3">
        <v>15.620791582330201</v>
      </c>
      <c r="I13" s="3">
        <v>18.232051240352199</v>
      </c>
      <c r="J13" s="3">
        <v>16.5597930455185</v>
      </c>
      <c r="K13" s="3">
        <v>16.078604535392699</v>
      </c>
      <c r="L13" s="3">
        <v>17.1085278822144</v>
      </c>
      <c r="M13" s="3">
        <v>16.316928029498101</v>
      </c>
      <c r="N13" s="3">
        <v>15.5350965615758</v>
      </c>
    </row>
    <row r="14" spans="1:14" x14ac:dyDescent="0.35">
      <c r="A14" s="2">
        <v>42230</v>
      </c>
      <c r="B14" s="3">
        <v>17.6332274882663</v>
      </c>
      <c r="C14" s="3">
        <v>14.9346261878317</v>
      </c>
      <c r="D14" s="3">
        <v>15.4507964870292</v>
      </c>
      <c r="E14" s="3">
        <v>13.274454697858699</v>
      </c>
      <c r="F14" s="3">
        <v>15.434675539156</v>
      </c>
      <c r="G14" s="3">
        <v>17.3889131770669</v>
      </c>
      <c r="H14" s="3">
        <v>15.112124067125499</v>
      </c>
      <c r="I14" s="3">
        <v>18.3615253723083</v>
      </c>
      <c r="J14" s="3">
        <v>16.311671170007902</v>
      </c>
      <c r="K14" s="3">
        <v>15.317193874288201</v>
      </c>
      <c r="L14" s="3">
        <v>15.8954448349697</v>
      </c>
      <c r="M14" s="3">
        <v>15.8671863887204</v>
      </c>
      <c r="N14" s="3">
        <v>15.2929084118395</v>
      </c>
    </row>
    <row r="15" spans="1:14" x14ac:dyDescent="0.35">
      <c r="A15" s="2">
        <v>42263</v>
      </c>
      <c r="B15" s="3">
        <v>17.450657599293599</v>
      </c>
      <c r="C15" s="3">
        <v>14.4197506690662</v>
      </c>
      <c r="D15" s="3">
        <v>14.9835796962456</v>
      </c>
      <c r="E15" s="3">
        <v>12.351336031410201</v>
      </c>
      <c r="F15" s="3">
        <v>13.5907231635009</v>
      </c>
      <c r="G15" s="3">
        <v>16.648339607427101</v>
      </c>
      <c r="H15" s="3">
        <v>14.6584758735676</v>
      </c>
      <c r="I15" s="3">
        <v>17.641777813642999</v>
      </c>
      <c r="J15" s="3">
        <v>15.5381309293535</v>
      </c>
      <c r="K15" s="3">
        <v>14.394322311760099</v>
      </c>
      <c r="L15" s="3">
        <v>14.849022921099699</v>
      </c>
      <c r="M15" s="3">
        <v>14.746048698967799</v>
      </c>
      <c r="N15" s="3">
        <v>14.5294884754056</v>
      </c>
    </row>
    <row r="16" spans="1:14" x14ac:dyDescent="0.35">
      <c r="A16" s="2">
        <v>42293</v>
      </c>
      <c r="B16" s="3">
        <v>17.623606559610899</v>
      </c>
      <c r="C16" s="3">
        <v>15.073812673239701</v>
      </c>
      <c r="D16" s="3">
        <v>15.1105735831615</v>
      </c>
      <c r="E16" s="3">
        <v>12.4512656761967</v>
      </c>
      <c r="F16" s="3">
        <v>13.901785880767701</v>
      </c>
      <c r="G16" s="3">
        <v>16.634721580352899</v>
      </c>
      <c r="H16" s="3">
        <v>15.286524205425099</v>
      </c>
      <c r="I16" s="3">
        <v>17.7982614318244</v>
      </c>
      <c r="J16" s="3">
        <v>15.918646410385</v>
      </c>
      <c r="K16" s="3">
        <v>14.612536731074099</v>
      </c>
      <c r="L16" s="3">
        <v>15.1715846055331</v>
      </c>
      <c r="M16" s="3">
        <v>14.7821973688787</v>
      </c>
      <c r="N16" s="3">
        <v>14.6660591370084</v>
      </c>
    </row>
    <row r="17" spans="1:14" x14ac:dyDescent="0.35">
      <c r="A17" s="2">
        <v>42324</v>
      </c>
      <c r="B17" s="3">
        <v>17.789148667859699</v>
      </c>
      <c r="C17" s="3">
        <v>14.4044269821008</v>
      </c>
      <c r="D17" s="3">
        <v>14.5240489366755</v>
      </c>
      <c r="E17" s="3">
        <v>13.3511510696539</v>
      </c>
      <c r="F17" s="3">
        <v>14.5139982214341</v>
      </c>
      <c r="G17" s="3">
        <v>16.581530507565599</v>
      </c>
      <c r="H17" s="3">
        <v>14.931970176801601</v>
      </c>
      <c r="I17" s="3">
        <v>18.294035925058299</v>
      </c>
      <c r="J17" s="3">
        <v>16.080967943914501</v>
      </c>
      <c r="K17" s="3">
        <v>14.9087876875876</v>
      </c>
      <c r="L17" s="3">
        <v>15.901727313088101</v>
      </c>
      <c r="M17" s="3">
        <v>15.0920426057979</v>
      </c>
      <c r="N17" s="3">
        <v>14.495440038281201</v>
      </c>
    </row>
    <row r="18" spans="1:14" x14ac:dyDescent="0.35">
      <c r="A18" s="2">
        <v>42354</v>
      </c>
      <c r="B18" s="3">
        <v>17.873107421123098</v>
      </c>
      <c r="C18" s="3">
        <v>14.795243565854999</v>
      </c>
      <c r="D18" s="3">
        <v>14.461584466809001</v>
      </c>
      <c r="E18" s="3">
        <v>13.052578444783499</v>
      </c>
      <c r="F18" s="3">
        <v>14.0454718425406</v>
      </c>
      <c r="G18" s="3">
        <v>16.6449321075327</v>
      </c>
      <c r="H18" s="3">
        <v>14.798665957275899</v>
      </c>
      <c r="I18" s="3">
        <v>18.6187700823236</v>
      </c>
      <c r="J18" s="3">
        <v>16.210071763860999</v>
      </c>
      <c r="K18" s="3">
        <v>14.5228954504552</v>
      </c>
      <c r="L18" s="3">
        <v>15.4380521319928</v>
      </c>
      <c r="M18" s="3">
        <v>14.7356580298663</v>
      </c>
      <c r="N18" s="3">
        <v>14.0255686341448</v>
      </c>
    </row>
    <row r="19" spans="1:14" x14ac:dyDescent="0.35">
      <c r="A19" s="2">
        <v>42384</v>
      </c>
      <c r="B19" s="3">
        <v>17.734603684898499</v>
      </c>
      <c r="C19" s="3">
        <v>14.5769176103174</v>
      </c>
      <c r="D19" s="3">
        <v>13.318075418393899</v>
      </c>
      <c r="E19" s="3">
        <v>11.922405109908601</v>
      </c>
      <c r="F19" s="3">
        <v>12.7150164356575</v>
      </c>
      <c r="G19" s="3">
        <v>15.6865596623357</v>
      </c>
      <c r="H19" s="3">
        <v>14.588535689746999</v>
      </c>
      <c r="I19" s="3">
        <v>16.673726400448601</v>
      </c>
      <c r="J19" s="3">
        <v>14.8633281655956</v>
      </c>
      <c r="K19" s="3">
        <v>13.465144185762099</v>
      </c>
      <c r="L19" s="3">
        <v>14.127197771931399</v>
      </c>
      <c r="M19" s="3">
        <v>13.5975182581164</v>
      </c>
      <c r="N19" s="3">
        <v>12.937563081157201</v>
      </c>
    </row>
    <row r="20" spans="1:14" x14ac:dyDescent="0.35">
      <c r="A20" s="2">
        <v>42416</v>
      </c>
      <c r="B20" s="3">
        <v>17.149603497341701</v>
      </c>
      <c r="C20" s="3">
        <v>15.0860794394557</v>
      </c>
      <c r="D20" s="3">
        <v>14.4086257452018</v>
      </c>
      <c r="E20" s="3">
        <v>11.612231523612399</v>
      </c>
      <c r="F20" s="3">
        <v>12.0369610710171</v>
      </c>
      <c r="G20" s="3">
        <v>15.986872067280199</v>
      </c>
      <c r="H20" s="3">
        <v>14.9591675640227</v>
      </c>
      <c r="I20" s="3">
        <v>16.557225119036801</v>
      </c>
      <c r="J20" s="3">
        <v>15.5099438140132</v>
      </c>
      <c r="K20" s="3">
        <v>13.466609273960101</v>
      </c>
      <c r="L20" s="3">
        <v>14.0242810450136</v>
      </c>
      <c r="M20" s="3">
        <v>14.5960444962135</v>
      </c>
      <c r="N20" s="3">
        <v>12.1784656474047</v>
      </c>
    </row>
    <row r="21" spans="1:14" x14ac:dyDescent="0.35">
      <c r="A21" s="2">
        <v>42445</v>
      </c>
      <c r="B21" s="3">
        <v>18.2722995704497</v>
      </c>
      <c r="C21" s="3">
        <v>15.880028031522899</v>
      </c>
      <c r="D21" s="3">
        <v>16.041885271692799</v>
      </c>
      <c r="E21" s="3">
        <v>12.721762494155</v>
      </c>
      <c r="F21" s="3">
        <v>12.9427131054076</v>
      </c>
      <c r="G21" s="3">
        <v>16.4888650887568</v>
      </c>
      <c r="H21" s="3">
        <v>16.1090028488745</v>
      </c>
      <c r="I21" s="3">
        <v>17.558403552377602</v>
      </c>
      <c r="J21" s="3">
        <v>15.516736353630501</v>
      </c>
      <c r="K21" s="3">
        <v>14.566079094387799</v>
      </c>
      <c r="L21" s="3">
        <v>15.3355464912107</v>
      </c>
      <c r="M21" s="3">
        <v>15.3601479971604</v>
      </c>
      <c r="N21" s="3">
        <v>13.558293673658801</v>
      </c>
    </row>
    <row r="22" spans="1:14" x14ac:dyDescent="0.35">
      <c r="A22" s="2">
        <v>42475</v>
      </c>
      <c r="B22" s="3">
        <v>18.8865434485466</v>
      </c>
      <c r="C22" s="3">
        <v>15.9106871610048</v>
      </c>
      <c r="D22" s="3">
        <v>16.154441546631901</v>
      </c>
      <c r="E22" s="3">
        <v>12.8184334767625</v>
      </c>
      <c r="F22" s="3">
        <v>13.0444713937215</v>
      </c>
      <c r="G22" s="3">
        <v>16.842706697084001</v>
      </c>
      <c r="H22" s="3">
        <v>16.465016384060199</v>
      </c>
      <c r="I22" s="3">
        <v>18.060715204200498</v>
      </c>
      <c r="J22" s="3">
        <v>16.500463546018398</v>
      </c>
      <c r="K22" s="3">
        <v>14.6977510510707</v>
      </c>
      <c r="L22" s="3">
        <v>15.376711138895701</v>
      </c>
      <c r="M22" s="3">
        <v>15.302649227564199</v>
      </c>
      <c r="N22" s="3">
        <v>13.282176241987701</v>
      </c>
    </row>
    <row r="23" spans="1:14" x14ac:dyDescent="0.35">
      <c r="A23" s="2">
        <v>42506</v>
      </c>
      <c r="B23" s="3">
        <v>19.2064760656178</v>
      </c>
      <c r="C23" s="3">
        <v>16.5136696192776</v>
      </c>
      <c r="D23" s="3">
        <v>16.640357530961801</v>
      </c>
      <c r="E23" s="3">
        <v>12.4399101480087</v>
      </c>
      <c r="F23" s="3">
        <v>12.9723738887451</v>
      </c>
      <c r="G23" s="3">
        <v>16.610230129991301</v>
      </c>
      <c r="H23" s="3">
        <v>15.745866375140199</v>
      </c>
      <c r="I23" s="3">
        <v>17.565838989207901</v>
      </c>
      <c r="J23" s="3">
        <v>16.522677016730398</v>
      </c>
      <c r="K23" s="3">
        <v>14.122027511336301</v>
      </c>
      <c r="L23" s="3">
        <v>14.7234166298832</v>
      </c>
      <c r="M23" s="3">
        <v>14.697170753877</v>
      </c>
      <c r="N23" s="3">
        <v>13.554569708089099</v>
      </c>
    </row>
    <row r="24" spans="1:14" x14ac:dyDescent="0.35">
      <c r="A24" s="2">
        <v>42537</v>
      </c>
      <c r="B24" s="3">
        <v>19.037877343358499</v>
      </c>
      <c r="C24" s="3">
        <v>15.6601076712994</v>
      </c>
      <c r="D24" s="3">
        <v>16.2619036161053</v>
      </c>
      <c r="E24" s="3">
        <v>11.7656484212234</v>
      </c>
      <c r="F24" s="3">
        <v>12.497218428396801</v>
      </c>
      <c r="G24" s="3">
        <v>16.021492339374699</v>
      </c>
      <c r="H24" s="3">
        <v>14.9133799567984</v>
      </c>
      <c r="I24" s="3">
        <v>17.537255701942001</v>
      </c>
      <c r="J24" s="3">
        <v>16.362742000059999</v>
      </c>
      <c r="K24" s="3">
        <v>13.322549384989999</v>
      </c>
      <c r="L24" s="3">
        <v>13.9186693114669</v>
      </c>
      <c r="M24" s="3">
        <v>14.0189225927965</v>
      </c>
      <c r="N24" s="3">
        <v>11.9356926695756</v>
      </c>
    </row>
    <row r="25" spans="1:14" x14ac:dyDescent="0.35">
      <c r="A25" s="2">
        <v>42566</v>
      </c>
      <c r="B25" s="3">
        <v>19.493464036366301</v>
      </c>
      <c r="C25" s="3">
        <v>16.374238650953401</v>
      </c>
      <c r="D25" s="3">
        <v>16.581316424126801</v>
      </c>
      <c r="E25" s="3">
        <v>12.4206475282759</v>
      </c>
      <c r="F25" s="3">
        <v>13.4940333005006</v>
      </c>
      <c r="G25" s="3">
        <v>16.977540374524899</v>
      </c>
      <c r="H25" s="3">
        <v>16.075787561476599</v>
      </c>
      <c r="I25" s="3">
        <v>18.2690755934434</v>
      </c>
      <c r="J25" s="3">
        <v>16.9559896987878</v>
      </c>
      <c r="K25" s="3">
        <v>13.963616843325999</v>
      </c>
      <c r="L25" s="3">
        <v>14.518558114541699</v>
      </c>
      <c r="M25" s="3">
        <v>15.014713772557601</v>
      </c>
      <c r="N25" s="3">
        <v>12.393525893575299</v>
      </c>
    </row>
    <row r="26" spans="1:14" x14ac:dyDescent="0.35">
      <c r="A26" s="2">
        <v>42598</v>
      </c>
      <c r="B26" s="3">
        <v>20.219407422323599</v>
      </c>
      <c r="C26" s="3">
        <v>16.752358476576699</v>
      </c>
      <c r="D26" s="3">
        <v>16.4608917707567</v>
      </c>
      <c r="E26" s="3">
        <v>13.0990514864252</v>
      </c>
      <c r="F26" s="3">
        <v>13.1850395360251</v>
      </c>
      <c r="G26" s="3">
        <v>17.487574236538201</v>
      </c>
      <c r="H26" s="3">
        <v>16.231170438674798</v>
      </c>
      <c r="I26" s="3">
        <v>18.744595206630599</v>
      </c>
      <c r="J26" s="3">
        <v>16.9188260553208</v>
      </c>
      <c r="K26" s="3">
        <v>14.074086724413901</v>
      </c>
      <c r="L26" s="3">
        <v>14.890556859133801</v>
      </c>
      <c r="M26" s="3">
        <v>15.4378175248458</v>
      </c>
      <c r="N26" s="3">
        <v>12.5803707719184</v>
      </c>
    </row>
    <row r="27" spans="1:14" x14ac:dyDescent="0.35">
      <c r="A27" s="2">
        <v>42629</v>
      </c>
      <c r="B27" s="3">
        <v>20.199549799894701</v>
      </c>
      <c r="C27" s="3">
        <v>15.8920567278143</v>
      </c>
      <c r="D27" s="3">
        <v>15.946425188273199</v>
      </c>
      <c r="E27" s="3">
        <v>12.6510087153016</v>
      </c>
      <c r="F27" s="3">
        <v>13.254529973235901</v>
      </c>
      <c r="G27" s="3">
        <v>17.0451400333788</v>
      </c>
      <c r="H27" s="3">
        <v>15.4392493465808</v>
      </c>
      <c r="I27" s="3">
        <v>18.511185749232698</v>
      </c>
      <c r="J27" s="3">
        <v>16.484823090990499</v>
      </c>
      <c r="K27" s="3">
        <v>13.6024941273295</v>
      </c>
      <c r="L27" s="3">
        <v>14.4750377367676</v>
      </c>
      <c r="M27" s="3">
        <v>15.3242835708722</v>
      </c>
      <c r="N27" s="3">
        <v>11.6759630743512</v>
      </c>
    </row>
    <row r="28" spans="1:14" x14ac:dyDescent="0.35">
      <c r="A28" s="2">
        <v>42657</v>
      </c>
      <c r="B28" s="3">
        <v>19.5570707349898</v>
      </c>
      <c r="C28" s="3">
        <v>16.1307986646665</v>
      </c>
      <c r="D28" s="3">
        <v>15.883960448553101</v>
      </c>
      <c r="E28" s="3">
        <v>12.9261583050711</v>
      </c>
      <c r="F28" s="3">
        <v>13.4380329423782</v>
      </c>
      <c r="G28" s="3">
        <v>16.873542204024201</v>
      </c>
      <c r="H28" s="3">
        <v>15.2921689664295</v>
      </c>
      <c r="I28" s="3">
        <v>18.321873353777399</v>
      </c>
      <c r="J28" s="3">
        <v>16.337477737956299</v>
      </c>
      <c r="K28" s="3">
        <v>13.8918054533823</v>
      </c>
      <c r="L28" s="3">
        <v>14.7400104948729</v>
      </c>
      <c r="M28" s="3">
        <v>16.0690224409378</v>
      </c>
      <c r="N28" s="3">
        <v>11.782998294188401</v>
      </c>
    </row>
    <row r="29" spans="1:14" x14ac:dyDescent="0.35">
      <c r="A29" s="2">
        <v>42690</v>
      </c>
      <c r="B29" s="3">
        <v>18.632286717867</v>
      </c>
      <c r="C29" s="3">
        <v>15.716829933876101</v>
      </c>
      <c r="D29" s="3">
        <v>15.8013104744252</v>
      </c>
      <c r="E29" s="3">
        <v>12.790035403024699</v>
      </c>
      <c r="F29" s="3">
        <v>14.087859671962599</v>
      </c>
      <c r="G29" s="3">
        <v>16.427550807571901</v>
      </c>
      <c r="H29" s="3">
        <v>14.2819957302112</v>
      </c>
      <c r="I29" s="3">
        <v>18.062472825578801</v>
      </c>
      <c r="J29" s="3">
        <v>16.591223439704901</v>
      </c>
      <c r="K29" s="3">
        <v>13.6893813097589</v>
      </c>
      <c r="L29" s="3">
        <v>14.5090448735567</v>
      </c>
      <c r="M29" s="3">
        <v>16.0049931696675</v>
      </c>
      <c r="N29" s="3">
        <v>11.6351652550286</v>
      </c>
    </row>
    <row r="30" spans="1:14" x14ac:dyDescent="0.35">
      <c r="A30" s="2">
        <v>42720</v>
      </c>
      <c r="B30" s="3">
        <v>18.1634957042499</v>
      </c>
      <c r="C30" s="3">
        <v>15.567546220194201</v>
      </c>
      <c r="D30" s="3">
        <v>15.921878729519699</v>
      </c>
      <c r="E30" s="3">
        <v>13.582688290161</v>
      </c>
      <c r="F30" s="3">
        <v>15.0974042728696</v>
      </c>
      <c r="G30" s="3">
        <v>16.7363261949343</v>
      </c>
      <c r="H30" s="3">
        <v>14.347430424857601</v>
      </c>
      <c r="I30" s="3">
        <v>18.3237547324015</v>
      </c>
      <c r="J30" s="3">
        <v>17.019118731153998</v>
      </c>
      <c r="K30" s="3">
        <v>14.515871716706201</v>
      </c>
      <c r="L30" s="3">
        <v>14.946536712276</v>
      </c>
      <c r="M30" s="3">
        <v>16.751199717486301</v>
      </c>
      <c r="N30" s="3">
        <v>13.4700170878655</v>
      </c>
    </row>
    <row r="31" spans="1:14" x14ac:dyDescent="0.35">
      <c r="A31" s="2">
        <v>42748</v>
      </c>
      <c r="B31" s="3">
        <v>18.884632883527502</v>
      </c>
      <c r="C31" s="3">
        <v>15.9297274751967</v>
      </c>
      <c r="D31" s="3">
        <v>15.9586827809231</v>
      </c>
      <c r="E31" s="3">
        <v>13.770702033100701</v>
      </c>
      <c r="F31" s="3">
        <v>14.8336948170236</v>
      </c>
      <c r="G31" s="3">
        <v>17.252759195478301</v>
      </c>
      <c r="H31" s="3">
        <v>14.496697551694201</v>
      </c>
      <c r="I31" s="3">
        <v>18.705200777041799</v>
      </c>
      <c r="J31" s="3">
        <v>16.986601319680702</v>
      </c>
      <c r="K31" s="3">
        <v>14.7056745434906</v>
      </c>
      <c r="L31" s="3">
        <v>15.0630903257718</v>
      </c>
      <c r="M31" s="3">
        <v>16.554741834569398</v>
      </c>
      <c r="N31" s="3">
        <v>13.455355395250599</v>
      </c>
    </row>
    <row r="32" spans="1:14" x14ac:dyDescent="0.35">
      <c r="A32" s="2">
        <v>42782</v>
      </c>
      <c r="B32" s="3">
        <v>18.9688462448322</v>
      </c>
      <c r="C32" s="3">
        <v>16.116845214996001</v>
      </c>
      <c r="D32" s="3">
        <v>16.4033500802547</v>
      </c>
      <c r="E32" s="3">
        <v>13.716094887422299</v>
      </c>
      <c r="F32" s="3">
        <v>14.4644874403246</v>
      </c>
      <c r="G32" s="3">
        <v>17.429814737621001</v>
      </c>
      <c r="H32" s="3">
        <v>14.5038622224306</v>
      </c>
      <c r="I32" s="3">
        <v>19.994794612561702</v>
      </c>
      <c r="J32" s="3">
        <v>17.561736399415398</v>
      </c>
      <c r="K32" s="3">
        <v>14.391988139064701</v>
      </c>
      <c r="L32" s="3">
        <v>15.4308607690246</v>
      </c>
      <c r="M32" s="3">
        <v>16.480177759600199</v>
      </c>
      <c r="N32" s="3">
        <v>13.1637717816934</v>
      </c>
    </row>
    <row r="33" spans="1:14" x14ac:dyDescent="0.35">
      <c r="A33" s="2">
        <v>42810</v>
      </c>
      <c r="B33" s="3">
        <v>18.747103777473601</v>
      </c>
      <c r="C33" s="3">
        <v>15.727103031843701</v>
      </c>
      <c r="D33" s="3">
        <v>15.922964797568801</v>
      </c>
      <c r="E33" s="3">
        <v>13.9430646924939</v>
      </c>
      <c r="F33" s="3">
        <v>14.355541676791301</v>
      </c>
      <c r="G33" s="3">
        <v>17.735000978515501</v>
      </c>
      <c r="H33" s="3">
        <v>14.5396167948266</v>
      </c>
      <c r="I33" s="3">
        <v>20.185105834028999</v>
      </c>
      <c r="J33" s="3">
        <v>17.719217113864001</v>
      </c>
      <c r="K33" s="3">
        <v>14.5802535415127</v>
      </c>
      <c r="L33" s="3">
        <v>16.063414054588499</v>
      </c>
      <c r="M33" s="3">
        <v>16.8871937140627</v>
      </c>
      <c r="N33" s="3">
        <v>13.5295350513745</v>
      </c>
    </row>
    <row r="34" spans="1:14" x14ac:dyDescent="0.35">
      <c r="A34" s="2">
        <v>42838</v>
      </c>
      <c r="B34" s="3">
        <v>19.134478557734901</v>
      </c>
      <c r="C34" s="3">
        <v>15.9096511088234</v>
      </c>
      <c r="D34" s="3">
        <v>15.7418719508532</v>
      </c>
      <c r="E34" s="3">
        <v>13.804441353195999</v>
      </c>
      <c r="F34" s="3">
        <v>13.328188661552099</v>
      </c>
      <c r="G34" s="3">
        <v>17.389278372815301</v>
      </c>
      <c r="H34" s="3">
        <v>14.4367506231128</v>
      </c>
      <c r="I34" s="3">
        <v>19.752047592905299</v>
      </c>
      <c r="J34" s="3">
        <v>17.1920351489964</v>
      </c>
      <c r="K34" s="3">
        <v>14.7212955994013</v>
      </c>
      <c r="L34" s="3">
        <v>16.115731773968001</v>
      </c>
      <c r="M34" s="3">
        <v>16.885848337865198</v>
      </c>
      <c r="N34" s="3">
        <v>12.9901808620348</v>
      </c>
    </row>
    <row r="35" spans="1:14" x14ac:dyDescent="0.35">
      <c r="A35" s="2">
        <v>42871</v>
      </c>
      <c r="B35" s="3">
        <v>19.486240618905999</v>
      </c>
      <c r="C35" s="3">
        <v>15.695590414657699</v>
      </c>
      <c r="D35" s="3">
        <v>15.600710603718399</v>
      </c>
      <c r="E35" s="3">
        <v>14.016898978536901</v>
      </c>
      <c r="F35" s="3">
        <v>14.398928360738701</v>
      </c>
      <c r="G35" s="3">
        <v>18.193434399533501</v>
      </c>
      <c r="H35" s="3">
        <v>14.856879194206201</v>
      </c>
      <c r="I35" s="3">
        <v>20.791189002727901</v>
      </c>
      <c r="J35" s="3">
        <v>17.477901427858601</v>
      </c>
      <c r="K35" s="3">
        <v>15.472497657613401</v>
      </c>
      <c r="L35" s="3">
        <v>16.5405783743137</v>
      </c>
      <c r="M35" s="3">
        <v>18.332869010869299</v>
      </c>
      <c r="N35" s="3">
        <v>13.9697669882837</v>
      </c>
    </row>
    <row r="36" spans="1:14" x14ac:dyDescent="0.35">
      <c r="A36" s="2">
        <v>42902</v>
      </c>
      <c r="B36" s="3">
        <v>19.5568107789944</v>
      </c>
      <c r="C36" s="3">
        <v>15.4931070075755</v>
      </c>
      <c r="D36" s="3">
        <v>15.232667786430699</v>
      </c>
      <c r="E36" s="3">
        <v>13.786406918179599</v>
      </c>
      <c r="F36" s="3">
        <v>14.340645834621499</v>
      </c>
      <c r="G36" s="3">
        <v>18.008330383263399</v>
      </c>
      <c r="H36" s="3">
        <v>14.600598566393201</v>
      </c>
      <c r="I36" s="3">
        <v>20.3634873398926</v>
      </c>
      <c r="J36" s="3">
        <v>17.562141391508799</v>
      </c>
      <c r="K36" s="3">
        <v>14.9809724417214</v>
      </c>
      <c r="L36" s="3">
        <v>16.059606933031802</v>
      </c>
      <c r="M36" s="3">
        <v>16.837880659682799</v>
      </c>
      <c r="N36" s="3">
        <v>13.356857243235</v>
      </c>
    </row>
    <row r="37" spans="1:14" x14ac:dyDescent="0.35">
      <c r="A37" s="2">
        <v>42930</v>
      </c>
      <c r="B37" s="3">
        <v>19.540657642848402</v>
      </c>
      <c r="C37" s="3">
        <v>15.661415234749599</v>
      </c>
      <c r="D37" s="3">
        <v>15.3516295187364</v>
      </c>
      <c r="E37" s="3">
        <v>13.6201731117836</v>
      </c>
      <c r="F37" s="3">
        <v>14.3062999319394</v>
      </c>
      <c r="G37" s="3">
        <v>17.929562415761499</v>
      </c>
      <c r="H37" s="3">
        <v>14.642887266517199</v>
      </c>
      <c r="I37" s="3">
        <v>20.6994070110152</v>
      </c>
      <c r="J37" s="3">
        <v>17.651181050328599</v>
      </c>
      <c r="K37" s="3">
        <v>14.9215579661956</v>
      </c>
      <c r="L37" s="3">
        <v>15.9960624979577</v>
      </c>
      <c r="M37" s="3">
        <v>16.856705716358199</v>
      </c>
      <c r="N37" s="3">
        <v>13.575924804625901</v>
      </c>
    </row>
    <row r="38" spans="1:14" x14ac:dyDescent="0.35">
      <c r="A38" s="2">
        <v>42963</v>
      </c>
      <c r="B38" s="3">
        <v>20.1635517115282</v>
      </c>
      <c r="C38" s="3">
        <v>15.7878722257745</v>
      </c>
      <c r="D38" s="3">
        <v>15.4631156246051</v>
      </c>
      <c r="E38" s="3">
        <v>13.157376845784199</v>
      </c>
      <c r="F38" s="3">
        <v>13.8766540995668</v>
      </c>
      <c r="G38" s="3">
        <v>17.6314094291765</v>
      </c>
      <c r="H38" s="3">
        <v>14.595037498431401</v>
      </c>
      <c r="I38" s="3">
        <v>20.610647951264301</v>
      </c>
      <c r="J38" s="3">
        <v>17.545171333492899</v>
      </c>
      <c r="K38" s="3">
        <v>14.6780703387949</v>
      </c>
      <c r="L38" s="3">
        <v>15.960497616650301</v>
      </c>
      <c r="M38" s="3">
        <v>15.836537209273301</v>
      </c>
      <c r="N38" s="3">
        <v>13.461502872500599</v>
      </c>
    </row>
    <row r="39" spans="1:14" x14ac:dyDescent="0.35">
      <c r="A39" s="2">
        <v>42993</v>
      </c>
      <c r="B39" s="3">
        <v>19.6407115554074</v>
      </c>
      <c r="C39" s="3">
        <v>15.532044620334201</v>
      </c>
      <c r="D39" s="3">
        <v>15.3112882603128</v>
      </c>
      <c r="E39" s="3">
        <v>13.3674365898591</v>
      </c>
      <c r="F39" s="3">
        <v>13.7321776224153</v>
      </c>
      <c r="G39" s="3">
        <v>17.6332706768824</v>
      </c>
      <c r="H39" s="3">
        <v>14.4170380507208</v>
      </c>
      <c r="I39" s="3">
        <v>20.575692323501801</v>
      </c>
      <c r="J39" s="3">
        <v>17.649590154690902</v>
      </c>
      <c r="K39" s="3">
        <v>14.8258607092245</v>
      </c>
      <c r="L39" s="3">
        <v>15.8558988987342</v>
      </c>
      <c r="M39" s="3">
        <v>16.162872612190299</v>
      </c>
      <c r="N39" s="3">
        <v>13.411543363138399</v>
      </c>
    </row>
    <row r="40" spans="1:14" x14ac:dyDescent="0.35">
      <c r="A40" s="2">
        <v>43024</v>
      </c>
      <c r="B40" s="3">
        <v>20.0499256824714</v>
      </c>
      <c r="C40" s="3">
        <v>15.737640351066901</v>
      </c>
      <c r="D40" s="3">
        <v>15.7350955874495</v>
      </c>
      <c r="E40" s="3">
        <v>13.8402101550056</v>
      </c>
      <c r="F40" s="3">
        <v>14.2658179390874</v>
      </c>
      <c r="G40" s="3">
        <v>17.935559009908399</v>
      </c>
      <c r="H40" s="3">
        <v>14.6401650337828</v>
      </c>
      <c r="I40" s="3">
        <v>20.698216424161501</v>
      </c>
      <c r="J40" s="3">
        <v>17.909674970374599</v>
      </c>
      <c r="K40" s="3">
        <v>15.144494383262201</v>
      </c>
      <c r="L40" s="3">
        <v>16.198030120600698</v>
      </c>
      <c r="M40" s="3">
        <v>16.801843913840401</v>
      </c>
      <c r="N40" s="3">
        <v>13.5215260899196</v>
      </c>
    </row>
    <row r="41" spans="1:14" x14ac:dyDescent="0.35">
      <c r="A41" s="2">
        <v>43055</v>
      </c>
      <c r="B41" s="3">
        <v>20.201307470814001</v>
      </c>
      <c r="C41" s="3">
        <v>15.8304093244172</v>
      </c>
      <c r="D41" s="3">
        <v>15.805706291257801</v>
      </c>
      <c r="E41" s="3">
        <v>13.8616565754698</v>
      </c>
      <c r="F41" s="3">
        <v>14.484969449773001</v>
      </c>
      <c r="G41" s="3">
        <v>17.550526498909999</v>
      </c>
      <c r="H41" s="3">
        <v>14.2416734169839</v>
      </c>
      <c r="I41" s="3">
        <v>20.934253311956599</v>
      </c>
      <c r="J41" s="3">
        <v>17.909608018060101</v>
      </c>
      <c r="K41" s="3">
        <v>14.8647529526101</v>
      </c>
      <c r="L41" s="3">
        <v>15.971796109565799</v>
      </c>
      <c r="M41" s="3">
        <v>16.851506767963802</v>
      </c>
      <c r="N41" s="3">
        <v>13.1950811247301</v>
      </c>
    </row>
    <row r="42" spans="1:14" x14ac:dyDescent="0.35">
      <c r="A42" s="2">
        <v>43084</v>
      </c>
      <c r="B42" s="3">
        <v>20.8536530945937</v>
      </c>
      <c r="C42" s="3">
        <v>15.828354244678801</v>
      </c>
      <c r="D42" s="3">
        <v>15.888477644915801</v>
      </c>
      <c r="E42" s="3">
        <v>13.9771902174272</v>
      </c>
      <c r="F42" s="3">
        <v>14.5217449062466</v>
      </c>
      <c r="G42" s="3">
        <v>17.704733726246101</v>
      </c>
      <c r="H42" s="3">
        <v>14.4019127183173</v>
      </c>
      <c r="I42" s="3">
        <v>21.064695593348301</v>
      </c>
      <c r="J42" s="3">
        <v>18.331967638594701</v>
      </c>
      <c r="K42" s="3">
        <v>14.9053094936228</v>
      </c>
      <c r="L42" s="3">
        <v>16.065092497502</v>
      </c>
      <c r="M42" s="3">
        <v>16.3142436737457</v>
      </c>
      <c r="N42" s="3">
        <v>13.2084720865987</v>
      </c>
    </row>
    <row r="43" spans="1:14" x14ac:dyDescent="0.35">
      <c r="A43" s="2">
        <v>43116</v>
      </c>
      <c r="B43" s="3">
        <v>20.457905725874902</v>
      </c>
      <c r="C43" s="3">
        <v>15.9128740953779</v>
      </c>
      <c r="D43" s="3">
        <v>15.777797932329401</v>
      </c>
      <c r="E43" s="3">
        <v>14.0668083692485</v>
      </c>
      <c r="F43" s="3">
        <v>15.310583345325901</v>
      </c>
      <c r="G43" s="3">
        <v>17.8308760255184</v>
      </c>
      <c r="H43" s="3">
        <v>14.7636625850495</v>
      </c>
      <c r="I43" s="3">
        <v>21.657114585294298</v>
      </c>
      <c r="J43" s="3">
        <v>18.249787969401901</v>
      </c>
      <c r="K43" s="3">
        <v>15.2889367222045</v>
      </c>
      <c r="L43" s="3">
        <v>16.260961233263899</v>
      </c>
      <c r="M43" s="3">
        <v>16.609755348823001</v>
      </c>
      <c r="N43" s="3">
        <v>13.6383878956964</v>
      </c>
    </row>
    <row r="44" spans="1:14" x14ac:dyDescent="0.35">
      <c r="A44" s="2">
        <v>43147</v>
      </c>
      <c r="B44" s="3">
        <v>20.2818365986933</v>
      </c>
      <c r="C44" s="3">
        <v>15.3536324233092</v>
      </c>
      <c r="D44" s="3">
        <v>14.5794402462917</v>
      </c>
      <c r="E44" s="3">
        <v>13.197983061500899</v>
      </c>
      <c r="F44" s="3">
        <v>13.676500491688801</v>
      </c>
      <c r="G44" s="3">
        <v>16.906642917334999</v>
      </c>
      <c r="H44" s="3">
        <v>13.7878042820511</v>
      </c>
      <c r="I44" s="3">
        <v>20.639802904559101</v>
      </c>
      <c r="J44" s="3">
        <v>17.067900096512599</v>
      </c>
      <c r="K44" s="3">
        <v>14.600920569188499</v>
      </c>
      <c r="L44" s="3">
        <v>15.5175437484168</v>
      </c>
      <c r="M44" s="3">
        <v>16.156119724084299</v>
      </c>
      <c r="N44" s="3">
        <v>12.705610191554401</v>
      </c>
    </row>
    <row r="45" spans="1:14" x14ac:dyDescent="0.35">
      <c r="A45" s="2">
        <v>43175</v>
      </c>
      <c r="B45" s="3">
        <v>20.4977190042163</v>
      </c>
      <c r="C45" s="3">
        <v>15.2802382453732</v>
      </c>
      <c r="D45" s="3">
        <v>14.5510696313716</v>
      </c>
      <c r="E45" s="3">
        <v>13.051422367995899</v>
      </c>
      <c r="F45" s="3">
        <v>12.9926588377316</v>
      </c>
      <c r="G45" s="3">
        <v>16.344389973639402</v>
      </c>
      <c r="H45" s="3">
        <v>13.394161170834501</v>
      </c>
      <c r="I45" s="3">
        <v>21.1703525274099</v>
      </c>
      <c r="J45" s="3">
        <v>17.049454350359799</v>
      </c>
      <c r="K45" s="3">
        <v>14.5360915971499</v>
      </c>
      <c r="L45" s="3">
        <v>15.691995133409</v>
      </c>
      <c r="M45" s="3">
        <v>16.2175354668837</v>
      </c>
      <c r="N45" s="3">
        <v>12.70020595427</v>
      </c>
    </row>
    <row r="46" spans="1:14" x14ac:dyDescent="0.35">
      <c r="A46" s="2">
        <v>43206</v>
      </c>
      <c r="B46" s="3">
        <v>20.1675798613072</v>
      </c>
      <c r="C46" s="3">
        <v>14.983248851351901</v>
      </c>
      <c r="D46" s="3">
        <v>13.962293981747999</v>
      </c>
      <c r="E46" s="3">
        <v>13.000198366305501</v>
      </c>
      <c r="F46" s="3">
        <v>12.916874037560101</v>
      </c>
      <c r="G46" s="3">
        <v>15.991143390524</v>
      </c>
      <c r="H46" s="3">
        <v>13.473052747487399</v>
      </c>
      <c r="I46" s="3">
        <v>19.9575737911135</v>
      </c>
      <c r="J46" s="3">
        <v>16.471676749560899</v>
      </c>
      <c r="K46" s="3">
        <v>14.4892802957373</v>
      </c>
      <c r="L46" s="3">
        <v>15.648664532420799</v>
      </c>
      <c r="M46" s="3">
        <v>15.661830976623399</v>
      </c>
      <c r="N46" s="3">
        <v>12.820069939293001</v>
      </c>
    </row>
    <row r="47" spans="1:14" x14ac:dyDescent="0.35">
      <c r="A47" s="2">
        <v>43236</v>
      </c>
      <c r="B47" s="3">
        <v>20.265152461757399</v>
      </c>
      <c r="C47" s="3">
        <v>15.4675208142708</v>
      </c>
      <c r="D47" s="3">
        <v>14.410388421556799</v>
      </c>
      <c r="E47" s="3">
        <v>13.4412957090641</v>
      </c>
      <c r="F47" s="3">
        <v>13.3566710664075</v>
      </c>
      <c r="G47" s="3">
        <v>16.2768006430335</v>
      </c>
      <c r="H47" s="3">
        <v>13.924082859252</v>
      </c>
      <c r="I47" s="3">
        <v>20.0849430539057</v>
      </c>
      <c r="J47" s="3">
        <v>16.382047293488402</v>
      </c>
      <c r="K47" s="3">
        <v>14.8054826729583</v>
      </c>
      <c r="L47" s="3">
        <v>15.7978607090926</v>
      </c>
      <c r="M47" s="3">
        <v>15.998660224104899</v>
      </c>
      <c r="N47" s="3">
        <v>12.6182971541364</v>
      </c>
    </row>
    <row r="48" spans="1:14" x14ac:dyDescent="0.35">
      <c r="A48" s="2">
        <v>43266</v>
      </c>
      <c r="B48" s="3">
        <v>21.380467304624499</v>
      </c>
      <c r="C48" s="3">
        <v>15.137698540431501</v>
      </c>
      <c r="D48" s="3">
        <v>14.3946798751586</v>
      </c>
      <c r="E48" s="3">
        <v>13.4527270584679</v>
      </c>
      <c r="F48" s="3">
        <v>13.2205469851466</v>
      </c>
      <c r="G48" s="3">
        <v>15.6965312297304</v>
      </c>
      <c r="H48" s="3">
        <v>13.398531316607301</v>
      </c>
      <c r="I48" s="3">
        <v>20.767587789122299</v>
      </c>
      <c r="J48" s="3">
        <v>16.581977902913401</v>
      </c>
      <c r="K48" s="3">
        <v>14.492681269394</v>
      </c>
      <c r="L48" s="3">
        <v>15.958923139956701</v>
      </c>
      <c r="M48" s="3">
        <v>15.385277052936299</v>
      </c>
      <c r="N48" s="3">
        <v>11.688832834910601</v>
      </c>
    </row>
    <row r="49" spans="1:14" x14ac:dyDescent="0.35">
      <c r="A49" s="2">
        <v>43297</v>
      </c>
      <c r="B49" s="3">
        <v>21.1409582138457</v>
      </c>
      <c r="C49" s="3">
        <v>15.5137183628754</v>
      </c>
      <c r="D49" s="3">
        <v>14.3350823382073</v>
      </c>
      <c r="E49" s="3">
        <v>12.989753564908501</v>
      </c>
      <c r="F49" s="3">
        <v>12.802558933042601</v>
      </c>
      <c r="G49" s="3">
        <v>15.9626796990028</v>
      </c>
      <c r="H49" s="3">
        <v>13.117751561769801</v>
      </c>
      <c r="I49" s="3">
        <v>20.900321500912099</v>
      </c>
      <c r="J49" s="3">
        <v>16.510360119528201</v>
      </c>
      <c r="K49" s="3">
        <v>14.100036306118501</v>
      </c>
      <c r="L49" s="3">
        <v>15.701053047123301</v>
      </c>
      <c r="M49" s="3">
        <v>15.3719808419192</v>
      </c>
      <c r="N49" s="3">
        <v>11.380039388465301</v>
      </c>
    </row>
    <row r="50" spans="1:14" x14ac:dyDescent="0.35">
      <c r="A50" s="2">
        <v>43328</v>
      </c>
      <c r="B50" s="3">
        <v>21.215169055947399</v>
      </c>
      <c r="C50" s="3">
        <v>15.7622784681094</v>
      </c>
      <c r="D50" s="3">
        <v>13.9181409043132</v>
      </c>
      <c r="E50" s="3">
        <v>12.683143380783999</v>
      </c>
      <c r="F50" s="3">
        <v>12.4308404507878</v>
      </c>
      <c r="G50" s="3">
        <v>15.9477465201855</v>
      </c>
      <c r="H50" s="3">
        <v>12.7859704950686</v>
      </c>
      <c r="I50" s="3">
        <v>20.4551356183335</v>
      </c>
      <c r="J50" s="3">
        <v>16.518481585843698</v>
      </c>
      <c r="K50" s="3">
        <v>13.6615395160325</v>
      </c>
      <c r="L50" s="3">
        <v>15.458037571713801</v>
      </c>
      <c r="M50" s="3">
        <v>15.4588379906944</v>
      </c>
      <c r="N50" s="3">
        <v>10.7526949408193</v>
      </c>
    </row>
    <row r="51" spans="1:14" x14ac:dyDescent="0.35">
      <c r="A51" s="2">
        <v>43357</v>
      </c>
      <c r="B51" s="3">
        <v>21.631476573571199</v>
      </c>
      <c r="C51" s="3">
        <v>15.184740839658801</v>
      </c>
      <c r="D51" s="3">
        <v>13.5207625926032</v>
      </c>
      <c r="E51" s="3">
        <v>12.586204196486699</v>
      </c>
      <c r="F51" s="3">
        <v>12.6494566729728</v>
      </c>
      <c r="G51" s="3">
        <v>16.003017747266899</v>
      </c>
      <c r="H51" s="3">
        <v>12.4504938608424</v>
      </c>
      <c r="I51" s="3">
        <v>20.711374337463401</v>
      </c>
      <c r="J51" s="3">
        <v>16.7577243542326</v>
      </c>
      <c r="K51" s="3">
        <v>13.603015978634801</v>
      </c>
      <c r="L51" s="3">
        <v>14.9539043284919</v>
      </c>
      <c r="M51" s="3">
        <v>15.616841914855099</v>
      </c>
      <c r="N51" s="3">
        <v>10.726025570936599</v>
      </c>
    </row>
    <row r="52" spans="1:14" x14ac:dyDescent="0.35">
      <c r="A52" s="2">
        <v>43389</v>
      </c>
      <c r="B52" s="3">
        <v>20.2455425515248</v>
      </c>
      <c r="C52" s="3">
        <v>14.375344909321299</v>
      </c>
      <c r="D52" s="3">
        <v>12.9622899822488</v>
      </c>
      <c r="E52" s="3">
        <v>12.139553664207799</v>
      </c>
      <c r="F52" s="3">
        <v>12.3302207434882</v>
      </c>
      <c r="G52" s="3">
        <v>15.385503295975401</v>
      </c>
      <c r="H52" s="3">
        <v>11.941639283103401</v>
      </c>
      <c r="I52" s="3">
        <v>19.845652658295599</v>
      </c>
      <c r="J52" s="3">
        <v>16.104044605671199</v>
      </c>
      <c r="K52" s="3">
        <v>12.957753075295599</v>
      </c>
      <c r="L52" s="3">
        <v>14.299510373760899</v>
      </c>
      <c r="M52" s="3">
        <v>14.742529086414599</v>
      </c>
      <c r="N52" s="3">
        <v>10.1129146886518</v>
      </c>
    </row>
    <row r="53" spans="1:14" x14ac:dyDescent="0.35">
      <c r="A53" s="2">
        <v>43420</v>
      </c>
      <c r="B53" s="3">
        <v>20.073527640433099</v>
      </c>
      <c r="C53" s="3">
        <v>14.175619304102399</v>
      </c>
      <c r="D53" s="3">
        <v>12.6451568470615</v>
      </c>
      <c r="E53" s="3">
        <v>11.6359773118956</v>
      </c>
      <c r="F53" s="3">
        <v>11.954737754808599</v>
      </c>
      <c r="G53" s="3">
        <v>15.4614244484418</v>
      </c>
      <c r="H53" s="3">
        <v>11.7389457056459</v>
      </c>
      <c r="I53" s="3">
        <v>18.624333458586001</v>
      </c>
      <c r="J53" s="3">
        <v>15.633484501414801</v>
      </c>
      <c r="K53" s="3">
        <v>12.6135588062794</v>
      </c>
      <c r="L53" s="3">
        <v>14.1917440632078</v>
      </c>
      <c r="M53" s="3">
        <v>14.100775528687899</v>
      </c>
      <c r="N53" s="3">
        <v>9.5888466101009708</v>
      </c>
    </row>
    <row r="54" spans="1:14" x14ac:dyDescent="0.35">
      <c r="A54" s="2">
        <v>43448</v>
      </c>
      <c r="B54" s="3">
        <v>19.803634243368201</v>
      </c>
      <c r="C54" s="3">
        <v>13.8695968703289</v>
      </c>
      <c r="D54" s="3">
        <v>12.352738425262601</v>
      </c>
      <c r="E54" s="3">
        <v>11.273842873834001</v>
      </c>
      <c r="F54" s="3">
        <v>11.7721150439616</v>
      </c>
      <c r="G54" s="3">
        <v>15.0404707209747</v>
      </c>
      <c r="H54" s="3">
        <v>11.5319316797168</v>
      </c>
      <c r="I54" s="3">
        <v>17.832488129953902</v>
      </c>
      <c r="J54" s="3">
        <v>14.8681503657254</v>
      </c>
      <c r="K54" s="3">
        <v>12.2094578569747</v>
      </c>
      <c r="L54" s="3">
        <v>13.639348658963801</v>
      </c>
      <c r="M54" s="3">
        <v>13.8125056883614</v>
      </c>
      <c r="N54" s="3">
        <v>9.4930968649954508</v>
      </c>
    </row>
    <row r="55" spans="1:14" x14ac:dyDescent="0.35">
      <c r="A55" s="2">
        <v>43481</v>
      </c>
      <c r="B55" s="3">
        <v>20.493199598636402</v>
      </c>
      <c r="C55" s="3">
        <v>14.560943031791201</v>
      </c>
      <c r="D55" s="3">
        <v>13.1107269864487</v>
      </c>
      <c r="E55" s="3">
        <v>11.406360903712899</v>
      </c>
      <c r="F55" s="3">
        <v>11.586685051889001</v>
      </c>
      <c r="G55" s="3">
        <v>15.2839234164876</v>
      </c>
      <c r="H55" s="3">
        <v>11.797818673066701</v>
      </c>
      <c r="I55" s="3">
        <v>18.292240767587799</v>
      </c>
      <c r="J55" s="3">
        <v>15.179515791277</v>
      </c>
      <c r="K55" s="3">
        <v>12.300019196237001</v>
      </c>
      <c r="L55" s="3">
        <v>13.387633611337</v>
      </c>
      <c r="M55" s="3">
        <v>13.5590707579988</v>
      </c>
      <c r="N55" s="3">
        <v>9.7788904758191997</v>
      </c>
    </row>
    <row r="56" spans="1:14" x14ac:dyDescent="0.35">
      <c r="A56" s="2">
        <v>43511</v>
      </c>
      <c r="B56" s="3">
        <v>21.018988736511002</v>
      </c>
      <c r="C56" s="3">
        <v>15.0265526899971</v>
      </c>
      <c r="D56" s="3">
        <v>13.9455945451503</v>
      </c>
      <c r="E56" s="3">
        <v>11.918576844760301</v>
      </c>
      <c r="F56" s="3">
        <v>12.1300495250649</v>
      </c>
      <c r="G56" s="3">
        <v>15.8878373452864</v>
      </c>
      <c r="H56" s="3">
        <v>12.4858689884881</v>
      </c>
      <c r="I56" s="3">
        <v>19.5287904397589</v>
      </c>
      <c r="J56" s="3">
        <v>16.1790743240804</v>
      </c>
      <c r="K56" s="3">
        <v>13.193327705720099</v>
      </c>
      <c r="L56" s="3">
        <v>14.854793667672601</v>
      </c>
      <c r="M56" s="3">
        <v>14.9294651026098</v>
      </c>
      <c r="N56" s="3">
        <v>10.3589539345726</v>
      </c>
    </row>
    <row r="57" spans="1:14" x14ac:dyDescent="0.35">
      <c r="A57" s="2">
        <v>43539</v>
      </c>
      <c r="B57" s="3">
        <v>21.6177622744923</v>
      </c>
      <c r="C57" s="3">
        <v>15.221972219089</v>
      </c>
      <c r="D57" s="3">
        <v>14.1989655847854</v>
      </c>
      <c r="E57" s="3">
        <v>12.352694185309</v>
      </c>
      <c r="F57" s="3">
        <v>12.547675739947501</v>
      </c>
      <c r="G57" s="3">
        <v>16.5442366262203</v>
      </c>
      <c r="H57" s="3">
        <v>12.5998477189738</v>
      </c>
      <c r="I57" s="3">
        <v>20.169424025692201</v>
      </c>
      <c r="J57" s="3">
        <v>16.3805050615818</v>
      </c>
      <c r="K57" s="3">
        <v>13.8089476751275</v>
      </c>
      <c r="L57" s="3">
        <v>15.3325260907041</v>
      </c>
      <c r="M57" s="3">
        <v>15.013350763552699</v>
      </c>
      <c r="N57" s="3">
        <v>10.6705866578494</v>
      </c>
    </row>
    <row r="58" spans="1:14" x14ac:dyDescent="0.35">
      <c r="A58" s="2">
        <v>43571</v>
      </c>
      <c r="B58" s="3">
        <v>22.473721993450301</v>
      </c>
      <c r="C58" s="3">
        <v>15.3966844558906</v>
      </c>
      <c r="D58" s="3">
        <v>13.992830927178</v>
      </c>
      <c r="E58" s="3">
        <v>12.779305342234901</v>
      </c>
      <c r="F58" s="3">
        <v>12.7667990476991</v>
      </c>
      <c r="G58" s="3">
        <v>16.8806881369559</v>
      </c>
      <c r="H58" s="3">
        <v>12.8250625697515</v>
      </c>
      <c r="I58" s="3">
        <v>20.988900146411702</v>
      </c>
      <c r="J58" s="3">
        <v>16.7869780350726</v>
      </c>
      <c r="K58" s="3">
        <v>14.0384220736359</v>
      </c>
      <c r="L58" s="3">
        <v>15.646487654386</v>
      </c>
      <c r="M58" s="3">
        <v>15.327848147754599</v>
      </c>
      <c r="N58" s="3">
        <v>10.912360808545399</v>
      </c>
    </row>
    <row r="59" spans="1:14" x14ac:dyDescent="0.35">
      <c r="A59" s="2">
        <v>43601</v>
      </c>
      <c r="B59" s="3">
        <v>23.055657994694101</v>
      </c>
      <c r="C59" s="3">
        <v>15.3700739231372</v>
      </c>
      <c r="D59" s="3">
        <v>13.704689695827399</v>
      </c>
      <c r="E59" s="3">
        <v>12.7421056227875</v>
      </c>
      <c r="F59" s="3">
        <v>12.2235653889077</v>
      </c>
      <c r="G59" s="3">
        <v>16.745310321301801</v>
      </c>
      <c r="H59" s="3">
        <v>12.4075844990438</v>
      </c>
      <c r="I59" s="3">
        <v>20.661679834328499</v>
      </c>
      <c r="J59" s="3">
        <v>16.454454590080701</v>
      </c>
      <c r="K59" s="3">
        <v>13.790842449006</v>
      </c>
      <c r="L59" s="3">
        <v>15.4306629050418</v>
      </c>
      <c r="M59" s="3">
        <v>15.126076415903</v>
      </c>
      <c r="N59" s="3">
        <v>10.475757611952901</v>
      </c>
    </row>
    <row r="60" spans="1:14" x14ac:dyDescent="0.35">
      <c r="A60" s="2">
        <v>43630</v>
      </c>
      <c r="B60" s="3">
        <v>23.070682757581601</v>
      </c>
      <c r="C60" s="3">
        <v>15.9141492288457</v>
      </c>
      <c r="D60" s="3">
        <v>13.5589115892928</v>
      </c>
      <c r="E60" s="3">
        <v>12.3427111688941</v>
      </c>
      <c r="F60" s="3">
        <v>12.5867005619469</v>
      </c>
      <c r="G60" s="3">
        <v>16.9755995114709</v>
      </c>
      <c r="H60" s="3">
        <v>12.3915818170832</v>
      </c>
      <c r="I60" s="3">
        <v>20.286776596893201</v>
      </c>
      <c r="J60" s="3">
        <v>16.430570055872799</v>
      </c>
      <c r="K60" s="3">
        <v>13.5046128784833</v>
      </c>
      <c r="L60" s="3">
        <v>15.222576778097901</v>
      </c>
      <c r="M60" s="3">
        <v>14.7606030206701</v>
      </c>
      <c r="N60" s="3">
        <v>10.1996098077383</v>
      </c>
    </row>
    <row r="61" spans="1:14" x14ac:dyDescent="0.35">
      <c r="A61" s="2">
        <v>43662</v>
      </c>
      <c r="B61" s="3">
        <v>24.191847187093</v>
      </c>
      <c r="C61" s="3">
        <v>16.034581068523099</v>
      </c>
      <c r="D61" s="3">
        <v>13.719061324786299</v>
      </c>
      <c r="E61" s="3">
        <v>12.9436738226321</v>
      </c>
      <c r="F61" s="3">
        <v>12.848822247251199</v>
      </c>
      <c r="G61" s="3">
        <v>17.038313538075599</v>
      </c>
      <c r="H61" s="3">
        <v>12.721661305441399</v>
      </c>
      <c r="I61" s="3">
        <v>21.379804081467299</v>
      </c>
      <c r="J61" s="3">
        <v>17.080179053728202</v>
      </c>
      <c r="K61" s="3">
        <v>14.1396015900905</v>
      </c>
      <c r="L61" s="3">
        <v>15.637337062385599</v>
      </c>
      <c r="M61" s="3">
        <v>15.1389001626293</v>
      </c>
      <c r="N61" s="3">
        <v>10.948894448568799</v>
      </c>
    </row>
    <row r="62" spans="1:14" x14ac:dyDescent="0.35">
      <c r="A62" s="2">
        <v>43693</v>
      </c>
      <c r="B62" s="3">
        <v>24.030331231260899</v>
      </c>
      <c r="C62" s="3">
        <v>15.6315583818044</v>
      </c>
      <c r="D62" s="3">
        <v>13.4515578282522</v>
      </c>
      <c r="E62" s="3">
        <v>12.222251066375501</v>
      </c>
      <c r="F62" s="3">
        <v>12.272016575176901</v>
      </c>
      <c r="G62" s="3">
        <v>16.719347687759701</v>
      </c>
      <c r="H62" s="3">
        <v>11.8193339124949</v>
      </c>
      <c r="I62" s="3">
        <v>20.328167547063298</v>
      </c>
      <c r="J62" s="3">
        <v>16.403562698439401</v>
      </c>
      <c r="K62" s="3">
        <v>13.4067157089686</v>
      </c>
      <c r="L62" s="3">
        <v>15.0658976462051</v>
      </c>
      <c r="M62" s="3">
        <v>13.5166288379433</v>
      </c>
      <c r="N62" s="3">
        <v>10.0166494519419</v>
      </c>
    </row>
    <row r="63" spans="1:14" x14ac:dyDescent="0.35">
      <c r="A63" s="2">
        <v>43724</v>
      </c>
      <c r="B63" s="3">
        <v>25.8060186908723</v>
      </c>
      <c r="C63" s="3">
        <v>16.5539244174544</v>
      </c>
      <c r="D63" s="3">
        <v>14.0088965318155</v>
      </c>
      <c r="E63" s="3">
        <v>13.0551163601921</v>
      </c>
      <c r="F63" s="3">
        <v>13.450405604813399</v>
      </c>
      <c r="G63" s="3">
        <v>17.006160913165701</v>
      </c>
      <c r="H63" s="3">
        <v>12.3328378149318</v>
      </c>
      <c r="I63" s="3">
        <v>20.766607782985599</v>
      </c>
      <c r="J63" s="3">
        <v>16.904922363693402</v>
      </c>
      <c r="K63" s="3">
        <v>14.03092259982</v>
      </c>
      <c r="L63" s="3">
        <v>15.927116332247699</v>
      </c>
      <c r="M63" s="3">
        <v>14.709691027457101</v>
      </c>
      <c r="N63" s="3">
        <v>10.780812151506099</v>
      </c>
    </row>
    <row r="64" spans="1:14" x14ac:dyDescent="0.35">
      <c r="A64" s="2">
        <v>43754</v>
      </c>
      <c r="B64" s="3">
        <v>25.810296882472599</v>
      </c>
      <c r="C64" s="3">
        <v>16.8287206742534</v>
      </c>
      <c r="D64" s="3">
        <v>13.7909344085594</v>
      </c>
      <c r="E64" s="3">
        <v>13.2851570648104</v>
      </c>
      <c r="F64" s="3">
        <v>13.5844549753678</v>
      </c>
      <c r="G64" s="3">
        <v>17.085349360920901</v>
      </c>
      <c r="H64" s="3">
        <v>12.382348253133699</v>
      </c>
      <c r="I64" s="3">
        <v>20.769578478236401</v>
      </c>
      <c r="J64" s="3">
        <v>16.9127571274072</v>
      </c>
      <c r="K64" s="3">
        <v>14.3315867285766</v>
      </c>
      <c r="L64" s="3">
        <v>16.180970218282301</v>
      </c>
      <c r="M64" s="3">
        <v>15.2596106609769</v>
      </c>
      <c r="N64" s="3">
        <v>10.9598586537165</v>
      </c>
    </row>
    <row r="65" spans="1:14" x14ac:dyDescent="0.35">
      <c r="A65" s="2">
        <v>43784</v>
      </c>
      <c r="B65" s="3">
        <v>24.685375243658601</v>
      </c>
      <c r="C65" s="3">
        <v>17.258025562949001</v>
      </c>
      <c r="D65" s="3">
        <v>14.402982530523699</v>
      </c>
      <c r="E65" s="3">
        <v>14.011704126436999</v>
      </c>
      <c r="F65" s="3">
        <v>14.1171314208295</v>
      </c>
      <c r="G65" s="3">
        <v>17.391200930436799</v>
      </c>
      <c r="H65" s="3">
        <v>12.8093557297984</v>
      </c>
      <c r="I65" s="3">
        <v>21.644377294053299</v>
      </c>
      <c r="J65" s="3">
        <v>17.603776105710601</v>
      </c>
      <c r="K65" s="3">
        <v>14.859332580069999</v>
      </c>
      <c r="L65" s="3">
        <v>16.793814303085</v>
      </c>
      <c r="M65" s="3">
        <v>15.857259922284801</v>
      </c>
      <c r="N65" s="3">
        <v>11.376836190124401</v>
      </c>
    </row>
    <row r="66" spans="1:14" x14ac:dyDescent="0.35">
      <c r="A66" s="2">
        <v>43815</v>
      </c>
      <c r="B66" s="3">
        <v>25.427036636018901</v>
      </c>
      <c r="C66" s="3">
        <v>17.5282439052495</v>
      </c>
      <c r="D66" s="3">
        <v>14.4114602522758</v>
      </c>
      <c r="E66" s="3">
        <v>14.297981956152199</v>
      </c>
      <c r="F66" s="3">
        <v>14.6771723154383</v>
      </c>
      <c r="G66" s="3">
        <v>17.679277391835701</v>
      </c>
      <c r="H66" s="3">
        <v>13.5018524980783</v>
      </c>
      <c r="I66" s="3">
        <v>22.3082424046524</v>
      </c>
      <c r="J66" s="3">
        <v>17.953223502265502</v>
      </c>
      <c r="K66" s="3">
        <v>14.9457314459783</v>
      </c>
      <c r="L66" s="3">
        <v>17.164690380265299</v>
      </c>
      <c r="M66" s="3">
        <v>16.1475111041932</v>
      </c>
      <c r="N66" s="3">
        <v>11.4254642087284</v>
      </c>
    </row>
    <row r="67" spans="1:14" x14ac:dyDescent="0.35">
      <c r="A67" s="2">
        <v>43846</v>
      </c>
      <c r="B67" s="3">
        <v>26.2023932143187</v>
      </c>
      <c r="C67" s="3">
        <v>17.972187918080301</v>
      </c>
      <c r="D67" s="3">
        <v>14.652314105351801</v>
      </c>
      <c r="E67" s="3">
        <v>14.281964223642699</v>
      </c>
      <c r="F67" s="3">
        <v>14.6052534068026</v>
      </c>
      <c r="G67" s="3">
        <v>17.9950255169352</v>
      </c>
      <c r="H67" s="3">
        <v>13.528578766132799</v>
      </c>
      <c r="I67" s="3">
        <v>23.6171305240042</v>
      </c>
      <c r="J67" s="3">
        <v>18.575391708075902</v>
      </c>
      <c r="K67" s="3">
        <v>15.027783725415899</v>
      </c>
      <c r="L67" s="3">
        <v>17.195491750881999</v>
      </c>
      <c r="M67" s="3">
        <v>16.370238090293</v>
      </c>
      <c r="N67" s="3">
        <v>11.5660982154679</v>
      </c>
    </row>
    <row r="68" spans="1:14" x14ac:dyDescent="0.35">
      <c r="A68" s="2">
        <v>43875</v>
      </c>
      <c r="B68" s="3">
        <v>26.962356529590402</v>
      </c>
      <c r="C68" s="3">
        <v>18.2951028843964</v>
      </c>
      <c r="D68" s="3">
        <v>15.041156050748601</v>
      </c>
      <c r="E68" s="3">
        <v>14.543382728318599</v>
      </c>
      <c r="F68" s="3">
        <v>14.363900205276201</v>
      </c>
      <c r="G68" s="3">
        <v>18.4790363072254</v>
      </c>
      <c r="H68" s="3">
        <v>13.322275734887899</v>
      </c>
      <c r="I68" s="3">
        <v>24.352441883776901</v>
      </c>
      <c r="J68" s="3">
        <v>18.953323974408701</v>
      </c>
      <c r="K68" s="3">
        <v>15.2160122536147</v>
      </c>
      <c r="L68" s="3">
        <v>18.228601161885301</v>
      </c>
      <c r="M68" s="3">
        <v>17.0135057231596</v>
      </c>
      <c r="N68" s="3">
        <v>11.843322728852099</v>
      </c>
    </row>
    <row r="69" spans="1:14" x14ac:dyDescent="0.35">
      <c r="A69" s="2">
        <v>43906</v>
      </c>
      <c r="B69" s="3">
        <v>21.7684167298187</v>
      </c>
      <c r="C69" s="3">
        <v>13.003914269687</v>
      </c>
      <c r="D69" s="3">
        <v>11.3276799767465</v>
      </c>
      <c r="E69" s="3">
        <v>9.4747185866952002</v>
      </c>
      <c r="F69" s="3">
        <v>10.728590489509401</v>
      </c>
      <c r="G69" s="3">
        <v>13.909883935676801</v>
      </c>
      <c r="H69" s="3">
        <v>9.8255017746261704</v>
      </c>
      <c r="I69" s="3">
        <v>17.847962717415498</v>
      </c>
      <c r="J69" s="3">
        <v>13.6653546787529</v>
      </c>
      <c r="K69" s="3">
        <v>10.3648043981781</v>
      </c>
      <c r="L69" s="3">
        <v>12.1895314422891</v>
      </c>
      <c r="M69" s="3">
        <v>11.9026664528379</v>
      </c>
      <c r="N69" s="3">
        <v>7.5226948318694502</v>
      </c>
    </row>
    <row r="70" spans="1:14" x14ac:dyDescent="0.35">
      <c r="A70" s="2">
        <v>43937</v>
      </c>
      <c r="B70" s="3">
        <v>28.134728760686102</v>
      </c>
      <c r="C70" s="3">
        <v>16.161230214674099</v>
      </c>
      <c r="D70" s="3">
        <v>14.770200994162501</v>
      </c>
      <c r="E70" s="3">
        <v>13.4901251651864</v>
      </c>
      <c r="F70" s="3">
        <v>13.188187646491601</v>
      </c>
      <c r="G70" s="3">
        <v>17.4321076816417</v>
      </c>
      <c r="H70" s="3">
        <v>13.150502371958099</v>
      </c>
      <c r="I70" s="3">
        <v>24.047905949188198</v>
      </c>
      <c r="J70" s="3">
        <v>18.683230561538601</v>
      </c>
      <c r="K70" s="3">
        <v>14.512533355164599</v>
      </c>
      <c r="L70" s="3">
        <v>16.1806287885403</v>
      </c>
      <c r="M70" s="3">
        <v>15.7667170827312</v>
      </c>
      <c r="N70" s="3">
        <v>10.8702328629536</v>
      </c>
    </row>
    <row r="71" spans="1:14" x14ac:dyDescent="0.35">
      <c r="A71" s="2">
        <v>43966</v>
      </c>
      <c r="B71" s="3">
        <v>30.4586867154365</v>
      </c>
      <c r="C71" s="3">
        <v>17.2422406212754</v>
      </c>
      <c r="D71" s="3">
        <v>17.561659970809998</v>
      </c>
      <c r="E71" s="3">
        <v>15.000020200683201</v>
      </c>
      <c r="F71" s="3">
        <v>14.374455848362601</v>
      </c>
      <c r="G71" s="3">
        <v>18.352104560168598</v>
      </c>
      <c r="H71" s="3">
        <v>14.8021039322617</v>
      </c>
      <c r="I71" s="3">
        <v>26.200783688620898</v>
      </c>
      <c r="J71" s="3">
        <v>20.426785337454699</v>
      </c>
      <c r="K71" s="3">
        <v>15.963272390501499</v>
      </c>
      <c r="L71" s="3">
        <v>17.022661981220502</v>
      </c>
      <c r="M71" s="3">
        <v>16.981087529551701</v>
      </c>
      <c r="N71" s="3">
        <v>14.359446378954001</v>
      </c>
    </row>
    <row r="72" spans="1:14" x14ac:dyDescent="0.35">
      <c r="A72" s="2">
        <v>43998</v>
      </c>
      <c r="B72" s="3">
        <v>29.857899832441301</v>
      </c>
      <c r="C72" s="3">
        <v>19.117457217400901</v>
      </c>
      <c r="D72" s="3">
        <v>17.9633966548489</v>
      </c>
      <c r="E72" s="3">
        <v>17.8467230668555</v>
      </c>
      <c r="F72" s="3">
        <v>17.735507367760999</v>
      </c>
      <c r="G72" s="3">
        <v>19.1796051098158</v>
      </c>
      <c r="H72" s="3">
        <v>16.230098347311099</v>
      </c>
      <c r="I72" s="3">
        <v>28.179411268835999</v>
      </c>
      <c r="J72" s="3">
        <v>21.972560615708101</v>
      </c>
      <c r="K72" s="3">
        <v>18.811284578027699</v>
      </c>
      <c r="L72" s="3">
        <v>19.4303777967625</v>
      </c>
      <c r="M72" s="3">
        <v>19.0485718860247</v>
      </c>
      <c r="N72" s="3">
        <v>17.549575958554701</v>
      </c>
    </row>
    <row r="73" spans="1:14" x14ac:dyDescent="0.35">
      <c r="A73" s="2">
        <v>44028</v>
      </c>
      <c r="B73" s="3">
        <v>31.7319903751903</v>
      </c>
      <c r="C73" s="3">
        <v>19.1203387734373</v>
      </c>
      <c r="D73" s="3">
        <v>17.728912973525301</v>
      </c>
      <c r="E73" s="3">
        <v>18.501940992575999</v>
      </c>
      <c r="F73" s="3">
        <v>17.9328577281909</v>
      </c>
      <c r="G73" s="3">
        <v>19.990216517804701</v>
      </c>
      <c r="H73" s="3">
        <v>15.9524987441654</v>
      </c>
      <c r="I73" s="3">
        <v>29.292727351975199</v>
      </c>
      <c r="J73" s="3">
        <v>22.242567605780401</v>
      </c>
      <c r="K73" s="3">
        <v>19.745997522908599</v>
      </c>
      <c r="L73" s="3">
        <v>20.1524046188296</v>
      </c>
      <c r="M73" s="3">
        <v>19.942392047885999</v>
      </c>
      <c r="N73" s="3">
        <v>17.823561261364301</v>
      </c>
    </row>
    <row r="74" spans="1:14" x14ac:dyDescent="0.35">
      <c r="A74" s="2">
        <v>44057</v>
      </c>
      <c r="B74" s="3">
        <v>31.647177311407599</v>
      </c>
      <c r="C74" s="3">
        <v>19.645024713893999</v>
      </c>
      <c r="D74" s="3">
        <v>17.458318700875299</v>
      </c>
      <c r="E74" s="3">
        <v>17.9808112209565</v>
      </c>
      <c r="F74" s="3">
        <v>17.986856246542601</v>
      </c>
      <c r="G74" s="3">
        <v>19.5044393812246</v>
      </c>
      <c r="H74" s="3">
        <v>15.604254440054699</v>
      </c>
      <c r="I74" s="3">
        <v>29.273135867083202</v>
      </c>
      <c r="J74" s="3">
        <v>22.352520671754299</v>
      </c>
      <c r="K74" s="3">
        <v>19.774422725008399</v>
      </c>
      <c r="L74" s="3">
        <v>19.896879147187899</v>
      </c>
      <c r="M74" s="3">
        <v>18.564163002740301</v>
      </c>
      <c r="N74" s="3">
        <v>16.514051810434101</v>
      </c>
    </row>
    <row r="75" spans="1:14" x14ac:dyDescent="0.35">
      <c r="A75" s="2">
        <v>44090</v>
      </c>
      <c r="B75" s="3">
        <v>32.190721439162203</v>
      </c>
      <c r="C75" s="3">
        <v>18.775190239596999</v>
      </c>
      <c r="D75" s="3">
        <v>16.654305222706601</v>
      </c>
      <c r="E75" s="3">
        <v>17.7521891834953</v>
      </c>
      <c r="F75" s="3">
        <v>18.484713137209699</v>
      </c>
      <c r="G75" s="3">
        <v>19.726165853227801</v>
      </c>
      <c r="H75" s="3">
        <v>15.1432472722823</v>
      </c>
      <c r="I75" s="3">
        <v>28.9561631177321</v>
      </c>
      <c r="J75" s="3">
        <v>21.839254518901299</v>
      </c>
      <c r="K75" s="3">
        <v>19.3063139414276</v>
      </c>
      <c r="L75" s="3">
        <v>19.6878147871995</v>
      </c>
      <c r="M75" s="3">
        <v>18.5442101088809</v>
      </c>
      <c r="N75" s="3">
        <v>15.693150424476601</v>
      </c>
    </row>
    <row r="76" spans="1:14" x14ac:dyDescent="0.35">
      <c r="A76" s="2">
        <v>44120</v>
      </c>
      <c r="B76" s="3">
        <v>33.070645416792203</v>
      </c>
      <c r="C76" s="3">
        <v>18.584150881639399</v>
      </c>
      <c r="D76" s="3">
        <v>16.238927932402301</v>
      </c>
      <c r="E76" s="3">
        <v>16.682355070409201</v>
      </c>
      <c r="F76" s="3">
        <v>17.778873710300399</v>
      </c>
      <c r="G76" s="3">
        <v>18.883554976819799</v>
      </c>
      <c r="H76" s="3">
        <v>14.1626001383064</v>
      </c>
      <c r="I76" s="3">
        <v>30.015374431966801</v>
      </c>
      <c r="J76" s="3">
        <v>21.971240168402201</v>
      </c>
      <c r="K76" s="3">
        <v>18.230453020171701</v>
      </c>
      <c r="L76" s="3">
        <v>19.9240630826034</v>
      </c>
      <c r="M76" s="3">
        <v>17.378572395225699</v>
      </c>
      <c r="N76" s="3">
        <v>14.617566650201701</v>
      </c>
    </row>
    <row r="77" spans="1:14" x14ac:dyDescent="0.35">
      <c r="A77" s="2">
        <v>44151</v>
      </c>
      <c r="B77" s="3">
        <v>33.271235859913602</v>
      </c>
      <c r="C77" s="3">
        <v>19.3116978737254</v>
      </c>
      <c r="D77" s="3">
        <v>16.183975713880798</v>
      </c>
      <c r="E77" s="3">
        <v>16.126721135083599</v>
      </c>
      <c r="F77" s="3">
        <v>18.509388275643602</v>
      </c>
      <c r="G77" s="3">
        <v>19.125219190849698</v>
      </c>
      <c r="H77" s="3">
        <v>14.891731083495101</v>
      </c>
      <c r="I77" s="3">
        <v>29.319650675041</v>
      </c>
      <c r="J77" s="3">
        <v>22.082019144352099</v>
      </c>
      <c r="K77" s="3">
        <v>19.152298612329901</v>
      </c>
      <c r="L77" s="3">
        <v>20.662293616161499</v>
      </c>
      <c r="M77" s="3">
        <v>17.264805080378</v>
      </c>
      <c r="N77" s="3">
        <v>14.9477193752262</v>
      </c>
    </row>
    <row r="78" spans="1:14" x14ac:dyDescent="0.35">
      <c r="A78" s="2">
        <v>44181</v>
      </c>
      <c r="B78" s="3">
        <v>32.818813850370397</v>
      </c>
      <c r="C78" s="3">
        <v>19.311676195687699</v>
      </c>
      <c r="D78" s="3">
        <v>16.090438119494902</v>
      </c>
      <c r="E78" s="3">
        <v>16.1330721784811</v>
      </c>
      <c r="F78" s="3">
        <v>18.3952456610551</v>
      </c>
      <c r="G78" s="3">
        <v>18.517436326198599</v>
      </c>
      <c r="H78" s="3">
        <v>14.8225027464888</v>
      </c>
      <c r="I78" s="3">
        <v>30.2099021556552</v>
      </c>
      <c r="J78" s="3">
        <v>21.9625246012851</v>
      </c>
      <c r="K78" s="3">
        <v>18.416296817524699</v>
      </c>
      <c r="L78" s="3">
        <v>20.475968148179199</v>
      </c>
      <c r="M78" s="3">
        <v>17.215576698423298</v>
      </c>
      <c r="N78" s="3">
        <v>14.8996712126463</v>
      </c>
    </row>
    <row r="79" spans="1:14" x14ac:dyDescent="0.35">
      <c r="A79" s="2">
        <v>44211</v>
      </c>
      <c r="B79" s="3">
        <v>33.6408252776016</v>
      </c>
      <c r="C79" s="3">
        <v>19.178730788715502</v>
      </c>
      <c r="D79" s="3">
        <v>16.047430819803299</v>
      </c>
      <c r="E79" s="3">
        <v>15.9906949715668</v>
      </c>
      <c r="F79" s="3">
        <v>18.726932760906099</v>
      </c>
      <c r="G79" s="3">
        <v>18.9722161656113</v>
      </c>
      <c r="H79" s="3">
        <v>14.465841027702901</v>
      </c>
      <c r="I79" s="3">
        <v>29.6062108879878</v>
      </c>
      <c r="J79" s="3">
        <v>22.1716314908759</v>
      </c>
      <c r="K79" s="3">
        <v>17.8584574448928</v>
      </c>
      <c r="L79" s="3">
        <v>21.262050325155201</v>
      </c>
      <c r="M79" s="3">
        <v>18.718661507219402</v>
      </c>
      <c r="N79" s="3">
        <v>14.548348032411599</v>
      </c>
    </row>
    <row r="80" spans="1:14" x14ac:dyDescent="0.35">
      <c r="A80" s="2">
        <v>44243</v>
      </c>
      <c r="B80" s="3">
        <v>32.1505151930022</v>
      </c>
      <c r="C80" s="3">
        <v>19.1563269795321</v>
      </c>
      <c r="D80" s="3">
        <v>16.280021578231</v>
      </c>
      <c r="E80" s="3">
        <v>15.9069998082092</v>
      </c>
      <c r="F80" s="3">
        <v>19.188663188728398</v>
      </c>
      <c r="G80" s="3">
        <v>19.073437645256099</v>
      </c>
      <c r="H80" s="3">
        <v>14.438602317228501</v>
      </c>
      <c r="I80" s="3">
        <v>30.196017668934999</v>
      </c>
      <c r="J80" s="3">
        <v>22.219717111165799</v>
      </c>
      <c r="K80" s="3">
        <v>18.049502184818898</v>
      </c>
      <c r="L80" s="3">
        <v>22.862898115620101</v>
      </c>
      <c r="M80" s="3">
        <v>18.933253830737399</v>
      </c>
      <c r="N80" s="3">
        <v>14.294149646394599</v>
      </c>
    </row>
    <row r="81" spans="1:14" x14ac:dyDescent="0.35">
      <c r="A81" s="2">
        <v>44271</v>
      </c>
      <c r="B81" s="3">
        <v>33.011190739861902</v>
      </c>
      <c r="C81" s="3">
        <v>18.224480717974298</v>
      </c>
      <c r="D81" s="3">
        <v>15.517627536411201</v>
      </c>
      <c r="E81" s="3">
        <v>15.9459038131808</v>
      </c>
      <c r="F81" s="3">
        <v>18.119420962349199</v>
      </c>
      <c r="G81" s="3">
        <v>18.691302459893901</v>
      </c>
      <c r="H81" s="3">
        <v>14.059789809223901</v>
      </c>
      <c r="I81" s="3">
        <v>28.170089019160699</v>
      </c>
      <c r="J81" s="3">
        <v>21.957901432093301</v>
      </c>
      <c r="K81" s="3">
        <v>18.474592656639501</v>
      </c>
      <c r="L81" s="3">
        <v>21.9578869120283</v>
      </c>
      <c r="M81" s="3">
        <v>20.165466626760399</v>
      </c>
      <c r="N81" s="3">
        <v>14.069454099646601</v>
      </c>
    </row>
    <row r="82" spans="1:14" x14ac:dyDescent="0.35">
      <c r="A82" s="2">
        <v>44302</v>
      </c>
      <c r="B82" s="3">
        <v>32.380806143181097</v>
      </c>
      <c r="C82" s="3">
        <v>18.2188081801904</v>
      </c>
      <c r="D82" s="3">
        <v>15.6863838917343</v>
      </c>
      <c r="E82" s="3">
        <v>16.194648506095401</v>
      </c>
      <c r="F82" s="3">
        <v>17.3945121057459</v>
      </c>
      <c r="G82" s="3">
        <v>19.503202465277301</v>
      </c>
      <c r="H82" s="3">
        <v>13.6239907653747</v>
      </c>
      <c r="I82" s="3">
        <v>29.751079499804</v>
      </c>
      <c r="J82" s="3">
        <v>22.455994774300599</v>
      </c>
      <c r="K82" s="3">
        <v>18.347433277102098</v>
      </c>
      <c r="L82" s="3">
        <v>22.831842788425099</v>
      </c>
      <c r="M82" s="3">
        <v>20.7635328598566</v>
      </c>
      <c r="N82" s="3">
        <v>13.9800235170131</v>
      </c>
    </row>
    <row r="83" spans="1:14" x14ac:dyDescent="0.35">
      <c r="A83" s="2">
        <v>44330</v>
      </c>
      <c r="B83" s="3">
        <v>32.2486049547337</v>
      </c>
      <c r="C83" s="3">
        <v>17.729199938355801</v>
      </c>
      <c r="D83" s="3">
        <v>15.362889674906199</v>
      </c>
      <c r="E83" s="3">
        <v>14.838348012666501</v>
      </c>
      <c r="F83" s="3">
        <v>16.225168355012698</v>
      </c>
      <c r="G83" s="3">
        <v>18.923964171825801</v>
      </c>
      <c r="H83" s="3">
        <v>13.293279493594101</v>
      </c>
      <c r="I83" s="3">
        <v>26.618891335952501</v>
      </c>
      <c r="J83" s="3">
        <v>21.323902008108401</v>
      </c>
      <c r="K83" s="3">
        <v>17.8286118095034</v>
      </c>
      <c r="L83" s="3">
        <v>21.156463092962898</v>
      </c>
      <c r="M83" s="3">
        <v>18.125656023409</v>
      </c>
      <c r="N83" s="3">
        <v>13.3196482716872</v>
      </c>
    </row>
    <row r="84" spans="1:14" x14ac:dyDescent="0.35">
      <c r="A84" s="2">
        <v>44363</v>
      </c>
      <c r="B84" s="3">
        <v>33.112360358149097</v>
      </c>
      <c r="C84" s="3">
        <v>18.354592725640298</v>
      </c>
      <c r="D84" s="3">
        <v>15.638731614118599</v>
      </c>
      <c r="E84" s="3">
        <v>14.987637753167601</v>
      </c>
      <c r="F84" s="3">
        <v>16.620934360942599</v>
      </c>
      <c r="G84" s="3">
        <v>20.058859168161199</v>
      </c>
      <c r="H84" s="3">
        <v>13.341107876210501</v>
      </c>
      <c r="I84" s="3">
        <v>27.328312040227001</v>
      </c>
      <c r="J84" s="3">
        <v>21.162897062098601</v>
      </c>
      <c r="K84" s="3">
        <v>18.1058962688065</v>
      </c>
      <c r="L84" s="3">
        <v>21.623517251505799</v>
      </c>
      <c r="M84" s="3">
        <v>18.8451553300958</v>
      </c>
      <c r="N84" s="3">
        <v>13.8269266040926</v>
      </c>
    </row>
    <row r="85" spans="1:14" x14ac:dyDescent="0.35">
      <c r="A85" s="2">
        <v>44393</v>
      </c>
      <c r="B85" s="3">
        <v>34.207805498996102</v>
      </c>
      <c r="C85" s="3">
        <v>16.7966839522648</v>
      </c>
      <c r="D85" s="3">
        <v>15.070513582963899</v>
      </c>
      <c r="E85" s="3">
        <v>14.473476739682599</v>
      </c>
      <c r="F85" s="3">
        <v>15.9731754535563</v>
      </c>
      <c r="G85" s="3">
        <v>19.785202147757101</v>
      </c>
      <c r="H85" s="3">
        <v>12.3717236570517</v>
      </c>
      <c r="I85" s="3">
        <v>28.357474304767599</v>
      </c>
      <c r="J85" s="3">
        <v>21.210775435047001</v>
      </c>
      <c r="K85" s="3">
        <v>16.8652475713176</v>
      </c>
      <c r="L85" s="3">
        <v>21.080128376923899</v>
      </c>
      <c r="M85" s="3">
        <v>18.600931455324901</v>
      </c>
      <c r="N85" s="3">
        <v>12.968662598616</v>
      </c>
    </row>
    <row r="86" spans="1:14" x14ac:dyDescent="0.35">
      <c r="A86" s="2">
        <v>44424</v>
      </c>
      <c r="B86" s="3">
        <v>33.759776767319003</v>
      </c>
      <c r="C86" s="3">
        <v>17.2203456672455</v>
      </c>
      <c r="D86" s="3">
        <v>15.021830417727299</v>
      </c>
      <c r="E86" s="3">
        <v>14.3294040776822</v>
      </c>
      <c r="F86" s="3">
        <v>15.388840244615601</v>
      </c>
      <c r="G86" s="3">
        <v>20.000317747129099</v>
      </c>
      <c r="H86" s="3">
        <v>12.3169168899675</v>
      </c>
      <c r="I86" s="3">
        <v>27.9768494836886</v>
      </c>
      <c r="J86" s="3">
        <v>21.1604326558015</v>
      </c>
      <c r="K86" s="3">
        <v>16.716952563107501</v>
      </c>
      <c r="L86" s="3">
        <v>21.567298084788799</v>
      </c>
      <c r="M86" s="3">
        <v>18.4566028630503</v>
      </c>
      <c r="N86" s="3">
        <v>12.328406824720799</v>
      </c>
    </row>
    <row r="87" spans="1:14" x14ac:dyDescent="0.35">
      <c r="A87" s="2">
        <v>44455</v>
      </c>
      <c r="B87" s="3">
        <v>34.4844482958163</v>
      </c>
      <c r="C87" s="3">
        <v>17.178022925122999</v>
      </c>
      <c r="D87" s="3">
        <v>14.822693500049199</v>
      </c>
      <c r="E87" s="3">
        <v>13.999936340346601</v>
      </c>
      <c r="F87" s="3">
        <v>16.038989079833801</v>
      </c>
      <c r="G87" s="3">
        <v>19.128293192653199</v>
      </c>
      <c r="H87" s="3">
        <v>11.911234726435399</v>
      </c>
      <c r="I87" s="3">
        <v>28.323140868055798</v>
      </c>
      <c r="J87" s="3">
        <v>20.8960714045323</v>
      </c>
      <c r="K87" s="3">
        <v>16.009618113753699</v>
      </c>
      <c r="L87" s="3">
        <v>21.843271587517901</v>
      </c>
      <c r="M87" s="3">
        <v>18.5807427769405</v>
      </c>
      <c r="N87" s="3">
        <v>11.7037795137397</v>
      </c>
    </row>
    <row r="88" spans="1:14" x14ac:dyDescent="0.35">
      <c r="A88" s="2">
        <v>44484</v>
      </c>
      <c r="B88" s="3">
        <v>33.6539615726834</v>
      </c>
      <c r="C88" s="3">
        <v>17.394405734990599</v>
      </c>
      <c r="D88" s="3">
        <v>14.9140781793645</v>
      </c>
      <c r="E88" s="3">
        <v>13.807796804239899</v>
      </c>
      <c r="F88" s="3">
        <v>15.3874292074685</v>
      </c>
      <c r="G88" s="3">
        <v>18.754091518905099</v>
      </c>
      <c r="H88" s="3">
        <v>12.3312080296527</v>
      </c>
      <c r="I88" s="3">
        <v>27.583609079113199</v>
      </c>
      <c r="J88" s="3">
        <v>20.691111632835799</v>
      </c>
      <c r="K88" s="3">
        <v>15.6765104272069</v>
      </c>
      <c r="L88" s="3">
        <v>20.8609094541609</v>
      </c>
      <c r="M88" s="3">
        <v>18.424749707870699</v>
      </c>
      <c r="N88" s="3">
        <v>11.749846283551699</v>
      </c>
    </row>
    <row r="89" spans="1:14" x14ac:dyDescent="0.35">
      <c r="A89" s="2">
        <v>44516</v>
      </c>
      <c r="B89" s="3">
        <v>32.9744780911616</v>
      </c>
      <c r="C89" s="3">
        <v>17.4643302587905</v>
      </c>
      <c r="D89" s="3">
        <v>15.018088002959001</v>
      </c>
      <c r="E89" s="3">
        <v>13.883711433345701</v>
      </c>
      <c r="F89" s="3">
        <v>15.4315034842475</v>
      </c>
      <c r="G89" s="3">
        <v>19.393016409201</v>
      </c>
      <c r="H89" s="3">
        <v>12.1240376577019</v>
      </c>
      <c r="I89" s="3">
        <v>29.541948952696099</v>
      </c>
      <c r="J89" s="3">
        <v>21.408594654836399</v>
      </c>
      <c r="K89" s="3">
        <v>16.037521286570701</v>
      </c>
      <c r="L89" s="3">
        <v>21.687732281270598</v>
      </c>
      <c r="M89" s="3">
        <v>18.980687487666199</v>
      </c>
      <c r="N89" s="3">
        <v>11.8294821835114</v>
      </c>
    </row>
    <row r="90" spans="1:14" x14ac:dyDescent="0.35">
      <c r="A90" s="2">
        <v>44546</v>
      </c>
      <c r="B90" s="3">
        <v>32.028199575888898</v>
      </c>
      <c r="C90" s="3">
        <v>17.0582285941917</v>
      </c>
      <c r="D90" s="3">
        <v>14.1641896677858</v>
      </c>
      <c r="E90" s="3">
        <v>13.257758303027099</v>
      </c>
      <c r="F90" s="3">
        <v>14.738770501471</v>
      </c>
      <c r="G90" s="3">
        <v>19.623324557892001</v>
      </c>
      <c r="H90" s="3">
        <v>11.9557285132214</v>
      </c>
      <c r="I90" s="3">
        <v>28.3334966603231</v>
      </c>
      <c r="J90" s="3">
        <v>20.9681676553122</v>
      </c>
      <c r="K90" s="3">
        <v>15.5488744874687</v>
      </c>
      <c r="L90" s="3">
        <v>19.982279455802399</v>
      </c>
      <c r="M90" s="3">
        <v>18.888090812405899</v>
      </c>
      <c r="N90" s="3">
        <v>10.8967312024627</v>
      </c>
    </row>
    <row r="91" spans="1:14" x14ac:dyDescent="0.35">
      <c r="A91" s="2">
        <v>44575</v>
      </c>
      <c r="B91" s="3">
        <v>31.155760820540699</v>
      </c>
      <c r="C91" s="3">
        <v>17.456264536873501</v>
      </c>
      <c r="D91" s="3">
        <v>14.3824611150688</v>
      </c>
      <c r="E91" s="3">
        <v>13.345287722235</v>
      </c>
      <c r="F91" s="3">
        <v>14.3255589724836</v>
      </c>
      <c r="G91" s="3">
        <v>18.9367884259307</v>
      </c>
      <c r="H91" s="3">
        <v>12.4176897680866</v>
      </c>
      <c r="I91" s="3">
        <v>27.7465203051154</v>
      </c>
      <c r="J91" s="3">
        <v>20.751825404773601</v>
      </c>
      <c r="K91" s="3">
        <v>15.5344581554437</v>
      </c>
      <c r="L91" s="3">
        <v>19.789749539784399</v>
      </c>
      <c r="M91" s="3">
        <v>17.508893033386599</v>
      </c>
      <c r="N91" s="3">
        <v>11.077434246241999</v>
      </c>
    </row>
    <row r="92" spans="1:14" x14ac:dyDescent="0.35">
      <c r="A92" s="2">
        <v>44608</v>
      </c>
      <c r="B92" s="3">
        <v>29.858773099116899</v>
      </c>
      <c r="C92" s="3">
        <v>16.123782731539499</v>
      </c>
      <c r="D92" s="3">
        <v>14.2217470241316</v>
      </c>
      <c r="E92" s="3">
        <v>12.6790760919225</v>
      </c>
      <c r="F92" s="3">
        <v>13.7282388771426</v>
      </c>
      <c r="G92" s="3">
        <v>18.292650135914101</v>
      </c>
      <c r="H92" s="3">
        <v>12.296962049621399</v>
      </c>
      <c r="I92" s="3">
        <v>25.5824751790352</v>
      </c>
      <c r="J92" s="3">
        <v>19.629913201919301</v>
      </c>
      <c r="K92" s="3">
        <v>14.5638865575973</v>
      </c>
      <c r="L92" s="3">
        <v>18.453382280913502</v>
      </c>
      <c r="M92" s="3">
        <v>16.164225801267399</v>
      </c>
      <c r="N92" s="3">
        <v>10.654279510034</v>
      </c>
    </row>
    <row r="93" spans="1:14" x14ac:dyDescent="0.35">
      <c r="A93" s="2">
        <v>44636</v>
      </c>
      <c r="B93" s="3">
        <v>28.7379376770919</v>
      </c>
      <c r="C93" s="3">
        <v>15.610030463037999</v>
      </c>
      <c r="D93" s="3">
        <v>13.537295832725</v>
      </c>
      <c r="E93" s="3">
        <v>11.7547246112649</v>
      </c>
      <c r="F93" s="3">
        <v>12.6294451321631</v>
      </c>
      <c r="G93" s="3">
        <v>17.838276153813201</v>
      </c>
      <c r="H93" s="3">
        <v>11.4385214547711</v>
      </c>
      <c r="I93" s="3">
        <v>24.154241945026602</v>
      </c>
      <c r="J93" s="3">
        <v>18.820495642941399</v>
      </c>
      <c r="K93" s="3">
        <v>13.6261672971699</v>
      </c>
      <c r="L93" s="3">
        <v>17.682905905573001</v>
      </c>
      <c r="M93" s="3">
        <v>15.5414081289669</v>
      </c>
      <c r="N93" s="3">
        <v>9.6077704645662898</v>
      </c>
    </row>
    <row r="94" spans="1:14" x14ac:dyDescent="0.35">
      <c r="A94" s="2">
        <v>44665</v>
      </c>
      <c r="B94" s="3">
        <v>28.210262612245099</v>
      </c>
      <c r="C94" s="3">
        <v>15.6660050718392</v>
      </c>
      <c r="D94" s="3">
        <v>13.3947497629698</v>
      </c>
      <c r="E94" s="3">
        <v>11.3205300335341</v>
      </c>
      <c r="F94" s="3">
        <v>12.983270390615299</v>
      </c>
      <c r="G94" s="3">
        <v>18.552737470355201</v>
      </c>
      <c r="H94" s="3">
        <v>11.200315076168</v>
      </c>
      <c r="I94" s="3">
        <v>23.892941221234</v>
      </c>
      <c r="J94" s="3">
        <v>18.6746147195961</v>
      </c>
      <c r="K94" s="3">
        <v>13.1567937547551</v>
      </c>
      <c r="L94" s="3">
        <v>17.6621552140946</v>
      </c>
      <c r="M94" s="3">
        <v>15.0236532300201</v>
      </c>
      <c r="N94" s="3">
        <v>9.7331044742382105</v>
      </c>
    </row>
    <row r="95" spans="1:14" x14ac:dyDescent="0.35">
      <c r="A95" s="2">
        <v>44697</v>
      </c>
      <c r="B95" s="3">
        <v>27.217854558288401</v>
      </c>
      <c r="C95" s="3">
        <v>14.1078643702244</v>
      </c>
      <c r="D95" s="3">
        <v>12.1542584068482</v>
      </c>
      <c r="E95" s="3">
        <v>10.7058555586586</v>
      </c>
      <c r="F95" s="3">
        <v>12.5777773808411</v>
      </c>
      <c r="G95" s="3">
        <v>16.861622501106101</v>
      </c>
      <c r="H95" s="3">
        <v>10.292715185898199</v>
      </c>
      <c r="I95" s="3">
        <v>21.218266946767599</v>
      </c>
      <c r="J95" s="3">
        <v>16.901703339212599</v>
      </c>
      <c r="K95" s="3">
        <v>12.2057892918374</v>
      </c>
      <c r="L95" s="3">
        <v>16.264805720299499</v>
      </c>
      <c r="M95" s="3">
        <v>15.844876000605099</v>
      </c>
      <c r="N95" s="3">
        <v>9.1657292961222403</v>
      </c>
    </row>
    <row r="96" spans="1:14" x14ac:dyDescent="0.35">
      <c r="A96" s="2">
        <v>44728</v>
      </c>
      <c r="B96" s="3">
        <v>25.118840567908801</v>
      </c>
      <c r="C96" s="3">
        <v>12.710471467112701</v>
      </c>
      <c r="D96" s="3">
        <v>11.293838103988699</v>
      </c>
      <c r="E96" s="3">
        <v>9.9562147975221702</v>
      </c>
      <c r="F96" s="3">
        <v>12.382928117542599</v>
      </c>
      <c r="G96" s="3">
        <v>15.2093267751735</v>
      </c>
      <c r="H96" s="3">
        <v>9.6076100637597595</v>
      </c>
      <c r="I96" s="3">
        <v>19.127474238205799</v>
      </c>
      <c r="J96" s="3">
        <v>15.298520395710501</v>
      </c>
      <c r="K96" s="3">
        <v>11.165727343437201</v>
      </c>
      <c r="L96" s="3">
        <v>15.2958139181669</v>
      </c>
      <c r="M96" s="3">
        <v>14.2394700984031</v>
      </c>
      <c r="N96" s="3">
        <v>7.8731005097006399</v>
      </c>
    </row>
    <row r="97" spans="1:14" x14ac:dyDescent="0.35">
      <c r="A97" s="2">
        <v>44757</v>
      </c>
      <c r="B97" s="3">
        <v>25.9082971592332</v>
      </c>
      <c r="C97" s="3">
        <v>12.800851213279101</v>
      </c>
      <c r="D97" s="3">
        <v>10.7848991882848</v>
      </c>
      <c r="E97" s="3">
        <v>9.7979976983503896</v>
      </c>
      <c r="F97" s="3">
        <v>12.4608833558915</v>
      </c>
      <c r="G97" s="3">
        <v>16.077543019842</v>
      </c>
      <c r="H97" s="3">
        <v>9.4601195538677096</v>
      </c>
      <c r="I97" s="3">
        <v>20.805062565555001</v>
      </c>
      <c r="J97" s="3">
        <v>16.1465438488408</v>
      </c>
      <c r="K97" s="3">
        <v>11.1572016970745</v>
      </c>
      <c r="L97" s="3">
        <v>16.1955690905754</v>
      </c>
      <c r="M97" s="3">
        <v>14.397504682792301</v>
      </c>
      <c r="N97" s="3">
        <v>7.4768840805503203</v>
      </c>
    </row>
    <row r="98" spans="1:14" x14ac:dyDescent="0.35">
      <c r="A98" s="2">
        <v>44789</v>
      </c>
      <c r="B98" s="3">
        <v>26.94127176057</v>
      </c>
      <c r="C98" s="3">
        <v>14.181747898741399</v>
      </c>
      <c r="D98" s="3">
        <v>11.935613032800299</v>
      </c>
      <c r="E98" s="3">
        <v>10.387704852049501</v>
      </c>
      <c r="F98" s="3">
        <v>13.0094745189351</v>
      </c>
      <c r="G98" s="3">
        <v>16.775190625906198</v>
      </c>
      <c r="H98" s="3">
        <v>9.8453454462773102</v>
      </c>
      <c r="I98" s="3">
        <v>24.287719430972999</v>
      </c>
      <c r="J98" s="3">
        <v>18.154987573081701</v>
      </c>
      <c r="K98" s="3">
        <v>11.894293925568601</v>
      </c>
      <c r="L98" s="3">
        <v>17.885680697148501</v>
      </c>
      <c r="M98" s="3">
        <v>15.206176190675601</v>
      </c>
      <c r="N98" s="3">
        <v>7.7545278727800397</v>
      </c>
    </row>
    <row r="99" spans="1:14" x14ac:dyDescent="0.35">
      <c r="A99" s="2">
        <v>44820</v>
      </c>
      <c r="B99" s="3">
        <v>26.243327448438599</v>
      </c>
      <c r="C99" s="3">
        <v>13.179504096022301</v>
      </c>
      <c r="D99" s="3">
        <v>11.3291722882641</v>
      </c>
      <c r="E99" s="3">
        <v>9.5114534161512196</v>
      </c>
      <c r="F99" s="3">
        <v>12.630677015939501</v>
      </c>
      <c r="G99" s="3">
        <v>15.6646012653244</v>
      </c>
      <c r="H99" s="3">
        <v>9.0916498703264708</v>
      </c>
      <c r="I99" s="3">
        <v>20.987637436976801</v>
      </c>
      <c r="J99" s="3">
        <v>16.271586298358301</v>
      </c>
      <c r="K99" s="3">
        <v>10.9691052291913</v>
      </c>
      <c r="L99" s="3">
        <v>15.4635639000286</v>
      </c>
      <c r="M99" s="3">
        <v>13.6285537776343</v>
      </c>
      <c r="N99" s="3">
        <v>7.6802228879005199</v>
      </c>
    </row>
    <row r="100" spans="1:14" x14ac:dyDescent="0.35">
      <c r="A100" s="2">
        <v>44848</v>
      </c>
      <c r="B100" s="3">
        <v>23.341906984668501</v>
      </c>
      <c r="C100" s="3">
        <v>12.991404230077</v>
      </c>
      <c r="D100" s="3">
        <v>10.747137995753199</v>
      </c>
      <c r="E100" s="3">
        <v>9.2333466806224607</v>
      </c>
      <c r="F100" s="3">
        <v>12.279318279793699</v>
      </c>
      <c r="G100" s="3">
        <v>14.979906310873201</v>
      </c>
      <c r="H100" s="3">
        <v>8.5943310640289408</v>
      </c>
      <c r="I100" s="3">
        <v>19.1199622976239</v>
      </c>
      <c r="J100" s="3">
        <v>15.201932232642401</v>
      </c>
      <c r="K100" s="3">
        <v>10.52055459392</v>
      </c>
      <c r="L100" s="3">
        <v>14.028409957363699</v>
      </c>
      <c r="M100" s="3">
        <v>13.1514911118875</v>
      </c>
      <c r="N100" s="3">
        <v>7.3022610913447403</v>
      </c>
    </row>
    <row r="101" spans="1:14" x14ac:dyDescent="0.35">
      <c r="A101" s="2">
        <v>44881</v>
      </c>
      <c r="B101" s="3">
        <v>23.314223947400102</v>
      </c>
      <c r="C101" s="3">
        <v>14.286459261757599</v>
      </c>
      <c r="D101" s="3">
        <v>11.8934984177589</v>
      </c>
      <c r="E101" s="3">
        <v>10.623930625484199</v>
      </c>
      <c r="F101" s="3">
        <v>12.8014992198037</v>
      </c>
      <c r="G101" s="3">
        <v>16.6846365196817</v>
      </c>
      <c r="H101" s="3">
        <v>9.5088549005434508</v>
      </c>
      <c r="I101" s="3">
        <v>21.785337163200499</v>
      </c>
      <c r="J101" s="3">
        <v>17.1553726576029</v>
      </c>
      <c r="K101" s="3">
        <v>11.902567359835</v>
      </c>
      <c r="L101" s="3">
        <v>16.3067045762836</v>
      </c>
      <c r="M101" s="3">
        <v>12.9054866482315</v>
      </c>
      <c r="N101" s="3">
        <v>8.2996447231299602</v>
      </c>
    </row>
    <row r="102" spans="1:14" x14ac:dyDescent="0.35">
      <c r="A102" s="2">
        <v>44911</v>
      </c>
      <c r="B102" s="3">
        <v>23.446420303450498</v>
      </c>
      <c r="C102" s="3">
        <v>14.058936771690799</v>
      </c>
      <c r="D102" s="3">
        <v>11.854512317852301</v>
      </c>
      <c r="E102" s="3">
        <v>10.364960541788699</v>
      </c>
      <c r="F102" s="3">
        <v>12.6369629766139</v>
      </c>
      <c r="G102" s="3">
        <v>16.316383658825799</v>
      </c>
      <c r="H102" s="3">
        <v>9.6553558818949803</v>
      </c>
      <c r="I102" s="3">
        <v>20.880156862497099</v>
      </c>
      <c r="J102" s="3">
        <v>16.677937238810699</v>
      </c>
      <c r="K102" s="3">
        <v>11.752919277568299</v>
      </c>
      <c r="L102" s="3">
        <v>15.7371947614159</v>
      </c>
      <c r="M102" s="3">
        <v>12.742621743939701</v>
      </c>
      <c r="N102" s="3">
        <v>7.5960515960609198</v>
      </c>
    </row>
    <row r="103" spans="1:14" x14ac:dyDescent="0.35">
      <c r="A103" s="2">
        <v>44939</v>
      </c>
      <c r="B103" s="3">
        <v>23.599551255676101</v>
      </c>
      <c r="C103" s="3">
        <v>14.5858706406704</v>
      </c>
      <c r="D103" s="3">
        <v>12.6686151277673</v>
      </c>
      <c r="E103" s="3">
        <v>11.4050094727</v>
      </c>
      <c r="F103" s="3">
        <v>12.3663692500393</v>
      </c>
      <c r="G103" s="3">
        <v>17.2338498684834</v>
      </c>
      <c r="H103" s="3">
        <v>10.436893758046599</v>
      </c>
      <c r="I103" s="3">
        <v>22.046034721695499</v>
      </c>
      <c r="J103" s="3">
        <v>17.430550473908198</v>
      </c>
      <c r="K103" s="3">
        <v>12.9479256597958</v>
      </c>
      <c r="L103" s="3">
        <v>16.977388974544699</v>
      </c>
      <c r="M103" s="3">
        <v>13.6589372063601</v>
      </c>
      <c r="N103" s="3">
        <v>8.2154269201636101</v>
      </c>
    </row>
    <row r="104" spans="1:14" x14ac:dyDescent="0.35">
      <c r="A104" s="2">
        <v>44973</v>
      </c>
      <c r="B104" s="3">
        <v>24.8043514335296</v>
      </c>
      <c r="C104" s="3">
        <v>14.7819527768212</v>
      </c>
      <c r="D104" s="3">
        <v>12.974925406892501</v>
      </c>
      <c r="E104" s="3">
        <v>11.740298044303501</v>
      </c>
      <c r="F104" s="3">
        <v>13.1278244780818</v>
      </c>
      <c r="G104" s="3">
        <v>17.2721873016731</v>
      </c>
      <c r="H104" s="3">
        <v>10.684051279640901</v>
      </c>
      <c r="I104" s="3">
        <v>23.960442618001402</v>
      </c>
      <c r="J104" s="3">
        <v>18.038695869858799</v>
      </c>
      <c r="K104" s="3">
        <v>13.4763264758092</v>
      </c>
      <c r="L104" s="3">
        <v>17.189205592442001</v>
      </c>
      <c r="M104" s="3">
        <v>14.2556819058803</v>
      </c>
      <c r="N104" s="3">
        <v>8.5243559187854494</v>
      </c>
    </row>
    <row r="105" spans="1:14" x14ac:dyDescent="0.35">
      <c r="A105" s="2">
        <v>45001</v>
      </c>
      <c r="B105" s="3">
        <v>22.663329595852399</v>
      </c>
      <c r="C105" s="3">
        <v>13.8038744004355</v>
      </c>
      <c r="D105" s="3">
        <v>12.3030903869762</v>
      </c>
      <c r="E105" s="3">
        <v>11.0513757108011</v>
      </c>
      <c r="F105" s="3">
        <v>12.7048463823178</v>
      </c>
      <c r="G105" s="3">
        <v>16.5316416921304</v>
      </c>
      <c r="H105" s="3">
        <v>9.8473878238724293</v>
      </c>
      <c r="I105" s="3">
        <v>23.9646164616471</v>
      </c>
      <c r="J105" s="3">
        <v>17.375141326078602</v>
      </c>
      <c r="K105" s="3">
        <v>12.7569075584343</v>
      </c>
      <c r="L105" s="3">
        <v>15.873271720223199</v>
      </c>
      <c r="M105" s="3">
        <v>13.2910026878924</v>
      </c>
      <c r="N105" s="3">
        <v>8.1093757714237693</v>
      </c>
    </row>
    <row r="106" spans="1:14" x14ac:dyDescent="0.35">
      <c r="A106" s="2">
        <v>45030</v>
      </c>
      <c r="B106" s="3">
        <v>23.270838009337801</v>
      </c>
      <c r="C106" s="3">
        <v>14.7295083666579</v>
      </c>
      <c r="D106" s="3">
        <v>13.0293430270815</v>
      </c>
      <c r="E106" s="3">
        <v>11.456534541800099</v>
      </c>
      <c r="F106" s="3">
        <v>13.273957083679599</v>
      </c>
      <c r="G106" s="3">
        <v>17.491016255565501</v>
      </c>
      <c r="H106" s="3">
        <v>10.794737739937499</v>
      </c>
      <c r="I106" s="3">
        <v>24.764031798998701</v>
      </c>
      <c r="J106" s="3">
        <v>18.1840894321655</v>
      </c>
      <c r="K106" s="3">
        <v>13.644237950816899</v>
      </c>
      <c r="L106" s="3">
        <v>16.379409203481099</v>
      </c>
      <c r="M106" s="3">
        <v>13.9201951136746</v>
      </c>
      <c r="N106" s="3">
        <v>8.7730186302121798</v>
      </c>
    </row>
    <row r="107" spans="1:14" x14ac:dyDescent="0.35">
      <c r="A107" s="2">
        <v>45062</v>
      </c>
      <c r="B107" s="3">
        <v>23.561668738048802</v>
      </c>
      <c r="C107" s="3">
        <v>14.574341833173399</v>
      </c>
      <c r="D107" s="3">
        <v>12.975001341477601</v>
      </c>
      <c r="E107" s="3">
        <v>10.9955087247076</v>
      </c>
      <c r="F107" s="3">
        <v>13.969475457758801</v>
      </c>
      <c r="G107" s="3">
        <v>17.4521593053733</v>
      </c>
      <c r="H107" s="3">
        <v>10.514034128601001</v>
      </c>
      <c r="I107" s="3">
        <v>24.7046472861628</v>
      </c>
      <c r="J107" s="3">
        <v>17.858179215181899</v>
      </c>
      <c r="K107" s="3">
        <v>13.340546256331301</v>
      </c>
      <c r="L107" s="3">
        <v>15.6686354428422</v>
      </c>
      <c r="M107" s="3">
        <v>13.476656832213299</v>
      </c>
      <c r="N107" s="3">
        <v>8.3127998077076803</v>
      </c>
    </row>
    <row r="108" spans="1:14" x14ac:dyDescent="0.35">
      <c r="A108" s="2">
        <v>45093</v>
      </c>
      <c r="B108" s="3">
        <v>20.817202729168802</v>
      </c>
      <c r="C108" s="3">
        <v>15.051679781637899</v>
      </c>
      <c r="D108" s="3">
        <v>12.915971112549601</v>
      </c>
      <c r="E108" s="3">
        <v>11.0080179765166</v>
      </c>
      <c r="F108" s="3">
        <v>15.023888642262399</v>
      </c>
      <c r="G108" s="3">
        <v>16.668232110123601</v>
      </c>
      <c r="H108" s="3">
        <v>10.501131766694</v>
      </c>
      <c r="I108" s="3">
        <v>26.990138565927101</v>
      </c>
      <c r="J108" s="3">
        <v>18.944008034142001</v>
      </c>
      <c r="K108" s="3">
        <v>13.346783755075901</v>
      </c>
      <c r="L108" s="3">
        <v>15.8433561882161</v>
      </c>
      <c r="M108" s="3">
        <v>13.8328967500453</v>
      </c>
      <c r="N108" s="3">
        <v>8.7982824764171692</v>
      </c>
    </row>
    <row r="109" spans="1:14" x14ac:dyDescent="0.35">
      <c r="A109" s="2">
        <v>45121</v>
      </c>
      <c r="B109" s="3">
        <v>21.109196103277899</v>
      </c>
      <c r="C109" s="3">
        <v>15.398555016562099</v>
      </c>
      <c r="D109" s="3">
        <v>13.274743642262001</v>
      </c>
      <c r="E109" s="3">
        <v>10.784605826900901</v>
      </c>
      <c r="F109" s="3">
        <v>14.463062205184499</v>
      </c>
      <c r="G109" s="3">
        <v>16.626450506331601</v>
      </c>
      <c r="H109" s="3">
        <v>10.4534688103248</v>
      </c>
      <c r="I109" s="3">
        <v>27.214784662848999</v>
      </c>
      <c r="J109" s="3">
        <v>19.342838096410699</v>
      </c>
      <c r="K109" s="3">
        <v>13.2838178731432</v>
      </c>
      <c r="L109" s="3">
        <v>16.226607978025299</v>
      </c>
      <c r="M109" s="3">
        <v>13.3865921843589</v>
      </c>
      <c r="N109" s="3">
        <v>8.8277055155484199</v>
      </c>
    </row>
    <row r="110" spans="1:14" x14ac:dyDescent="0.35">
      <c r="A110" s="2">
        <v>45154</v>
      </c>
      <c r="B110" s="3">
        <v>20.339561614249298</v>
      </c>
      <c r="C110" s="3">
        <v>15.0815586968347</v>
      </c>
      <c r="D110" s="3">
        <v>12.888003978983001</v>
      </c>
      <c r="E110" s="3">
        <v>10.591674760765899</v>
      </c>
      <c r="F110" s="3">
        <v>14.1829195163302</v>
      </c>
      <c r="G110" s="3">
        <v>16.435844658402399</v>
      </c>
      <c r="H110" s="3">
        <v>10.278271487339</v>
      </c>
      <c r="I110" s="3">
        <v>24.141277256845701</v>
      </c>
      <c r="J110" s="3">
        <v>18.612577933789598</v>
      </c>
      <c r="K110" s="3">
        <v>12.9013480057684</v>
      </c>
      <c r="L110" s="3">
        <v>15.0838954215944</v>
      </c>
      <c r="M110" s="3">
        <v>12.854898412632</v>
      </c>
      <c r="N110" s="3">
        <v>8.2261709081410306</v>
      </c>
    </row>
    <row r="111" spans="1:14" x14ac:dyDescent="0.35">
      <c r="A111" s="2">
        <v>45184</v>
      </c>
      <c r="B111" s="3">
        <v>20.2764060189715</v>
      </c>
      <c r="C111" s="3">
        <v>15.482717288360799</v>
      </c>
      <c r="D111" s="3">
        <v>13.319986192635501</v>
      </c>
      <c r="E111" s="3">
        <v>10.6727163695251</v>
      </c>
      <c r="F111" s="3">
        <v>15.1062214341041</v>
      </c>
      <c r="G111" s="3">
        <v>16.6919037520898</v>
      </c>
      <c r="H111" s="3">
        <v>10.6280803955166</v>
      </c>
      <c r="I111" s="3">
        <v>24.027152718179199</v>
      </c>
      <c r="J111" s="3">
        <v>18.524441703418301</v>
      </c>
      <c r="K111" s="3">
        <v>13.0015351224752</v>
      </c>
      <c r="L111" s="3">
        <v>14.052853540314</v>
      </c>
      <c r="M111" s="3">
        <v>13.0759801560556</v>
      </c>
      <c r="N111" s="3">
        <v>8.4989566490610606</v>
      </c>
    </row>
    <row r="112" spans="1:14" x14ac:dyDescent="0.35">
      <c r="A112" s="2">
        <v>45215</v>
      </c>
      <c r="B112" s="3">
        <v>19.674100844015001</v>
      </c>
      <c r="C112" s="3">
        <v>14.675926163682</v>
      </c>
      <c r="D112" s="3">
        <v>12.5751974450659</v>
      </c>
      <c r="E112" s="3">
        <v>10.1806428669531</v>
      </c>
      <c r="F112" s="3">
        <v>14.045987614171301</v>
      </c>
      <c r="G112" s="3">
        <v>16.122020539031901</v>
      </c>
      <c r="H112" s="3">
        <v>10.4092208427928</v>
      </c>
      <c r="I112" s="3">
        <v>23.741695765414999</v>
      </c>
      <c r="J112" s="3">
        <v>18.1181420331982</v>
      </c>
      <c r="K112" s="3">
        <v>12.2758826647795</v>
      </c>
      <c r="L112" s="3">
        <v>13.484640489692101</v>
      </c>
      <c r="M112" s="3">
        <v>13.0963368640199</v>
      </c>
      <c r="N112" s="3">
        <v>8.1988324072113095</v>
      </c>
    </row>
    <row r="113" spans="1:25" x14ac:dyDescent="0.35">
      <c r="A113" s="2">
        <v>45246</v>
      </c>
      <c r="B113" s="3">
        <v>20.222714250685399</v>
      </c>
      <c r="C113" s="3">
        <v>15.041723119874</v>
      </c>
      <c r="D113" s="3">
        <v>12.743636309150901</v>
      </c>
      <c r="E113" s="3">
        <v>10.6833527840993</v>
      </c>
      <c r="F113" s="3">
        <v>14.429317922075001</v>
      </c>
      <c r="G113" s="3">
        <v>15.9738686971526</v>
      </c>
      <c r="H113" s="3">
        <v>10.2359533155736</v>
      </c>
      <c r="I113" s="3">
        <v>24.400944869920799</v>
      </c>
      <c r="J113" s="3">
        <v>18.6126424044099</v>
      </c>
      <c r="K113" s="3">
        <v>12.6965246995471</v>
      </c>
      <c r="L113" s="3">
        <v>14.5491101469692</v>
      </c>
      <c r="M113" s="3">
        <v>13.203538245257</v>
      </c>
      <c r="N113" s="3">
        <v>8.2339390238280394</v>
      </c>
    </row>
    <row r="114" spans="1:25" x14ac:dyDescent="0.35">
      <c r="A114" s="2">
        <v>45275</v>
      </c>
      <c r="B114" s="3">
        <v>22.558146253496801</v>
      </c>
      <c r="C114" s="3">
        <v>16.043254169736301</v>
      </c>
      <c r="D114" s="3">
        <v>13.3426259945547</v>
      </c>
      <c r="E114" s="3">
        <v>11.227870662617599</v>
      </c>
      <c r="F114" s="3">
        <v>13.9472629102911</v>
      </c>
      <c r="G114" s="3">
        <v>16.819207121365899</v>
      </c>
      <c r="H114" s="3">
        <v>10.723184901342201</v>
      </c>
      <c r="I114" s="3">
        <v>24.940730016832699</v>
      </c>
      <c r="J114" s="3">
        <v>19.325780236399702</v>
      </c>
      <c r="K114" s="3">
        <v>13.4687269953499</v>
      </c>
      <c r="L114" s="3">
        <v>15.3102962951797</v>
      </c>
      <c r="M114" s="3">
        <v>15.654122104538301</v>
      </c>
      <c r="N114" s="3">
        <v>8.8535870516536992</v>
      </c>
    </row>
    <row r="115" spans="1:25" x14ac:dyDescent="0.35">
      <c r="A115" s="2">
        <v>45307</v>
      </c>
      <c r="B115" s="3">
        <v>22.709576322925098</v>
      </c>
      <c r="C115" s="3">
        <v>15.859502186719499</v>
      </c>
      <c r="D115" s="3">
        <v>13.6493599504642</v>
      </c>
      <c r="E115" s="3">
        <v>11.0375396231432</v>
      </c>
      <c r="F115" s="3">
        <v>14.8527888820523</v>
      </c>
      <c r="G115" s="3">
        <v>16.9909507096088</v>
      </c>
      <c r="H115" s="3">
        <v>10.854713657820099</v>
      </c>
      <c r="I115" s="3">
        <v>24.938332474383198</v>
      </c>
      <c r="J115" s="3">
        <v>19.470067470502698</v>
      </c>
      <c r="K115" s="3">
        <v>13.2316226639887</v>
      </c>
      <c r="L115" s="3">
        <v>14.701372773111601</v>
      </c>
      <c r="M115" s="3">
        <v>15.2404878650801</v>
      </c>
      <c r="N115" s="3">
        <v>8.9759643112025493</v>
      </c>
    </row>
    <row r="116" spans="1:25" x14ac:dyDescent="0.35">
      <c r="A116" s="2">
        <v>45338</v>
      </c>
      <c r="B116" s="3">
        <v>22.2964802939291</v>
      </c>
      <c r="C116" s="3">
        <v>16.4497600377989</v>
      </c>
      <c r="D116" s="3">
        <v>14.069979064733401</v>
      </c>
      <c r="E116" s="3">
        <v>11.6613299894699</v>
      </c>
      <c r="F116" s="3">
        <v>15.36232133895</v>
      </c>
      <c r="G116" s="3">
        <v>17.379777331992599</v>
      </c>
      <c r="H116" s="3">
        <v>11.200519506706</v>
      </c>
      <c r="I116" s="3">
        <v>25.9134441825368</v>
      </c>
      <c r="J116" s="3">
        <v>20.251036533570801</v>
      </c>
      <c r="K116" s="3">
        <v>13.997013855125701</v>
      </c>
      <c r="L116" s="3">
        <v>16.375279434953999</v>
      </c>
      <c r="M116" s="3">
        <v>16.042892695051702</v>
      </c>
      <c r="N116" s="3">
        <v>9.0021219405869708</v>
      </c>
    </row>
    <row r="117" spans="1:25" x14ac:dyDescent="0.35">
      <c r="A117" s="2">
        <v>45366</v>
      </c>
      <c r="B117" s="3">
        <v>24.875728409640601</v>
      </c>
      <c r="C117" s="3">
        <v>16.417542122995201</v>
      </c>
      <c r="D117" s="3">
        <v>14.497479730534099</v>
      </c>
      <c r="E117" s="3">
        <v>12.0827656388338</v>
      </c>
      <c r="F117" s="3">
        <v>15.3277787365884</v>
      </c>
      <c r="G117" s="3">
        <v>17.719535604693402</v>
      </c>
      <c r="H117" s="3">
        <v>11.2977686473104</v>
      </c>
      <c r="I117" s="3">
        <v>25.680189014407599</v>
      </c>
      <c r="J117" s="3">
        <v>20.452061172557801</v>
      </c>
      <c r="K117" s="3">
        <v>14.6619667923402</v>
      </c>
      <c r="L117" s="3">
        <v>15.9000570265375</v>
      </c>
      <c r="M117" s="3">
        <v>16.7422910308327</v>
      </c>
      <c r="N117" s="3">
        <v>9.6236171497769707</v>
      </c>
    </row>
    <row r="118" spans="1:25" x14ac:dyDescent="0.35">
      <c r="A118" s="2">
        <v>45398</v>
      </c>
      <c r="B118" s="3">
        <v>24.7730176784478</v>
      </c>
      <c r="C118" s="3">
        <v>16.1271689743525</v>
      </c>
      <c r="D118" s="3">
        <v>14.1370685340704</v>
      </c>
      <c r="E118" s="3">
        <v>11.842265937928801</v>
      </c>
      <c r="F118" s="3">
        <v>15.3558404826514</v>
      </c>
      <c r="G118" s="3">
        <v>16.727755160308501</v>
      </c>
      <c r="H118" s="3">
        <v>11.2104978447862</v>
      </c>
      <c r="I118" s="3">
        <v>25.242195217950499</v>
      </c>
      <c r="J118" s="3">
        <v>20.0616639318085</v>
      </c>
      <c r="K118" s="3">
        <v>14.1844430127615</v>
      </c>
      <c r="L118" s="3">
        <v>15.9143516944266</v>
      </c>
      <c r="M118" s="3">
        <v>16.052452617794302</v>
      </c>
      <c r="N118" s="3">
        <v>9.4366990434839799</v>
      </c>
    </row>
    <row r="119" spans="1:25" x14ac:dyDescent="0.35">
      <c r="A119" s="2">
        <v>45428</v>
      </c>
      <c r="B119" s="3">
        <v>25.4977334054817</v>
      </c>
      <c r="C119" s="3">
        <v>16.998788361729101</v>
      </c>
      <c r="D119" s="3">
        <v>14.4290360369263</v>
      </c>
      <c r="E119" s="3">
        <v>12.133212965824899</v>
      </c>
      <c r="F119" s="3">
        <v>15.4536278322743</v>
      </c>
      <c r="G119" s="3">
        <v>17.361280696806901</v>
      </c>
      <c r="H119" s="3">
        <v>11.965177153968099</v>
      </c>
      <c r="I119" s="3">
        <v>26.1511253858869</v>
      </c>
      <c r="J119" s="3">
        <v>20.7129462712691</v>
      </c>
      <c r="K119" s="3">
        <v>14.6982399962487</v>
      </c>
      <c r="L119" s="3">
        <v>16.360979897664699</v>
      </c>
      <c r="M119" s="3">
        <v>16.3936139399142</v>
      </c>
      <c r="N119" s="3">
        <v>9.9538295365845499</v>
      </c>
    </row>
    <row r="120" spans="1:25" x14ac:dyDescent="0.35">
      <c r="A120" s="2">
        <v>45457</v>
      </c>
      <c r="B120" s="3">
        <v>24.375871055910501</v>
      </c>
      <c r="C120" s="3">
        <v>16.698478248564999</v>
      </c>
      <c r="D120" s="3">
        <v>13.8491044853556</v>
      </c>
      <c r="E120" s="3">
        <v>11.581375761157901</v>
      </c>
      <c r="F120" s="3">
        <v>15.278116411578401</v>
      </c>
      <c r="G120" s="3">
        <v>17.2902814401555</v>
      </c>
      <c r="H120" s="3">
        <v>11.3962732452463</v>
      </c>
      <c r="I120" s="3">
        <v>27.0549580483565</v>
      </c>
      <c r="J120" s="3">
        <v>20.940715335335</v>
      </c>
      <c r="K120" s="3">
        <v>13.4069203400931</v>
      </c>
      <c r="L120" s="3">
        <v>16.381826131954099</v>
      </c>
      <c r="M120" s="3">
        <v>15.851969429020601</v>
      </c>
      <c r="N120" s="3">
        <v>9.2159924058363796</v>
      </c>
    </row>
    <row r="121" spans="1:25" x14ac:dyDescent="0.35">
      <c r="A121" s="2">
        <v>45489</v>
      </c>
      <c r="B121" s="3">
        <v>25.090705135605301</v>
      </c>
      <c r="C121" s="3">
        <v>17.438810530520001</v>
      </c>
      <c r="D121" s="3">
        <v>14.541856523284499</v>
      </c>
      <c r="E121" s="3">
        <v>11.9124791193319</v>
      </c>
      <c r="F121" s="3">
        <v>16.072751300563201</v>
      </c>
      <c r="G121" s="3">
        <v>17.4327929027999</v>
      </c>
      <c r="H121" s="3">
        <v>11.5128040638974</v>
      </c>
      <c r="I121" s="3">
        <v>27.681757581531802</v>
      </c>
      <c r="J121" s="3">
        <v>21.686990118764101</v>
      </c>
      <c r="K121" s="3">
        <v>13.5840165067432</v>
      </c>
      <c r="L121" s="3">
        <v>16.5549138826389</v>
      </c>
      <c r="M121" s="3">
        <v>16.536206152046802</v>
      </c>
      <c r="N121" s="3">
        <v>9.6706079871391193</v>
      </c>
    </row>
    <row r="122" spans="1:25" x14ac:dyDescent="0.35">
      <c r="A122" s="2">
        <v>45518</v>
      </c>
      <c r="B122" s="3">
        <v>25.8743994410416</v>
      </c>
      <c r="C122" s="3">
        <v>17.1036307265672</v>
      </c>
      <c r="D122" s="3">
        <v>14.2279723835365</v>
      </c>
      <c r="E122" s="3">
        <v>11.4666036268199</v>
      </c>
      <c r="F122" s="3">
        <v>13.9752992897754</v>
      </c>
      <c r="G122" s="3">
        <v>17.195540645884801</v>
      </c>
      <c r="H122" s="3">
        <v>11.5414386627185</v>
      </c>
      <c r="I122" s="3">
        <v>26.461514489867401</v>
      </c>
      <c r="J122" s="3">
        <v>21.009318919178799</v>
      </c>
      <c r="K122" s="3">
        <v>13.3243137118773</v>
      </c>
      <c r="L122" s="3">
        <v>14.8162664926652</v>
      </c>
      <c r="M122" s="3">
        <v>15.5830060585929</v>
      </c>
      <c r="N122" s="3">
        <v>9.3597171586359806</v>
      </c>
    </row>
    <row r="124" spans="1:25" x14ac:dyDescent="0.35">
      <c r="A124" s="2" t="s">
        <v>91</v>
      </c>
      <c r="B124" s="3" cm="1">
        <f t="array" ref="B124">MIN(_xlfn._xlws.FILTER(B1:B122, ISNUMBER(B1:B122)))</f>
        <v>16.730251205191902</v>
      </c>
      <c r="C124" s="3" cm="1">
        <f t="array" ref="C124">MIN(_xlfn._xlws.FILTER(C1:C122, ISNUMBER(C1:C122)))</f>
        <v>12.710471467112701</v>
      </c>
      <c r="D124" s="3" cm="1">
        <f t="array" ref="D124">MIN(_xlfn._xlws.FILTER(D1:D122, ISNUMBER(D1:D122)))</f>
        <v>10.747137995753199</v>
      </c>
      <c r="E124" s="3" cm="1">
        <f t="array" ref="E124">MIN(_xlfn._xlws.FILTER(E1:E122, ISNUMBER(E1:E122)))</f>
        <v>9.2333466806224607</v>
      </c>
      <c r="F124" s="3" cm="1">
        <f t="array" ref="F124">MIN(_xlfn._xlws.FILTER(F1:F122, ISNUMBER(F1:F122)))</f>
        <v>10.728590489509401</v>
      </c>
      <c r="G124" s="3" cm="1">
        <f t="array" ref="G124">MIN(_xlfn._xlws.FILTER(G1:G122, ISNUMBER(G1:G122)))</f>
        <v>13.909883935676801</v>
      </c>
      <c r="H124" s="3" cm="1">
        <f t="array" ref="H124">MIN(_xlfn._xlws.FILTER(H1:H122, ISNUMBER(H1:H122)))</f>
        <v>8.5943310640289408</v>
      </c>
      <c r="I124" s="3" cm="1">
        <f t="array" ref="I124">MIN(_xlfn._xlws.FILTER(I1:I122, ISNUMBER(I1:I122)))</f>
        <v>16.120354563141799</v>
      </c>
      <c r="J124" s="3" cm="1">
        <f t="array" ref="J124">MIN(_xlfn._xlws.FILTER(J1:J122, ISNUMBER(J1:J122)))</f>
        <v>13.6653546787529</v>
      </c>
      <c r="K124" s="3" cm="1">
        <f t="array" ref="K124">MIN(_xlfn._xlws.FILTER(K1:K122, ISNUMBER(K1:K122)))</f>
        <v>10.3648043981781</v>
      </c>
      <c r="L124" s="3" cm="1">
        <f t="array" ref="L124">MIN(_xlfn._xlws.FILTER(L1:L122, ISNUMBER(L1:L122)))</f>
        <v>12.1895314422891</v>
      </c>
      <c r="M124" s="3" cm="1">
        <f t="array" ref="M124">MIN(_xlfn._xlws.FILTER(M1:M122, ISNUMBER(M1:M122)))</f>
        <v>11.9026664528379</v>
      </c>
      <c r="N124" s="3" cm="1">
        <f t="array" ref="N124">MIN(_xlfn._xlws.FILTER(N1:N122, ISNUMBER(N1:N122)))</f>
        <v>7.3022610913447403</v>
      </c>
    </row>
    <row r="125" spans="1:25" x14ac:dyDescent="0.35">
      <c r="A125" s="2" t="s">
        <v>92</v>
      </c>
      <c r="B125" s="3" cm="1">
        <f t="array" ref="B125">MAX(_xlfn._xlws.FILTER(B1:B122, ISNUMBER(B1:B122)))</f>
        <v>34.4844482958163</v>
      </c>
      <c r="C125" s="3" cm="1">
        <f t="array" ref="C125">MAX(_xlfn._xlws.FILTER(C1:C122, ISNUMBER(C1:C122)))</f>
        <v>19.645024713893999</v>
      </c>
      <c r="D125" s="3" cm="1">
        <f t="array" ref="D125">MAX(_xlfn._xlws.FILTER(D1:D122, ISNUMBER(D1:D122)))</f>
        <v>17.9633966548489</v>
      </c>
      <c r="E125" s="3" cm="1">
        <f t="array" ref="E125">MAX(_xlfn._xlws.FILTER(E1:E122, ISNUMBER(E1:E122)))</f>
        <v>18.501940992575999</v>
      </c>
      <c r="F125" s="3" cm="1">
        <f t="array" ref="F125">MAX(_xlfn._xlws.FILTER(F1:F122, ISNUMBER(F1:F122)))</f>
        <v>19.188663188728398</v>
      </c>
      <c r="G125" s="3" cm="1">
        <f t="array" ref="G125">MAX(_xlfn._xlws.FILTER(G1:G122, ISNUMBER(G1:G122)))</f>
        <v>20.058859168161199</v>
      </c>
      <c r="H125" s="3" cm="1">
        <f t="array" ref="H125">MAX(_xlfn._xlws.FILTER(H1:H122, ISNUMBER(H1:H122)))</f>
        <v>16.465016384060199</v>
      </c>
      <c r="I125" s="3" cm="1">
        <f t="array" ref="I125">MAX(_xlfn._xlws.FILTER(I1:I122, ISNUMBER(I1:I122)))</f>
        <v>30.2099021556552</v>
      </c>
      <c r="J125" s="3" cm="1">
        <f t="array" ref="J125">MAX(_xlfn._xlws.FILTER(J1:J122, ISNUMBER(J1:J122)))</f>
        <v>22.455994774300599</v>
      </c>
      <c r="K125" s="3" cm="1">
        <f t="array" ref="K125">MAX(_xlfn._xlws.FILTER(K1:K122, ISNUMBER(K1:K122)))</f>
        <v>19.774422725008399</v>
      </c>
      <c r="L125" s="3" cm="1">
        <f t="array" ref="L125">MAX(_xlfn._xlws.FILTER(L1:L122, ISNUMBER(L1:L122)))</f>
        <v>22.862898115620101</v>
      </c>
      <c r="M125" s="3" cm="1">
        <f t="array" ref="M125">MAX(_xlfn._xlws.FILTER(M1:M122, ISNUMBER(M1:M122)))</f>
        <v>20.7635328598566</v>
      </c>
      <c r="N125" s="3" cm="1">
        <f t="array" ref="N125">MAX(_xlfn._xlws.FILTER(N1:N122, ISNUMBER(N1:N122)))</f>
        <v>17.823561261364301</v>
      </c>
    </row>
    <row r="127" spans="1:25" x14ac:dyDescent="0.35">
      <c r="A127" s="2" t="s">
        <v>93</v>
      </c>
      <c r="B127" s="9" cm="1">
        <f t="array" ref="B127">_xlfn.PERCENTRANK.EXC(_xlfn._xlws.FILTER(B1:B122, ISNUMBER(B1:B122)),B122)</f>
        <v>0.73699999999999999</v>
      </c>
      <c r="C127" s="9" cm="1">
        <f t="array" ref="C127">_xlfn.PERCENTRANK.EXC(_xlfn._xlws.FILTER(C1:C122, ISNUMBER(C1:C122)),C122)</f>
        <v>0.79500000000000004</v>
      </c>
      <c r="D127" s="9" cm="1">
        <f t="array" ref="D127">_xlfn.PERCENTRANK.EXC(_xlfn._xlws.FILTER(D1:D122, ISNUMBER(D1:D122)),D122)</f>
        <v>0.39300000000000002</v>
      </c>
      <c r="E127" s="9" cm="1">
        <f t="array" ref="E127">_xlfn.PERCENTRANK.EXC(_xlfn._xlws.FILTER(E1:E122, ISNUMBER(E1:E122)),E122)</f>
        <v>0.21299999999999999</v>
      </c>
      <c r="F127" s="9" cm="1">
        <f t="array" ref="F127">_xlfn.PERCENTRANK.EXC(_xlfn._xlws.FILTER(F1:F122, ISNUMBER(F1:F122)),F122)</f>
        <v>0.5</v>
      </c>
      <c r="G127" s="9" cm="1">
        <f t="array" ref="G127">_xlfn.PERCENTRANK.EXC(_xlfn._xlws.FILTER(G1:G122, ISNUMBER(G1:G122)),G122)</f>
        <v>0.52400000000000002</v>
      </c>
      <c r="H127" s="9" cm="1">
        <f t="array" ref="H127">_xlfn.PERCENTRANK.EXC(_xlfn._xlws.FILTER(H1:H122, ISNUMBER(H1:H122)),H122)</f>
        <v>0.254</v>
      </c>
      <c r="I127" s="9" cm="1">
        <f t="array" ref="I127">_xlfn.PERCENTRANK.EXC(_xlfn._xlws.FILTER(I1:I122, ISNUMBER(I1:I122)),I122)</f>
        <v>0.79500000000000004</v>
      </c>
      <c r="J127" s="9" cm="1">
        <f t="array" ref="J127">_xlfn.PERCENTRANK.EXC(_xlfn._xlws.FILTER(J1:J122, ISNUMBER(J1:J122)),J122)</f>
        <v>0.85199999999999998</v>
      </c>
      <c r="K127" s="9" cm="1">
        <f t="array" ref="K127">_xlfn.PERCENTRANK.EXC(_xlfn._xlws.FILTER(K1:K122, ISNUMBER(K1:K122)),K122)</f>
        <v>0.23699999999999999</v>
      </c>
      <c r="L127" s="9" cm="1">
        <f t="array" ref="L127">_xlfn.PERCENTRANK.EXC(_xlfn._xlws.FILTER(L1:L122, ISNUMBER(L1:L122)),L122)</f>
        <v>0.19600000000000001</v>
      </c>
      <c r="M127" s="9" cm="1">
        <f t="array" ref="M127">_xlfn.PERCENTRANK.EXC(_xlfn._xlws.FILTER(M1:M122, ISNUMBER(M1:M122)),M122)</f>
        <v>0.46700000000000003</v>
      </c>
      <c r="N127" s="9" cm="1">
        <f t="array" ref="N127">_xlfn.PERCENTRANK.EXC(_xlfn._xlws.FILTER(N1:N122, ISNUMBER(N1:N122)),N122)</f>
        <v>0.20399999999999999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41866</v>
      </c>
      <c r="B2" s="3" cm="1">
        <f t="array" ref="B2:B122">_xll.FDS(B1,"FMA_DIV_YLD(NTMA,-10AY,0,AM,""PORTAGG"",""MEANR"")")</f>
        <v>4.5258245803847599</v>
      </c>
      <c r="C2" s="3" cm="1">
        <f t="array" ref="C2:C122">_xll.FDS(C1,"FMA_DIV_YLD(NTMA,-10AY,0,AM,""PORTAGG"",""MEANR"")")</f>
        <v>4.7247268760756196</v>
      </c>
      <c r="D2" s="3" cm="1">
        <f t="array" ref="D2:D122">_xll.FDS(D1,"FMA_DIV_YLD(NTMA,-10AY,0,AM,""PORTAGG"",""MEANR"")")</f>
        <v>2.7960992179911099</v>
      </c>
      <c r="E2" s="3" cm="1">
        <f t="array" ref="E2:E122">_xll.FDS(E1,"FMA_DIV_YLD(NTMA,-10AY,0,AM,""PORTAGG"",""MEANR"")")</f>
        <v>3.2902970178688302</v>
      </c>
      <c r="F2" s="3" cm="1">
        <f t="array" ref="F2:F122">_xll.FDS(F1,"FMA_DIV_YLD(NTMA,-10AY,0,AM,""PORTAGG"",""MEANR"")")</f>
        <v>2.0847205024587199</v>
      </c>
      <c r="G2" s="3" cm="1">
        <f t="array" ref="G2:G122">_xll.FDS(G1,"FMA_DIV_YLD(NTMA,-10AY,0,AM,""PORTAGG"",""MEANR"")")</f>
        <v>3.4079046097010699</v>
      </c>
      <c r="H2" s="3" cm="1">
        <f t="array" ref="H2:H122">_xll.FDS(H1,"FMA_DIV_YLD(NTMA,-10AY,0,AM,""PORTAGG"",""MEANR"")")</f>
        <v>3.96993651600935</v>
      </c>
      <c r="I2" s="3" cm="1">
        <f t="array" ref="I2:I122">_xll.FDS(I1,"FMA_DIV_YLD(NTMA,-10AY,0,AM,""PORTAGG"",""MEANR"")")</f>
        <v>1.2373641532459501</v>
      </c>
      <c r="J2" s="3" cm="1">
        <f t="array" ref="J2:J122">_xll.FDS(J1,"FMA_DIV_YLD(NTMA,-10AY,0,AM,""PORTAGG"",""MEANR"")")</f>
        <v>2.1313645946360298</v>
      </c>
      <c r="K2" s="3" cm="1">
        <f t="array" ref="K2:K122">_xll.FDS(K1,"FMA_DIV_YLD(NTMA,-10AY,0,AM,""PORTAGG"",""MEANR"")")</f>
        <v>3.67671950788908</v>
      </c>
      <c r="L2" s="3" cm="1">
        <f t="array" ref="L2:L122">_xll.FDS(L1,"FMA_DIV_YLD(NTMA,-10AY,0,AM,""PORTAGG"",""MEANR"")")</f>
        <v>3.0879929162033601</v>
      </c>
      <c r="M2" s="3" cm="1">
        <f t="array" ref="M2:M122">_xll.FDS(M1,"FMA_DIV_YLD(NTMA,-10AY,0,AM,""PORTAGG"",""MEANR"")")</f>
        <v>4.3104920347103199</v>
      </c>
      <c r="N2" s="3" cm="1">
        <f t="array" ref="N2:N122">_xll.FDS(N1,"FMA_DIV_YLD(NTMA,-10AY,0,AM,""PORTAGG"",""MEANR"")")</f>
        <v>3.7447788690452501</v>
      </c>
    </row>
    <row r="3" spans="1:14" x14ac:dyDescent="0.35">
      <c r="A3" s="2">
        <v>41898</v>
      </c>
      <c r="B3" s="3">
        <v>4.5995088961627202</v>
      </c>
      <c r="C3" s="3">
        <v>4.8852188279226301</v>
      </c>
      <c r="D3" s="3">
        <v>2.7623934853844401</v>
      </c>
      <c r="E3" s="3">
        <v>3.1324422368098999</v>
      </c>
      <c r="F3" s="3">
        <v>2.0381053981731601</v>
      </c>
      <c r="G3" s="3">
        <v>3.2938800988765</v>
      </c>
      <c r="H3" s="3">
        <v>3.94296797615314</v>
      </c>
      <c r="I3" s="3">
        <v>1.23354194437769</v>
      </c>
      <c r="J3" s="3">
        <v>2.1004910609768399</v>
      </c>
      <c r="K3" s="3">
        <v>3.5385654301844198</v>
      </c>
      <c r="L3" s="3">
        <v>3.0231699584909002</v>
      </c>
      <c r="M3" s="3">
        <v>4.2042786514266997</v>
      </c>
      <c r="N3" s="3">
        <v>3.5780732765578001</v>
      </c>
    </row>
    <row r="4" spans="1:14" x14ac:dyDescent="0.35">
      <c r="A4" s="2">
        <v>41928</v>
      </c>
      <c r="B4" s="3">
        <v>4.6993777448182099</v>
      </c>
      <c r="C4" s="3">
        <v>5.08179694126882</v>
      </c>
      <c r="D4" s="3">
        <v>3.08340408845863</v>
      </c>
      <c r="E4" s="3">
        <v>3.5303205647867002</v>
      </c>
      <c r="F4" s="3">
        <v>2.2536402684144501</v>
      </c>
      <c r="G4" s="3">
        <v>3.62982757848421</v>
      </c>
      <c r="H4" s="3">
        <v>4.3529857682949196</v>
      </c>
      <c r="I4" s="3">
        <v>1.3377090152498099</v>
      </c>
      <c r="J4" s="3">
        <v>2.2651501329241599</v>
      </c>
      <c r="K4" s="3">
        <v>3.98985798979164</v>
      </c>
      <c r="L4" s="3">
        <v>3.3676047121912802</v>
      </c>
      <c r="M4" s="3">
        <v>4.6417367574538702</v>
      </c>
      <c r="N4" s="3">
        <v>4.2152303556831896</v>
      </c>
    </row>
    <row r="5" spans="1:14" x14ac:dyDescent="0.35">
      <c r="A5" s="2">
        <v>41957</v>
      </c>
      <c r="B5" s="3">
        <v>4.4244514939290402</v>
      </c>
      <c r="C5" s="3">
        <v>4.9111884511422597</v>
      </c>
      <c r="D5" s="3">
        <v>2.9268320540286101</v>
      </c>
      <c r="E5" s="3">
        <v>3.35375031000128</v>
      </c>
      <c r="F5" s="3">
        <v>1.93525354744567</v>
      </c>
      <c r="G5" s="3">
        <v>3.2790066892827001</v>
      </c>
      <c r="H5" s="3">
        <v>4.0653336061506797</v>
      </c>
      <c r="I5" s="3">
        <v>1.2114283904646399</v>
      </c>
      <c r="J5" s="3">
        <v>2.08981761912827</v>
      </c>
      <c r="K5" s="3">
        <v>3.7181695299950599</v>
      </c>
      <c r="L5" s="3">
        <v>3.10996616655944</v>
      </c>
      <c r="M5" s="3">
        <v>4.1826895670471202</v>
      </c>
      <c r="N5" s="3">
        <v>4.0229099252850196</v>
      </c>
    </row>
    <row r="6" spans="1:14" x14ac:dyDescent="0.35">
      <c r="A6" s="2">
        <v>41989</v>
      </c>
      <c r="B6" s="3">
        <v>4.4887290745997701</v>
      </c>
      <c r="C6" s="3">
        <v>5.2109587882050796</v>
      </c>
      <c r="D6" s="3">
        <v>3.1173838364091302</v>
      </c>
      <c r="E6" s="3">
        <v>3.2692119428391702</v>
      </c>
      <c r="F6" s="3">
        <v>2.0548971028201999</v>
      </c>
      <c r="G6" s="3">
        <v>3.3448475028382898</v>
      </c>
      <c r="H6" s="3">
        <v>4.2715767710653196</v>
      </c>
      <c r="I6" s="3">
        <v>1.26860772079663</v>
      </c>
      <c r="J6" s="3">
        <v>2.1846081667272501</v>
      </c>
      <c r="K6" s="3">
        <v>3.7864151304377098</v>
      </c>
      <c r="L6" s="3">
        <v>3.1718965520156099</v>
      </c>
      <c r="M6" s="3">
        <v>4.2411107984958596</v>
      </c>
      <c r="N6" s="3">
        <v>4.1240353870783499</v>
      </c>
    </row>
    <row r="7" spans="1:14" x14ac:dyDescent="0.35">
      <c r="A7" s="2">
        <v>42020</v>
      </c>
      <c r="B7" s="3">
        <v>4.3756312525740597</v>
      </c>
      <c r="C7" s="3">
        <v>5.0782640421049701</v>
      </c>
      <c r="D7" s="3">
        <v>3.0249021577465101</v>
      </c>
      <c r="E7" s="3">
        <v>3.0859012896154199</v>
      </c>
      <c r="F7" s="3">
        <v>2.0637344099051802</v>
      </c>
      <c r="G7" s="3">
        <v>3.5452035248247</v>
      </c>
      <c r="H7" s="3">
        <v>4.1815640027383596</v>
      </c>
      <c r="I7" s="3">
        <v>1.2356419380417001</v>
      </c>
      <c r="J7" s="3">
        <v>2.15191508541109</v>
      </c>
      <c r="K7" s="3">
        <v>3.5576478375525999</v>
      </c>
      <c r="L7" s="3">
        <v>3.0338750475643499</v>
      </c>
      <c r="M7" s="3">
        <v>4.1085346438435897</v>
      </c>
      <c r="N7" s="3">
        <v>4.04382352170221</v>
      </c>
    </row>
    <row r="8" spans="1:14" x14ac:dyDescent="0.35">
      <c r="A8" s="2">
        <v>42048</v>
      </c>
      <c r="B8" s="3">
        <v>4.2731662926377503</v>
      </c>
      <c r="C8" s="3">
        <v>4.618311590846</v>
      </c>
      <c r="D8" s="3">
        <v>2.8391956931415301</v>
      </c>
      <c r="E8" s="3">
        <v>2.8751486200418199</v>
      </c>
      <c r="F8" s="3">
        <v>1.9646430271835</v>
      </c>
      <c r="G8" s="3">
        <v>3.2718520708071401</v>
      </c>
      <c r="H8" s="3">
        <v>3.9692103981939102</v>
      </c>
      <c r="I8" s="3">
        <v>1.2239397486927199</v>
      </c>
      <c r="J8" s="3">
        <v>2.10604062913922</v>
      </c>
      <c r="K8" s="3">
        <v>3.2350853269501401</v>
      </c>
      <c r="L8" s="3">
        <v>2.8318097955811501</v>
      </c>
      <c r="M8" s="3">
        <v>3.6914398080282198</v>
      </c>
      <c r="N8" s="3">
        <v>3.6323437124620899</v>
      </c>
    </row>
    <row r="9" spans="1:14" x14ac:dyDescent="0.35">
      <c r="A9" s="2">
        <v>42079</v>
      </c>
      <c r="B9" s="3">
        <v>4.3049488932252302</v>
      </c>
      <c r="C9" s="3">
        <v>4.6901683915760897</v>
      </c>
      <c r="D9" s="3">
        <v>2.9185917007733702</v>
      </c>
      <c r="E9" s="3">
        <v>2.6199013190760998</v>
      </c>
      <c r="F9" s="3">
        <v>1.85238298410041</v>
      </c>
      <c r="G9" s="3">
        <v>3.1410348775471801</v>
      </c>
      <c r="H9" s="3">
        <v>4.0270947736170104</v>
      </c>
      <c r="I9" s="3">
        <v>1.2617437155173801</v>
      </c>
      <c r="J9" s="3">
        <v>2.1648587313894398</v>
      </c>
      <c r="K9" s="3">
        <v>3.1733039508545802</v>
      </c>
      <c r="L9" s="3">
        <v>2.5975167186327601</v>
      </c>
      <c r="M9" s="3">
        <v>3.6196830637102901</v>
      </c>
      <c r="N9" s="3">
        <v>3.1546614291198498</v>
      </c>
    </row>
    <row r="10" spans="1:14" x14ac:dyDescent="0.35">
      <c r="A10" s="2">
        <v>42110</v>
      </c>
      <c r="B10" s="3">
        <v>4.4014852474717001</v>
      </c>
      <c r="C10" s="3">
        <v>4.5492947134257298</v>
      </c>
      <c r="D10" s="3">
        <v>2.8242962312278399</v>
      </c>
      <c r="E10" s="3">
        <v>2.6939131425737499</v>
      </c>
      <c r="F10" s="3">
        <v>1.8356430740854901</v>
      </c>
      <c r="G10" s="3">
        <v>3.0235250572193499</v>
      </c>
      <c r="H10" s="3">
        <v>3.8808717952787299</v>
      </c>
      <c r="I10" s="3">
        <v>1.2558841041431701</v>
      </c>
      <c r="J10" s="3">
        <v>2.14659733903571</v>
      </c>
      <c r="K10" s="3">
        <v>3.09784655362217</v>
      </c>
      <c r="L10" s="3">
        <v>2.6320761274924398</v>
      </c>
      <c r="M10" s="3">
        <v>3.6306219942515199</v>
      </c>
      <c r="N10" s="3">
        <v>3.1072040153385299</v>
      </c>
    </row>
    <row r="11" spans="1:14" x14ac:dyDescent="0.35">
      <c r="A11" s="2">
        <v>42139</v>
      </c>
      <c r="B11" s="3">
        <v>4.4750988286633699</v>
      </c>
      <c r="C11" s="3">
        <v>4.6819965088112196</v>
      </c>
      <c r="D11" s="3">
        <v>2.8772823237190801</v>
      </c>
      <c r="E11" s="3">
        <v>2.9018167197174698</v>
      </c>
      <c r="F11" s="3">
        <v>1.8793590628202199</v>
      </c>
      <c r="G11" s="3">
        <v>3.10954547489031</v>
      </c>
      <c r="H11" s="3">
        <v>3.8730913082709102</v>
      </c>
      <c r="I11" s="3">
        <v>1.23822664266552</v>
      </c>
      <c r="J11" s="3">
        <v>2.14130476720364</v>
      </c>
      <c r="K11" s="3">
        <v>3.2765326005090598</v>
      </c>
      <c r="L11" s="3">
        <v>2.73384191644202</v>
      </c>
      <c r="M11" s="3">
        <v>3.8533733523193199</v>
      </c>
      <c r="N11" s="3">
        <v>3.1567344940956401</v>
      </c>
    </row>
    <row r="12" spans="1:14" x14ac:dyDescent="0.35">
      <c r="A12" s="2">
        <v>42171</v>
      </c>
      <c r="B12" s="3">
        <v>4.5039328192533503</v>
      </c>
      <c r="C12" s="3">
        <v>4.9058302112382899</v>
      </c>
      <c r="D12" s="3">
        <v>2.95456687760276</v>
      </c>
      <c r="E12" s="3">
        <v>3.0560342854123101</v>
      </c>
      <c r="F12" s="3">
        <v>1.8984496728445199</v>
      </c>
      <c r="G12" s="3">
        <v>3.21019096442611</v>
      </c>
      <c r="H12" s="3">
        <v>4.0608531337243301</v>
      </c>
      <c r="I12" s="3">
        <v>1.25556235391872</v>
      </c>
      <c r="J12" s="3">
        <v>2.1749516871567001</v>
      </c>
      <c r="K12" s="3">
        <v>3.40626581064322</v>
      </c>
      <c r="L12" s="3">
        <v>2.9439870106982502</v>
      </c>
      <c r="M12" s="3">
        <v>3.9626970762649401</v>
      </c>
      <c r="N12" s="3">
        <v>3.3880361792202098</v>
      </c>
    </row>
    <row r="13" spans="1:14" x14ac:dyDescent="0.35">
      <c r="A13" s="2">
        <v>42201</v>
      </c>
      <c r="B13" s="3">
        <v>4.6290963877681399</v>
      </c>
      <c r="C13" s="3">
        <v>4.81433972663931</v>
      </c>
      <c r="D13" s="3">
        <v>2.9895890311715498</v>
      </c>
      <c r="E13" s="3">
        <v>2.9022851377180099</v>
      </c>
      <c r="F13" s="3">
        <v>1.89502789097198</v>
      </c>
      <c r="G13" s="3">
        <v>3.1007497824639501</v>
      </c>
      <c r="H13" s="3">
        <v>4.0580298683942004</v>
      </c>
      <c r="I13" s="3">
        <v>1.22238043903271</v>
      </c>
      <c r="J13" s="3">
        <v>2.1494946955402101</v>
      </c>
      <c r="K13" s="3">
        <v>3.25080359408107</v>
      </c>
      <c r="L13" s="3">
        <v>2.8153321210550399</v>
      </c>
      <c r="M13" s="3">
        <v>3.87548629672817</v>
      </c>
      <c r="N13" s="3">
        <v>3.1510899600031799</v>
      </c>
    </row>
    <row r="14" spans="1:14" x14ac:dyDescent="0.35">
      <c r="A14" s="2">
        <v>42230</v>
      </c>
      <c r="B14" s="3">
        <v>4.7486042432436602</v>
      </c>
      <c r="C14" s="3">
        <v>5.1079115938668496</v>
      </c>
      <c r="D14" s="3">
        <v>3.0687813602244498</v>
      </c>
      <c r="E14" s="3">
        <v>3.1071143406150998</v>
      </c>
      <c r="F14" s="3">
        <v>1.90734367392337</v>
      </c>
      <c r="G14" s="3">
        <v>3.14946789237375</v>
      </c>
      <c r="H14" s="3">
        <v>4.1591614907341397</v>
      </c>
      <c r="I14" s="3">
        <v>1.2810129803343999</v>
      </c>
      <c r="J14" s="3">
        <v>2.2104583090725298</v>
      </c>
      <c r="K14" s="3">
        <v>3.3842496889614502</v>
      </c>
      <c r="L14" s="3">
        <v>3.2074111013526898</v>
      </c>
      <c r="M14" s="3">
        <v>4.0441719103663303</v>
      </c>
      <c r="N14" s="3">
        <v>3.1580510706481699</v>
      </c>
    </row>
    <row r="15" spans="1:14" x14ac:dyDescent="0.35">
      <c r="A15" s="2">
        <v>42263</v>
      </c>
      <c r="B15" s="3">
        <v>5.13381022714215</v>
      </c>
      <c r="C15" s="3">
        <v>5.4036249041726601</v>
      </c>
      <c r="D15" s="3">
        <v>3.1831746051834</v>
      </c>
      <c r="E15" s="3">
        <v>3.3390460314605499</v>
      </c>
      <c r="F15" s="3">
        <v>2.1636442382754999</v>
      </c>
      <c r="G15" s="3">
        <v>3.3039933553207299</v>
      </c>
      <c r="H15" s="3">
        <v>4.3927946360039298</v>
      </c>
      <c r="I15" s="3">
        <v>1.33200529905913</v>
      </c>
      <c r="J15" s="3">
        <v>2.3297163024132499</v>
      </c>
      <c r="K15" s="3">
        <v>3.6301578259280398</v>
      </c>
      <c r="L15" s="3">
        <v>3.4391571765803701</v>
      </c>
      <c r="M15" s="3">
        <v>4.3519934567052498</v>
      </c>
      <c r="N15" s="3">
        <v>3.3789491158118401</v>
      </c>
    </row>
    <row r="16" spans="1:14" x14ac:dyDescent="0.35">
      <c r="A16" s="2">
        <v>42293</v>
      </c>
      <c r="B16" s="3">
        <v>5.0685488039503497</v>
      </c>
      <c r="C16" s="3">
        <v>5.1778192920332202</v>
      </c>
      <c r="D16" s="3">
        <v>3.1786732062189702</v>
      </c>
      <c r="E16" s="3">
        <v>3.3165236299719099</v>
      </c>
      <c r="F16" s="3">
        <v>2.1166005519027</v>
      </c>
      <c r="G16" s="3">
        <v>3.33290528003426</v>
      </c>
      <c r="H16" s="3">
        <v>4.2359408377922296</v>
      </c>
      <c r="I16" s="3">
        <v>1.3189035111695799</v>
      </c>
      <c r="J16" s="3">
        <v>2.2914358358195899</v>
      </c>
      <c r="K16" s="3">
        <v>3.5532851388434601</v>
      </c>
      <c r="L16" s="3">
        <v>3.40588988344419</v>
      </c>
      <c r="M16" s="3">
        <v>4.3969491942472896</v>
      </c>
      <c r="N16" s="3">
        <v>3.55207073737418</v>
      </c>
    </row>
    <row r="17" spans="1:14" x14ac:dyDescent="0.35">
      <c r="A17" s="2">
        <v>42324</v>
      </c>
      <c r="B17" s="3">
        <v>4.9353790501037604</v>
      </c>
      <c r="C17" s="3">
        <v>5.4782585304022602</v>
      </c>
      <c r="D17" s="3">
        <v>3.3204233701100301</v>
      </c>
      <c r="E17" s="3">
        <v>3.0222613881706599</v>
      </c>
      <c r="F17" s="3">
        <v>2.0419762840281699</v>
      </c>
      <c r="G17" s="3">
        <v>3.3181369229906199</v>
      </c>
      <c r="H17" s="3">
        <v>4.3624468903323601</v>
      </c>
      <c r="I17" s="3">
        <v>1.2995542837643801</v>
      </c>
      <c r="J17" s="3">
        <v>2.3018289534857002</v>
      </c>
      <c r="K17" s="3">
        <v>3.5080433657929699</v>
      </c>
      <c r="L17" s="3">
        <v>3.2318486793713501</v>
      </c>
      <c r="M17" s="3">
        <v>4.2638063154980799</v>
      </c>
      <c r="N17" s="3">
        <v>3.6994091358572598</v>
      </c>
    </row>
    <row r="18" spans="1:14" x14ac:dyDescent="0.35">
      <c r="A18" s="2">
        <v>42354</v>
      </c>
      <c r="B18" s="3">
        <v>4.85777237761903</v>
      </c>
      <c r="C18" s="3">
        <v>5.4045214481780599</v>
      </c>
      <c r="D18" s="3">
        <v>3.3424295962234201</v>
      </c>
      <c r="E18" s="3">
        <v>3.10938450105811</v>
      </c>
      <c r="F18" s="3">
        <v>2.0919577978526398</v>
      </c>
      <c r="G18" s="3">
        <v>3.3298309251540399</v>
      </c>
      <c r="H18" s="3">
        <v>4.4083385138158597</v>
      </c>
      <c r="I18" s="3">
        <v>1.27336570800672</v>
      </c>
      <c r="J18" s="3">
        <v>2.2763044105982302</v>
      </c>
      <c r="K18" s="3">
        <v>3.61253244886466</v>
      </c>
      <c r="L18" s="3">
        <v>3.3226306062145499</v>
      </c>
      <c r="M18" s="3">
        <v>4.3871371911513402</v>
      </c>
      <c r="N18" s="3">
        <v>3.8455250746795002</v>
      </c>
    </row>
    <row r="19" spans="1:14" x14ac:dyDescent="0.35">
      <c r="A19" s="2">
        <v>42384</v>
      </c>
      <c r="B19" s="3">
        <v>4.8511473043034901</v>
      </c>
      <c r="C19" s="3">
        <v>5.5744427831521399</v>
      </c>
      <c r="D19" s="3">
        <v>3.6441240487109501</v>
      </c>
      <c r="E19" s="3">
        <v>3.4250055800479702</v>
      </c>
      <c r="F19" s="3">
        <v>2.3224706219909801</v>
      </c>
      <c r="G19" s="3">
        <v>3.5595216982005802</v>
      </c>
      <c r="H19" s="3">
        <v>4.6428090972616198</v>
      </c>
      <c r="I19" s="3">
        <v>1.3990240856816201</v>
      </c>
      <c r="J19" s="3">
        <v>2.5257732265288801</v>
      </c>
      <c r="K19" s="3">
        <v>3.9706067891239401</v>
      </c>
      <c r="L19" s="3">
        <v>3.3918077322730702</v>
      </c>
      <c r="M19" s="3">
        <v>4.7561241283537603</v>
      </c>
      <c r="N19" s="3">
        <v>4.3098521474506502</v>
      </c>
    </row>
    <row r="20" spans="1:14" x14ac:dyDescent="0.35">
      <c r="A20" s="2">
        <v>42416</v>
      </c>
      <c r="B20" s="3">
        <v>4.9164557470099997</v>
      </c>
      <c r="C20" s="3">
        <v>5.1484111270428699</v>
      </c>
      <c r="D20" s="3">
        <v>3.4091860774642102</v>
      </c>
      <c r="E20" s="3">
        <v>3.5967006423658798</v>
      </c>
      <c r="F20" s="3">
        <v>2.5037280277658298</v>
      </c>
      <c r="G20" s="3">
        <v>3.5869333455029802</v>
      </c>
      <c r="H20" s="3">
        <v>4.67512226090785</v>
      </c>
      <c r="I20" s="3">
        <v>1.4404483973892499</v>
      </c>
      <c r="J20" s="3">
        <v>2.4518202590146898</v>
      </c>
      <c r="K20" s="3">
        <v>4.0224376367003698</v>
      </c>
      <c r="L20" s="3">
        <v>3.5607210940016198</v>
      </c>
      <c r="M20" s="3">
        <v>4.52251209957321</v>
      </c>
      <c r="N20" s="3">
        <v>4.6939530069459501</v>
      </c>
    </row>
    <row r="21" spans="1:14" x14ac:dyDescent="0.35">
      <c r="A21" s="2">
        <v>42445</v>
      </c>
      <c r="B21" s="3">
        <v>4.6564684292022296</v>
      </c>
      <c r="C21" s="3">
        <v>4.7852674128286496</v>
      </c>
      <c r="D21" s="3">
        <v>3.1466868614451702</v>
      </c>
      <c r="E21" s="3">
        <v>3.2909001468047401</v>
      </c>
      <c r="F21" s="3">
        <v>2.3724758214047901</v>
      </c>
      <c r="G21" s="3">
        <v>3.5103242467101898</v>
      </c>
      <c r="H21" s="3">
        <v>4.3885971875696903</v>
      </c>
      <c r="I21" s="3">
        <v>1.3580997205904</v>
      </c>
      <c r="J21" s="3">
        <v>2.4751977345461702</v>
      </c>
      <c r="K21" s="3">
        <v>3.7197293000465899</v>
      </c>
      <c r="L21" s="3">
        <v>3.30073544219402</v>
      </c>
      <c r="M21" s="3">
        <v>4.3150095760193601</v>
      </c>
      <c r="N21" s="3">
        <v>4.2312729523549599</v>
      </c>
    </row>
    <row r="22" spans="1:14" x14ac:dyDescent="0.35">
      <c r="A22" s="2">
        <v>42475</v>
      </c>
      <c r="B22" s="3">
        <v>4.5354943034939899</v>
      </c>
      <c r="C22" s="3">
        <v>4.7461960382255404</v>
      </c>
      <c r="D22" s="3">
        <v>3.1184486988028901</v>
      </c>
      <c r="E22" s="3">
        <v>3.2714717683821699</v>
      </c>
      <c r="F22" s="3">
        <v>2.36099736972325</v>
      </c>
      <c r="G22" s="3">
        <v>3.4805418606707001</v>
      </c>
      <c r="H22" s="3">
        <v>4.2514620782308503</v>
      </c>
      <c r="I22" s="3">
        <v>1.31990488823408</v>
      </c>
      <c r="J22" s="3">
        <v>2.2917987413403398</v>
      </c>
      <c r="K22" s="3">
        <v>3.6902858702376</v>
      </c>
      <c r="L22" s="3">
        <v>3.2497826233555598</v>
      </c>
      <c r="M22" s="3">
        <v>4.3306227410637899</v>
      </c>
      <c r="N22" s="3">
        <v>4.4003085524920804</v>
      </c>
    </row>
    <row r="23" spans="1:14" x14ac:dyDescent="0.35">
      <c r="A23" s="2">
        <v>42506</v>
      </c>
      <c r="B23" s="3">
        <v>4.4850154909013504</v>
      </c>
      <c r="C23" s="3">
        <v>4.5668794018158003</v>
      </c>
      <c r="D23" s="3">
        <v>3.06282018647717</v>
      </c>
      <c r="E23" s="3">
        <v>3.3573270508592299</v>
      </c>
      <c r="F23" s="3">
        <v>2.4230319617876899</v>
      </c>
      <c r="G23" s="3">
        <v>3.5585023799725199</v>
      </c>
      <c r="H23" s="3">
        <v>4.3681238050812796</v>
      </c>
      <c r="I23" s="3">
        <v>1.3823592223466401</v>
      </c>
      <c r="J23" s="3">
        <v>2.2927014117324598</v>
      </c>
      <c r="K23" s="3">
        <v>3.8191171004907298</v>
      </c>
      <c r="L23" s="3">
        <v>3.4121677935583401</v>
      </c>
      <c r="M23" s="3">
        <v>4.4608842908016202</v>
      </c>
      <c r="N23" s="3">
        <v>4.5359985808655399</v>
      </c>
    </row>
    <row r="24" spans="1:14" x14ac:dyDescent="0.35">
      <c r="A24" s="2">
        <v>42537</v>
      </c>
      <c r="B24" s="3">
        <v>4.4173538901384797</v>
      </c>
      <c r="C24" s="3">
        <v>4.78175703044987</v>
      </c>
      <c r="D24" s="3">
        <v>3.1058322334956801</v>
      </c>
      <c r="E24" s="3">
        <v>3.5295347485308599</v>
      </c>
      <c r="F24" s="3">
        <v>2.5391609449871599</v>
      </c>
      <c r="G24" s="3">
        <v>3.6889994293708499</v>
      </c>
      <c r="H24" s="3">
        <v>4.5428374397442504</v>
      </c>
      <c r="I24" s="3">
        <v>1.3748265620594</v>
      </c>
      <c r="J24" s="3">
        <v>2.2987051007423598</v>
      </c>
      <c r="K24" s="3">
        <v>4.0068290657456496</v>
      </c>
      <c r="L24" s="3">
        <v>3.3962057648365498</v>
      </c>
      <c r="M24" s="3">
        <v>4.6887742742442704</v>
      </c>
      <c r="N24" s="3">
        <v>5.0004460948785603</v>
      </c>
    </row>
    <row r="25" spans="1:14" x14ac:dyDescent="0.35">
      <c r="A25" s="2">
        <v>42566</v>
      </c>
      <c r="B25" s="3">
        <v>4.2821970773692204</v>
      </c>
      <c r="C25" s="3">
        <v>4.5270374493949701</v>
      </c>
      <c r="D25" s="3">
        <v>2.99632552911268</v>
      </c>
      <c r="E25" s="3">
        <v>3.3494396745024799</v>
      </c>
      <c r="F25" s="3">
        <v>2.38563066876829</v>
      </c>
      <c r="G25" s="3">
        <v>3.50468088196443</v>
      </c>
      <c r="H25" s="3">
        <v>4.15498306968487</v>
      </c>
      <c r="I25" s="3">
        <v>1.3183906793303</v>
      </c>
      <c r="J25" s="3">
        <v>2.21862376707666</v>
      </c>
      <c r="K25" s="3">
        <v>3.7939005796656202</v>
      </c>
      <c r="L25" s="3">
        <v>3.2513485747616899</v>
      </c>
      <c r="M25" s="3">
        <v>4.3441545277477704</v>
      </c>
      <c r="N25" s="3">
        <v>4.7637373659651798</v>
      </c>
    </row>
    <row r="26" spans="1:14" x14ac:dyDescent="0.35">
      <c r="A26" s="2">
        <v>42598</v>
      </c>
      <c r="B26" s="3">
        <v>4.1689157207817402</v>
      </c>
      <c r="C26" s="3">
        <v>4.4652951425158198</v>
      </c>
      <c r="D26" s="3">
        <v>2.9547781531766701</v>
      </c>
      <c r="E26" s="3">
        <v>3.1556773449942401</v>
      </c>
      <c r="F26" s="3">
        <v>2.42755694331015</v>
      </c>
      <c r="G26" s="3">
        <v>3.4366353114205501</v>
      </c>
      <c r="H26" s="3">
        <v>4.0746948702247696</v>
      </c>
      <c r="I26" s="3">
        <v>1.27768752254272</v>
      </c>
      <c r="J26" s="3">
        <v>2.2097360051086499</v>
      </c>
      <c r="K26" s="3">
        <v>3.71209692652937</v>
      </c>
      <c r="L26" s="3">
        <v>3.1593850200425799</v>
      </c>
      <c r="M26" s="3">
        <v>4.2440086031521602</v>
      </c>
      <c r="N26" s="3">
        <v>4.7446957661896203</v>
      </c>
    </row>
    <row r="27" spans="1:14" x14ac:dyDescent="0.35">
      <c r="A27" s="2">
        <v>42629</v>
      </c>
      <c r="B27" s="3">
        <v>4.3240413098721602</v>
      </c>
      <c r="C27" s="3">
        <v>4.6656017471717597</v>
      </c>
      <c r="D27" s="3">
        <v>3.0005249791321398</v>
      </c>
      <c r="E27" s="3">
        <v>3.2653186169392701</v>
      </c>
      <c r="F27" s="3">
        <v>2.4169492770179901</v>
      </c>
      <c r="G27" s="3">
        <v>3.5114593426159102</v>
      </c>
      <c r="H27" s="3">
        <v>4.2303691389317803</v>
      </c>
      <c r="I27" s="3">
        <v>1.2805825751655</v>
      </c>
      <c r="J27" s="3">
        <v>2.25397209924511</v>
      </c>
      <c r="K27" s="3">
        <v>3.8135661315122</v>
      </c>
      <c r="L27" s="3">
        <v>3.23886909330247</v>
      </c>
      <c r="M27" s="3">
        <v>4.2813052189787504</v>
      </c>
      <c r="N27" s="3">
        <v>5.0148205504686096</v>
      </c>
    </row>
    <row r="28" spans="1:14" x14ac:dyDescent="0.35">
      <c r="A28" s="2">
        <v>42657</v>
      </c>
      <c r="B28" s="3">
        <v>4.4629859409716701</v>
      </c>
      <c r="C28" s="3">
        <v>4.5481550239386799</v>
      </c>
      <c r="D28" s="3">
        <v>2.9636849794428199</v>
      </c>
      <c r="E28" s="3">
        <v>3.13761306977243</v>
      </c>
      <c r="F28" s="3">
        <v>2.37037703564221</v>
      </c>
      <c r="G28" s="3">
        <v>3.53893587347619</v>
      </c>
      <c r="H28" s="3">
        <v>4.2699743183425003</v>
      </c>
      <c r="I28" s="3">
        <v>1.2804010131222301</v>
      </c>
      <c r="J28" s="3">
        <v>2.2589325325331502</v>
      </c>
      <c r="K28" s="3">
        <v>3.7357087045428501</v>
      </c>
      <c r="L28" s="3">
        <v>3.1309973680062999</v>
      </c>
      <c r="M28" s="3">
        <v>4.1109815943533796</v>
      </c>
      <c r="N28" s="3">
        <v>4.9375960449522003</v>
      </c>
    </row>
    <row r="29" spans="1:14" x14ac:dyDescent="0.35">
      <c r="A29" s="2">
        <v>42690</v>
      </c>
      <c r="B29" s="3">
        <v>4.6561314039887396</v>
      </c>
      <c r="C29" s="3">
        <v>4.6486100761276399</v>
      </c>
      <c r="D29" s="3">
        <v>2.9360342817886398</v>
      </c>
      <c r="E29" s="3">
        <v>3.1833486161326201</v>
      </c>
      <c r="F29" s="3">
        <v>2.2580791831196598</v>
      </c>
      <c r="G29" s="3">
        <v>3.63548700569515</v>
      </c>
      <c r="H29" s="3">
        <v>4.4474944401079499</v>
      </c>
      <c r="I29" s="3">
        <v>1.2980287026625701</v>
      </c>
      <c r="J29" s="3">
        <v>2.2311197713215098</v>
      </c>
      <c r="K29" s="3">
        <v>3.73182656088867</v>
      </c>
      <c r="L29" s="3">
        <v>3.15321960728031</v>
      </c>
      <c r="M29" s="3">
        <v>4.0954496034897803</v>
      </c>
      <c r="N29" s="3">
        <v>4.8146179150127901</v>
      </c>
    </row>
    <row r="30" spans="1:14" x14ac:dyDescent="0.35">
      <c r="A30" s="2">
        <v>42720</v>
      </c>
      <c r="B30" s="3">
        <v>4.7126412528621202</v>
      </c>
      <c r="C30" s="3">
        <v>4.6088293285485102</v>
      </c>
      <c r="D30" s="3">
        <v>2.8392288205718001</v>
      </c>
      <c r="E30" s="3">
        <v>2.9886997332384699</v>
      </c>
      <c r="F30" s="3">
        <v>2.0748656114284598</v>
      </c>
      <c r="G30" s="3">
        <v>3.5724479746801299</v>
      </c>
      <c r="H30" s="3">
        <v>4.33122110045207</v>
      </c>
      <c r="I30" s="3">
        <v>1.2833098366340201</v>
      </c>
      <c r="J30" s="3">
        <v>2.1662274050803201</v>
      </c>
      <c r="K30" s="3">
        <v>3.5008556419686299</v>
      </c>
      <c r="L30" s="3">
        <v>3.0037962282239898</v>
      </c>
      <c r="M30" s="3">
        <v>3.8318206558959802</v>
      </c>
      <c r="N30" s="3">
        <v>4.3350002750323497</v>
      </c>
    </row>
    <row r="31" spans="1:14" x14ac:dyDescent="0.35">
      <c r="A31" s="2">
        <v>42748</v>
      </c>
      <c r="B31" s="3">
        <v>4.5377171313071099</v>
      </c>
      <c r="C31" s="3">
        <v>4.4768661546895299</v>
      </c>
      <c r="D31" s="3">
        <v>2.8111214219529601</v>
      </c>
      <c r="E31" s="3">
        <v>2.94285311543887</v>
      </c>
      <c r="F31" s="3">
        <v>2.0992942701874999</v>
      </c>
      <c r="G31" s="3">
        <v>3.45879132170879</v>
      </c>
      <c r="H31" s="3">
        <v>4.2231864893938296</v>
      </c>
      <c r="I31" s="3">
        <v>1.2539465508897301</v>
      </c>
      <c r="J31" s="3">
        <v>2.1612069884051999</v>
      </c>
      <c r="K31" s="3">
        <v>3.4232192551169498</v>
      </c>
      <c r="L31" s="3">
        <v>2.9443873993424599</v>
      </c>
      <c r="M31" s="3">
        <v>3.8857211794676298</v>
      </c>
      <c r="N31" s="3">
        <v>4.2890267212605302</v>
      </c>
    </row>
    <row r="32" spans="1:14" x14ac:dyDescent="0.35">
      <c r="A32" s="2">
        <v>42782</v>
      </c>
      <c r="B32" s="3">
        <v>4.54643166579066</v>
      </c>
      <c r="C32" s="3">
        <v>4.4549511925364698</v>
      </c>
      <c r="D32" s="3">
        <v>2.77597129103482</v>
      </c>
      <c r="E32" s="3">
        <v>2.9500661829516801</v>
      </c>
      <c r="F32" s="3">
        <v>2.1272016937942899</v>
      </c>
      <c r="G32" s="3">
        <v>3.3968082313651</v>
      </c>
      <c r="H32" s="3">
        <v>4.25708632684373</v>
      </c>
      <c r="I32" s="3">
        <v>1.22757343515144</v>
      </c>
      <c r="J32" s="3">
        <v>2.1159131853679698</v>
      </c>
      <c r="K32" s="3">
        <v>3.4645995404594201</v>
      </c>
      <c r="L32" s="3">
        <v>2.8840154998225298</v>
      </c>
      <c r="M32" s="3">
        <v>3.6271232512395599</v>
      </c>
      <c r="N32" s="3">
        <v>4.4099330922377904</v>
      </c>
    </row>
    <row r="33" spans="1:14" x14ac:dyDescent="0.35">
      <c r="A33" s="2">
        <v>42810</v>
      </c>
      <c r="B33" s="3">
        <v>4.6019581286240898</v>
      </c>
      <c r="C33" s="3">
        <v>4.5630665653803399</v>
      </c>
      <c r="D33" s="3">
        <v>2.8999247691741701</v>
      </c>
      <c r="E33" s="3">
        <v>2.93768845306814</v>
      </c>
      <c r="F33" s="3">
        <v>2.12329272310898</v>
      </c>
      <c r="G33" s="3">
        <v>3.3309737531864498</v>
      </c>
      <c r="H33" s="3">
        <v>4.2896033182430298</v>
      </c>
      <c r="I33" s="3">
        <v>1.2105562803765699</v>
      </c>
      <c r="J33" s="3">
        <v>2.0955592368411602</v>
      </c>
      <c r="K33" s="3">
        <v>3.4134498925976202</v>
      </c>
      <c r="L33" s="3">
        <v>2.7670742716348999</v>
      </c>
      <c r="M33" s="3">
        <v>3.6185930866575502</v>
      </c>
      <c r="N33" s="3">
        <v>3.9790514848362002</v>
      </c>
    </row>
    <row r="34" spans="1:14" x14ac:dyDescent="0.35">
      <c r="A34" s="2">
        <v>42838</v>
      </c>
      <c r="B34" s="3">
        <v>4.5653946379929504</v>
      </c>
      <c r="C34" s="3">
        <v>4.4924185790884401</v>
      </c>
      <c r="D34" s="3">
        <v>2.9366304903018201</v>
      </c>
      <c r="E34" s="3">
        <v>2.9422607726441701</v>
      </c>
      <c r="F34" s="3">
        <v>2.2940428734522702</v>
      </c>
      <c r="G34" s="3">
        <v>3.42841148640405</v>
      </c>
      <c r="H34" s="3">
        <v>4.3426350916115402</v>
      </c>
      <c r="I34" s="3">
        <v>1.2311742904604099</v>
      </c>
      <c r="J34" s="3">
        <v>2.1509395038952501</v>
      </c>
      <c r="K34" s="3">
        <v>3.3903011355108199</v>
      </c>
      <c r="L34" s="3">
        <v>2.7708233946249501</v>
      </c>
      <c r="M34" s="3">
        <v>3.6684849386335001</v>
      </c>
      <c r="N34" s="3">
        <v>4.0534580421906403</v>
      </c>
    </row>
    <row r="35" spans="1:14" x14ac:dyDescent="0.35">
      <c r="A35" s="2">
        <v>42871</v>
      </c>
      <c r="B35" s="3">
        <v>4.48774977485163</v>
      </c>
      <c r="C35" s="3">
        <v>4.5474524415319602</v>
      </c>
      <c r="D35" s="3">
        <v>2.9555150842386002</v>
      </c>
      <c r="E35" s="3">
        <v>2.8729025709939902</v>
      </c>
      <c r="F35" s="3">
        <v>2.1571753993855198</v>
      </c>
      <c r="G35" s="3">
        <v>3.2686566508434498</v>
      </c>
      <c r="H35" s="3">
        <v>4.2098172023027303</v>
      </c>
      <c r="I35" s="3">
        <v>1.1670225671954499</v>
      </c>
      <c r="J35" s="3">
        <v>2.1030063219891999</v>
      </c>
      <c r="K35" s="3">
        <v>3.1893094433976201</v>
      </c>
      <c r="L35" s="3">
        <v>2.6974041273318101</v>
      </c>
      <c r="M35" s="3">
        <v>3.3379960000100102</v>
      </c>
      <c r="N35" s="3">
        <v>3.7238679464025699</v>
      </c>
    </row>
    <row r="36" spans="1:14" x14ac:dyDescent="0.35">
      <c r="A36" s="2">
        <v>42902</v>
      </c>
      <c r="B36" s="3">
        <v>4.3972567422723996</v>
      </c>
      <c r="C36" s="3">
        <v>4.6055726321059796</v>
      </c>
      <c r="D36" s="3">
        <v>3.03561012837462</v>
      </c>
      <c r="E36" s="3">
        <v>2.9239219170810502</v>
      </c>
      <c r="F36" s="3">
        <v>2.1818093094039299</v>
      </c>
      <c r="G36" s="3">
        <v>3.27060393818847</v>
      </c>
      <c r="H36" s="3">
        <v>4.2805682780138703</v>
      </c>
      <c r="I36" s="3">
        <v>1.1841711194523901</v>
      </c>
      <c r="J36" s="3">
        <v>2.0865770458337698</v>
      </c>
      <c r="K36" s="3">
        <v>3.2865296113915199</v>
      </c>
      <c r="L36" s="3">
        <v>2.74498051575446</v>
      </c>
      <c r="M36" s="3">
        <v>3.5232241665946402</v>
      </c>
      <c r="N36" s="3">
        <v>3.7853080044945</v>
      </c>
    </row>
    <row r="37" spans="1:14" x14ac:dyDescent="0.35">
      <c r="A37" s="2">
        <v>42930</v>
      </c>
      <c r="B37" s="3">
        <v>4.4094200680758302</v>
      </c>
      <c r="C37" s="3">
        <v>4.5623175468353097</v>
      </c>
      <c r="D37" s="3">
        <v>3.0407888863195298</v>
      </c>
      <c r="E37" s="3">
        <v>2.9647996620686201</v>
      </c>
      <c r="F37" s="3">
        <v>2.1570170896462399</v>
      </c>
      <c r="G37" s="3">
        <v>3.2601688341729602</v>
      </c>
      <c r="H37" s="3">
        <v>4.2886648005233203</v>
      </c>
      <c r="I37" s="3">
        <v>1.1782833864117701</v>
      </c>
      <c r="J37" s="3">
        <v>2.08852115986716</v>
      </c>
      <c r="K37" s="3">
        <v>3.32210990274986</v>
      </c>
      <c r="L37" s="3">
        <v>2.7706415001481099</v>
      </c>
      <c r="M37" s="3">
        <v>3.5213665862664998</v>
      </c>
      <c r="N37" s="3">
        <v>3.7447647019150301</v>
      </c>
    </row>
    <row r="38" spans="1:14" x14ac:dyDescent="0.35">
      <c r="A38" s="2">
        <v>42963</v>
      </c>
      <c r="B38" s="3">
        <v>4.3294753150757499</v>
      </c>
      <c r="C38" s="3">
        <v>4.5469941899397996</v>
      </c>
      <c r="D38" s="3">
        <v>3.0646313133737002</v>
      </c>
      <c r="E38" s="3">
        <v>3.0916191031380098</v>
      </c>
      <c r="F38" s="3">
        <v>2.19079643838593</v>
      </c>
      <c r="G38" s="3">
        <v>3.3027975042615498</v>
      </c>
      <c r="H38" s="3">
        <v>4.3161218924844498</v>
      </c>
      <c r="I38" s="3">
        <v>1.1724287801994</v>
      </c>
      <c r="J38" s="3">
        <v>2.09439642343126</v>
      </c>
      <c r="K38" s="3">
        <v>3.3719487578954399</v>
      </c>
      <c r="L38" s="3">
        <v>2.7727316986302002</v>
      </c>
      <c r="M38" s="3">
        <v>3.7448756581351001</v>
      </c>
      <c r="N38" s="3">
        <v>3.7326775649601101</v>
      </c>
    </row>
    <row r="39" spans="1:14" x14ac:dyDescent="0.35">
      <c r="A39" s="2">
        <v>42993</v>
      </c>
      <c r="B39" s="3">
        <v>4.4462342227407197</v>
      </c>
      <c r="C39" s="3">
        <v>4.6004739394809198</v>
      </c>
      <c r="D39" s="3">
        <v>3.07622990165703</v>
      </c>
      <c r="E39" s="3">
        <v>3.0511124876878601</v>
      </c>
      <c r="F39" s="3">
        <v>2.1961575440066499</v>
      </c>
      <c r="G39" s="3">
        <v>3.2885797156068501</v>
      </c>
      <c r="H39" s="3">
        <v>4.37096960893152</v>
      </c>
      <c r="I39" s="3">
        <v>1.16213959833341</v>
      </c>
      <c r="J39" s="3">
        <v>2.07624463005682</v>
      </c>
      <c r="K39" s="3">
        <v>3.3516008650102198</v>
      </c>
      <c r="L39" s="3">
        <v>2.8228297757359999</v>
      </c>
      <c r="M39" s="3">
        <v>3.70742694961337</v>
      </c>
      <c r="N39" s="3">
        <v>3.7286494614682999</v>
      </c>
    </row>
    <row r="40" spans="1:14" x14ac:dyDescent="0.35">
      <c r="A40" s="2">
        <v>43024</v>
      </c>
      <c r="B40" s="3">
        <v>4.3586181185200301</v>
      </c>
      <c r="C40" s="3">
        <v>4.5160678365253704</v>
      </c>
      <c r="D40" s="3">
        <v>2.95227047654868</v>
      </c>
      <c r="E40" s="3">
        <v>2.9519580920364299</v>
      </c>
      <c r="F40" s="3">
        <v>2.1119201403479999</v>
      </c>
      <c r="G40" s="3">
        <v>3.23720331937034</v>
      </c>
      <c r="H40" s="3">
        <v>4.2598273041903596</v>
      </c>
      <c r="I40" s="3">
        <v>1.1403759902808701</v>
      </c>
      <c r="J40" s="3">
        <v>2.03626003684428</v>
      </c>
      <c r="K40" s="3">
        <v>3.287843320381</v>
      </c>
      <c r="L40" s="3">
        <v>2.7519091622526299</v>
      </c>
      <c r="M40" s="3">
        <v>3.5711914963956</v>
      </c>
      <c r="N40" s="3">
        <v>3.8077371345831299</v>
      </c>
    </row>
    <row r="41" spans="1:14" x14ac:dyDescent="0.35">
      <c r="A41" s="2">
        <v>43055</v>
      </c>
      <c r="B41" s="3">
        <v>4.4195797603358002</v>
      </c>
      <c r="C41" s="3">
        <v>4.4974272925597596</v>
      </c>
      <c r="D41" s="3">
        <v>2.9354032298894701</v>
      </c>
      <c r="E41" s="3">
        <v>2.94520758197259</v>
      </c>
      <c r="F41" s="3">
        <v>2.0888714095977901</v>
      </c>
      <c r="G41" s="3">
        <v>3.2893452519470898</v>
      </c>
      <c r="H41" s="3">
        <v>4.3867399312514896</v>
      </c>
      <c r="I41" s="3">
        <v>1.1098588027484999</v>
      </c>
      <c r="J41" s="3">
        <v>2.01591495407764</v>
      </c>
      <c r="K41" s="3">
        <v>3.32859946515494</v>
      </c>
      <c r="L41" s="3">
        <v>2.8298187949465201</v>
      </c>
      <c r="M41" s="3">
        <v>3.6061954560343801</v>
      </c>
      <c r="N41" s="3">
        <v>3.8994315350619799</v>
      </c>
    </row>
    <row r="42" spans="1:14" x14ac:dyDescent="0.35">
      <c r="A42" s="2">
        <v>43084</v>
      </c>
      <c r="B42" s="3">
        <v>4.2252473414550096</v>
      </c>
      <c r="C42" s="3">
        <v>4.5042128641019596</v>
      </c>
      <c r="D42" s="3">
        <v>2.9259944358910301</v>
      </c>
      <c r="E42" s="3">
        <v>2.9062099813289399</v>
      </c>
      <c r="F42" s="3">
        <v>2.0815375110060601</v>
      </c>
      <c r="G42" s="3">
        <v>3.2203093485002499</v>
      </c>
      <c r="H42" s="3">
        <v>4.3239919906757303</v>
      </c>
      <c r="I42" s="3">
        <v>1.0956721423671101</v>
      </c>
      <c r="J42" s="3">
        <v>1.95603580738629</v>
      </c>
      <c r="K42" s="3">
        <v>3.2986022002478399</v>
      </c>
      <c r="L42" s="3">
        <v>2.8239314006398302</v>
      </c>
      <c r="M42" s="3">
        <v>3.7282647045810302</v>
      </c>
      <c r="N42" s="3">
        <v>3.9282334158791099</v>
      </c>
    </row>
    <row r="43" spans="1:14" x14ac:dyDescent="0.35">
      <c r="A43" s="2">
        <v>43116</v>
      </c>
      <c r="B43" s="3">
        <v>4.2938439849269097</v>
      </c>
      <c r="C43" s="3">
        <v>4.4869149547010796</v>
      </c>
      <c r="D43" s="3">
        <v>2.9003732070453001</v>
      </c>
      <c r="E43" s="3">
        <v>2.8838208023594101</v>
      </c>
      <c r="F43" s="3">
        <v>1.97701724689361</v>
      </c>
      <c r="G43" s="3">
        <v>3.1794394622088298</v>
      </c>
      <c r="H43" s="3">
        <v>4.1664810696276202</v>
      </c>
      <c r="I43" s="3">
        <v>1.04996643366731</v>
      </c>
      <c r="J43" s="3">
        <v>1.89948996704426</v>
      </c>
      <c r="K43" s="3">
        <v>3.2090190688989102</v>
      </c>
      <c r="L43" s="3">
        <v>2.80111488293685</v>
      </c>
      <c r="M43" s="3">
        <v>3.6573690590163501</v>
      </c>
      <c r="N43" s="3">
        <v>3.7481528447692698</v>
      </c>
    </row>
    <row r="44" spans="1:14" x14ac:dyDescent="0.35">
      <c r="A44" s="2">
        <v>43147</v>
      </c>
      <c r="B44" s="3">
        <v>4.3958586661376096</v>
      </c>
      <c r="C44" s="3">
        <v>4.6455670556995701</v>
      </c>
      <c r="D44" s="3">
        <v>3.1120355843575802</v>
      </c>
      <c r="E44" s="3">
        <v>3.1143043065409799</v>
      </c>
      <c r="F44" s="3">
        <v>2.1987146831294302</v>
      </c>
      <c r="G44" s="3">
        <v>3.3272749018032202</v>
      </c>
      <c r="H44" s="3">
        <v>4.38697091576425</v>
      </c>
      <c r="I44" s="3">
        <v>1.07551022921951</v>
      </c>
      <c r="J44" s="3">
        <v>1.9639033488611199</v>
      </c>
      <c r="K44" s="3">
        <v>3.3762409839032599</v>
      </c>
      <c r="L44" s="3">
        <v>2.9422214687307302</v>
      </c>
      <c r="M44" s="3">
        <v>3.8880906545787801</v>
      </c>
      <c r="N44" s="3">
        <v>3.9250307391829802</v>
      </c>
    </row>
    <row r="45" spans="1:14" x14ac:dyDescent="0.35">
      <c r="A45" s="2">
        <v>43175</v>
      </c>
      <c r="B45" s="3">
        <v>4.2236547874025101</v>
      </c>
      <c r="C45" s="3">
        <v>4.6797804831310801</v>
      </c>
      <c r="D45" s="3">
        <v>3.1056301166168598</v>
      </c>
      <c r="E45" s="3">
        <v>3.1606718054261198</v>
      </c>
      <c r="F45" s="3">
        <v>2.23127629619239</v>
      </c>
      <c r="G45" s="3">
        <v>3.4427233308913099</v>
      </c>
      <c r="H45" s="3">
        <v>4.5079576677181503</v>
      </c>
      <c r="I45" s="3">
        <v>1.04764985965845</v>
      </c>
      <c r="J45" s="3">
        <v>1.9697714850046899</v>
      </c>
      <c r="K45" s="3">
        <v>3.3845888950857601</v>
      </c>
      <c r="L45" s="3">
        <v>2.9177647552149502</v>
      </c>
      <c r="M45" s="3">
        <v>3.88744848062447</v>
      </c>
      <c r="N45" s="3">
        <v>4.0138424460728803</v>
      </c>
    </row>
    <row r="46" spans="1:14" x14ac:dyDescent="0.35">
      <c r="A46" s="2">
        <v>43206</v>
      </c>
      <c r="B46" s="3">
        <v>4.2598433835153804</v>
      </c>
      <c r="C46" s="3">
        <v>4.7742182301100096</v>
      </c>
      <c r="D46" s="3">
        <v>3.2151832396998898</v>
      </c>
      <c r="E46" s="3">
        <v>3.1998653026941102</v>
      </c>
      <c r="F46" s="3">
        <v>2.25106623986958</v>
      </c>
      <c r="G46" s="3">
        <v>3.4609054306916698</v>
      </c>
      <c r="H46" s="3">
        <v>4.4515452424631796</v>
      </c>
      <c r="I46" s="3">
        <v>1.1114624248646801</v>
      </c>
      <c r="J46" s="3">
        <v>2.0403280865171398</v>
      </c>
      <c r="K46" s="3">
        <v>3.3876131094663799</v>
      </c>
      <c r="L46" s="3">
        <v>2.93163001832129</v>
      </c>
      <c r="M46" s="3">
        <v>4.1247424519642797</v>
      </c>
      <c r="N46" s="3">
        <v>3.9780112581804499</v>
      </c>
    </row>
    <row r="47" spans="1:14" x14ac:dyDescent="0.35">
      <c r="A47" s="2">
        <v>43236</v>
      </c>
      <c r="B47" s="3">
        <v>4.2544834166123202</v>
      </c>
      <c r="C47" s="3">
        <v>4.6092452155040302</v>
      </c>
      <c r="D47" s="3">
        <v>3.0566065371811799</v>
      </c>
      <c r="E47" s="3">
        <v>3.0983231670303901</v>
      </c>
      <c r="F47" s="3">
        <v>2.1929188135076498</v>
      </c>
      <c r="G47" s="3">
        <v>3.4335998296483301</v>
      </c>
      <c r="H47" s="3">
        <v>4.26671062999438</v>
      </c>
      <c r="I47" s="3">
        <v>1.08756543593749</v>
      </c>
      <c r="J47" s="3">
        <v>2.02763844181935</v>
      </c>
      <c r="K47" s="3">
        <v>3.2869863784575202</v>
      </c>
      <c r="L47" s="3">
        <v>2.8830759479186798</v>
      </c>
      <c r="M47" s="3">
        <v>3.98448443380344</v>
      </c>
      <c r="N47" s="3">
        <v>3.9831486383040899</v>
      </c>
    </row>
    <row r="48" spans="1:14" x14ac:dyDescent="0.35">
      <c r="A48" s="2">
        <v>43266</v>
      </c>
      <c r="B48" s="3">
        <v>4.0019506501275002</v>
      </c>
      <c r="C48" s="3">
        <v>4.7290583864009204</v>
      </c>
      <c r="D48" s="3">
        <v>3.0534710964286802</v>
      </c>
      <c r="E48" s="3">
        <v>3.0940423450193801</v>
      </c>
      <c r="F48" s="3">
        <v>2.2263660848950302</v>
      </c>
      <c r="G48" s="3">
        <v>3.5447672856364201</v>
      </c>
      <c r="H48" s="3">
        <v>4.3816636062452803</v>
      </c>
      <c r="I48" s="3">
        <v>1.0450206961729001</v>
      </c>
      <c r="J48" s="3">
        <v>1.99631000648542</v>
      </c>
      <c r="K48" s="3">
        <v>3.3473261666815501</v>
      </c>
      <c r="L48" s="3">
        <v>2.8603791406034502</v>
      </c>
      <c r="M48" s="3">
        <v>4.1359726394186698</v>
      </c>
      <c r="N48" s="3">
        <v>4.3612490413226102</v>
      </c>
    </row>
    <row r="49" spans="1:14" x14ac:dyDescent="0.35">
      <c r="A49" s="2">
        <v>43297</v>
      </c>
      <c r="B49" s="3">
        <v>4.0633951590418897</v>
      </c>
      <c r="C49" s="3">
        <v>4.5829275451654299</v>
      </c>
      <c r="D49" s="3">
        <v>3.0420175220860202</v>
      </c>
      <c r="E49" s="3">
        <v>3.2113465828796999</v>
      </c>
      <c r="F49" s="3">
        <v>2.3004743353920198</v>
      </c>
      <c r="G49" s="3">
        <v>3.4712668722592799</v>
      </c>
      <c r="H49" s="3">
        <v>4.43044357931206</v>
      </c>
      <c r="I49" s="3">
        <v>1.0352783791064</v>
      </c>
      <c r="J49" s="3">
        <v>2.0073326501485198</v>
      </c>
      <c r="K49" s="3">
        <v>3.4057131484010501</v>
      </c>
      <c r="L49" s="3">
        <v>2.9333359432306101</v>
      </c>
      <c r="M49" s="3">
        <v>4.1661367552319302</v>
      </c>
      <c r="N49" s="3">
        <v>4.4828504195868097</v>
      </c>
    </row>
    <row r="50" spans="1:14" x14ac:dyDescent="0.35">
      <c r="A50" s="2">
        <v>43328</v>
      </c>
      <c r="B50" s="3">
        <v>4.0549393877918503</v>
      </c>
      <c r="C50" s="3">
        <v>4.56261857430282</v>
      </c>
      <c r="D50" s="3">
        <v>3.1066132434676499</v>
      </c>
      <c r="E50" s="3">
        <v>3.2979935064519901</v>
      </c>
      <c r="F50" s="3">
        <v>2.3687822326433898</v>
      </c>
      <c r="G50" s="3">
        <v>3.4436937783844201</v>
      </c>
      <c r="H50" s="3">
        <v>4.5305989850319204</v>
      </c>
      <c r="I50" s="3">
        <v>1.0834558552998901</v>
      </c>
      <c r="J50" s="3">
        <v>1.9940954587442199</v>
      </c>
      <c r="K50" s="3">
        <v>3.4905448503835501</v>
      </c>
      <c r="L50" s="3">
        <v>2.9375661282060701</v>
      </c>
      <c r="M50" s="3">
        <v>4.1245748679627603</v>
      </c>
      <c r="N50" s="3">
        <v>4.6775830679506596</v>
      </c>
    </row>
    <row r="51" spans="1:14" x14ac:dyDescent="0.35">
      <c r="A51" s="2">
        <v>43357</v>
      </c>
      <c r="B51" s="3">
        <v>3.9637479243554101</v>
      </c>
      <c r="C51" s="3">
        <v>4.7694532676868802</v>
      </c>
      <c r="D51" s="3">
        <v>3.1815035609911702</v>
      </c>
      <c r="E51" s="3">
        <v>3.3270890147803001</v>
      </c>
      <c r="F51" s="3">
        <v>2.3234275623554601</v>
      </c>
      <c r="G51" s="3">
        <v>3.4139783836839399</v>
      </c>
      <c r="H51" s="3">
        <v>4.6355165290750202</v>
      </c>
      <c r="I51" s="3">
        <v>1.07000615593036</v>
      </c>
      <c r="J51" s="3">
        <v>1.9585502521131199</v>
      </c>
      <c r="K51" s="3">
        <v>3.49324813213937</v>
      </c>
      <c r="L51" s="3">
        <v>3.03393208312088</v>
      </c>
      <c r="M51" s="3">
        <v>4.0805891606702804</v>
      </c>
      <c r="N51" s="3">
        <v>4.6534055118490398</v>
      </c>
    </row>
    <row r="52" spans="1:14" x14ac:dyDescent="0.35">
      <c r="A52" s="2">
        <v>43389</v>
      </c>
      <c r="B52" s="3">
        <v>4.2582434674013303</v>
      </c>
      <c r="C52" s="3">
        <v>5.0413717478237503</v>
      </c>
      <c r="D52" s="3">
        <v>3.3048491328499501</v>
      </c>
      <c r="E52" s="3">
        <v>3.46621210359049</v>
      </c>
      <c r="F52" s="3">
        <v>2.3889215283103802</v>
      </c>
      <c r="G52" s="3">
        <v>3.5732198757871099</v>
      </c>
      <c r="H52" s="3">
        <v>4.8025395813590999</v>
      </c>
      <c r="I52" s="3">
        <v>1.1182277220657999</v>
      </c>
      <c r="J52" s="3">
        <v>2.0374105546206098</v>
      </c>
      <c r="K52" s="3">
        <v>3.6500826784872702</v>
      </c>
      <c r="L52" s="3">
        <v>3.1600931259304699</v>
      </c>
      <c r="M52" s="3">
        <v>4.2722578564748801</v>
      </c>
      <c r="N52" s="3">
        <v>4.9220864954520396</v>
      </c>
    </row>
    <row r="53" spans="1:14" x14ac:dyDescent="0.35">
      <c r="A53" s="2">
        <v>43420</v>
      </c>
      <c r="B53" s="3">
        <v>4.2358056780564501</v>
      </c>
      <c r="C53" s="3">
        <v>5.2237283516148896</v>
      </c>
      <c r="D53" s="3">
        <v>3.3939544835930602</v>
      </c>
      <c r="E53" s="3">
        <v>3.6365224523809898</v>
      </c>
      <c r="F53" s="3">
        <v>2.5028888889397298</v>
      </c>
      <c r="G53" s="3">
        <v>3.5657887256342402</v>
      </c>
      <c r="H53" s="3">
        <v>4.9284017371767099</v>
      </c>
      <c r="I53" s="3">
        <v>1.1946007980068301</v>
      </c>
      <c r="J53" s="3">
        <v>2.09826917852094</v>
      </c>
      <c r="K53" s="3">
        <v>3.7664009755233701</v>
      </c>
      <c r="L53" s="3">
        <v>3.2051702115171499</v>
      </c>
      <c r="M53" s="3">
        <v>4.4699384013506496</v>
      </c>
      <c r="N53" s="3">
        <v>5.1721903534940701</v>
      </c>
    </row>
    <row r="54" spans="1:14" x14ac:dyDescent="0.35">
      <c r="A54" s="2">
        <v>43448</v>
      </c>
      <c r="B54" s="3">
        <v>4.2041511031675398</v>
      </c>
      <c r="C54" s="3">
        <v>5.4079156539527498</v>
      </c>
      <c r="D54" s="3">
        <v>3.5240581768219199</v>
      </c>
      <c r="E54" s="3">
        <v>3.8326056264370099</v>
      </c>
      <c r="F54" s="3">
        <v>2.5662940847467999</v>
      </c>
      <c r="G54" s="3">
        <v>3.6327347519763702</v>
      </c>
      <c r="H54" s="3">
        <v>5.1351479527640098</v>
      </c>
      <c r="I54" s="3">
        <v>1.2685079744033501</v>
      </c>
      <c r="J54" s="3">
        <v>2.2246836192969499</v>
      </c>
      <c r="K54" s="3">
        <v>3.9036594287853399</v>
      </c>
      <c r="L54" s="3">
        <v>3.3408448637678099</v>
      </c>
      <c r="M54" s="3">
        <v>4.5619579612679297</v>
      </c>
      <c r="N54" s="3">
        <v>5.2345112784559999</v>
      </c>
    </row>
    <row r="55" spans="1:14" x14ac:dyDescent="0.35">
      <c r="A55" s="2">
        <v>43481</v>
      </c>
      <c r="B55" s="3">
        <v>4.0715007690918004</v>
      </c>
      <c r="C55" s="3">
        <v>5.1255888998432999</v>
      </c>
      <c r="D55" s="3">
        <v>3.41507736286724</v>
      </c>
      <c r="E55" s="3">
        <v>3.8054504685797301</v>
      </c>
      <c r="F55" s="3">
        <v>2.6788292949249901</v>
      </c>
      <c r="G55" s="3">
        <v>3.5241103350683298</v>
      </c>
      <c r="H55" s="3">
        <v>5.2096368825304999</v>
      </c>
      <c r="I55" s="3">
        <v>1.25688550808897</v>
      </c>
      <c r="J55" s="3">
        <v>2.2264748371177498</v>
      </c>
      <c r="K55" s="3">
        <v>3.93217003839472</v>
      </c>
      <c r="L55" s="3">
        <v>3.3876466496060198</v>
      </c>
      <c r="M55" s="3">
        <v>4.4833336605551102</v>
      </c>
      <c r="N55" s="3">
        <v>5.13012951804044</v>
      </c>
    </row>
    <row r="56" spans="1:14" x14ac:dyDescent="0.35">
      <c r="A56" s="2">
        <v>43511</v>
      </c>
      <c r="B56" s="3">
        <v>4.0285821611894903</v>
      </c>
      <c r="C56" s="3">
        <v>4.9593625054295796</v>
      </c>
      <c r="D56" s="3">
        <v>3.30233583513369</v>
      </c>
      <c r="E56" s="3">
        <v>3.6714910407130499</v>
      </c>
      <c r="F56" s="3">
        <v>2.61644662750196</v>
      </c>
      <c r="G56" s="3">
        <v>3.3766955986703699</v>
      </c>
      <c r="H56" s="3">
        <v>4.9429895069669296</v>
      </c>
      <c r="I56" s="3">
        <v>1.1959758197735499</v>
      </c>
      <c r="J56" s="3">
        <v>2.1081699541846199</v>
      </c>
      <c r="K56" s="3">
        <v>3.7069251535267398</v>
      </c>
      <c r="L56" s="3">
        <v>3.1191075135589199</v>
      </c>
      <c r="M56" s="3">
        <v>4.1224156400405603</v>
      </c>
      <c r="N56" s="3">
        <v>4.9193612340890001</v>
      </c>
    </row>
    <row r="57" spans="1:14" x14ac:dyDescent="0.35">
      <c r="A57" s="2">
        <v>43539</v>
      </c>
      <c r="B57" s="3">
        <v>3.8884385040698102</v>
      </c>
      <c r="C57" s="3">
        <v>4.9617894119778896</v>
      </c>
      <c r="D57" s="3">
        <v>3.2621944306028001</v>
      </c>
      <c r="E57" s="3">
        <v>3.56416045099729</v>
      </c>
      <c r="F57" s="3">
        <v>2.5726023503474198</v>
      </c>
      <c r="G57" s="3">
        <v>3.3162982596645199</v>
      </c>
      <c r="H57" s="3">
        <v>4.8977451611838303</v>
      </c>
      <c r="I57" s="3">
        <v>1.1486267073690299</v>
      </c>
      <c r="J57" s="3">
        <v>2.08796241289004</v>
      </c>
      <c r="K57" s="3">
        <v>3.5489026963722199</v>
      </c>
      <c r="L57" s="3">
        <v>3.0336387253877799</v>
      </c>
      <c r="M57" s="3">
        <v>4.0998754700442204</v>
      </c>
      <c r="N57" s="3">
        <v>4.7364193435028898</v>
      </c>
    </row>
    <row r="58" spans="1:14" x14ac:dyDescent="0.35">
      <c r="A58" s="2">
        <v>43571</v>
      </c>
      <c r="B58" s="3">
        <v>3.7186819633964898</v>
      </c>
      <c r="C58" s="3">
        <v>4.8750108328979396</v>
      </c>
      <c r="D58" s="3">
        <v>3.1904054539989399</v>
      </c>
      <c r="E58" s="3">
        <v>3.4448131237381698</v>
      </c>
      <c r="F58" s="3">
        <v>2.5528736506267302</v>
      </c>
      <c r="G58" s="3">
        <v>3.28066280463905</v>
      </c>
      <c r="H58" s="3">
        <v>4.8076861727142504</v>
      </c>
      <c r="I58" s="3">
        <v>1.10192161881288</v>
      </c>
      <c r="J58" s="3">
        <v>2.0461735570362598</v>
      </c>
      <c r="K58" s="3">
        <v>3.4961893035688201</v>
      </c>
      <c r="L58" s="3">
        <v>2.9820153328018399</v>
      </c>
      <c r="M58" s="3">
        <v>4.0152132119374899</v>
      </c>
      <c r="N58" s="3">
        <v>4.6118389200995997</v>
      </c>
    </row>
    <row r="59" spans="1:14" x14ac:dyDescent="0.35">
      <c r="A59" s="2">
        <v>43601</v>
      </c>
      <c r="B59" s="3">
        <v>3.6630723331086101</v>
      </c>
      <c r="C59" s="3">
        <v>4.9072891090798398</v>
      </c>
      <c r="D59" s="3">
        <v>3.2864892203631899</v>
      </c>
      <c r="E59" s="3">
        <v>3.4720059075344198</v>
      </c>
      <c r="F59" s="3">
        <v>2.69400441175876</v>
      </c>
      <c r="G59" s="3">
        <v>3.2852426141334798</v>
      </c>
      <c r="H59" s="3">
        <v>4.92017376089174</v>
      </c>
      <c r="I59" s="3">
        <v>1.12292094273664</v>
      </c>
      <c r="J59" s="3">
        <v>2.0781077633314502</v>
      </c>
      <c r="K59" s="3">
        <v>3.55782203524481</v>
      </c>
      <c r="L59" s="3">
        <v>3.0171550802948399</v>
      </c>
      <c r="M59" s="3">
        <v>4.1681605402506001</v>
      </c>
      <c r="N59" s="3">
        <v>4.8191366110535698</v>
      </c>
    </row>
    <row r="60" spans="1:14" x14ac:dyDescent="0.35">
      <c r="A60" s="2">
        <v>43630</v>
      </c>
      <c r="B60" s="3">
        <v>3.65844987222764</v>
      </c>
      <c r="C60" s="3">
        <v>4.6873764262288899</v>
      </c>
      <c r="D60" s="3">
        <v>3.3330965348557302</v>
      </c>
      <c r="E60" s="3">
        <v>3.5803351911534298</v>
      </c>
      <c r="F60" s="3">
        <v>2.6953478474139501</v>
      </c>
      <c r="G60" s="3">
        <v>3.2511860665027399</v>
      </c>
      <c r="H60" s="3">
        <v>4.8441845319737098</v>
      </c>
      <c r="I60" s="3">
        <v>1.1451514234537501</v>
      </c>
      <c r="J60" s="3">
        <v>2.0834778336154498</v>
      </c>
      <c r="K60" s="3">
        <v>3.6287337692916002</v>
      </c>
      <c r="L60" s="3">
        <v>3.0751659522847898</v>
      </c>
      <c r="M60" s="3">
        <v>4.2305452558001697</v>
      </c>
      <c r="N60" s="3">
        <v>4.9608234047029498</v>
      </c>
    </row>
    <row r="61" spans="1:14" x14ac:dyDescent="0.35">
      <c r="A61" s="2">
        <v>43662</v>
      </c>
      <c r="B61" s="3">
        <v>3.46554191046509</v>
      </c>
      <c r="C61" s="3">
        <v>4.6321852563298798</v>
      </c>
      <c r="D61" s="3">
        <v>3.3084568508908401</v>
      </c>
      <c r="E61" s="3">
        <v>3.4498566796101202</v>
      </c>
      <c r="F61" s="3">
        <v>2.6613409795937502</v>
      </c>
      <c r="G61" s="3">
        <v>3.2447988305300801</v>
      </c>
      <c r="H61" s="3">
        <v>4.7638795878995799</v>
      </c>
      <c r="I61" s="3">
        <v>1.08180308830891</v>
      </c>
      <c r="J61" s="3">
        <v>2.0125872514470999</v>
      </c>
      <c r="K61" s="3">
        <v>3.4952497518411199</v>
      </c>
      <c r="L61" s="3">
        <v>2.95404588199905</v>
      </c>
      <c r="M61" s="3">
        <v>4.1305739584246401</v>
      </c>
      <c r="N61" s="3">
        <v>4.6352915233121399</v>
      </c>
    </row>
    <row r="62" spans="1:14" x14ac:dyDescent="0.35">
      <c r="A62" s="2">
        <v>43693</v>
      </c>
      <c r="B62" s="3">
        <v>3.4806186740490301</v>
      </c>
      <c r="C62" s="3">
        <v>4.77194841129488</v>
      </c>
      <c r="D62" s="3">
        <v>3.4360843370924101</v>
      </c>
      <c r="E62" s="3">
        <v>3.6392544086428802</v>
      </c>
      <c r="F62" s="3">
        <v>2.8038415409077602</v>
      </c>
      <c r="G62" s="3">
        <v>3.29323438479681</v>
      </c>
      <c r="H62" s="3">
        <v>5.1545657660760202</v>
      </c>
      <c r="I62" s="3">
        <v>1.12853164751718</v>
      </c>
      <c r="J62" s="3">
        <v>2.1022358904441099</v>
      </c>
      <c r="K62" s="3">
        <v>3.71485512777689</v>
      </c>
      <c r="L62" s="3">
        <v>3.0256457384332802</v>
      </c>
      <c r="M62" s="3">
        <v>4.3239607134910303</v>
      </c>
      <c r="N62" s="3">
        <v>5.10238955572681</v>
      </c>
    </row>
    <row r="63" spans="1:14" x14ac:dyDescent="0.35">
      <c r="A63" s="2">
        <v>43724</v>
      </c>
      <c r="B63" s="3">
        <v>3.3622761080538202</v>
      </c>
      <c r="C63" s="3">
        <v>4.4606217206695096</v>
      </c>
      <c r="D63" s="3">
        <v>3.3082487385792501</v>
      </c>
      <c r="E63" s="3">
        <v>3.4001442309595502</v>
      </c>
      <c r="F63" s="3">
        <v>2.5792286089175902</v>
      </c>
      <c r="G63" s="3">
        <v>3.2247486412799802</v>
      </c>
      <c r="H63" s="3">
        <v>4.9417946197530398</v>
      </c>
      <c r="I63" s="3">
        <v>1.09842926635236</v>
      </c>
      <c r="J63" s="3">
        <v>2.0370438547507201</v>
      </c>
      <c r="K63" s="3">
        <v>3.5322885872573502</v>
      </c>
      <c r="L63" s="3">
        <v>2.8695608657614202</v>
      </c>
      <c r="M63" s="3">
        <v>3.8834751680736801</v>
      </c>
      <c r="N63" s="3">
        <v>4.7543052643466197</v>
      </c>
    </row>
    <row r="64" spans="1:14" x14ac:dyDescent="0.35">
      <c r="A64" s="2">
        <v>43754</v>
      </c>
      <c r="B64" s="3">
        <v>3.2566243670062098</v>
      </c>
      <c r="C64" s="3">
        <v>4.40470129781224</v>
      </c>
      <c r="D64" s="3">
        <v>3.3671004233402599</v>
      </c>
      <c r="E64" s="3">
        <v>3.3317572442446601</v>
      </c>
      <c r="F64" s="3">
        <v>2.5564332385077599</v>
      </c>
      <c r="G64" s="3">
        <v>3.2096225446679099</v>
      </c>
      <c r="H64" s="3">
        <v>4.9369476323678301</v>
      </c>
      <c r="I64" s="3">
        <v>1.09611789432317</v>
      </c>
      <c r="J64" s="3">
        <v>2.05200735164575</v>
      </c>
      <c r="K64" s="3">
        <v>3.4854442348585799</v>
      </c>
      <c r="L64" s="3">
        <v>2.7436918257051</v>
      </c>
      <c r="M64" s="3">
        <v>3.8482917575369999</v>
      </c>
      <c r="N64" s="3">
        <v>4.6827541581459702</v>
      </c>
    </row>
    <row r="65" spans="1:14" x14ac:dyDescent="0.35">
      <c r="A65" s="2">
        <v>43784</v>
      </c>
      <c r="B65" s="3">
        <v>3.3529102884806599</v>
      </c>
      <c r="C65" s="3">
        <v>4.3104354011889203</v>
      </c>
      <c r="D65" s="3">
        <v>3.2412171729969201</v>
      </c>
      <c r="E65" s="3">
        <v>3.1118416522822701</v>
      </c>
      <c r="F65" s="3">
        <v>2.4743940219640099</v>
      </c>
      <c r="G65" s="3">
        <v>3.1300147701254102</v>
      </c>
      <c r="H65" s="3">
        <v>4.8182237447521903</v>
      </c>
      <c r="I65" s="3">
        <v>1.05782630516739</v>
      </c>
      <c r="J65" s="3">
        <v>1.9804841266536199</v>
      </c>
      <c r="K65" s="3">
        <v>3.3555780251414702</v>
      </c>
      <c r="L65" s="3">
        <v>2.6443914273978102</v>
      </c>
      <c r="M65" s="3">
        <v>3.6510214647955999</v>
      </c>
      <c r="N65" s="3">
        <v>4.5059604130283502</v>
      </c>
    </row>
    <row r="66" spans="1:14" x14ac:dyDescent="0.35">
      <c r="A66" s="2">
        <v>43815</v>
      </c>
      <c r="B66" s="3">
        <v>3.2446419573701002</v>
      </c>
      <c r="C66" s="3">
        <v>4.2227181115233696</v>
      </c>
      <c r="D66" s="3">
        <v>3.2512651366687502</v>
      </c>
      <c r="E66" s="3">
        <v>3.05523105455757</v>
      </c>
      <c r="F66" s="3">
        <v>2.4186015801869698</v>
      </c>
      <c r="G66" s="3">
        <v>3.0730335042402701</v>
      </c>
      <c r="H66" s="3">
        <v>4.5699039883833397</v>
      </c>
      <c r="I66" s="3">
        <v>1.05954588891526</v>
      </c>
      <c r="J66" s="3">
        <v>1.95405146802254</v>
      </c>
      <c r="K66" s="3">
        <v>3.3422945545407101</v>
      </c>
      <c r="L66" s="3">
        <v>2.5841011441582098</v>
      </c>
      <c r="M66" s="3">
        <v>3.58382159016984</v>
      </c>
      <c r="N66" s="3">
        <v>4.4935264646167399</v>
      </c>
    </row>
    <row r="67" spans="1:14" x14ac:dyDescent="0.35">
      <c r="A67" s="2">
        <v>43846</v>
      </c>
      <c r="B67" s="3">
        <v>3.1073208524171898</v>
      </c>
      <c r="C67" s="3">
        <v>4.1349335444714796</v>
      </c>
      <c r="D67" s="3">
        <v>3.2238766637077201</v>
      </c>
      <c r="E67" s="3">
        <v>3.06339347142156</v>
      </c>
      <c r="F67" s="3">
        <v>2.43512755365935</v>
      </c>
      <c r="G67" s="3">
        <v>3.0171141871381502</v>
      </c>
      <c r="H67" s="3">
        <v>4.5599279392018897</v>
      </c>
      <c r="I67" s="3">
        <v>1.00576439424877</v>
      </c>
      <c r="J67" s="3">
        <v>1.8915539210579799</v>
      </c>
      <c r="K67" s="3">
        <v>3.3193738461317399</v>
      </c>
      <c r="L67" s="3">
        <v>2.5901665900642699</v>
      </c>
      <c r="M67" s="3">
        <v>3.5244834847178499</v>
      </c>
      <c r="N67" s="3">
        <v>4.4399852926310297</v>
      </c>
    </row>
    <row r="68" spans="1:14" x14ac:dyDescent="0.35">
      <c r="A68" s="2">
        <v>43875</v>
      </c>
      <c r="B68" s="3">
        <v>3.0651841095033898</v>
      </c>
      <c r="C68" s="3">
        <v>4.0732781274069003</v>
      </c>
      <c r="D68" s="3">
        <v>3.2083159761728002</v>
      </c>
      <c r="E68" s="3">
        <v>2.9990887449068602</v>
      </c>
      <c r="F68" s="3">
        <v>2.46803095707648</v>
      </c>
      <c r="G68" s="3">
        <v>2.9321208963880201</v>
      </c>
      <c r="H68" s="3">
        <v>4.7011629740335596</v>
      </c>
      <c r="I68" s="3">
        <v>0.95846533465998296</v>
      </c>
      <c r="J68" s="3">
        <v>1.86880880341935</v>
      </c>
      <c r="K68" s="3">
        <v>3.2817316534689001</v>
      </c>
      <c r="L68" s="3">
        <v>2.4613389949889202</v>
      </c>
      <c r="M68" s="3">
        <v>3.4069165827668799</v>
      </c>
      <c r="N68" s="3">
        <v>4.44293913230754</v>
      </c>
    </row>
    <row r="69" spans="1:14" x14ac:dyDescent="0.35">
      <c r="A69" s="2">
        <v>43906</v>
      </c>
      <c r="B69" s="3">
        <v>3.7597568312165799</v>
      </c>
      <c r="C69" s="3">
        <v>5.7472528961321503</v>
      </c>
      <c r="D69" s="3">
        <v>4.6824740841070902</v>
      </c>
      <c r="E69" s="3">
        <v>4.68919817488635</v>
      </c>
      <c r="F69" s="3">
        <v>3.3667811254123099</v>
      </c>
      <c r="G69" s="3">
        <v>3.9357059978913602</v>
      </c>
      <c r="H69" s="3">
        <v>6.9406001334141996</v>
      </c>
      <c r="I69" s="3">
        <v>1.3226204995308299</v>
      </c>
      <c r="J69" s="3">
        <v>2.65268542808872</v>
      </c>
      <c r="K69" s="3">
        <v>5.06089006003217</v>
      </c>
      <c r="L69" s="3">
        <v>3.7318219340320802</v>
      </c>
      <c r="M69" s="3">
        <v>4.8017292385751098</v>
      </c>
      <c r="N69" s="3">
        <v>7.2358292708148904</v>
      </c>
    </row>
    <row r="70" spans="1:14" x14ac:dyDescent="0.35">
      <c r="A70" s="2">
        <v>43937</v>
      </c>
      <c r="B70" s="3">
        <v>2.81686866912366</v>
      </c>
      <c r="C70" s="3">
        <v>4.3993447251871798</v>
      </c>
      <c r="D70" s="3">
        <v>4.1654208178160497</v>
      </c>
      <c r="E70" s="3">
        <v>3.6142781649028599</v>
      </c>
      <c r="F70" s="3">
        <v>2.8983699183303502</v>
      </c>
      <c r="G70" s="3">
        <v>3.40341509742737</v>
      </c>
      <c r="H70" s="3">
        <v>5.9022687115294197</v>
      </c>
      <c r="I70" s="3">
        <v>1.0594235147253199</v>
      </c>
      <c r="J70" s="3">
        <v>2.2090874022629801</v>
      </c>
      <c r="K70" s="3">
        <v>3.9882589789083398</v>
      </c>
      <c r="L70" s="3">
        <v>2.8912206130349101</v>
      </c>
      <c r="M70" s="3">
        <v>3.59467435514668</v>
      </c>
      <c r="N70" s="3">
        <v>5.9114574360997096</v>
      </c>
    </row>
    <row r="71" spans="1:14" x14ac:dyDescent="0.35">
      <c r="A71" s="2">
        <v>43966</v>
      </c>
      <c r="B71" s="3">
        <v>2.60958308729702</v>
      </c>
      <c r="C71" s="3">
        <v>3.8323318075453701</v>
      </c>
      <c r="D71" s="3">
        <v>3.80079386087974</v>
      </c>
      <c r="E71" s="3">
        <v>3.4467916841550599</v>
      </c>
      <c r="F71" s="3">
        <v>2.8117219376777398</v>
      </c>
      <c r="G71" s="3">
        <v>3.30471914341874</v>
      </c>
      <c r="H71" s="3">
        <v>4.5924952488505904</v>
      </c>
      <c r="I71" s="3">
        <v>0.99800243862729898</v>
      </c>
      <c r="J71" s="3">
        <v>2.1169403142693501</v>
      </c>
      <c r="K71" s="3">
        <v>3.68767612002131</v>
      </c>
      <c r="L71" s="3">
        <v>2.6912306607416498</v>
      </c>
      <c r="M71" s="3">
        <v>3.4411478477780801</v>
      </c>
      <c r="N71" s="3">
        <v>5.1704618955795896</v>
      </c>
    </row>
    <row r="72" spans="1:14" x14ac:dyDescent="0.35">
      <c r="A72" s="2">
        <v>43998</v>
      </c>
      <c r="B72" s="3">
        <v>2.5935970209917398</v>
      </c>
      <c r="C72" s="3">
        <v>3.4346048259642599</v>
      </c>
      <c r="D72" s="3">
        <v>3.5425838432469599</v>
      </c>
      <c r="E72" s="3">
        <v>2.8983303790445998</v>
      </c>
      <c r="F72" s="3">
        <v>2.46400917078507</v>
      </c>
      <c r="G72" s="3">
        <v>3.1025817338745401</v>
      </c>
      <c r="H72" s="3">
        <v>4.0588015338560002</v>
      </c>
      <c r="I72" s="3">
        <v>0.913486069208583</v>
      </c>
      <c r="J72" s="3">
        <v>1.92870320168378</v>
      </c>
      <c r="K72" s="3">
        <v>3.1442790907150902</v>
      </c>
      <c r="L72" s="3">
        <v>2.40265536003588</v>
      </c>
      <c r="M72" s="3">
        <v>3.0397851482147198</v>
      </c>
      <c r="N72" s="3">
        <v>4.2146429873129696</v>
      </c>
    </row>
    <row r="73" spans="1:14" x14ac:dyDescent="0.35">
      <c r="A73" s="2">
        <v>44028</v>
      </c>
      <c r="B73" s="3">
        <v>2.4731671682029299</v>
      </c>
      <c r="C73" s="3">
        <v>3.4174210121576598</v>
      </c>
      <c r="D73" s="3">
        <v>3.4390150007181002</v>
      </c>
      <c r="E73" s="3">
        <v>2.8093794539489498</v>
      </c>
      <c r="F73" s="3">
        <v>2.4742863430550299</v>
      </c>
      <c r="G73" s="3">
        <v>2.9917172975556299</v>
      </c>
      <c r="H73" s="3">
        <v>3.9880865589305698</v>
      </c>
      <c r="I73" s="3">
        <v>0.85783013634027605</v>
      </c>
      <c r="J73" s="3">
        <v>1.84985053877432</v>
      </c>
      <c r="K73" s="3">
        <v>3.0461045443669601</v>
      </c>
      <c r="L73" s="3">
        <v>2.3269803192932099</v>
      </c>
      <c r="M73" s="3">
        <v>2.96482124631794</v>
      </c>
      <c r="N73" s="3">
        <v>4.2068598391398897</v>
      </c>
    </row>
    <row r="74" spans="1:14" x14ac:dyDescent="0.35">
      <c r="A74" s="2">
        <v>44057</v>
      </c>
      <c r="B74" s="3">
        <v>2.4494747271571198</v>
      </c>
      <c r="C74" s="3">
        <v>3.33913985231138</v>
      </c>
      <c r="D74" s="3">
        <v>3.3547414293416198</v>
      </c>
      <c r="E74" s="3">
        <v>2.8278294912184698</v>
      </c>
      <c r="F74" s="3">
        <v>2.38838264574848</v>
      </c>
      <c r="G74" s="3">
        <v>2.95276938474872</v>
      </c>
      <c r="H74" s="3">
        <v>3.9661561396570799</v>
      </c>
      <c r="I74" s="3">
        <v>0.818504509281199</v>
      </c>
      <c r="J74" s="3">
        <v>1.7660473366959699</v>
      </c>
      <c r="K74" s="3">
        <v>3.1258005055311702</v>
      </c>
      <c r="L74" s="3">
        <v>2.3493886413242002</v>
      </c>
      <c r="M74" s="3">
        <v>3.0243764941417401</v>
      </c>
      <c r="N74" s="3">
        <v>3.93919472595609</v>
      </c>
    </row>
    <row r="75" spans="1:14" x14ac:dyDescent="0.35">
      <c r="A75" s="2">
        <v>44090</v>
      </c>
      <c r="B75" s="3">
        <v>2.4134622812659901</v>
      </c>
      <c r="C75" s="3">
        <v>3.5550372253869198</v>
      </c>
      <c r="D75" s="3">
        <v>3.4074159131483301</v>
      </c>
      <c r="E75" s="3">
        <v>2.7832693835045101</v>
      </c>
      <c r="F75" s="3">
        <v>2.3465843924873799</v>
      </c>
      <c r="G75" s="3">
        <v>2.8685365864385499</v>
      </c>
      <c r="H75" s="3">
        <v>4.0481050543992501</v>
      </c>
      <c r="I75" s="3">
        <v>0.81356392316550397</v>
      </c>
      <c r="J75" s="3">
        <v>1.7638602354804001</v>
      </c>
      <c r="K75" s="3">
        <v>3.09654805112755</v>
      </c>
      <c r="L75" s="3">
        <v>2.3026565560088201</v>
      </c>
      <c r="M75" s="3">
        <v>2.9449546543960601</v>
      </c>
      <c r="N75" s="3">
        <v>4.0238010875256602</v>
      </c>
    </row>
    <row r="76" spans="1:14" x14ac:dyDescent="0.35">
      <c r="A76" s="2">
        <v>44120</v>
      </c>
      <c r="B76" s="3">
        <v>2.3508735801479301</v>
      </c>
      <c r="C76" s="3">
        <v>3.5636325381602298</v>
      </c>
      <c r="D76" s="3">
        <v>3.39720943577472</v>
      </c>
      <c r="E76" s="3">
        <v>2.8130516736303401</v>
      </c>
      <c r="F76" s="3">
        <v>2.3994509513415898</v>
      </c>
      <c r="G76" s="3">
        <v>2.9640610033211998</v>
      </c>
      <c r="H76" s="3">
        <v>4.2950204288310703</v>
      </c>
      <c r="I76" s="3">
        <v>0.77661824723669703</v>
      </c>
      <c r="J76" s="3">
        <v>1.7178140318824699</v>
      </c>
      <c r="K76" s="3">
        <v>3.2063652956904698</v>
      </c>
      <c r="L76" s="3">
        <v>2.2722668399922901</v>
      </c>
      <c r="M76" s="3">
        <v>3.02064307021978</v>
      </c>
      <c r="N76" s="3">
        <v>4.1389315143047503</v>
      </c>
    </row>
    <row r="77" spans="1:14" x14ac:dyDescent="0.35">
      <c r="A77" s="2">
        <v>44151</v>
      </c>
      <c r="B77" s="3">
        <v>2.3478003208059701</v>
      </c>
      <c r="C77" s="3">
        <v>3.4740242933854399</v>
      </c>
      <c r="D77" s="3">
        <v>3.28647843690131</v>
      </c>
      <c r="E77" s="3">
        <v>2.8362202731767998</v>
      </c>
      <c r="F77" s="3">
        <v>2.2466782231898699</v>
      </c>
      <c r="G77" s="3">
        <v>2.8633986011474999</v>
      </c>
      <c r="H77" s="3">
        <v>3.9771627770221598</v>
      </c>
      <c r="I77" s="3">
        <v>0.771051124641008</v>
      </c>
      <c r="J77" s="3">
        <v>1.65077279698707</v>
      </c>
      <c r="K77" s="3">
        <v>2.9199539748417198</v>
      </c>
      <c r="L77" s="3">
        <v>2.17465985255622</v>
      </c>
      <c r="M77" s="3">
        <v>3.01857724794626</v>
      </c>
      <c r="N77" s="3">
        <v>3.97244542942506</v>
      </c>
    </row>
    <row r="78" spans="1:14" x14ac:dyDescent="0.35">
      <c r="A78" s="2">
        <v>44181</v>
      </c>
      <c r="B78" s="3">
        <v>2.4038725692229401</v>
      </c>
      <c r="C78" s="3">
        <v>3.5302574142609799</v>
      </c>
      <c r="D78" s="3">
        <v>3.1097239207771601</v>
      </c>
      <c r="E78" s="3">
        <v>2.7438135068245302</v>
      </c>
      <c r="F78" s="3">
        <v>2.1634594734086998</v>
      </c>
      <c r="G78" s="3">
        <v>2.8852593445419301</v>
      </c>
      <c r="H78" s="3">
        <v>3.8737789797583999</v>
      </c>
      <c r="I78" s="3">
        <v>0.73631446240945897</v>
      </c>
      <c r="J78" s="3">
        <v>1.62475218698297</v>
      </c>
      <c r="K78" s="3">
        <v>2.9201768095348499</v>
      </c>
      <c r="L78" s="3">
        <v>2.0479451411066201</v>
      </c>
      <c r="M78" s="3">
        <v>3.0717450432652602</v>
      </c>
      <c r="N78" s="3">
        <v>3.9427395755856001</v>
      </c>
    </row>
    <row r="79" spans="1:14" x14ac:dyDescent="0.35">
      <c r="A79" s="2">
        <v>44211</v>
      </c>
      <c r="B79" s="3">
        <v>2.4548774803997899</v>
      </c>
      <c r="C79" s="3">
        <v>3.5583476738329498</v>
      </c>
      <c r="D79" s="3">
        <v>3.0347145820632702</v>
      </c>
      <c r="E79" s="3">
        <v>2.7331999532903701</v>
      </c>
      <c r="F79" s="3">
        <v>2.0855241676770802</v>
      </c>
      <c r="G79" s="3">
        <v>2.8036622943743001</v>
      </c>
      <c r="H79" s="3">
        <v>3.8919815540976899</v>
      </c>
      <c r="I79" s="3">
        <v>0.771151756252072</v>
      </c>
      <c r="J79" s="3">
        <v>1.5775018427106999</v>
      </c>
      <c r="K79" s="3">
        <v>2.9280442884673898</v>
      </c>
      <c r="L79" s="3">
        <v>1.9660691004843001</v>
      </c>
      <c r="M79" s="3">
        <v>3.0125419278932899</v>
      </c>
      <c r="N79" s="3">
        <v>3.9855176020304999</v>
      </c>
    </row>
    <row r="80" spans="1:14" x14ac:dyDescent="0.35">
      <c r="A80" s="2">
        <v>44243</v>
      </c>
      <c r="B80" s="3">
        <v>2.53977670009108</v>
      </c>
      <c r="C80" s="3">
        <v>3.66463898213004</v>
      </c>
      <c r="D80" s="3">
        <v>2.92013441454684</v>
      </c>
      <c r="E80" s="3">
        <v>2.7237761366636</v>
      </c>
      <c r="F80" s="3">
        <v>1.9964881942502899</v>
      </c>
      <c r="G80" s="3">
        <v>2.7970772217484701</v>
      </c>
      <c r="H80" s="3">
        <v>3.90250513772749</v>
      </c>
      <c r="I80" s="3">
        <v>0.72333483675944199</v>
      </c>
      <c r="J80" s="3">
        <v>1.5259914164013999</v>
      </c>
      <c r="K80" s="3">
        <v>2.8346750437608401</v>
      </c>
      <c r="L80" s="3">
        <v>1.87165216899005</v>
      </c>
      <c r="M80" s="3">
        <v>2.9640690512849499</v>
      </c>
      <c r="N80" s="3">
        <v>3.91745689307976</v>
      </c>
    </row>
    <row r="81" spans="1:14" x14ac:dyDescent="0.35">
      <c r="A81" s="2">
        <v>44271</v>
      </c>
      <c r="B81" s="3">
        <v>2.5199951121286199</v>
      </c>
      <c r="C81" s="3">
        <v>3.8585271599546198</v>
      </c>
      <c r="D81" s="3">
        <v>2.83392024738641</v>
      </c>
      <c r="E81" s="3">
        <v>2.7499089090167699</v>
      </c>
      <c r="F81" s="3">
        <v>2.0313630417831399</v>
      </c>
      <c r="G81" s="3">
        <v>2.8282802019360398</v>
      </c>
      <c r="H81" s="3">
        <v>3.9418381227422601</v>
      </c>
      <c r="I81" s="3">
        <v>0.76278670317000097</v>
      </c>
      <c r="J81" s="3">
        <v>1.5247724399182501</v>
      </c>
      <c r="K81" s="3">
        <v>2.7363486629777798</v>
      </c>
      <c r="L81" s="3">
        <v>2.0014417744886099</v>
      </c>
      <c r="M81" s="3">
        <v>2.7682697254467401</v>
      </c>
      <c r="N81" s="3">
        <v>4.0231808569221696</v>
      </c>
    </row>
    <row r="82" spans="1:14" x14ac:dyDescent="0.35">
      <c r="A82" s="2">
        <v>44302</v>
      </c>
      <c r="B82" s="3">
        <v>2.56196760003025</v>
      </c>
      <c r="C82" s="3">
        <v>3.85939079817717</v>
      </c>
      <c r="D82" s="3">
        <v>2.7377678768976001</v>
      </c>
      <c r="E82" s="3">
        <v>2.6676954452608301</v>
      </c>
      <c r="F82" s="3">
        <v>2.0749364987066299</v>
      </c>
      <c r="G82" s="3">
        <v>2.71758254894283</v>
      </c>
      <c r="H82" s="3">
        <v>3.9279916591422599</v>
      </c>
      <c r="I82" s="3">
        <v>0.71754795186415798</v>
      </c>
      <c r="J82" s="3">
        <v>1.4540453805865701</v>
      </c>
      <c r="K82" s="3">
        <v>2.6792813059206</v>
      </c>
      <c r="L82" s="3">
        <v>1.90607267115916</v>
      </c>
      <c r="M82" s="3">
        <v>2.6773996898131398</v>
      </c>
      <c r="N82" s="3">
        <v>4.0613448081006602</v>
      </c>
    </row>
    <row r="83" spans="1:14" x14ac:dyDescent="0.35">
      <c r="A83" s="2">
        <v>44330</v>
      </c>
      <c r="B83" s="3">
        <v>2.6782986438759999</v>
      </c>
      <c r="C83" s="3">
        <v>3.9454601672202898</v>
      </c>
      <c r="D83" s="3">
        <v>2.7304437126706298</v>
      </c>
      <c r="E83" s="3">
        <v>2.8170535430534098</v>
      </c>
      <c r="F83" s="3">
        <v>2.2011905959491198</v>
      </c>
      <c r="G83" s="3">
        <v>2.7715386685266701</v>
      </c>
      <c r="H83" s="3">
        <v>3.9012608711320902</v>
      </c>
      <c r="I83" s="3">
        <v>0.75491596770954905</v>
      </c>
      <c r="J83" s="3">
        <v>1.4639939603885499</v>
      </c>
      <c r="K83" s="3">
        <v>2.69743546184786</v>
      </c>
      <c r="L83" s="3">
        <v>1.99722545595578</v>
      </c>
      <c r="M83" s="3">
        <v>2.81449833382498</v>
      </c>
      <c r="N83" s="3">
        <v>4.1706429096372002</v>
      </c>
    </row>
    <row r="84" spans="1:14" x14ac:dyDescent="0.35">
      <c r="A84" s="2">
        <v>44363</v>
      </c>
      <c r="B84" s="3">
        <v>2.6853193528895098</v>
      </c>
      <c r="C84" s="3">
        <v>3.8266887409198702</v>
      </c>
      <c r="D84" s="3">
        <v>2.5561552346551402</v>
      </c>
      <c r="E84" s="3">
        <v>2.7785052599054301</v>
      </c>
      <c r="F84" s="3">
        <v>2.1446395469816601</v>
      </c>
      <c r="G84" s="3">
        <v>2.5985391752498801</v>
      </c>
      <c r="H84" s="3">
        <v>3.8491155749722101</v>
      </c>
      <c r="I84" s="3">
        <v>0.73072695533918897</v>
      </c>
      <c r="J84" s="3">
        <v>1.4611491826877301</v>
      </c>
      <c r="K84" s="3">
        <v>2.62870594700196</v>
      </c>
      <c r="L84" s="3">
        <v>1.98137915553804</v>
      </c>
      <c r="M84" s="3">
        <v>2.65673081921156</v>
      </c>
      <c r="N84" s="3">
        <v>4.0260329624277897</v>
      </c>
    </row>
    <row r="85" spans="1:14" x14ac:dyDescent="0.35">
      <c r="A85" s="2">
        <v>44393</v>
      </c>
      <c r="B85" s="3">
        <v>2.6168884274558599</v>
      </c>
      <c r="C85" s="3">
        <v>4.1867600027396596</v>
      </c>
      <c r="D85" s="3">
        <v>2.7423913748421</v>
      </c>
      <c r="E85" s="3">
        <v>2.8344763369145101</v>
      </c>
      <c r="F85" s="3">
        <v>2.2254557323248898</v>
      </c>
      <c r="G85" s="3">
        <v>2.6219549008539298</v>
      </c>
      <c r="H85" s="3">
        <v>4.0829688144487903</v>
      </c>
      <c r="I85" s="3">
        <v>0.69988428138001502</v>
      </c>
      <c r="J85" s="3">
        <v>1.4472007967829199</v>
      </c>
      <c r="K85" s="3">
        <v>2.7357914628069402</v>
      </c>
      <c r="L85" s="3">
        <v>2.0199678822427298</v>
      </c>
      <c r="M85" s="3">
        <v>2.6839107220719298</v>
      </c>
      <c r="N85" s="3">
        <v>4.2401707888096603</v>
      </c>
    </row>
    <row r="86" spans="1:14" x14ac:dyDescent="0.35">
      <c r="A86" s="2">
        <v>44424</v>
      </c>
      <c r="B86" s="3">
        <v>2.6691018573296699</v>
      </c>
      <c r="C86" s="3">
        <v>4.0334264014835197</v>
      </c>
      <c r="D86" s="3">
        <v>2.6926308434706598</v>
      </c>
      <c r="E86" s="3">
        <v>2.8307722462449498</v>
      </c>
      <c r="F86" s="3">
        <v>2.2607717611243898</v>
      </c>
      <c r="G86" s="3">
        <v>2.55382299556369</v>
      </c>
      <c r="H86" s="3">
        <v>4.1579632216612099</v>
      </c>
      <c r="I86" s="3">
        <v>0.698694042220946</v>
      </c>
      <c r="J86" s="3">
        <v>1.4077299762700699</v>
      </c>
      <c r="K86" s="3">
        <v>2.6910001199724101</v>
      </c>
      <c r="L86" s="3">
        <v>1.9585334356187201</v>
      </c>
      <c r="M86" s="3">
        <v>2.7349104774214998</v>
      </c>
      <c r="N86" s="3">
        <v>4.2621450365013702</v>
      </c>
    </row>
    <row r="87" spans="1:14" x14ac:dyDescent="0.35">
      <c r="A87" s="2">
        <v>44455</v>
      </c>
      <c r="B87" s="3">
        <v>2.6229451645187698</v>
      </c>
      <c r="C87" s="3">
        <v>4.0635479941726702</v>
      </c>
      <c r="D87" s="3">
        <v>2.7534035659481102</v>
      </c>
      <c r="E87" s="3">
        <v>2.8846022357895502</v>
      </c>
      <c r="F87" s="3">
        <v>2.135568716851</v>
      </c>
      <c r="G87" s="3">
        <v>2.6499738207519501</v>
      </c>
      <c r="H87" s="3">
        <v>4.2409203866196199</v>
      </c>
      <c r="I87" s="3">
        <v>0.685518141731982</v>
      </c>
      <c r="J87" s="3">
        <v>1.4184948706741001</v>
      </c>
      <c r="K87" s="3">
        <v>2.80041404728007</v>
      </c>
      <c r="L87" s="3">
        <v>1.83266572960165</v>
      </c>
      <c r="M87" s="3">
        <v>2.74958276793084</v>
      </c>
      <c r="N87" s="3">
        <v>4.5074319486036503</v>
      </c>
    </row>
    <row r="88" spans="1:14" x14ac:dyDescent="0.35">
      <c r="A88" s="2">
        <v>44484</v>
      </c>
      <c r="B88" s="3">
        <v>2.6695527994624202</v>
      </c>
      <c r="C88" s="3">
        <v>3.9845523992919398</v>
      </c>
      <c r="D88" s="3">
        <v>2.7141441622989801</v>
      </c>
      <c r="E88" s="3">
        <v>2.9221652460056098</v>
      </c>
      <c r="F88" s="3">
        <v>2.2119364312787999</v>
      </c>
      <c r="G88" s="3">
        <v>2.6927849676968001</v>
      </c>
      <c r="H88" s="3">
        <v>4.03933233597526</v>
      </c>
      <c r="I88" s="3">
        <v>0.70786810821567303</v>
      </c>
      <c r="J88" s="3">
        <v>1.4280881940671899</v>
      </c>
      <c r="K88" s="3">
        <v>2.8179098862255398</v>
      </c>
      <c r="L88" s="3">
        <v>1.9260284201528799</v>
      </c>
      <c r="M88" s="3">
        <v>2.8216945439404499</v>
      </c>
      <c r="N88" s="3">
        <v>4.3949927992870297</v>
      </c>
    </row>
    <row r="89" spans="1:14" x14ac:dyDescent="0.35">
      <c r="A89" s="2">
        <v>44516</v>
      </c>
      <c r="B89" s="3">
        <v>2.7135679739817302</v>
      </c>
      <c r="C89" s="3">
        <v>3.9701331611427202</v>
      </c>
      <c r="D89" s="3">
        <v>2.68303500111127</v>
      </c>
      <c r="E89" s="3">
        <v>2.9212055806437398</v>
      </c>
      <c r="F89" s="3">
        <v>2.2074492051755699</v>
      </c>
      <c r="G89" s="3">
        <v>2.5777634675433201</v>
      </c>
      <c r="H89" s="3">
        <v>4.0208209886416499</v>
      </c>
      <c r="I89" s="3">
        <v>0.66164923927044506</v>
      </c>
      <c r="J89" s="3">
        <v>1.36550659413435</v>
      </c>
      <c r="K89" s="3">
        <v>2.71332439787929</v>
      </c>
      <c r="L89" s="3">
        <v>1.8334823318076601</v>
      </c>
      <c r="M89" s="3">
        <v>2.91563612856263</v>
      </c>
      <c r="N89" s="3">
        <v>4.2978502147407296</v>
      </c>
    </row>
    <row r="90" spans="1:14" x14ac:dyDescent="0.35">
      <c r="A90" s="2">
        <v>44546</v>
      </c>
      <c r="B90" s="3">
        <v>2.7968923270068902</v>
      </c>
      <c r="C90" s="3">
        <v>3.9794387612312798</v>
      </c>
      <c r="D90" s="3">
        <v>2.8411749925492198</v>
      </c>
      <c r="E90" s="3">
        <v>3.0645676765533798</v>
      </c>
      <c r="F90" s="3">
        <v>2.2860116233115102</v>
      </c>
      <c r="G90" s="3">
        <v>2.5503947318009099</v>
      </c>
      <c r="H90" s="3">
        <v>4.0127125954936496</v>
      </c>
      <c r="I90" s="3">
        <v>0.68626624859764196</v>
      </c>
      <c r="J90" s="3">
        <v>1.3840398505265401</v>
      </c>
      <c r="K90" s="3">
        <v>2.7909527333937301</v>
      </c>
      <c r="L90" s="3">
        <v>1.98689925805914</v>
      </c>
      <c r="M90" s="3">
        <v>2.9502363392700599</v>
      </c>
      <c r="N90" s="3">
        <v>4.6690014092552401</v>
      </c>
    </row>
    <row r="91" spans="1:14" x14ac:dyDescent="0.35">
      <c r="A91" s="2">
        <v>44575</v>
      </c>
      <c r="B91" s="3">
        <v>2.84161436516067</v>
      </c>
      <c r="C91" s="3">
        <v>3.87700807266835</v>
      </c>
      <c r="D91" s="3">
        <v>2.7647255060042299</v>
      </c>
      <c r="E91" s="3">
        <v>3.05806517225755</v>
      </c>
      <c r="F91" s="3">
        <v>2.3493997745301698</v>
      </c>
      <c r="G91" s="3">
        <v>2.6309461054614101</v>
      </c>
      <c r="H91" s="3">
        <v>3.8205845635430098</v>
      </c>
      <c r="I91" s="3">
        <v>0.70040698284575298</v>
      </c>
      <c r="J91" s="3">
        <v>1.3889646343913</v>
      </c>
      <c r="K91" s="3">
        <v>2.7680597809393901</v>
      </c>
      <c r="L91" s="3">
        <v>2.0058294655903</v>
      </c>
      <c r="M91" s="3">
        <v>2.9667209167476698</v>
      </c>
      <c r="N91" s="3">
        <v>4.59371642495364</v>
      </c>
    </row>
    <row r="92" spans="1:14" x14ac:dyDescent="0.35">
      <c r="A92" s="2">
        <v>44608</v>
      </c>
      <c r="B92" s="3">
        <v>2.9929861493241599</v>
      </c>
      <c r="C92" s="3">
        <v>4.2694391596022303</v>
      </c>
      <c r="D92" s="3">
        <v>2.8099227215398601</v>
      </c>
      <c r="E92" s="3">
        <v>3.2176108831563401</v>
      </c>
      <c r="F92" s="3">
        <v>2.4390377676589798</v>
      </c>
      <c r="G92" s="3">
        <v>2.7600744426224999</v>
      </c>
      <c r="H92" s="3">
        <v>3.8052411759184399</v>
      </c>
      <c r="I92" s="3">
        <v>0.76108323883420304</v>
      </c>
      <c r="J92" s="3">
        <v>1.4696133501231801</v>
      </c>
      <c r="K92" s="3">
        <v>2.9166394542219098</v>
      </c>
      <c r="L92" s="3">
        <v>2.2009954151584701</v>
      </c>
      <c r="M92" s="3">
        <v>2.96272588474464</v>
      </c>
      <c r="N92" s="3">
        <v>4.8065101627080002</v>
      </c>
    </row>
    <row r="93" spans="1:14" x14ac:dyDescent="0.35">
      <c r="A93" s="2">
        <v>44636</v>
      </c>
      <c r="B93" s="3">
        <v>3.06952684824939</v>
      </c>
      <c r="C93" s="3">
        <v>4.3376373656853904</v>
      </c>
      <c r="D93" s="3">
        <v>2.84685525552471</v>
      </c>
      <c r="E93" s="3">
        <v>3.4739450845462501</v>
      </c>
      <c r="F93" s="3">
        <v>2.6344306553568901</v>
      </c>
      <c r="G93" s="3">
        <v>2.8452459708258102</v>
      </c>
      <c r="H93" s="3">
        <v>4.0629519065171502</v>
      </c>
      <c r="I93" s="3">
        <v>0.80602639958086897</v>
      </c>
      <c r="J93" s="3">
        <v>1.51170261321716</v>
      </c>
      <c r="K93" s="3">
        <v>3.1285049668568599</v>
      </c>
      <c r="L93" s="3">
        <v>2.2906718889597899</v>
      </c>
      <c r="M93" s="3">
        <v>3.0496483428504302</v>
      </c>
      <c r="N93" s="3">
        <v>5.2004998722257101</v>
      </c>
    </row>
    <row r="94" spans="1:14" x14ac:dyDescent="0.35">
      <c r="A94" s="2">
        <v>44665</v>
      </c>
      <c r="B94" s="3">
        <v>3.14102107944302</v>
      </c>
      <c r="C94" s="3">
        <v>4.3338887630298597</v>
      </c>
      <c r="D94" s="3">
        <v>2.8443819524663301</v>
      </c>
      <c r="E94" s="3">
        <v>3.6262638263569902</v>
      </c>
      <c r="F94" s="3">
        <v>2.5738579121927501</v>
      </c>
      <c r="G94" s="3">
        <v>2.7502221235861199</v>
      </c>
      <c r="H94" s="3">
        <v>3.9313256307022302</v>
      </c>
      <c r="I94" s="3">
        <v>0.81242898043485201</v>
      </c>
      <c r="J94" s="3">
        <v>1.5009230666437301</v>
      </c>
      <c r="K94" s="3">
        <v>3.1295477202036999</v>
      </c>
      <c r="L94" s="3">
        <v>2.31574786755424</v>
      </c>
      <c r="M94" s="3">
        <v>3.1588172986796601</v>
      </c>
      <c r="N94" s="3">
        <v>5.0355833830153802</v>
      </c>
    </row>
    <row r="95" spans="1:14" x14ac:dyDescent="0.35">
      <c r="A95" s="2">
        <v>44697</v>
      </c>
      <c r="B95" s="3">
        <v>3.24076987848427</v>
      </c>
      <c r="C95" s="3">
        <v>4.7517620502996598</v>
      </c>
      <c r="D95" s="3">
        <v>3.1873042066906501</v>
      </c>
      <c r="E95" s="3">
        <v>3.85461211048049</v>
      </c>
      <c r="F95" s="3">
        <v>2.6588518806754098</v>
      </c>
      <c r="G95" s="3">
        <v>2.9788545008435499</v>
      </c>
      <c r="H95" s="3">
        <v>4.13818062019884</v>
      </c>
      <c r="I95" s="3">
        <v>0.92712774838720802</v>
      </c>
      <c r="J95" s="3">
        <v>1.65578679598593</v>
      </c>
      <c r="K95" s="3">
        <v>3.2778028613965402</v>
      </c>
      <c r="L95" s="3">
        <v>2.5625770842858602</v>
      </c>
      <c r="M95" s="3">
        <v>3.4166624475940099</v>
      </c>
      <c r="N95" s="3">
        <v>5.1830974873350799</v>
      </c>
    </row>
    <row r="96" spans="1:14" x14ac:dyDescent="0.35">
      <c r="A96" s="2">
        <v>44728</v>
      </c>
      <c r="B96" s="3">
        <v>3.4283274928262299</v>
      </c>
      <c r="C96" s="3">
        <v>5.2163613860965796</v>
      </c>
      <c r="D96" s="3">
        <v>3.39794267757767</v>
      </c>
      <c r="E96" s="3">
        <v>4.1248853259515403</v>
      </c>
      <c r="F96" s="3">
        <v>2.7033117423226298</v>
      </c>
      <c r="G96" s="3">
        <v>3.2898525092950401</v>
      </c>
      <c r="H96" s="3">
        <v>4.3919046931411101</v>
      </c>
      <c r="I96" s="3">
        <v>1.0275708036265501</v>
      </c>
      <c r="J96" s="3">
        <v>1.8231261381092401</v>
      </c>
      <c r="K96" s="3">
        <v>3.5509585203266201</v>
      </c>
      <c r="L96" s="3">
        <v>3.6055782125436302</v>
      </c>
      <c r="M96" s="3">
        <v>3.6126458435703799</v>
      </c>
      <c r="N96" s="3">
        <v>5.8306880610866196</v>
      </c>
    </row>
    <row r="97" spans="1:14" x14ac:dyDescent="0.35">
      <c r="A97" s="2">
        <v>44757</v>
      </c>
      <c r="B97" s="3">
        <v>3.32796341763629</v>
      </c>
      <c r="C97" s="3">
        <v>5.2168583403187903</v>
      </c>
      <c r="D97" s="3">
        <v>3.5269357059601099</v>
      </c>
      <c r="E97" s="3">
        <v>4.20054900548066</v>
      </c>
      <c r="F97" s="3">
        <v>2.6729873602154699</v>
      </c>
      <c r="G97" s="3">
        <v>3.1501765264063999</v>
      </c>
      <c r="H97" s="3">
        <v>4.3853339096439896</v>
      </c>
      <c r="I97" s="3">
        <v>0.96204519144401102</v>
      </c>
      <c r="J97" s="3">
        <v>1.74251139986071</v>
      </c>
      <c r="K97" s="3">
        <v>3.48319635814233</v>
      </c>
      <c r="L97" s="3">
        <v>3.3701997971951401</v>
      </c>
      <c r="M97" s="3">
        <v>3.7409920162091499</v>
      </c>
      <c r="N97" s="3">
        <v>6.0779345786544203</v>
      </c>
    </row>
    <row r="98" spans="1:14" x14ac:dyDescent="0.35">
      <c r="A98" s="2">
        <v>44789</v>
      </c>
      <c r="B98" s="3">
        <v>3.1610409516165499</v>
      </c>
      <c r="C98" s="3">
        <v>4.6905664294450702</v>
      </c>
      <c r="D98" s="3">
        <v>3.2880821912330802</v>
      </c>
      <c r="E98" s="3">
        <v>3.88904029548703</v>
      </c>
      <c r="F98" s="3">
        <v>2.5632723855118198</v>
      </c>
      <c r="G98" s="3">
        <v>3.0889032337255999</v>
      </c>
      <c r="H98" s="3">
        <v>4.1710534692074104</v>
      </c>
      <c r="I98" s="3">
        <v>0.84958738657098798</v>
      </c>
      <c r="J98" s="3">
        <v>1.5789690125771301</v>
      </c>
      <c r="K98" s="3">
        <v>3.24132424591977</v>
      </c>
      <c r="L98" s="3">
        <v>3.03083333978257</v>
      </c>
      <c r="M98" s="3">
        <v>3.4436412428738099</v>
      </c>
      <c r="N98" s="3">
        <v>5.56378503204279</v>
      </c>
    </row>
    <row r="99" spans="1:14" x14ac:dyDescent="0.35">
      <c r="A99" s="2">
        <v>44820</v>
      </c>
      <c r="B99" s="3">
        <v>3.2615933149511198</v>
      </c>
      <c r="C99" s="3">
        <v>5.0021664852770602</v>
      </c>
      <c r="D99" s="3">
        <v>3.4532239669468798</v>
      </c>
      <c r="E99" s="3">
        <v>4.2412582501728302</v>
      </c>
      <c r="F99" s="3">
        <v>2.6438689456667901</v>
      </c>
      <c r="G99" s="3">
        <v>3.2865422619023001</v>
      </c>
      <c r="H99" s="3">
        <v>4.4965746070531498</v>
      </c>
      <c r="I99" s="3">
        <v>0.98394542738987001</v>
      </c>
      <c r="J99" s="3">
        <v>1.76811468423436</v>
      </c>
      <c r="K99" s="3">
        <v>3.55271848746907</v>
      </c>
      <c r="L99" s="3">
        <v>3.76103819988329</v>
      </c>
      <c r="M99" s="3">
        <v>3.7733874231824398</v>
      </c>
      <c r="N99" s="3">
        <v>5.6420821421266698</v>
      </c>
    </row>
    <row r="100" spans="1:14" x14ac:dyDescent="0.35">
      <c r="A100" s="2">
        <v>44848</v>
      </c>
      <c r="B100" s="3">
        <v>3.48236940927434</v>
      </c>
      <c r="C100" s="3">
        <v>5.0892871252807597</v>
      </c>
      <c r="D100" s="3">
        <v>3.6588970398637501</v>
      </c>
      <c r="E100" s="3">
        <v>4.3612213348700699</v>
      </c>
      <c r="F100" s="3">
        <v>2.7270435105177002</v>
      </c>
      <c r="G100" s="3">
        <v>3.4284568495068499</v>
      </c>
      <c r="H100" s="3">
        <v>4.6895804993638999</v>
      </c>
      <c r="I100" s="3">
        <v>1.10144420546838</v>
      </c>
      <c r="J100" s="3">
        <v>1.91812858833878</v>
      </c>
      <c r="K100" s="3">
        <v>3.6837222699791501</v>
      </c>
      <c r="L100" s="3">
        <v>3.1576887844641601</v>
      </c>
      <c r="M100" s="3">
        <v>3.7754884102832298</v>
      </c>
      <c r="N100" s="3">
        <v>6.14511238023485</v>
      </c>
    </row>
    <row r="101" spans="1:14" x14ac:dyDescent="0.35">
      <c r="A101" s="2">
        <v>44881</v>
      </c>
      <c r="B101" s="3">
        <v>3.4058572036549601</v>
      </c>
      <c r="C101" s="3">
        <v>4.6213093930717299</v>
      </c>
      <c r="D101" s="3">
        <v>3.3438337566243099</v>
      </c>
      <c r="E101" s="3">
        <v>3.8082561939546902</v>
      </c>
      <c r="F101" s="3">
        <v>2.6204456490708399</v>
      </c>
      <c r="G101" s="3">
        <v>3.1501834887437901</v>
      </c>
      <c r="H101" s="3">
        <v>4.3328503085102597</v>
      </c>
      <c r="I101" s="3">
        <v>1.01584973461138</v>
      </c>
      <c r="J101" s="3">
        <v>1.74826013383651</v>
      </c>
      <c r="K101" s="3">
        <v>3.30831415551325</v>
      </c>
      <c r="L101" s="3">
        <v>2.7057634123604699</v>
      </c>
      <c r="M101" s="3">
        <v>3.6250010284815799</v>
      </c>
      <c r="N101" s="3">
        <v>5.4207764356323</v>
      </c>
    </row>
    <row r="102" spans="1:14" x14ac:dyDescent="0.35">
      <c r="A102" s="2">
        <v>44911</v>
      </c>
      <c r="B102" s="3">
        <v>3.4301381323171198</v>
      </c>
      <c r="C102" s="3">
        <v>4.5937799453083201</v>
      </c>
      <c r="D102" s="3">
        <v>3.4624963968319098</v>
      </c>
      <c r="E102" s="3">
        <v>3.8711052914781598</v>
      </c>
      <c r="F102" s="3">
        <v>2.6661279390434101</v>
      </c>
      <c r="G102" s="3">
        <v>3.2259846077048699</v>
      </c>
      <c r="H102" s="3">
        <v>4.3425953018336996</v>
      </c>
      <c r="I102" s="3">
        <v>1.0521387763035701</v>
      </c>
      <c r="J102" s="3">
        <v>1.80075888721467</v>
      </c>
      <c r="K102" s="3">
        <v>3.3919289975312501</v>
      </c>
      <c r="L102" s="3">
        <v>2.7408345864679302</v>
      </c>
      <c r="M102" s="3">
        <v>3.72742535226228</v>
      </c>
      <c r="N102" s="3">
        <v>5.9359655397273903</v>
      </c>
    </row>
    <row r="103" spans="1:14" x14ac:dyDescent="0.35">
      <c r="A103" s="2">
        <v>44939</v>
      </c>
      <c r="B103" s="3">
        <v>3.3925091253044801</v>
      </c>
      <c r="C103" s="3">
        <v>4.3972463231239303</v>
      </c>
      <c r="D103" s="3">
        <v>3.3562682708428202</v>
      </c>
      <c r="E103" s="3">
        <v>3.53760930042526</v>
      </c>
      <c r="F103" s="3">
        <v>2.7270154834511402</v>
      </c>
      <c r="G103" s="3">
        <v>3.0650610875589801</v>
      </c>
      <c r="H103" s="3">
        <v>4.0501255637491198</v>
      </c>
      <c r="I103" s="3">
        <v>0.98744669799128404</v>
      </c>
      <c r="J103" s="3">
        <v>1.7396189936262501</v>
      </c>
      <c r="K103" s="3">
        <v>3.1181603996190801</v>
      </c>
      <c r="L103" s="3">
        <v>2.5713686318426001</v>
      </c>
      <c r="M103" s="3">
        <v>3.4889766629796899</v>
      </c>
      <c r="N103" s="3">
        <v>5.4310801736159204</v>
      </c>
    </row>
    <row r="104" spans="1:14" x14ac:dyDescent="0.35">
      <c r="A104" s="2">
        <v>44973</v>
      </c>
      <c r="B104" s="3">
        <v>3.23043621514215</v>
      </c>
      <c r="C104" s="3">
        <v>4.35704927456971</v>
      </c>
      <c r="D104" s="3">
        <v>3.2780106304941201</v>
      </c>
      <c r="E104" s="3">
        <v>3.4453191447159401</v>
      </c>
      <c r="F104" s="3">
        <v>2.59649353935075</v>
      </c>
      <c r="G104" s="3">
        <v>3.0842805492680299</v>
      </c>
      <c r="H104" s="3">
        <v>4.05218188835451</v>
      </c>
      <c r="I104" s="3">
        <v>0.92826813591511703</v>
      </c>
      <c r="J104" s="3">
        <v>1.7135806432310701</v>
      </c>
      <c r="K104" s="3">
        <v>3.0821452214907299</v>
      </c>
      <c r="L104" s="3">
        <v>2.5339270376251499</v>
      </c>
      <c r="M104" s="3">
        <v>3.51382470100677</v>
      </c>
      <c r="N104" s="3">
        <v>5.3567847837232501</v>
      </c>
    </row>
    <row r="105" spans="1:14" x14ac:dyDescent="0.35">
      <c r="A105" s="2">
        <v>45001</v>
      </c>
      <c r="B105" s="3">
        <v>3.51404024378053</v>
      </c>
      <c r="C105" s="3">
        <v>4.6949952731946603</v>
      </c>
      <c r="D105" s="3">
        <v>3.4610769668313801</v>
      </c>
      <c r="E105" s="3">
        <v>3.6739721376204399</v>
      </c>
      <c r="F105" s="3">
        <v>2.6977504646284398</v>
      </c>
      <c r="G105" s="3">
        <v>3.2676053271373</v>
      </c>
      <c r="H105" s="3">
        <v>4.4032763429759303</v>
      </c>
      <c r="I105" s="3">
        <v>0.92274930116709397</v>
      </c>
      <c r="J105" s="3">
        <v>1.77420086254479</v>
      </c>
      <c r="K105" s="3">
        <v>3.2884456284855901</v>
      </c>
      <c r="L105" s="3">
        <v>2.7411064337997901</v>
      </c>
      <c r="M105" s="3">
        <v>3.75307347421615</v>
      </c>
      <c r="N105" s="3">
        <v>5.6602238518290102</v>
      </c>
    </row>
    <row r="106" spans="1:14" x14ac:dyDescent="0.35">
      <c r="A106" s="2">
        <v>45030</v>
      </c>
      <c r="B106" s="3">
        <v>3.4201136493734601</v>
      </c>
      <c r="C106" s="3">
        <v>4.3608480151859501</v>
      </c>
      <c r="D106" s="3">
        <v>3.2541471379540501</v>
      </c>
      <c r="E106" s="3">
        <v>3.5024113679297302</v>
      </c>
      <c r="F106" s="3">
        <v>2.6021321210977999</v>
      </c>
      <c r="G106" s="3">
        <v>3.0971195584914502</v>
      </c>
      <c r="H106" s="3">
        <v>4.1392093008540796</v>
      </c>
      <c r="I106" s="3">
        <v>0.89063560621051496</v>
      </c>
      <c r="J106" s="3">
        <v>1.7073172878085601</v>
      </c>
      <c r="K106" s="3">
        <v>3.0987702308853202</v>
      </c>
      <c r="L106" s="3">
        <v>2.6666799840777302</v>
      </c>
      <c r="M106" s="3">
        <v>3.6099668569286201</v>
      </c>
      <c r="N106" s="3">
        <v>5.2932149950037299</v>
      </c>
    </row>
    <row r="107" spans="1:14" x14ac:dyDescent="0.35">
      <c r="A107" s="2">
        <v>45062</v>
      </c>
      <c r="B107" s="3">
        <v>3.4849105053924601</v>
      </c>
      <c r="C107" s="3">
        <v>4.43996759235191</v>
      </c>
      <c r="D107" s="3">
        <v>3.2899376986763502</v>
      </c>
      <c r="E107" s="3">
        <v>3.6014309526289101</v>
      </c>
      <c r="F107" s="3">
        <v>2.49654536515926</v>
      </c>
      <c r="G107" s="3">
        <v>3.0820803958306602</v>
      </c>
      <c r="H107" s="3">
        <v>4.2717754207377796</v>
      </c>
      <c r="I107" s="3">
        <v>0.85329018718653404</v>
      </c>
      <c r="J107" s="3">
        <v>1.7165366468666501</v>
      </c>
      <c r="K107" s="3">
        <v>3.1957519448523302</v>
      </c>
      <c r="L107" s="3">
        <v>2.7042753385481602</v>
      </c>
      <c r="M107" s="3">
        <v>3.74774105344662</v>
      </c>
      <c r="N107" s="3">
        <v>5.5611819656984798</v>
      </c>
    </row>
    <row r="108" spans="1:14" x14ac:dyDescent="0.35">
      <c r="A108" s="2">
        <v>45093</v>
      </c>
      <c r="B108" s="3">
        <v>3.4676137174194599</v>
      </c>
      <c r="C108" s="3">
        <v>4.2999305771371397</v>
      </c>
      <c r="D108" s="3">
        <v>3.2994765641900998</v>
      </c>
      <c r="E108" s="3">
        <v>3.5640267212909702</v>
      </c>
      <c r="F108" s="3">
        <v>2.30829753943586</v>
      </c>
      <c r="G108" s="3">
        <v>3.13594939452627</v>
      </c>
      <c r="H108" s="3">
        <v>4.3085301210359299</v>
      </c>
      <c r="I108" s="3">
        <v>0.76737257747732401</v>
      </c>
      <c r="J108" s="3">
        <v>1.61157747666026</v>
      </c>
      <c r="K108" s="3">
        <v>3.2133085124787701</v>
      </c>
      <c r="L108" s="3">
        <v>2.6517914901438102</v>
      </c>
      <c r="M108" s="3">
        <v>3.6710127477775099</v>
      </c>
      <c r="N108" s="3">
        <v>5.3185836217429596</v>
      </c>
    </row>
    <row r="109" spans="1:14" x14ac:dyDescent="0.35">
      <c r="A109" s="2">
        <v>45121</v>
      </c>
      <c r="B109" s="3">
        <v>3.40357821711688</v>
      </c>
      <c r="C109" s="3">
        <v>4.1766672717399098</v>
      </c>
      <c r="D109" s="3">
        <v>3.21671047969568</v>
      </c>
      <c r="E109" s="3">
        <v>3.6544064700347501</v>
      </c>
      <c r="F109" s="3">
        <v>2.3975966625804901</v>
      </c>
      <c r="G109" s="3">
        <v>3.1645315794334099</v>
      </c>
      <c r="H109" s="3">
        <v>4.3782135145779097</v>
      </c>
      <c r="I109" s="3">
        <v>0.747195298723767</v>
      </c>
      <c r="J109" s="3">
        <v>1.5800416801369099</v>
      </c>
      <c r="K109" s="3">
        <v>3.2448280712919599</v>
      </c>
      <c r="L109" s="3">
        <v>2.6435743108731402</v>
      </c>
      <c r="M109" s="3">
        <v>3.7699691688875001</v>
      </c>
      <c r="N109" s="3">
        <v>5.2476449846292299</v>
      </c>
    </row>
    <row r="110" spans="1:14" x14ac:dyDescent="0.35">
      <c r="A110" s="2">
        <v>45154</v>
      </c>
      <c r="B110" s="3">
        <v>3.4396247946960599</v>
      </c>
      <c r="C110" s="3">
        <v>4.2733627823140301</v>
      </c>
      <c r="D110" s="3">
        <v>3.5124097602253599</v>
      </c>
      <c r="E110" s="3">
        <v>3.7307933388761501</v>
      </c>
      <c r="F110" s="3">
        <v>2.4193128993289701</v>
      </c>
      <c r="G110" s="3">
        <v>3.2499679698211201</v>
      </c>
      <c r="H110" s="3">
        <v>4.5235941580104999</v>
      </c>
      <c r="I110" s="3">
        <v>0.90798186295410799</v>
      </c>
      <c r="J110" s="3">
        <v>1.6292948973549799</v>
      </c>
      <c r="K110" s="3">
        <v>3.3444273627753298</v>
      </c>
      <c r="L110" s="3">
        <v>2.8158912045219502</v>
      </c>
      <c r="M110" s="3">
        <v>3.94722135419845</v>
      </c>
      <c r="N110" s="3">
        <v>5.5758861251212499</v>
      </c>
    </row>
    <row r="111" spans="1:14" x14ac:dyDescent="0.35">
      <c r="A111" s="2">
        <v>45184</v>
      </c>
      <c r="B111" s="3">
        <v>3.4245851574524</v>
      </c>
      <c r="C111" s="3">
        <v>4.1459812374404201</v>
      </c>
      <c r="D111" s="3">
        <v>3.4382831006710202</v>
      </c>
      <c r="E111" s="3">
        <v>3.7179943543946599</v>
      </c>
      <c r="F111" s="3">
        <v>2.2694473873644698</v>
      </c>
      <c r="G111" s="3">
        <v>3.2539243623738598</v>
      </c>
      <c r="H111" s="3">
        <v>4.3815988613506303</v>
      </c>
      <c r="I111" s="3">
        <v>0.89303771217498196</v>
      </c>
      <c r="J111" s="3">
        <v>1.6191938748633099</v>
      </c>
      <c r="K111" s="3">
        <v>3.3089349647772601</v>
      </c>
      <c r="L111" s="3">
        <v>2.9864479154061798</v>
      </c>
      <c r="M111" s="3">
        <v>3.9460716743759598</v>
      </c>
      <c r="N111" s="3">
        <v>5.3681429240501801</v>
      </c>
    </row>
    <row r="112" spans="1:14" x14ac:dyDescent="0.35">
      <c r="A112" s="2">
        <v>45215</v>
      </c>
      <c r="B112" s="3">
        <v>3.4697319543656402</v>
      </c>
      <c r="C112" s="3">
        <v>4.3743586344498899</v>
      </c>
      <c r="D112" s="3">
        <v>3.6265099140433001</v>
      </c>
      <c r="E112" s="3">
        <v>3.90569010386539</v>
      </c>
      <c r="F112" s="3">
        <v>2.43120760427413</v>
      </c>
      <c r="G112" s="3">
        <v>3.3642316109071699</v>
      </c>
      <c r="H112" s="3">
        <v>4.4480343045580701</v>
      </c>
      <c r="I112" s="3">
        <v>0.92128149477106203</v>
      </c>
      <c r="J112" s="3">
        <v>1.66155989026387</v>
      </c>
      <c r="K112" s="3">
        <v>3.4833809735255801</v>
      </c>
      <c r="L112" s="3">
        <v>3.0390057708347902</v>
      </c>
      <c r="M112" s="3">
        <v>3.75874185019509</v>
      </c>
      <c r="N112" s="3">
        <v>5.5570201418010496</v>
      </c>
    </row>
    <row r="113" spans="1:25" x14ac:dyDescent="0.35">
      <c r="A113" s="2">
        <v>45246</v>
      </c>
      <c r="B113" s="3">
        <v>3.4491659558459999</v>
      </c>
      <c r="C113" s="3">
        <v>4.3283524636315596</v>
      </c>
      <c r="D113" s="3">
        <v>3.5293893314850799</v>
      </c>
      <c r="E113" s="3">
        <v>3.74023742344282</v>
      </c>
      <c r="F113" s="3">
        <v>2.3687191735182198</v>
      </c>
      <c r="G113" s="3">
        <v>3.4363958320780998</v>
      </c>
      <c r="H113" s="3">
        <v>4.5492942852556499</v>
      </c>
      <c r="I113" s="3">
        <v>0.89347144406464896</v>
      </c>
      <c r="J113" s="3">
        <v>1.6172525907686901</v>
      </c>
      <c r="K113" s="3">
        <v>3.3948327606238502</v>
      </c>
      <c r="L113" s="3">
        <v>2.83401815724697</v>
      </c>
      <c r="M113" s="3">
        <v>3.7485037182627599</v>
      </c>
      <c r="N113" s="3">
        <v>5.5368582175355998</v>
      </c>
    </row>
    <row r="114" spans="1:25" x14ac:dyDescent="0.35">
      <c r="A114" s="2">
        <v>45275</v>
      </c>
      <c r="B114" s="3">
        <v>3.0244113747513501</v>
      </c>
      <c r="C114" s="3">
        <v>4.0764602162569599</v>
      </c>
      <c r="D114" s="3">
        <v>3.43543309169582</v>
      </c>
      <c r="E114" s="3">
        <v>3.5407992624329498</v>
      </c>
      <c r="F114" s="3">
        <v>2.4537882949312002</v>
      </c>
      <c r="G114" s="3">
        <v>3.28299646752708</v>
      </c>
      <c r="H114" s="3">
        <v>4.3569729044817596</v>
      </c>
      <c r="I114" s="3">
        <v>0.89588402870670503</v>
      </c>
      <c r="J114" s="3">
        <v>1.5619093052609501</v>
      </c>
      <c r="K114" s="3">
        <v>3.2158526812263402</v>
      </c>
      <c r="L114" s="3">
        <v>2.64805222396655</v>
      </c>
      <c r="M114" s="3">
        <v>2.93634280019177</v>
      </c>
      <c r="N114" s="3">
        <v>5.46603007772352</v>
      </c>
    </row>
    <row r="115" spans="1:25" x14ac:dyDescent="0.35">
      <c r="A115" s="2">
        <v>45307</v>
      </c>
      <c r="B115" s="3">
        <v>3.0063146590024399</v>
      </c>
      <c r="C115" s="3">
        <v>4.1203950109761696</v>
      </c>
      <c r="D115" s="3">
        <v>3.3557466187512102</v>
      </c>
      <c r="E115" s="3">
        <v>3.62501044093985</v>
      </c>
      <c r="F115" s="3">
        <v>2.2893963651115601</v>
      </c>
      <c r="G115" s="3">
        <v>3.2953501884321899</v>
      </c>
      <c r="H115" s="3">
        <v>4.3937125634882896</v>
      </c>
      <c r="I115" s="3">
        <v>0.91576455120157996</v>
      </c>
      <c r="J115" s="3">
        <v>1.5485212264877599</v>
      </c>
      <c r="K115" s="3">
        <v>3.2850078573064998</v>
      </c>
      <c r="L115" s="3">
        <v>2.73820055300025</v>
      </c>
      <c r="M115" s="3">
        <v>3.0394794219813401</v>
      </c>
      <c r="N115" s="3">
        <v>5.4186132402305001</v>
      </c>
    </row>
    <row r="116" spans="1:25" x14ac:dyDescent="0.35">
      <c r="A116" s="2">
        <v>45338</v>
      </c>
      <c r="B116" s="3">
        <v>2.9089946386691699</v>
      </c>
      <c r="C116" s="3">
        <v>3.9852637984766202</v>
      </c>
      <c r="D116" s="3">
        <v>3.2843222991147201</v>
      </c>
      <c r="E116" s="3">
        <v>3.4869275268411499</v>
      </c>
      <c r="F116" s="3">
        <v>2.2234595126455798</v>
      </c>
      <c r="G116" s="3">
        <v>3.32765437048938</v>
      </c>
      <c r="H116" s="3">
        <v>4.2263045211703796</v>
      </c>
      <c r="I116" s="3">
        <v>0.89431734316667799</v>
      </c>
      <c r="J116" s="3">
        <v>1.4961772257780801</v>
      </c>
      <c r="K116" s="3">
        <v>3.16762795487272</v>
      </c>
      <c r="L116" s="3">
        <v>2.4691100679790901</v>
      </c>
      <c r="M116" s="3">
        <v>3.3419916309489399</v>
      </c>
      <c r="N116" s="3">
        <v>5.4424091050175996</v>
      </c>
    </row>
    <row r="117" spans="1:25" x14ac:dyDescent="0.35">
      <c r="A117" s="2">
        <v>45366</v>
      </c>
      <c r="B117" s="3">
        <v>2.7905414739582999</v>
      </c>
      <c r="C117" s="3">
        <v>4.0043652992924903</v>
      </c>
      <c r="D117" s="3">
        <v>3.1528642214207201</v>
      </c>
      <c r="E117" s="3">
        <v>3.3141731796538698</v>
      </c>
      <c r="F117" s="3">
        <v>2.2209262550928401</v>
      </c>
      <c r="G117" s="3">
        <v>3.2487722738054301</v>
      </c>
      <c r="H117" s="3">
        <v>4.12990314182096</v>
      </c>
      <c r="I117" s="3">
        <v>0.89833851200663195</v>
      </c>
      <c r="J117" s="3">
        <v>1.4702821138394599</v>
      </c>
      <c r="K117" s="3">
        <v>3.0567663201343098</v>
      </c>
      <c r="L117" s="3">
        <v>2.6168199976217901</v>
      </c>
      <c r="M117" s="3">
        <v>3.1845647296832098</v>
      </c>
      <c r="N117" s="3">
        <v>5.1638470067208697</v>
      </c>
    </row>
    <row r="118" spans="1:25" x14ac:dyDescent="0.35">
      <c r="A118" s="2">
        <v>45398</v>
      </c>
      <c r="B118" s="3">
        <v>2.8007932291675801</v>
      </c>
      <c r="C118" s="3">
        <v>4.0649296113061002</v>
      </c>
      <c r="D118" s="3">
        <v>3.1675153115538399</v>
      </c>
      <c r="E118" s="3">
        <v>3.4038208393498799</v>
      </c>
      <c r="F118" s="3">
        <v>2.2267208683068098</v>
      </c>
      <c r="G118" s="3">
        <v>3.4127936768885401</v>
      </c>
      <c r="H118" s="3">
        <v>4.1116446891562601</v>
      </c>
      <c r="I118" s="3">
        <v>0.91430122927436197</v>
      </c>
      <c r="J118" s="3">
        <v>1.4932665942574599</v>
      </c>
      <c r="K118" s="3">
        <v>3.1708960988733299</v>
      </c>
      <c r="L118" s="3">
        <v>2.5889648586195801</v>
      </c>
      <c r="M118" s="3">
        <v>3.3281836321049099</v>
      </c>
      <c r="N118" s="3">
        <v>5.3338906508840997</v>
      </c>
    </row>
    <row r="119" spans="1:25" x14ac:dyDescent="0.35">
      <c r="A119" s="2">
        <v>45428</v>
      </c>
      <c r="B119" s="3">
        <v>2.7224302987973501</v>
      </c>
      <c r="C119" s="3">
        <v>3.8955048079096501</v>
      </c>
      <c r="D119" s="3">
        <v>3.0466553274107202</v>
      </c>
      <c r="E119" s="3">
        <v>3.3061801216795401</v>
      </c>
      <c r="F119" s="3">
        <v>2.2259535607332599</v>
      </c>
      <c r="G119" s="3">
        <v>3.2246525204386001</v>
      </c>
      <c r="H119" s="3">
        <v>3.8036230675736502</v>
      </c>
      <c r="I119" s="3">
        <v>0.893211786988656</v>
      </c>
      <c r="J119" s="3">
        <v>1.4427020950473599</v>
      </c>
      <c r="K119" s="3">
        <v>3.06774741504909</v>
      </c>
      <c r="L119" s="3">
        <v>2.4430801828741</v>
      </c>
      <c r="M119" s="3">
        <v>3.1802982149775501</v>
      </c>
      <c r="N119" s="3">
        <v>5.09351799782283</v>
      </c>
    </row>
    <row r="120" spans="1:25" x14ac:dyDescent="0.35">
      <c r="A120" s="2">
        <v>45457</v>
      </c>
      <c r="B120" s="3">
        <v>2.7214607898401799</v>
      </c>
      <c r="C120" s="3">
        <v>3.9525576536171201</v>
      </c>
      <c r="D120" s="3">
        <v>3.3793212063334099</v>
      </c>
      <c r="E120" s="3">
        <v>3.4617507992533998</v>
      </c>
      <c r="F120" s="3">
        <v>2.2711375848948099</v>
      </c>
      <c r="G120" s="3">
        <v>3.20285783350911</v>
      </c>
      <c r="H120" s="3">
        <v>3.9797879061063299</v>
      </c>
      <c r="I120" s="3">
        <v>0.84632076435745995</v>
      </c>
      <c r="J120" s="3">
        <v>1.4160772397765999</v>
      </c>
      <c r="K120" s="3">
        <v>3.3817562841986</v>
      </c>
      <c r="L120" s="3">
        <v>2.4672147211006399</v>
      </c>
      <c r="M120" s="3">
        <v>3.2644785495434498</v>
      </c>
      <c r="N120" s="3">
        <v>5.5386293793948704</v>
      </c>
    </row>
    <row r="121" spans="1:25" x14ac:dyDescent="0.35">
      <c r="A121" s="2">
        <v>45489</v>
      </c>
      <c r="B121" s="3">
        <v>2.6612402153567101</v>
      </c>
      <c r="C121" s="3">
        <v>3.8125843083634399</v>
      </c>
      <c r="D121" s="3">
        <v>3.2062963983308399</v>
      </c>
      <c r="E121" s="3">
        <v>3.38308934193762</v>
      </c>
      <c r="F121" s="3">
        <v>2.1700272393222599</v>
      </c>
      <c r="G121" s="3">
        <v>3.1768192492568601</v>
      </c>
      <c r="H121" s="3">
        <v>3.9261381978843501</v>
      </c>
      <c r="I121" s="3">
        <v>0.81503929399032404</v>
      </c>
      <c r="J121" s="3">
        <v>1.3612608032576801</v>
      </c>
      <c r="K121" s="3">
        <v>3.3463723921995601</v>
      </c>
      <c r="L121" s="3">
        <v>2.4406514185367301</v>
      </c>
      <c r="M121" s="3">
        <v>3.1568356468732199</v>
      </c>
      <c r="N121" s="3">
        <v>5.2945649443898999</v>
      </c>
    </row>
    <row r="122" spans="1:25" x14ac:dyDescent="0.35">
      <c r="A122" s="2">
        <v>45518</v>
      </c>
      <c r="B122" s="3">
        <v>2.5459626976177199</v>
      </c>
      <c r="C122" s="3">
        <v>3.8629414750727502</v>
      </c>
      <c r="D122" s="3">
        <v>3.2251372009338</v>
      </c>
      <c r="E122" s="3">
        <v>3.5204874186492399</v>
      </c>
      <c r="F122" s="3">
        <v>2.48064814279086</v>
      </c>
      <c r="G122" s="3">
        <v>3.1851771893868999</v>
      </c>
      <c r="H122" s="3">
        <v>3.89220423703153</v>
      </c>
      <c r="I122" s="3">
        <v>0.83671214352739698</v>
      </c>
      <c r="J122" s="3">
        <v>1.39717492778089</v>
      </c>
      <c r="K122" s="3">
        <v>3.46454720257218</v>
      </c>
      <c r="L122" s="3">
        <v>2.6608822091402402</v>
      </c>
      <c r="M122" s="3">
        <v>3.34214539696044</v>
      </c>
      <c r="N122" s="3">
        <v>5.5845265617126501</v>
      </c>
    </row>
    <row r="125" spans="1:25" x14ac:dyDescent="0.35">
      <c r="A125" s="2" t="s">
        <v>91</v>
      </c>
      <c r="B125" s="3" cm="1">
        <f t="array" ref="B125">MIN(_xlfn._xlws.FILTER(B1:B122, ISNUMBER(B1:B122)))</f>
        <v>2.3478003208059701</v>
      </c>
      <c r="C125" s="3" cm="1">
        <f t="array" ref="C125">MIN(_xlfn._xlws.FILTER(C1:C122, ISNUMBER(C1:C122)))</f>
        <v>3.33913985231138</v>
      </c>
      <c r="D125" s="3" cm="1">
        <f t="array" ref="D125">MIN(_xlfn._xlws.FILTER(D1:D122, ISNUMBER(D1:D122)))</f>
        <v>2.5561552346551402</v>
      </c>
      <c r="E125" s="3" cm="1">
        <f t="array" ref="E125">MIN(_xlfn._xlws.FILTER(E1:E122, ISNUMBER(E1:E122)))</f>
        <v>2.6199013190760998</v>
      </c>
      <c r="F125" s="3" cm="1">
        <f t="array" ref="F125">MIN(_xlfn._xlws.FILTER(F1:F122, ISNUMBER(F1:F122)))</f>
        <v>1.8356430740854901</v>
      </c>
      <c r="G125" s="3" cm="1">
        <f t="array" ref="G125">MIN(_xlfn._xlws.FILTER(G1:G122, ISNUMBER(G1:G122)))</f>
        <v>2.5503947318009099</v>
      </c>
      <c r="H125" s="3" cm="1">
        <f t="array" ref="H125">MIN(_xlfn._xlws.FILTER(H1:H122, ISNUMBER(H1:H122)))</f>
        <v>3.8036230675736502</v>
      </c>
      <c r="I125" s="3" cm="1">
        <f t="array" ref="I125">MIN(_xlfn._xlws.FILTER(I1:I122, ISNUMBER(I1:I122)))</f>
        <v>0.66164923927044506</v>
      </c>
      <c r="J125" s="3" cm="1">
        <f t="array" ref="J125">MIN(_xlfn._xlws.FILTER(J1:J122, ISNUMBER(J1:J122)))</f>
        <v>1.3612608032576801</v>
      </c>
      <c r="K125" s="3" cm="1">
        <f t="array" ref="K125">MIN(_xlfn._xlws.FILTER(K1:K122, ISNUMBER(K1:K122)))</f>
        <v>2.62870594700196</v>
      </c>
      <c r="L125" s="3" cm="1">
        <f t="array" ref="L125">MIN(_xlfn._xlws.FILTER(L1:L122, ISNUMBER(L1:L122)))</f>
        <v>1.83266572960165</v>
      </c>
      <c r="M125" s="3" cm="1">
        <f t="array" ref="M125">MIN(_xlfn._xlws.FILTER(M1:M122, ISNUMBER(M1:M122)))</f>
        <v>2.65673081921156</v>
      </c>
      <c r="N125" s="3" cm="1">
        <f t="array" ref="N125">MIN(_xlfn._xlws.FILTER(N1:N122, ISNUMBER(N1:N122)))</f>
        <v>3.1072040153385299</v>
      </c>
    </row>
    <row r="126" spans="1:25" x14ac:dyDescent="0.35">
      <c r="A126" s="2" t="s">
        <v>92</v>
      </c>
      <c r="B126" s="3" cm="1">
        <f t="array" ref="B126">MAX(_xlfn._xlws.FILTER(B1:B122, ISNUMBER(B1:B122)))</f>
        <v>5.13381022714215</v>
      </c>
      <c r="C126" s="3" cm="1">
        <f t="array" ref="C126">MAX(_xlfn._xlws.FILTER(C1:C122, ISNUMBER(C1:C122)))</f>
        <v>5.7472528961321503</v>
      </c>
      <c r="D126" s="3" cm="1">
        <f t="array" ref="D126">MAX(_xlfn._xlws.FILTER(D1:D122, ISNUMBER(D1:D122)))</f>
        <v>4.6824740841070902</v>
      </c>
      <c r="E126" s="3" cm="1">
        <f t="array" ref="E126">MAX(_xlfn._xlws.FILTER(E1:E122, ISNUMBER(E1:E122)))</f>
        <v>4.68919817488635</v>
      </c>
      <c r="F126" s="3" cm="1">
        <f t="array" ref="F126">MAX(_xlfn._xlws.FILTER(F1:F122, ISNUMBER(F1:F122)))</f>
        <v>3.3667811254123099</v>
      </c>
      <c r="G126" s="3" cm="1">
        <f t="array" ref="G126">MAX(_xlfn._xlws.FILTER(G1:G122, ISNUMBER(G1:G122)))</f>
        <v>3.9357059978913602</v>
      </c>
      <c r="H126" s="3" cm="1">
        <f t="array" ref="H126">MAX(_xlfn._xlws.FILTER(H1:H122, ISNUMBER(H1:H122)))</f>
        <v>6.9406001334141996</v>
      </c>
      <c r="I126" s="3" cm="1">
        <f t="array" ref="I126">MAX(_xlfn._xlws.FILTER(I1:I122, ISNUMBER(I1:I122)))</f>
        <v>1.4404483973892499</v>
      </c>
      <c r="J126" s="3" cm="1">
        <f t="array" ref="J126">MAX(_xlfn._xlws.FILTER(J1:J122, ISNUMBER(J1:J122)))</f>
        <v>2.65268542808872</v>
      </c>
      <c r="K126" s="3" cm="1">
        <f t="array" ref="K126">MAX(_xlfn._xlws.FILTER(K1:K122, ISNUMBER(K1:K122)))</f>
        <v>5.06089006003217</v>
      </c>
      <c r="L126" s="3" cm="1">
        <f t="array" ref="L126">MAX(_xlfn._xlws.FILTER(L1:L122, ISNUMBER(L1:L122)))</f>
        <v>3.76103819988329</v>
      </c>
      <c r="M126" s="3" cm="1">
        <f t="array" ref="M126">MAX(_xlfn._xlws.FILTER(M1:M122, ISNUMBER(M1:M122)))</f>
        <v>4.8017292385751098</v>
      </c>
      <c r="N126" s="3" cm="1">
        <f t="array" ref="N126">MAX(_xlfn._xlws.FILTER(N1:N122, ISNUMBER(N1:N122)))</f>
        <v>7.2358292708148904</v>
      </c>
    </row>
    <row r="128" spans="1:25" x14ac:dyDescent="0.35">
      <c r="A128" s="2" t="s">
        <v>93</v>
      </c>
      <c r="B128" s="9" cm="1">
        <f t="array" ref="B128">_xlfn.PERCENTRANK.EXC(_xlfn._xlws.FILTER(B1:B122, ISNUMBER(B1:B122)),B122)</f>
        <v>8.1000000000000003E-2</v>
      </c>
      <c r="C128" s="9" cm="1">
        <f t="array" ref="C128">_xlfn.PERCENTRANK.EXC(_xlfn._xlws.FILTER(C1:C122, ISNUMBER(C1:C122)),C122)</f>
        <v>0.122</v>
      </c>
      <c r="D128" s="9" cm="1">
        <f t="array" ref="D128">_xlfn.PERCENTRANK.EXC(_xlfn._xlws.FILTER(D1:D122, ISNUMBER(D1:D122)),D122)</f>
        <v>0.59799999999999998</v>
      </c>
      <c r="E128" s="9" cm="1">
        <f t="array" ref="E128">_xlfn.PERCENTRANK.EXC(_xlfn._xlws.FILTER(E1:E122, ISNUMBER(E1:E122)),E122)</f>
        <v>0.72899999999999998</v>
      </c>
      <c r="F128" s="9" cm="1">
        <f t="array" ref="F128">_xlfn.PERCENTRANK.EXC(_xlfn._xlws.FILTER(F1:F122, ISNUMBER(F1:F122)),F122)</f>
        <v>0.72899999999999998</v>
      </c>
      <c r="G128" s="9" cm="1">
        <f t="array" ref="G128">_xlfn.PERCENTRANK.EXC(_xlfn._xlws.FILTER(G1:G122, ISNUMBER(G1:G122)),G122)</f>
        <v>0.36799999999999999</v>
      </c>
      <c r="H128" s="9" cm="1">
        <f t="array" ref="H128">_xlfn.PERCENTRANK.EXC(_xlfn._xlws.FILTER(H1:H122, ISNUMBER(H1:H122)),H122)</f>
        <v>7.2999999999999995E-2</v>
      </c>
      <c r="I128" s="9" cm="1">
        <f t="array" ref="I128">_xlfn.PERCENTRANK.EXC(_xlfn._xlws.FILTER(I1:I122, ISNUMBER(I1:I122)),I122)</f>
        <v>0.20399999999999999</v>
      </c>
      <c r="J128" s="9" cm="1">
        <f t="array" ref="J128">_xlfn.PERCENTRANK.EXC(_xlfn._xlws.FILTER(J1:J122, ISNUMBER(J1:J122)),J122)</f>
        <v>0.04</v>
      </c>
      <c r="K128" s="9" cm="1">
        <f t="array" ref="K128">_xlfn.PERCENTRANK.EXC(_xlfn._xlws.FILTER(K1:K122, ISNUMBER(K1:K122)),K122)</f>
        <v>0.61399999999999999</v>
      </c>
      <c r="L128" s="9" cm="1">
        <f t="array" ref="L128">_xlfn.PERCENTRANK.EXC(_xlfn._xlws.FILTER(L1:L122, ISNUMBER(L1:L122)),L122)</f>
        <v>0.34399999999999997</v>
      </c>
      <c r="M128" s="9" cm="1">
        <f t="array" ref="M128">_xlfn.PERCENTRANK.EXC(_xlfn._xlws.FILTER(M1:M122, ISNUMBER(M1:M122)),M122)</f>
        <v>0.27</v>
      </c>
      <c r="N128" s="9" cm="1">
        <f t="array" ref="N128">_xlfn.PERCENTRANK.EXC(_xlfn._xlws.FILTER(N1:N122, ISNUMBER(N1:N122)),N122)</f>
        <v>0.92600000000000005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54296875" bestFit="1" customWidth="1"/>
  </cols>
  <sheetData>
    <row r="1" spans="1:26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26" x14ac:dyDescent="0.35">
      <c r="A2" s="2" cm="1">
        <f t="array" ref="A2:A122">_xll.FDS(B1,"JULIAN(FG_TOTAL_RETURNC(-10AY,0,AM).dates)")</f>
        <v>41866</v>
      </c>
      <c r="B2" s="24" cm="1">
        <f t="array" ref="B2:B122">_xll.FDS(B1,"FG_TOTAL_RETURNC(-10AY,0,AM)")/100</f>
        <v>-3.0506850000000002E-2</v>
      </c>
      <c r="C2" s="24" cm="1">
        <f t="array" ref="C2:C122">_xll.FDS(C1,"FG_TOTAL_RETURNC(-10AY,0,AM)")/100</f>
        <v>1.8782616E-3</v>
      </c>
      <c r="D2" s="24" cm="1">
        <f t="array" ref="D2:D122">_xll.FDS(D1,"FG_TOTAL_RETURNC(-10AY,0,AM)")/100</f>
        <v>-5.2648779999999997E-3</v>
      </c>
      <c r="E2" s="24" cm="1">
        <f t="array" ref="E2:E122">_xll.FDS(E1,"FG_TOTAL_RETURNC(-10AY,0,AM)")/100</f>
        <v>-7.8513739999999999E-2</v>
      </c>
      <c r="F2" s="24" cm="1">
        <f t="array" ref="F2:F122">_xll.FDS(F1,"FG_TOTAL_RETURNC(-10AY,0,AM)")/100</f>
        <v>-1.4003277000000001E-2</v>
      </c>
      <c r="G2" s="24" cm="1">
        <f t="array" ref="G2:G122">_xll.FDS(G1,"FG_TOTAL_RETURNC(-10AY,0,AM)")/100</f>
        <v>-3.0564426999999998E-2</v>
      </c>
      <c r="H2" s="24" cm="1">
        <f t="array" ref="H2:H122">_xll.FDS(H1,"FG_TOTAL_RETURNC(-10AY,0,AM)")/100</f>
        <v>-3.4285665E-2</v>
      </c>
      <c r="I2" s="24" cm="1">
        <f t="array" ref="I2:I122">_xll.FDS(I1,"FG_TOTAL_RETURNC(-10AY,0,AM)")/100</f>
        <v>1.5747190000000001E-2</v>
      </c>
      <c r="J2" s="24" cm="1">
        <f t="array" ref="J2:J122">_xll.FDS(J1,"FG_TOTAL_RETURNC(-10AY,0,AM)")/100</f>
        <v>-1.1315465E-2</v>
      </c>
      <c r="K2" s="24" cm="1">
        <f t="array" ref="K2:K122">_xll.FDS(K1,"FG_TOTAL_RETURNC(-10AY,0,AM)")/100</f>
        <v>-5.0017595000000005E-2</v>
      </c>
      <c r="L2" s="24" cm="1">
        <f t="array" ref="L2:L122">_xll.FDS(L1,"FG_TOTAL_RETURNC(-10AY,0,AM)")/100</f>
        <v>-3.3356249999999997E-2</v>
      </c>
      <c r="M2" s="24" cm="1">
        <f t="array" ref="M2:M122">_xll.FDS(M1,"FG_TOTAL_RETURNC(-10AY,0,AM)")/100</f>
        <v>-2.3499667999999998E-2</v>
      </c>
      <c r="N2" s="24" cm="1">
        <f t="array" ref="N2:N122">_xll.FDS(N1,"FG_TOTAL_RETURNC(-10AY,0,AM)")/100</f>
        <v>-9.2941170000000004E-2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">
        <v>41898</v>
      </c>
      <c r="B3" s="24">
        <v>-1.2388527E-2</v>
      </c>
      <c r="C3" s="24">
        <v>-3.0746162E-2</v>
      </c>
      <c r="D3" s="24">
        <v>1.2453318E-2</v>
      </c>
      <c r="E3" s="24">
        <v>1.9635320000000001E-2</v>
      </c>
      <c r="F3" s="24">
        <v>-1.25314E-2</v>
      </c>
      <c r="G3" s="24">
        <v>1.0710478000000001E-2</v>
      </c>
      <c r="H3" s="24">
        <v>-7.8895089999999994E-3</v>
      </c>
      <c r="I3" s="24">
        <v>2.0328522000000002E-2</v>
      </c>
      <c r="J3" s="24">
        <v>2.4320483E-2</v>
      </c>
      <c r="K3" s="24">
        <v>1.9651531999999999E-2</v>
      </c>
      <c r="L3" s="24">
        <v>2.7858615000000003E-2</v>
      </c>
      <c r="M3" s="24">
        <v>-1.1740565000000001E-2</v>
      </c>
      <c r="N3" s="24">
        <v>4.4098616E-2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2">
        <v>41928</v>
      </c>
      <c r="B4" s="24">
        <v>-3.7129939000000001E-2</v>
      </c>
      <c r="C4" s="24">
        <v>-7.272732300000001E-2</v>
      </c>
      <c r="D4" s="24">
        <v>-0.11654370999999999</v>
      </c>
      <c r="E4" s="24">
        <v>-0.1224209</v>
      </c>
      <c r="F4" s="24">
        <v>-7.8680159999999999E-2</v>
      </c>
      <c r="G4" s="24">
        <v>-0.10208959000000001</v>
      </c>
      <c r="H4" s="24">
        <v>-0.10437374999999999</v>
      </c>
      <c r="I4" s="24">
        <v>-7.417667E-2</v>
      </c>
      <c r="J4" s="24">
        <v>-6.6532015999999999E-2</v>
      </c>
      <c r="K4" s="24">
        <v>-0.12618177999999999</v>
      </c>
      <c r="L4" s="24">
        <v>-0.10517794</v>
      </c>
      <c r="M4" s="24">
        <v>-0.10157405999999999</v>
      </c>
      <c r="N4" s="24">
        <v>-0.14099382999999999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">
        <v>41957</v>
      </c>
      <c r="B5" s="24">
        <v>7.2173000000000001E-2</v>
      </c>
      <c r="C5" s="24">
        <v>4.2136072999999996E-2</v>
      </c>
      <c r="D5" s="24">
        <v>5.5342912999999994E-2</v>
      </c>
      <c r="E5" s="24">
        <v>5.4858922999999997E-2</v>
      </c>
      <c r="F5" s="24">
        <v>8.0808049999999992E-2</v>
      </c>
      <c r="G5" s="24">
        <v>8.4441419999999989E-2</v>
      </c>
      <c r="H5" s="24">
        <v>5.105436E-2</v>
      </c>
      <c r="I5" s="24">
        <v>0.12452339999999999</v>
      </c>
      <c r="J5" s="24">
        <v>9.6472849999999999E-2</v>
      </c>
      <c r="K5" s="24">
        <v>5.4515122999999999E-2</v>
      </c>
      <c r="L5" s="24">
        <v>8.5443019999999995E-2</v>
      </c>
      <c r="M5" s="24">
        <v>8.3636280000000007E-2</v>
      </c>
      <c r="N5" s="24">
        <v>3.1814933000000004E-2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2">
        <v>41989</v>
      </c>
      <c r="B6" s="24">
        <v>-1.9441128000000002E-2</v>
      </c>
      <c r="C6" s="24">
        <v>-0.11569256</v>
      </c>
      <c r="D6" s="24">
        <v>-9.1358840000000011E-2</v>
      </c>
      <c r="E6" s="24">
        <v>1.7459153999999998E-2</v>
      </c>
      <c r="F6" s="24">
        <v>-5.2676379999999995E-2</v>
      </c>
      <c r="G6" s="24">
        <v>-2.4218261000000001E-2</v>
      </c>
      <c r="H6" s="24">
        <v>-5.7022150000000001E-2</v>
      </c>
      <c r="I6" s="24">
        <v>-3.1389236000000001E-2</v>
      </c>
      <c r="J6" s="24">
        <v>-3.0992985000000001E-2</v>
      </c>
      <c r="K6" s="24">
        <v>-3.6700903999999999E-2</v>
      </c>
      <c r="L6" s="24">
        <v>-1.7076193999999999E-2</v>
      </c>
      <c r="M6" s="24">
        <v>-4.1793766000000003E-2</v>
      </c>
      <c r="N6" s="24">
        <v>-3.7841678000000004E-2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">
        <v>42020</v>
      </c>
      <c r="B7" s="24">
        <v>3.7479640000000002E-2</v>
      </c>
      <c r="C7" s="24">
        <v>4.324472E-2</v>
      </c>
      <c r="D7" s="24">
        <v>3.1374692999999996E-3</v>
      </c>
      <c r="E7" s="24">
        <v>1.0952949999999999E-2</v>
      </c>
      <c r="F7" s="24">
        <v>2.3025513000000001E-2</v>
      </c>
      <c r="G7" s="24">
        <v>2.4505257999999999E-2</v>
      </c>
      <c r="H7" s="24">
        <v>1.5740871E-2</v>
      </c>
      <c r="I7" s="24">
        <v>1.2140751E-2</v>
      </c>
      <c r="J7" s="24">
        <v>2.4395226999999998E-2</v>
      </c>
      <c r="K7" s="24">
        <v>1.3429402999999999E-2</v>
      </c>
      <c r="L7" s="24">
        <v>2.1452903999999999E-3</v>
      </c>
      <c r="M7" s="24">
        <v>-6.7679286000000005E-3</v>
      </c>
      <c r="N7" s="24">
        <v>-2.3852646000000002E-2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">
        <v>42048</v>
      </c>
      <c r="B8" s="24">
        <v>-2.136296E-2</v>
      </c>
      <c r="C8" s="24">
        <v>4.0770649999999999E-2</v>
      </c>
      <c r="D8" s="24">
        <v>3.0080676000000001E-2</v>
      </c>
      <c r="E8" s="24">
        <v>5.4171205E-2</v>
      </c>
      <c r="F8" s="24">
        <v>5.202818E-2</v>
      </c>
      <c r="G8" s="24">
        <v>6.439686E-3</v>
      </c>
      <c r="H8" s="24">
        <v>6.2956689999999996E-2</v>
      </c>
      <c r="I8" s="24">
        <v>6.0404777999999999E-2</v>
      </c>
      <c r="J8" s="24">
        <v>4.0420530000000003E-2</v>
      </c>
      <c r="K8" s="24">
        <v>6.7699789999999996E-2</v>
      </c>
      <c r="L8" s="24">
        <v>5.6851982999999995E-2</v>
      </c>
      <c r="M8" s="24">
        <v>8.2337740000000006E-2</v>
      </c>
      <c r="N8" s="24">
        <v>8.489846999999999E-2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2">
        <v>42079</v>
      </c>
      <c r="B9" s="24">
        <v>1.4551997000000001E-2</v>
      </c>
      <c r="C9" s="24">
        <v>-1.5927613E-2</v>
      </c>
      <c r="D9" s="24">
        <v>-4.2022823999999993E-2</v>
      </c>
      <c r="E9" s="24">
        <v>2.5351167000000001E-2</v>
      </c>
      <c r="F9" s="24">
        <v>5.0293325999999999E-2</v>
      </c>
      <c r="G9" s="24">
        <v>-8.2266926999999997E-3</v>
      </c>
      <c r="H9" s="24">
        <v>-4.3892144999999994E-2</v>
      </c>
      <c r="I9" s="24">
        <v>-1.9643307E-3</v>
      </c>
      <c r="J9" s="24">
        <v>-5.7202580000000006E-3</v>
      </c>
      <c r="K9" s="24">
        <v>-1.5278815999999999E-2</v>
      </c>
      <c r="L9" s="24">
        <v>2.3283839999999997E-2</v>
      </c>
      <c r="M9" s="24">
        <v>-2.9833913000000003E-3</v>
      </c>
      <c r="N9" s="24">
        <v>-6.9248680000000003E-4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2">
        <v>42110</v>
      </c>
      <c r="B10" s="24">
        <v>2.4981380000000001E-2</v>
      </c>
      <c r="C10" s="24">
        <v>3.7620186999999999E-2</v>
      </c>
      <c r="D10" s="24">
        <v>8.4014889999999995E-2</v>
      </c>
      <c r="E10" s="24">
        <v>3.3411980000000001E-3</v>
      </c>
      <c r="F10" s="24">
        <v>3.9904237000000002E-2</v>
      </c>
      <c r="G10" s="24">
        <v>7.4347257999999999E-2</v>
      </c>
      <c r="H10" s="24">
        <v>5.2544236000000001E-2</v>
      </c>
      <c r="I10" s="24">
        <v>1.1585236E-2</v>
      </c>
      <c r="J10" s="24">
        <v>1.3043523E-2</v>
      </c>
      <c r="K10" s="24">
        <v>4.7323465000000002E-2</v>
      </c>
      <c r="L10" s="24">
        <v>2.2754073E-2</v>
      </c>
      <c r="M10" s="24">
        <v>3.0520678000000002E-2</v>
      </c>
      <c r="N10" s="24">
        <v>4.7816989999999997E-2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2">
        <v>42139</v>
      </c>
      <c r="B11" s="24">
        <v>-4.0540576000000002E-2</v>
      </c>
      <c r="C11" s="24">
        <v>-8.4310769999999997E-4</v>
      </c>
      <c r="D11" s="24">
        <v>-7.8874826000000006E-3</v>
      </c>
      <c r="E11" s="24">
        <v>1.4318942999999999E-2</v>
      </c>
      <c r="F11" s="24">
        <v>8.4420439999999992E-3</v>
      </c>
      <c r="G11" s="24">
        <v>2.7166009999999997E-2</v>
      </c>
      <c r="H11" s="24">
        <v>4.2564390000000001E-2</v>
      </c>
      <c r="I11" s="24">
        <v>1.7550349E-2</v>
      </c>
      <c r="J11" s="24">
        <v>9.8398923999999995E-3</v>
      </c>
      <c r="K11" s="24">
        <v>3.2222270000000004E-2</v>
      </c>
      <c r="L11" s="24">
        <v>4.6988845000000001E-2</v>
      </c>
      <c r="M11" s="24">
        <v>8.1301930000000008E-3</v>
      </c>
      <c r="N11" s="24">
        <v>6.1507940000000004E-2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2">
        <v>42171</v>
      </c>
      <c r="B12" s="24">
        <v>-5.4044246999999997E-2</v>
      </c>
      <c r="C12" s="24">
        <v>-6.4135017000000002E-2</v>
      </c>
      <c r="D12" s="24">
        <v>-4.5281706000000005E-2</v>
      </c>
      <c r="E12" s="24">
        <v>-5.4497719999999999E-2</v>
      </c>
      <c r="F12" s="24">
        <v>-1.5220761000000001E-2</v>
      </c>
      <c r="G12" s="24">
        <v>-3.9532244000000001E-2</v>
      </c>
      <c r="H12" s="24">
        <v>-4.0826559999999998E-2</v>
      </c>
      <c r="I12" s="24">
        <v>-7.1180460000000003E-3</v>
      </c>
      <c r="J12" s="24">
        <v>-1.0308801999999999E-2</v>
      </c>
      <c r="K12" s="24">
        <v>-4.4851064999999996E-2</v>
      </c>
      <c r="L12" s="24">
        <v>-4.0483593999999998E-2</v>
      </c>
      <c r="M12" s="24">
        <v>-1.2960851000000001E-2</v>
      </c>
      <c r="N12" s="24">
        <v>-5.1713347E-2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">
        <v>42201</v>
      </c>
      <c r="B13" s="24">
        <v>-7.5079019999999996E-2</v>
      </c>
      <c r="C13" s="24">
        <v>-2.3329735000000001E-2</v>
      </c>
      <c r="D13" s="24">
        <v>-4.8852563000000002E-2</v>
      </c>
      <c r="E13" s="24">
        <v>2.4419665E-2</v>
      </c>
      <c r="F13" s="24">
        <v>5.8219430000000004E-3</v>
      </c>
      <c r="G13" s="24">
        <v>2.2103190000000002E-2</v>
      </c>
      <c r="H13" s="24">
        <v>6.9888830000000004E-3</v>
      </c>
      <c r="I13" s="24">
        <v>3.1239867000000001E-2</v>
      </c>
      <c r="J13" s="24">
        <v>1.4684200000000001E-2</v>
      </c>
      <c r="K13" s="24">
        <v>2.1120548000000003E-2</v>
      </c>
      <c r="L13" s="24">
        <v>2.6073336999999999E-2</v>
      </c>
      <c r="M13" s="24">
        <v>-1.2844384E-2</v>
      </c>
      <c r="N13" s="24">
        <v>3.4332871000000001E-2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2">
        <v>42230</v>
      </c>
      <c r="B14" s="24">
        <v>-1.5629589999999999E-2</v>
      </c>
      <c r="C14" s="24">
        <v>-6.0992837000000001E-2</v>
      </c>
      <c r="D14" s="24">
        <v>-3.4906030000000005E-2</v>
      </c>
      <c r="E14" s="24">
        <v>-3.2068968000000003E-2</v>
      </c>
      <c r="F14" s="24">
        <v>-2.3165941E-3</v>
      </c>
      <c r="G14" s="24">
        <v>-2.642274E-2</v>
      </c>
      <c r="H14" s="24">
        <v>-2.3379384999999999E-2</v>
      </c>
      <c r="I14" s="24">
        <v>-1.2774706E-2</v>
      </c>
      <c r="J14" s="24">
        <v>-1.3565719E-2</v>
      </c>
      <c r="K14" s="24">
        <v>-4.1151642999999998E-3</v>
      </c>
      <c r="L14" s="24">
        <v>-2.9743909999999998E-2</v>
      </c>
      <c r="M14" s="24">
        <v>-1.9889891E-2</v>
      </c>
      <c r="N14" s="24">
        <v>8.4034204000000001E-3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">
        <v>42263</v>
      </c>
      <c r="B15" s="24">
        <v>-2.9358863999999998E-2</v>
      </c>
      <c r="C15" s="24">
        <v>-4.8338412999999997E-2</v>
      </c>
      <c r="D15" s="24">
        <v>-3.9745629999999997E-2</v>
      </c>
      <c r="E15" s="24">
        <v>-5.3437829999999999E-2</v>
      </c>
      <c r="F15" s="24">
        <v>-7.8947425000000002E-2</v>
      </c>
      <c r="G15" s="24">
        <v>-4.3841243000000002E-2</v>
      </c>
      <c r="H15" s="24">
        <v>-5.9847593000000004E-2</v>
      </c>
      <c r="I15" s="24">
        <v>-3.0947506E-2</v>
      </c>
      <c r="J15" s="24">
        <v>-4.4121859999999999E-2</v>
      </c>
      <c r="K15" s="24">
        <v>-5.4094670000000004E-2</v>
      </c>
      <c r="L15" s="24">
        <v>-5.2774549999999996E-2</v>
      </c>
      <c r="M15" s="24">
        <v>-3.6840440000000002E-2</v>
      </c>
      <c r="N15" s="24">
        <v>-3.9743661999999999E-2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2">
        <v>42293</v>
      </c>
      <c r="B16" s="24">
        <v>9.5246910000000004E-2</v>
      </c>
      <c r="C16" s="24">
        <v>3.5449742999999999E-2</v>
      </c>
      <c r="D16" s="24">
        <v>2.4420500000000001E-2</v>
      </c>
      <c r="E16" s="24">
        <v>-1.2419998999999999E-2</v>
      </c>
      <c r="F16" s="24">
        <v>2.6050448E-2</v>
      </c>
      <c r="G16" s="24">
        <v>2.4952888000000003E-3</v>
      </c>
      <c r="H16" s="24">
        <v>2.0833254000000002E-2</v>
      </c>
      <c r="I16" s="24">
        <v>1.2110114E-2</v>
      </c>
      <c r="J16" s="24">
        <v>2.080512E-2</v>
      </c>
      <c r="K16" s="24">
        <v>2.4225593E-2</v>
      </c>
      <c r="L16" s="24">
        <v>1.9254327000000002E-2</v>
      </c>
      <c r="M16" s="24">
        <v>-1.6855775999999999E-2</v>
      </c>
      <c r="N16" s="24">
        <v>1.9359230999999998E-2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2">
        <v>42324</v>
      </c>
      <c r="B17" s="24">
        <v>-1.9895196E-2</v>
      </c>
      <c r="C17" s="24">
        <v>-6.6898345999999997E-2</v>
      </c>
      <c r="D17" s="24">
        <v>-6.9494904999999996E-2</v>
      </c>
      <c r="E17" s="24">
        <v>7.622242E-4</v>
      </c>
      <c r="F17" s="24">
        <v>2.1293997999999998E-2</v>
      </c>
      <c r="G17" s="24">
        <v>-3.7336588000000004E-2</v>
      </c>
      <c r="H17" s="24">
        <v>-3.9115548E-2</v>
      </c>
      <c r="I17" s="24">
        <v>3.0521631E-2</v>
      </c>
      <c r="J17" s="24">
        <v>1.1560916999999999E-2</v>
      </c>
      <c r="K17" s="24">
        <v>-2.9856562999999999E-2</v>
      </c>
      <c r="L17" s="24">
        <v>-1.5876174E-2</v>
      </c>
      <c r="M17" s="24">
        <v>-2.7035952000000002E-2</v>
      </c>
      <c r="N17" s="24">
        <v>-7.3346495999999997E-2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2">
        <v>42354</v>
      </c>
      <c r="B18" s="24">
        <v>6.4692379999999994E-2</v>
      </c>
      <c r="C18" s="24">
        <v>2.1313430000000001E-2</v>
      </c>
      <c r="D18" s="24">
        <v>-3.9079546999999999E-2</v>
      </c>
      <c r="E18" s="24">
        <v>8.3777904999999993E-3</v>
      </c>
      <c r="F18" s="24">
        <v>-8.0192684999999993E-3</v>
      </c>
      <c r="G18" s="24">
        <v>1.1312246E-2</v>
      </c>
      <c r="H18" s="24">
        <v>-2.7728677E-2</v>
      </c>
      <c r="I18" s="24">
        <v>2.2976160000000002E-2</v>
      </c>
      <c r="J18" s="24">
        <v>1.1720657000000001E-2</v>
      </c>
      <c r="K18" s="24">
        <v>-9.5922947000000001E-3</v>
      </c>
      <c r="L18" s="24">
        <v>-1.0006189E-2</v>
      </c>
      <c r="M18" s="24">
        <v>-4.4053197000000002E-3</v>
      </c>
      <c r="N18" s="24">
        <v>-6.3603520000000005E-3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2">
        <v>42384</v>
      </c>
      <c r="B19" s="24">
        <v>-5.1719723000000002E-2</v>
      </c>
      <c r="C19" s="24">
        <v>-0.1043539</v>
      </c>
      <c r="D19" s="24">
        <v>-0.13115043000000001</v>
      </c>
      <c r="E19" s="24">
        <v>-0.10762840000000001</v>
      </c>
      <c r="F19" s="24">
        <v>-9.0027990000000002E-2</v>
      </c>
      <c r="G19" s="24">
        <v>-8.5969979999999988E-2</v>
      </c>
      <c r="H19" s="24">
        <v>-0.10257673</v>
      </c>
      <c r="I19" s="24">
        <v>-0.11252587999999999</v>
      </c>
      <c r="J19" s="24">
        <v>-9.1729160000000004E-2</v>
      </c>
      <c r="K19" s="24">
        <v>-0.10450721</v>
      </c>
      <c r="L19" s="24">
        <v>-8.6827570000000007E-2</v>
      </c>
      <c r="M19" s="24">
        <v>-0.10914885999999999</v>
      </c>
      <c r="N19" s="24">
        <v>-0.112547035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2">
        <v>42416</v>
      </c>
      <c r="B20" s="24">
        <v>1.4337063000000001E-2</v>
      </c>
      <c r="C20" s="24">
        <v>6.5846085999999998E-2</v>
      </c>
      <c r="D20" s="24">
        <v>9.2250940000000003E-2</v>
      </c>
      <c r="E20" s="24">
        <v>-8.0405474000000005E-3</v>
      </c>
      <c r="F20" s="24">
        <v>-3.4451902E-2</v>
      </c>
      <c r="G20" s="24">
        <v>-1.7482638E-3</v>
      </c>
      <c r="H20" s="24">
        <v>2.4137974E-2</v>
      </c>
      <c r="I20" s="24">
        <v>-6.0490966000000005E-3</v>
      </c>
      <c r="J20" s="24">
        <v>1.0489345000000001E-2</v>
      </c>
      <c r="K20" s="24">
        <v>1.40208E-2</v>
      </c>
      <c r="L20" s="24">
        <v>1.1818169999999999E-2</v>
      </c>
      <c r="M20" s="24">
        <v>3.5946487999999999E-2</v>
      </c>
      <c r="N20" s="24">
        <v>-8.8424390000000005E-2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2">
        <v>42445</v>
      </c>
      <c r="B21" s="24">
        <v>0.11130190000000001</v>
      </c>
      <c r="C21" s="24">
        <v>0.12644349999999999</v>
      </c>
      <c r="D21" s="24">
        <v>0.13368726</v>
      </c>
      <c r="E21" s="24">
        <v>8.8737250000000004E-2</v>
      </c>
      <c r="F21" s="24">
        <v>6.1167717000000003E-2</v>
      </c>
      <c r="G21" s="24">
        <v>3.6427379000000003E-2</v>
      </c>
      <c r="H21" s="24">
        <v>5.2525280000000001E-2</v>
      </c>
      <c r="I21" s="24">
        <v>7.3331356E-2</v>
      </c>
      <c r="J21" s="24">
        <v>7.1451186999999999E-2</v>
      </c>
      <c r="K21" s="24">
        <v>8.6529849999999991E-2</v>
      </c>
      <c r="L21" s="24">
        <v>9.8831889999999992E-2</v>
      </c>
      <c r="M21" s="24">
        <v>8.4902169999999999E-2</v>
      </c>
      <c r="N21" s="24">
        <v>0.10493827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2">
        <v>42475</v>
      </c>
      <c r="B22" s="24">
        <v>7.3120475000000004E-2</v>
      </c>
      <c r="C22" s="24">
        <v>1.8964529000000001E-2</v>
      </c>
      <c r="D22" s="24">
        <v>3.1928539999999998E-2</v>
      </c>
      <c r="E22" s="24">
        <v>1.0971785000000001E-2</v>
      </c>
      <c r="F22" s="24">
        <v>2.8820992E-2</v>
      </c>
      <c r="G22" s="24">
        <v>3.0077696000000001E-2</v>
      </c>
      <c r="H22" s="24">
        <v>2.3032664999999997E-2</v>
      </c>
      <c r="I22" s="24">
        <v>3.1487942000000005E-2</v>
      </c>
      <c r="J22" s="24">
        <v>2.7083158E-2</v>
      </c>
      <c r="K22" s="24">
        <v>4.9260854999999999E-3</v>
      </c>
      <c r="L22" s="24">
        <v>1.3491511000000001E-2</v>
      </c>
      <c r="M22" s="24">
        <v>2.7900695999999999E-2</v>
      </c>
      <c r="N22" s="24">
        <v>-2.8731048000000002E-2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2">
        <v>42506</v>
      </c>
      <c r="B23" s="24">
        <v>-2.8790236000000003E-3</v>
      </c>
      <c r="C23" s="24">
        <v>-8.5512995999999994E-3</v>
      </c>
      <c r="D23" s="24">
        <v>1.0726093999999999E-2</v>
      </c>
      <c r="E23" s="24">
        <v>-6.5891739999999997E-3</v>
      </c>
      <c r="F23" s="24">
        <v>-7.6400639999999994E-3</v>
      </c>
      <c r="G23" s="24">
        <v>-9.8425149999999996E-3</v>
      </c>
      <c r="H23" s="24">
        <v>-8.7554455000000003E-3</v>
      </c>
      <c r="I23" s="24">
        <v>-3.4526408000000001E-2</v>
      </c>
      <c r="J23" s="24">
        <v>-4.8127769999999999E-3</v>
      </c>
      <c r="K23" s="24">
        <v>-1.2663364E-2</v>
      </c>
      <c r="L23" s="24">
        <v>-1.9362687999999999E-2</v>
      </c>
      <c r="M23" s="24">
        <v>-3.6742746999999999E-2</v>
      </c>
      <c r="N23" s="24">
        <v>-1.5612185000000001E-2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2">
        <v>42537</v>
      </c>
      <c r="B24" s="24">
        <v>3.6094784999999997E-2</v>
      </c>
      <c r="C24" s="24">
        <v>-3.8559019999999999E-2</v>
      </c>
      <c r="D24" s="24">
        <v>-4.8980116999999997E-3</v>
      </c>
      <c r="E24" s="24">
        <v>-3.6675692000000003E-2</v>
      </c>
      <c r="F24" s="24">
        <v>-2.0530343000000003E-2</v>
      </c>
      <c r="G24" s="24">
        <v>-1.8555342999999998E-2</v>
      </c>
      <c r="H24" s="24">
        <v>-3.659308E-2</v>
      </c>
      <c r="I24" s="24">
        <v>1.1421084E-2</v>
      </c>
      <c r="J24" s="24">
        <v>7.689357E-3</v>
      </c>
      <c r="K24" s="24">
        <v>-3.4753859999999998E-2</v>
      </c>
      <c r="L24" s="24">
        <v>-3.7844538999999996E-2</v>
      </c>
      <c r="M24" s="24">
        <v>-3.9862514000000002E-2</v>
      </c>
      <c r="N24" s="24">
        <v>-5.8430730000000007E-2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2">
        <v>42566</v>
      </c>
      <c r="B25" s="24">
        <v>4.0738105999999996E-2</v>
      </c>
      <c r="C25" s="24">
        <v>9.071005E-2</v>
      </c>
      <c r="D25" s="24">
        <v>4.5149803000000002E-2</v>
      </c>
      <c r="E25" s="24">
        <v>2.5959134000000002E-2</v>
      </c>
      <c r="F25" s="24">
        <v>4.5787690000000006E-2</v>
      </c>
      <c r="G25" s="24">
        <v>3.2859921E-2</v>
      </c>
      <c r="H25" s="24">
        <v>3.8096905E-2</v>
      </c>
      <c r="I25" s="24">
        <v>3.7587522999999998E-2</v>
      </c>
      <c r="J25" s="24">
        <v>4.1210649999999995E-2</v>
      </c>
      <c r="K25" s="24">
        <v>2.3584722999999998E-2</v>
      </c>
      <c r="L25" s="24">
        <v>1.7494797999999999E-2</v>
      </c>
      <c r="M25" s="24">
        <v>3.3637404000000003E-2</v>
      </c>
      <c r="N25" s="24">
        <v>8.4325075000000003E-3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2">
        <v>42598</v>
      </c>
      <c r="B26" s="24">
        <v>4.8361539999999995E-2</v>
      </c>
      <c r="C26" s="24">
        <v>2.9931307000000001E-2</v>
      </c>
      <c r="D26" s="24">
        <v>2.4129748000000003E-2</v>
      </c>
      <c r="E26" s="24">
        <v>7.8042865000000003E-2</v>
      </c>
      <c r="F26" s="24">
        <v>3.4511805E-2</v>
      </c>
      <c r="G26" s="24">
        <v>3.2885909999999997E-2</v>
      </c>
      <c r="H26" s="24">
        <v>2.4563670000000003E-2</v>
      </c>
      <c r="I26" s="24">
        <v>4.6958804E-2</v>
      </c>
      <c r="J26" s="24">
        <v>9.8688600000000001E-3</v>
      </c>
      <c r="K26" s="24">
        <v>4.1666626999999998E-2</v>
      </c>
      <c r="L26" s="24">
        <v>5.0298450000000001E-2</v>
      </c>
      <c r="M26" s="24">
        <v>3.8156986000000004E-2</v>
      </c>
      <c r="N26" s="24">
        <v>1.7179012E-2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2">
        <v>42629</v>
      </c>
      <c r="B27" s="24">
        <v>-9.9158883E-3</v>
      </c>
      <c r="C27" s="24">
        <v>-5.7170033000000002E-2</v>
      </c>
      <c r="D27" s="24">
        <v>-3.7852407000000005E-2</v>
      </c>
      <c r="E27" s="24">
        <v>-4.2760670000000001E-2</v>
      </c>
      <c r="F27" s="24">
        <v>-1.6273378999999998E-2</v>
      </c>
      <c r="G27" s="24">
        <v>-2.3391842999999999E-2</v>
      </c>
      <c r="H27" s="24">
        <v>-2.2082030000000002E-2</v>
      </c>
      <c r="I27" s="24">
        <v>4.5610666000000001E-3</v>
      </c>
      <c r="J27" s="24">
        <v>-1.6094445999999998E-2</v>
      </c>
      <c r="K27" s="24">
        <v>-3.3402026000000001E-2</v>
      </c>
      <c r="L27" s="24">
        <v>-1.9886373999999998E-2</v>
      </c>
      <c r="M27" s="24">
        <v>-1.3869583999999999E-2</v>
      </c>
      <c r="N27" s="24">
        <v>-3.9999962E-2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2">
        <v>42657</v>
      </c>
      <c r="B28" s="24">
        <v>-4.7463536000000001E-2</v>
      </c>
      <c r="C28" s="24">
        <v>4.5982839999999997E-2</v>
      </c>
      <c r="D28" s="24">
        <v>2.0473718999999998E-2</v>
      </c>
      <c r="E28" s="24">
        <v>9.796262E-3</v>
      </c>
      <c r="F28" s="24">
        <v>2.0678282000000003E-2</v>
      </c>
      <c r="G28" s="24">
        <v>-1.1310697000000001E-2</v>
      </c>
      <c r="H28" s="24">
        <v>-2.5806427E-2</v>
      </c>
      <c r="I28" s="24">
        <v>-1.2788773E-3</v>
      </c>
      <c r="J28" s="24">
        <v>-1.1716484999999999E-3</v>
      </c>
      <c r="K28" s="24">
        <v>1.2372016999999999E-2</v>
      </c>
      <c r="L28" s="24">
        <v>6.2111616E-3</v>
      </c>
      <c r="M28" s="24">
        <v>-8.4388255999999998E-3</v>
      </c>
      <c r="N28" s="24">
        <v>6.4814090000000005E-3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">
        <v>42690</v>
      </c>
      <c r="B29" s="24">
        <v>-4.9142894999999999E-2</v>
      </c>
      <c r="C29" s="24">
        <v>-2.6086986E-2</v>
      </c>
      <c r="D29" s="24">
        <v>-3.9339066000000002E-3</v>
      </c>
      <c r="E29" s="24">
        <v>-2.7551472E-2</v>
      </c>
      <c r="F29" s="24">
        <v>8.1038474999999997E-4</v>
      </c>
      <c r="G29" s="24">
        <v>-3.1628490000000002E-2</v>
      </c>
      <c r="H29" s="24">
        <v>-1.2913942000000001E-2</v>
      </c>
      <c r="I29" s="24">
        <v>-1.9634366E-3</v>
      </c>
      <c r="J29" s="24">
        <v>2.2287965E-2</v>
      </c>
      <c r="K29" s="24">
        <v>-1.7277718000000001E-2</v>
      </c>
      <c r="L29" s="24">
        <v>-3.1687199999999999E-2</v>
      </c>
      <c r="M29" s="24">
        <v>-3.5815597000000005E-2</v>
      </c>
      <c r="N29" s="24">
        <v>-1.4719427E-2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">
        <v>42720</v>
      </c>
      <c r="B30" s="24">
        <v>-2.3798048000000002E-2</v>
      </c>
      <c r="C30" s="24">
        <v>2.0337342999999997E-2</v>
      </c>
      <c r="D30" s="24">
        <v>5.0158024000000002E-2</v>
      </c>
      <c r="E30" s="24">
        <v>4.2697550000000001E-2</v>
      </c>
      <c r="F30" s="24">
        <v>1.4574884999999999E-2</v>
      </c>
      <c r="G30" s="24">
        <v>1.2161135999999999E-2</v>
      </c>
      <c r="H30" s="24">
        <v>4.1261314999999993E-2</v>
      </c>
      <c r="I30" s="24">
        <v>2.6045084E-2</v>
      </c>
      <c r="J30" s="24">
        <v>3.9009213000000001E-2</v>
      </c>
      <c r="K30" s="24">
        <v>4.4596910000000003E-2</v>
      </c>
      <c r="L30" s="24">
        <v>1.9124507999999998E-2</v>
      </c>
      <c r="M30" s="24">
        <v>4.6340585000000004E-2</v>
      </c>
      <c r="N30" s="24">
        <v>0.11577964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">
        <v>42748</v>
      </c>
      <c r="B31" s="24">
        <v>6.9192767000000002E-2</v>
      </c>
      <c r="C31" s="24">
        <v>6.966543E-2</v>
      </c>
      <c r="D31" s="24">
        <v>3.0503035000000001E-2</v>
      </c>
      <c r="E31" s="24">
        <v>3.8244128000000002E-2</v>
      </c>
      <c r="F31" s="24">
        <v>2.7271866999999998E-2</v>
      </c>
      <c r="G31" s="24">
        <v>4.8370839999999998E-2</v>
      </c>
      <c r="H31" s="24">
        <v>2.3319602000000002E-2</v>
      </c>
      <c r="I31" s="24">
        <v>2.9765963999999999E-2</v>
      </c>
      <c r="J31" s="24">
        <v>8.931755999999999E-3</v>
      </c>
      <c r="K31" s="24">
        <v>3.9848685000000002E-2</v>
      </c>
      <c r="L31" s="24">
        <v>3.9496063999999997E-2</v>
      </c>
      <c r="M31" s="24">
        <v>3.7786722000000002E-2</v>
      </c>
      <c r="N31" s="24">
        <v>3.6674737999999998E-2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">
        <v>42782</v>
      </c>
      <c r="B32" s="24">
        <v>2.4779558E-2</v>
      </c>
      <c r="C32" s="24">
        <v>3.9664030000000003E-2</v>
      </c>
      <c r="D32" s="24">
        <v>2.6170372999999997E-2</v>
      </c>
      <c r="E32" s="24">
        <v>1.917398E-2</v>
      </c>
      <c r="F32" s="24">
        <v>6.4846280000000001E-3</v>
      </c>
      <c r="G32" s="24">
        <v>1.7365575000000001E-2</v>
      </c>
      <c r="H32" s="24">
        <v>2.2662043999999999E-2</v>
      </c>
      <c r="I32" s="24">
        <v>4.9447894000000006E-2</v>
      </c>
      <c r="J32" s="24">
        <v>3.3781051999999999E-2</v>
      </c>
      <c r="K32" s="24">
        <v>3.1695366000000003E-3</v>
      </c>
      <c r="L32" s="24">
        <v>3.0881763000000003E-2</v>
      </c>
      <c r="M32" s="24">
        <v>5.2506804000000004E-2</v>
      </c>
      <c r="N32" s="24">
        <v>-2.4032593000000001E-2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">
        <v>42810</v>
      </c>
      <c r="B33" s="24">
        <v>-3.2085478000000001E-2</v>
      </c>
      <c r="C33" s="24">
        <v>7.6301099999999998E-3</v>
      </c>
      <c r="D33" s="24">
        <v>-3.4841955000000001E-2</v>
      </c>
      <c r="E33" s="24">
        <v>3.0752540000000002E-2</v>
      </c>
      <c r="F33" s="24">
        <v>8.5903406000000012E-3</v>
      </c>
      <c r="G33" s="24">
        <v>3.2850266000000003E-2</v>
      </c>
      <c r="H33" s="24">
        <v>1.498127E-2</v>
      </c>
      <c r="I33" s="24">
        <v>2.1353960000000002E-2</v>
      </c>
      <c r="J33" s="24">
        <v>1.6019106000000002E-2</v>
      </c>
      <c r="K33" s="24">
        <v>3.1990527999999997E-2</v>
      </c>
      <c r="L33" s="24">
        <v>5.9124946999999997E-2</v>
      </c>
      <c r="M33" s="24">
        <v>1.5127181999999999E-2</v>
      </c>
      <c r="N33" s="24">
        <v>6.5108540000000006E-2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">
        <v>42838</v>
      </c>
      <c r="B34" s="24">
        <v>1.6334413999999998E-2</v>
      </c>
      <c r="C34" s="24">
        <v>-8.9091059999999995E-4</v>
      </c>
      <c r="D34" s="24">
        <v>-6.6989063999999994E-3</v>
      </c>
      <c r="E34" s="24">
        <v>-1.1934042000000001E-2</v>
      </c>
      <c r="F34" s="24">
        <v>-2.0325184E-2</v>
      </c>
      <c r="G34" s="24">
        <v>-2.8063654999999996E-3</v>
      </c>
      <c r="H34" s="24">
        <v>-3.0751228000000003E-3</v>
      </c>
      <c r="I34" s="24">
        <v>-1.0139644000000001E-2</v>
      </c>
      <c r="J34" s="24">
        <v>-2.078402E-2</v>
      </c>
      <c r="K34" s="24">
        <v>-7.6532364000000009E-4</v>
      </c>
      <c r="L34" s="24">
        <v>-5.2103399999999999E-3</v>
      </c>
      <c r="M34" s="24">
        <v>-1.2048244E-2</v>
      </c>
      <c r="N34" s="24">
        <v>-3.0172408000000001E-2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">
        <v>42871</v>
      </c>
      <c r="B35" s="24">
        <v>1.6780852999999998E-2</v>
      </c>
      <c r="C35" s="24">
        <v>-1.8724918E-2</v>
      </c>
      <c r="D35" s="24">
        <v>-1.3113558000000001E-2</v>
      </c>
      <c r="E35" s="24">
        <v>0.10195387</v>
      </c>
      <c r="F35" s="24">
        <v>3.8529991999999999E-2</v>
      </c>
      <c r="G35" s="24">
        <v>8.6303950000000004E-2</v>
      </c>
      <c r="H35" s="24">
        <v>6.6934110000000005E-2</v>
      </c>
      <c r="I35" s="24">
        <v>7.0705533000000001E-2</v>
      </c>
      <c r="J35" s="24">
        <v>3.2557725999999995E-2</v>
      </c>
      <c r="K35" s="24">
        <v>0.12945223</v>
      </c>
      <c r="L35" s="24">
        <v>9.9139579999999991E-2</v>
      </c>
      <c r="M35" s="24">
        <v>9.4672680000000009E-2</v>
      </c>
      <c r="N35" s="24">
        <v>0.15191925000000001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">
        <v>42902</v>
      </c>
      <c r="B36" s="24">
        <v>7.7870727000000001E-2</v>
      </c>
      <c r="C36" s="24">
        <v>6.8150759999999998E-3</v>
      </c>
      <c r="D36" s="24">
        <v>7.9725979999999991E-3</v>
      </c>
      <c r="E36" s="24">
        <v>6.7697762999999996E-3</v>
      </c>
      <c r="F36" s="24">
        <v>3.1582951999999997E-2</v>
      </c>
      <c r="G36" s="24">
        <v>1.4392137999999998E-3</v>
      </c>
      <c r="H36" s="24">
        <v>-1.0407626999999999E-2</v>
      </c>
      <c r="I36" s="24">
        <v>-7.8182219999999997E-3</v>
      </c>
      <c r="J36" s="24">
        <v>1.5591144999999999E-2</v>
      </c>
      <c r="K36" s="24">
        <v>-4.4082402999999996E-3</v>
      </c>
      <c r="L36" s="24">
        <v>-1.3614297E-3</v>
      </c>
      <c r="M36" s="24">
        <v>2.6385784000000001E-3</v>
      </c>
      <c r="N36" s="24">
        <v>-1.0171889999999999E-2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">
        <v>42930</v>
      </c>
      <c r="B37" s="24">
        <v>2.6584387000000001E-2</v>
      </c>
      <c r="C37" s="24">
        <v>2.6599168999999999E-2</v>
      </c>
      <c r="D37" s="24">
        <v>4.6222805999999998E-2</v>
      </c>
      <c r="E37" s="24">
        <v>1.4904857000000001E-2</v>
      </c>
      <c r="F37" s="24">
        <v>-4.5096874000000002E-3</v>
      </c>
      <c r="G37" s="24">
        <v>1.4334797999999999E-2</v>
      </c>
      <c r="H37" s="24">
        <v>1.2573480999999999E-2</v>
      </c>
      <c r="I37" s="24">
        <v>2.8736950000000001E-2</v>
      </c>
      <c r="J37" s="24">
        <v>1.2034297000000001E-2</v>
      </c>
      <c r="K37" s="24">
        <v>1.9021630000000001E-2</v>
      </c>
      <c r="L37" s="24">
        <v>2.8130293000000001E-2</v>
      </c>
      <c r="M37" s="24">
        <v>5.5904984000000005E-2</v>
      </c>
      <c r="N37" s="24">
        <v>4.5983075999999998E-2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">
        <v>42963</v>
      </c>
      <c r="B38" s="24">
        <v>1.0699749000000001E-2</v>
      </c>
      <c r="C38" s="24">
        <v>2.3809551999999998E-2</v>
      </c>
      <c r="D38" s="24">
        <v>-5.0816536000000004E-3</v>
      </c>
      <c r="E38" s="24">
        <v>-7.3978900000000007E-3</v>
      </c>
      <c r="F38" s="24">
        <v>1.7714023999999998E-2</v>
      </c>
      <c r="G38" s="24">
        <v>-6.9463850000000002E-3</v>
      </c>
      <c r="H38" s="24">
        <v>-6.4896940000000007E-3</v>
      </c>
      <c r="I38" s="24">
        <v>1.5198468999999999E-2</v>
      </c>
      <c r="J38" s="24">
        <v>5.6198835000000006E-3</v>
      </c>
      <c r="K38" s="24">
        <v>1.0200620000000001E-2</v>
      </c>
      <c r="L38" s="24">
        <v>3.1711459999999997E-2</v>
      </c>
      <c r="M38" s="24">
        <v>-3.1152725000000003E-2</v>
      </c>
      <c r="N38" s="24">
        <v>3.8289070000000001E-2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">
        <v>42993</v>
      </c>
      <c r="B39" s="24">
        <v>-1.1221647E-2</v>
      </c>
      <c r="C39" s="24">
        <v>4.8266649999999999E-3</v>
      </c>
      <c r="D39" s="24">
        <v>4.3050050000000006E-2</v>
      </c>
      <c r="E39" s="24">
        <v>3.7589073000000001E-2</v>
      </c>
      <c r="F39" s="24">
        <v>1.2092351999999999E-2</v>
      </c>
      <c r="G39" s="24">
        <v>1.4281511E-2</v>
      </c>
      <c r="H39" s="24">
        <v>2.5237440000000003E-2</v>
      </c>
      <c r="I39" s="24">
        <v>1.2337089000000001E-2</v>
      </c>
      <c r="J39" s="24">
        <v>1.4111042000000001E-2</v>
      </c>
      <c r="K39" s="24">
        <v>2.7936816000000003E-2</v>
      </c>
      <c r="L39" s="24">
        <v>1.7075896E-2</v>
      </c>
      <c r="M39" s="24">
        <v>3.5077453000000001E-2</v>
      </c>
      <c r="N39" s="24">
        <v>3.2225847000000002E-2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">
        <v>43024</v>
      </c>
      <c r="B40" s="24">
        <v>1.9914388999999998E-2</v>
      </c>
      <c r="C40" s="24">
        <v>3.9300919999999996E-3</v>
      </c>
      <c r="D40" s="24">
        <v>2.0286797999999998E-2</v>
      </c>
      <c r="E40" s="24">
        <v>2.3422836999999998E-2</v>
      </c>
      <c r="F40" s="24">
        <v>4.3446779999999997E-2</v>
      </c>
      <c r="G40" s="24">
        <v>1.2931108E-2</v>
      </c>
      <c r="H40" s="24">
        <v>2.0272255000000003E-2</v>
      </c>
      <c r="I40" s="24">
        <v>2.1337986E-2</v>
      </c>
      <c r="J40" s="24">
        <v>2.4479270000000001E-2</v>
      </c>
      <c r="K40" s="24">
        <v>1.6371964999999999E-2</v>
      </c>
      <c r="L40" s="24">
        <v>1.8548131000000002E-2</v>
      </c>
      <c r="M40" s="24">
        <v>1.4967441999999999E-2</v>
      </c>
      <c r="N40" s="24">
        <v>-4.8277974000000001E-3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">
        <v>43055</v>
      </c>
      <c r="B41" s="24">
        <v>-5.5007400000000005E-2</v>
      </c>
      <c r="C41" s="24">
        <v>-6.9595574999999996E-3</v>
      </c>
      <c r="D41" s="24">
        <v>-5.1422715000000001E-3</v>
      </c>
      <c r="E41" s="24">
        <v>3.0515194000000001E-3</v>
      </c>
      <c r="F41" s="24">
        <v>2.3247719999999999E-2</v>
      </c>
      <c r="G41" s="24">
        <v>-2.9503583999999999E-2</v>
      </c>
      <c r="H41" s="24">
        <v>-2.3275614E-2</v>
      </c>
      <c r="I41" s="24">
        <v>3.8226365999999998E-2</v>
      </c>
      <c r="J41" s="24">
        <v>1.3044E-2</v>
      </c>
      <c r="K41" s="24">
        <v>-6.1211585999999991E-3</v>
      </c>
      <c r="L41" s="24">
        <v>-1.6326547E-2</v>
      </c>
      <c r="M41" s="24">
        <v>-3.1441211999999996E-2</v>
      </c>
      <c r="N41" s="24">
        <v>-1.3583422000000001E-2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">
        <v>43084</v>
      </c>
      <c r="B42" s="24">
        <v>6.0208917000000001E-2</v>
      </c>
      <c r="C42" s="24">
        <v>1.3578653000000001E-2</v>
      </c>
      <c r="D42" s="24">
        <v>-6.8920850000000003E-4</v>
      </c>
      <c r="E42" s="24">
        <v>4.8676730000000003E-3</v>
      </c>
      <c r="F42" s="24">
        <v>1.5598536000000001E-2</v>
      </c>
      <c r="G42" s="24">
        <v>2.5723457000000002E-2</v>
      </c>
      <c r="H42" s="24">
        <v>2.6445745999999999E-2</v>
      </c>
      <c r="I42" s="24">
        <v>2.0124197E-2</v>
      </c>
      <c r="J42" s="24">
        <v>3.5733342000000001E-2</v>
      </c>
      <c r="K42" s="24">
        <v>2.9172896999999998E-3</v>
      </c>
      <c r="L42" s="24">
        <v>8.2987546999999991E-3</v>
      </c>
      <c r="M42" s="24">
        <v>-3.6771118999999998E-2</v>
      </c>
      <c r="N42" s="24">
        <v>-4.2622685000000002E-3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">
        <v>43116</v>
      </c>
      <c r="B43" s="24">
        <v>2.3694277E-2</v>
      </c>
      <c r="C43" s="24">
        <v>3.8792132999999999E-2</v>
      </c>
      <c r="D43" s="24">
        <v>5.5764318E-2</v>
      </c>
      <c r="E43" s="24">
        <v>4.8962709999999993E-2</v>
      </c>
      <c r="F43" s="24">
        <v>6.6530943000000009E-2</v>
      </c>
      <c r="G43" s="24">
        <v>4.1322349999999994E-2</v>
      </c>
      <c r="H43" s="24">
        <v>6.9090009999999993E-2</v>
      </c>
      <c r="I43" s="24">
        <v>4.2566420000000001E-2</v>
      </c>
      <c r="J43" s="24">
        <v>3.9247990000000003E-2</v>
      </c>
      <c r="K43" s="24">
        <v>6.5932392999999992E-2</v>
      </c>
      <c r="L43" s="24">
        <v>4.9113870000000004E-2</v>
      </c>
      <c r="M43" s="24">
        <v>7.627951999999999E-2</v>
      </c>
      <c r="N43" s="24">
        <v>9.7890850000000001E-2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">
        <v>43147</v>
      </c>
      <c r="B44" s="24">
        <v>1.6690493E-3</v>
      </c>
      <c r="C44" s="24">
        <v>-2.0460367E-2</v>
      </c>
      <c r="D44" s="24">
        <v>-6.4836206000000007E-2</v>
      </c>
      <c r="E44" s="24">
        <v>-3.7037133999999999E-2</v>
      </c>
      <c r="F44" s="24">
        <v>-2.9309810000000002E-2</v>
      </c>
      <c r="G44" s="24">
        <v>-1.614672E-2</v>
      </c>
      <c r="H44" s="24">
        <v>-3.8855970000000004E-2</v>
      </c>
      <c r="I44" s="24">
        <v>5.7309865999999998E-3</v>
      </c>
      <c r="J44" s="24">
        <v>-1.3936578999999999E-2</v>
      </c>
      <c r="K44" s="24">
        <v>-2.2201954999999999E-2</v>
      </c>
      <c r="L44" s="24">
        <v>-2.0179032999999999E-2</v>
      </c>
      <c r="M44" s="24">
        <v>-2.3229718E-2</v>
      </c>
      <c r="N44" s="24">
        <v>-1.025331E-2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">
        <v>43175</v>
      </c>
      <c r="B45" s="24">
        <v>2.7286052999999998E-2</v>
      </c>
      <c r="C45" s="24">
        <v>-9.1383460000000003E-3</v>
      </c>
      <c r="D45" s="24">
        <v>-2.1223903000000002E-2</v>
      </c>
      <c r="E45" s="24">
        <v>-1.953119E-2</v>
      </c>
      <c r="F45" s="24">
        <v>-1.4772713E-2</v>
      </c>
      <c r="G45" s="24">
        <v>-3.0041753999999997E-2</v>
      </c>
      <c r="H45" s="24">
        <v>-2.1336257000000001E-2</v>
      </c>
      <c r="I45" s="24">
        <v>3.6736129999999999E-2</v>
      </c>
      <c r="J45" s="24">
        <v>8.0070495999999998E-3</v>
      </c>
      <c r="K45" s="24">
        <v>-8.3982349999999987E-3</v>
      </c>
      <c r="L45" s="24">
        <v>3.4066439999999999E-3</v>
      </c>
      <c r="M45" s="24">
        <v>-1.2320935999999999E-2</v>
      </c>
      <c r="N45" s="24">
        <v>-7.9219340000000003E-3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">
        <v>43206</v>
      </c>
      <c r="B46" s="24">
        <v>1.4801264000000001E-2</v>
      </c>
      <c r="C46" s="24">
        <v>-1.2736081999999999E-2</v>
      </c>
      <c r="D46" s="24">
        <v>1.4456034E-2</v>
      </c>
      <c r="E46" s="24">
        <v>8.2745549999999994E-3</v>
      </c>
      <c r="F46" s="24">
        <v>-4.7783256000000001E-3</v>
      </c>
      <c r="G46" s="24">
        <v>-1.0897517000000001E-2</v>
      </c>
      <c r="H46" s="24">
        <v>3.8152575000000001E-2</v>
      </c>
      <c r="I46" s="24">
        <v>-4.7660470000000003E-2</v>
      </c>
      <c r="J46" s="24">
        <v>-2.5054812000000003E-2</v>
      </c>
      <c r="K46" s="24">
        <v>1.9134283000000002E-2</v>
      </c>
      <c r="L46" s="24">
        <v>1.2654304999999999E-2</v>
      </c>
      <c r="M46" s="24">
        <v>-3.8874388000000003E-2</v>
      </c>
      <c r="N46" s="24">
        <v>3.1940936999999996E-2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">
        <v>43236</v>
      </c>
      <c r="B47" s="24">
        <v>-4.8151849999999996E-2</v>
      </c>
      <c r="C47" s="24">
        <v>1.5569448E-2</v>
      </c>
      <c r="D47" s="24">
        <v>4.1325209999999994E-2</v>
      </c>
      <c r="E47" s="24">
        <v>-2.4316907E-3</v>
      </c>
      <c r="F47" s="24">
        <v>1.2748241E-2</v>
      </c>
      <c r="G47" s="24">
        <v>-1.1597871999999999E-3</v>
      </c>
      <c r="H47" s="24">
        <v>1.9066095000000002E-2</v>
      </c>
      <c r="I47" s="24">
        <v>3.9237380000000002E-2</v>
      </c>
      <c r="J47" s="24">
        <v>1.8366813999999999E-2</v>
      </c>
      <c r="K47" s="24">
        <v>3.6934614E-3</v>
      </c>
      <c r="L47" s="24">
        <v>-2.1944582000000001E-2</v>
      </c>
      <c r="M47" s="24">
        <v>2.3543596E-2</v>
      </c>
      <c r="N47" s="24">
        <v>-2.8868973000000003E-2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">
        <v>43266</v>
      </c>
      <c r="B48" s="24">
        <v>6.0243486999999998E-2</v>
      </c>
      <c r="C48" s="24">
        <v>-1.4892697E-2</v>
      </c>
      <c r="D48" s="24">
        <v>-1.8132031E-2</v>
      </c>
      <c r="E48" s="24">
        <v>-1.1882961000000001E-2</v>
      </c>
      <c r="F48" s="24">
        <v>-1.389569E-2</v>
      </c>
      <c r="G48" s="24">
        <v>-2.3802577999999998E-2</v>
      </c>
      <c r="H48" s="24">
        <v>-2.4945795999999999E-2</v>
      </c>
      <c r="I48" s="24">
        <v>4.7342896000000002E-2</v>
      </c>
      <c r="J48" s="24">
        <v>2.2537349999999998E-2</v>
      </c>
      <c r="K48" s="24">
        <v>-1.0426283000000001E-2</v>
      </c>
      <c r="L48" s="24">
        <v>-6.5441130000000007E-3</v>
      </c>
      <c r="M48" s="24">
        <v>-2.683574E-2</v>
      </c>
      <c r="N48" s="24">
        <v>-6.9874343999999991E-2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">
        <v>43297</v>
      </c>
      <c r="B49" s="24">
        <v>-3.3696591999999997E-2</v>
      </c>
      <c r="C49" s="24">
        <v>2.8172849999999999E-2</v>
      </c>
      <c r="D49" s="24">
        <v>1.8124342000000002E-2</v>
      </c>
      <c r="E49" s="24">
        <v>-2.7646959999999998E-2</v>
      </c>
      <c r="F49" s="24">
        <v>-3.7948548999999998E-2</v>
      </c>
      <c r="G49" s="24">
        <v>1.9284844000000002E-2</v>
      </c>
      <c r="H49" s="24">
        <v>-8.3853005999999994E-3</v>
      </c>
      <c r="I49" s="24">
        <v>1.4601111E-2</v>
      </c>
      <c r="J49" s="24">
        <v>7.9746246000000007E-3</v>
      </c>
      <c r="K49" s="24">
        <v>-6.3166619999999998E-3</v>
      </c>
      <c r="L49" s="24">
        <v>-5.0949454000000002E-3</v>
      </c>
      <c r="M49" s="24">
        <v>-1.4929950000000001E-2</v>
      </c>
      <c r="N49" s="24">
        <v>-7.8827740000000004E-3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">
        <v>43328</v>
      </c>
      <c r="B50" s="24">
        <v>-1.7083346999999999E-2</v>
      </c>
      <c r="C50" s="24">
        <v>4.4095515999999999E-4</v>
      </c>
      <c r="D50" s="24">
        <v>-1.4487742999999999E-2</v>
      </c>
      <c r="E50" s="24">
        <v>-5.1964940000000001E-2</v>
      </c>
      <c r="F50" s="24">
        <v>-1.0072947E-2</v>
      </c>
      <c r="G50" s="24">
        <v>1.2260795E-2</v>
      </c>
      <c r="H50" s="24">
        <v>-4.2205039999999999E-2</v>
      </c>
      <c r="I50" s="24">
        <v>3.5718680000000002E-3</v>
      </c>
      <c r="J50" s="24">
        <v>1.6896963000000001E-2</v>
      </c>
      <c r="K50" s="24">
        <v>-4.4571756999999997E-2</v>
      </c>
      <c r="L50" s="24">
        <v>-2.9798089999999999E-2</v>
      </c>
      <c r="M50" s="24">
        <v>-1.3522208000000001E-2</v>
      </c>
      <c r="N50" s="24">
        <v>-8.0573619999999999E-2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">
        <v>43357</v>
      </c>
      <c r="B51" s="24">
        <v>1.8863916000000001E-2</v>
      </c>
      <c r="C51" s="24">
        <v>-3.6579966999999998E-2</v>
      </c>
      <c r="D51" s="24">
        <v>-8.050382E-3</v>
      </c>
      <c r="E51" s="24">
        <v>1.7814278999999999E-2</v>
      </c>
      <c r="F51" s="24">
        <v>1.9649148000000002E-2</v>
      </c>
      <c r="G51" s="24">
        <v>2.8655887000000001E-2</v>
      </c>
      <c r="H51" s="24">
        <v>-2.3981332999999999E-3</v>
      </c>
      <c r="I51" s="24">
        <v>2.3189901999999998E-2</v>
      </c>
      <c r="J51" s="24">
        <v>2.4008989999999997E-2</v>
      </c>
      <c r="K51" s="24">
        <v>2.5658129999999998E-2</v>
      </c>
      <c r="L51" s="24">
        <v>-2.3118257999999998E-3</v>
      </c>
      <c r="M51" s="24">
        <v>3.5248040000000001E-2</v>
      </c>
      <c r="N51" s="24">
        <v>3.4905314E-2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">
        <v>43389</v>
      </c>
      <c r="B52" s="24">
        <v>-3.9317667000000001E-2</v>
      </c>
      <c r="C52" s="24">
        <v>-4.1628540000000006E-2</v>
      </c>
      <c r="D52" s="24">
        <v>-2.2582889000000002E-2</v>
      </c>
      <c r="E52" s="24">
        <v>-3.7024498000000003E-2</v>
      </c>
      <c r="F52" s="24">
        <v>-8.7749360000000005E-3</v>
      </c>
      <c r="G52" s="24">
        <v>-4.8535290000000002E-2</v>
      </c>
      <c r="H52" s="24">
        <v>-1.8629789000000001E-2</v>
      </c>
      <c r="I52" s="24">
        <v>-3.5068274000000003E-2</v>
      </c>
      <c r="J52" s="24">
        <v>-3.1662107000000002E-2</v>
      </c>
      <c r="K52" s="24">
        <v>-3.8011669999999997E-2</v>
      </c>
      <c r="L52" s="24">
        <v>-4.2370023999999999E-2</v>
      </c>
      <c r="M52" s="24">
        <v>-3.1841099999999997E-2</v>
      </c>
      <c r="N52" s="24">
        <v>-4.9156846999999997E-2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">
        <v>43420</v>
      </c>
      <c r="B53" s="24">
        <v>4.0926813999999999E-2</v>
      </c>
      <c r="C53" s="24">
        <v>3.3413172000000004E-3</v>
      </c>
      <c r="D53" s="24">
        <v>-3.4296036000000002E-2</v>
      </c>
      <c r="E53" s="24">
        <v>-4.6487210000000001E-2</v>
      </c>
      <c r="F53" s="24">
        <v>-5.0512075000000003E-2</v>
      </c>
      <c r="G53" s="24">
        <v>-6.6405535000000002E-3</v>
      </c>
      <c r="H53" s="24">
        <v>-2.9087603E-2</v>
      </c>
      <c r="I53" s="24">
        <v>-5.4847060000000003E-2</v>
      </c>
      <c r="J53" s="24">
        <v>-2.3787379999999997E-2</v>
      </c>
      <c r="K53" s="24">
        <v>-3.9513707000000002E-2</v>
      </c>
      <c r="L53" s="24">
        <v>-1.1406839E-2</v>
      </c>
      <c r="M53" s="24">
        <v>-4.4936476000000003E-2</v>
      </c>
      <c r="N53" s="24">
        <v>-4.7924519999999998E-2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">
        <v>43448</v>
      </c>
      <c r="B54" s="24">
        <v>-2.8292060000000001E-2</v>
      </c>
      <c r="C54" s="24">
        <v>-4.6622219999999999E-2</v>
      </c>
      <c r="D54" s="24">
        <v>-5.1588773999999997E-2</v>
      </c>
      <c r="E54" s="24">
        <v>-6.2316713000000003E-2</v>
      </c>
      <c r="F54" s="24">
        <v>-3.1809926000000002E-2</v>
      </c>
      <c r="G54" s="24">
        <v>-2.9170454000000002E-2</v>
      </c>
      <c r="H54" s="24">
        <v>-4.9826565000000003E-2</v>
      </c>
      <c r="I54" s="24">
        <v>-3.8328350000000004E-2</v>
      </c>
      <c r="J54" s="24">
        <v>-4.8441944000000001E-2</v>
      </c>
      <c r="K54" s="24">
        <v>-5.1687774999999998E-2</v>
      </c>
      <c r="L54" s="24">
        <v>-4.7902106999999999E-2</v>
      </c>
      <c r="M54" s="24">
        <v>-3.0685305999999999E-2</v>
      </c>
      <c r="N54" s="24">
        <v>-1.2683272000000001E-2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">
        <v>43481</v>
      </c>
      <c r="B55" s="24">
        <v>4.1959404999999998E-2</v>
      </c>
      <c r="C55" s="24">
        <v>5.2586793999999999E-2</v>
      </c>
      <c r="D55" s="24">
        <v>4.3594955999999997E-2</v>
      </c>
      <c r="E55" s="24">
        <v>1.9546509E-2</v>
      </c>
      <c r="F55" s="24">
        <v>1.8982649000000001E-2</v>
      </c>
      <c r="G55" s="24">
        <v>2.7543068E-2</v>
      </c>
      <c r="H55" s="24">
        <v>3.2035469999999996E-2</v>
      </c>
      <c r="I55" s="24">
        <v>1.0838509000000001E-2</v>
      </c>
      <c r="J55" s="24">
        <v>7.9332589999999998E-3</v>
      </c>
      <c r="K55" s="24">
        <v>4.5988560000000001E-3</v>
      </c>
      <c r="L55" s="24">
        <v>-3.6713479999999996E-3</v>
      </c>
      <c r="M55" s="24">
        <v>2.171445E-2</v>
      </c>
      <c r="N55" s="24">
        <v>3.9612293E-2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">
        <v>43511</v>
      </c>
      <c r="B56" s="24">
        <v>4.09956E-2</v>
      </c>
      <c r="C56" s="24">
        <v>3.7912369000000001E-2</v>
      </c>
      <c r="D56" s="24">
        <v>5.2611350000000001E-2</v>
      </c>
      <c r="E56" s="24">
        <v>2.3773073999999998E-2</v>
      </c>
      <c r="F56" s="24">
        <v>1.7553686999999998E-2</v>
      </c>
      <c r="G56" s="24">
        <v>3.4724354999999998E-2</v>
      </c>
      <c r="H56" s="24">
        <v>5.8823585999999997E-2</v>
      </c>
      <c r="I56" s="24">
        <v>5.9069869999999997E-2</v>
      </c>
      <c r="J56" s="24">
        <v>6.2801720000000005E-2</v>
      </c>
      <c r="K56" s="24">
        <v>6.2291502999999998E-2</v>
      </c>
      <c r="L56" s="24">
        <v>8.8518504999999997E-2</v>
      </c>
      <c r="M56" s="24">
        <v>4.4436812000000006E-2</v>
      </c>
      <c r="N56" s="24">
        <v>3.5197496000000002E-2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">
        <v>43539</v>
      </c>
      <c r="B57" s="24">
        <v>1.5270232999999999E-2</v>
      </c>
      <c r="C57" s="24">
        <v>1.7552257000000002E-2</v>
      </c>
      <c r="D57" s="24">
        <v>1.2769102999999999E-2</v>
      </c>
      <c r="E57" s="24">
        <v>3.2958745999999997E-2</v>
      </c>
      <c r="F57" s="24">
        <v>-3.3033489999999997E-3</v>
      </c>
      <c r="G57" s="24">
        <v>3.8269042999999996E-2</v>
      </c>
      <c r="H57" s="24">
        <v>3.7243842999999999E-2</v>
      </c>
      <c r="I57" s="24">
        <v>3.7280439999999998E-2</v>
      </c>
      <c r="J57" s="24">
        <v>1.8650651000000001E-2</v>
      </c>
      <c r="K57" s="24">
        <v>4.9912810000000002E-2</v>
      </c>
      <c r="L57" s="24">
        <v>3.1983733E-2</v>
      </c>
      <c r="M57" s="24">
        <v>1.550138E-2</v>
      </c>
      <c r="N57" s="24">
        <v>4.0423155000000002E-2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">
        <v>43571</v>
      </c>
      <c r="B58" s="24">
        <v>3.4533978E-2</v>
      </c>
      <c r="C58" s="24">
        <v>2.1911383E-2</v>
      </c>
      <c r="D58" s="24">
        <v>2.7377486000000003E-2</v>
      </c>
      <c r="E58" s="24">
        <v>2.9731630999999998E-2</v>
      </c>
      <c r="F58" s="24">
        <v>1.7676233999999999E-2</v>
      </c>
      <c r="G58" s="24">
        <v>1.4459847999999999E-2</v>
      </c>
      <c r="H58" s="24">
        <v>1.3465047000000001E-2</v>
      </c>
      <c r="I58" s="24">
        <v>4.7596455000000003E-2</v>
      </c>
      <c r="J58" s="24">
        <v>3.1459927999999998E-2</v>
      </c>
      <c r="K58" s="24">
        <v>1.8617033999999998E-2</v>
      </c>
      <c r="L58" s="24">
        <v>2.7695298E-2</v>
      </c>
      <c r="M58" s="24">
        <v>4.9366713000000007E-2</v>
      </c>
      <c r="N58" s="24">
        <v>3.0864120000000002E-2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">
        <v>43601</v>
      </c>
      <c r="B59" s="24">
        <v>-3.9216279999999999E-3</v>
      </c>
      <c r="C59" s="24">
        <v>-1.5054761999999999E-2</v>
      </c>
      <c r="D59" s="24">
        <v>-1.2973368000000001E-2</v>
      </c>
      <c r="E59" s="24">
        <v>-3.5211443999999996E-3</v>
      </c>
      <c r="F59" s="24">
        <v>-2.4968385999999999E-2</v>
      </c>
      <c r="G59" s="24">
        <v>9.5025300000000004E-3</v>
      </c>
      <c r="H59" s="24">
        <v>-2.8638840000000002E-2</v>
      </c>
      <c r="I59" s="24">
        <v>-8.4182619999999993E-3</v>
      </c>
      <c r="J59" s="24">
        <v>-8.4780454999999998E-3</v>
      </c>
      <c r="K59" s="24">
        <v>-1.8603146000000001E-2</v>
      </c>
      <c r="L59" s="24">
        <v>-1.1389135999999999E-2</v>
      </c>
      <c r="M59" s="24">
        <v>-5.1686820000000001E-2</v>
      </c>
      <c r="N59" s="24">
        <v>-4.1211723999999998E-2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">
        <v>43630</v>
      </c>
      <c r="B60" s="24">
        <v>-1.7284452999999998E-2</v>
      </c>
      <c r="C60" s="24">
        <v>2.8716921999999999E-2</v>
      </c>
      <c r="D60" s="24">
        <v>-4.6181082999999998E-3</v>
      </c>
      <c r="E60" s="24">
        <v>-2.1554707999999999E-2</v>
      </c>
      <c r="F60" s="24">
        <v>2.0412207000000001E-3</v>
      </c>
      <c r="G60" s="24">
        <v>3.2392025000000005E-2</v>
      </c>
      <c r="H60" s="24">
        <v>-1.2766003999999999E-2</v>
      </c>
      <c r="I60" s="24">
        <v>-1.2383044000000001E-2</v>
      </c>
      <c r="J60" s="24">
        <v>5.4223540000000008E-3</v>
      </c>
      <c r="K60" s="24">
        <v>-6.6512820000000003E-4</v>
      </c>
      <c r="L60" s="24">
        <v>-6.9771410000000001E-3</v>
      </c>
      <c r="M60" s="24">
        <v>9.7918510000000007E-4</v>
      </c>
      <c r="N60" s="24">
        <v>1.1022091000000001E-3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">
        <v>43662</v>
      </c>
      <c r="B61" s="24">
        <v>7.8005550000000007E-2</v>
      </c>
      <c r="C61" s="24">
        <v>3.3292769999999999E-2</v>
      </c>
      <c r="D61" s="24">
        <v>4.1137695000000002E-2</v>
      </c>
      <c r="E61" s="24">
        <v>2.8149247000000002E-2</v>
      </c>
      <c r="F61" s="24">
        <v>2.2533774000000003E-2</v>
      </c>
      <c r="G61" s="24">
        <v>1.3981462E-2</v>
      </c>
      <c r="H61" s="24">
        <v>1.2399792999999999E-2</v>
      </c>
      <c r="I61" s="24">
        <v>5.9880494999999999E-2</v>
      </c>
      <c r="J61" s="24">
        <v>4.1172027999999999E-2</v>
      </c>
      <c r="K61" s="24">
        <v>4.4234514000000003E-2</v>
      </c>
      <c r="L61" s="24">
        <v>3.7333370000000005E-2</v>
      </c>
      <c r="M61" s="24">
        <v>3.5716891000000001E-2</v>
      </c>
      <c r="N61" s="24">
        <v>7.6950550000000006E-2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">
        <v>43693</v>
      </c>
      <c r="B62" s="24">
        <v>-4.0669860000000002E-2</v>
      </c>
      <c r="C62" s="24">
        <v>-5.6024909999999997E-2</v>
      </c>
      <c r="D62" s="24">
        <v>-4.1162251999999996E-2</v>
      </c>
      <c r="E62" s="24">
        <v>-7.6145770000000002E-2</v>
      </c>
      <c r="F62" s="24">
        <v>-2.3940085999999999E-2</v>
      </c>
      <c r="G62" s="24">
        <v>-2.4291276999999999E-3</v>
      </c>
      <c r="H62" s="24">
        <v>-7.0492864000000002E-2</v>
      </c>
      <c r="I62" s="24">
        <v>-3.9710044999999999E-2</v>
      </c>
      <c r="J62" s="24">
        <v>-3.6234975000000003E-2</v>
      </c>
      <c r="K62" s="24">
        <v>-6.1724424000000007E-2</v>
      </c>
      <c r="L62" s="24">
        <v>-3.4861206999999998E-2</v>
      </c>
      <c r="M62" s="24">
        <v>-9.9740140000000005E-2</v>
      </c>
      <c r="N62" s="24">
        <v>-9.5204529999999996E-2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">
        <v>43724</v>
      </c>
      <c r="B63" s="24">
        <v>6.9057939999999998E-3</v>
      </c>
      <c r="C63" s="24">
        <v>5.9350014E-2</v>
      </c>
      <c r="D63" s="24">
        <v>4.5454499999999995E-2</v>
      </c>
      <c r="E63" s="24">
        <v>6.289053E-2</v>
      </c>
      <c r="F63" s="24">
        <v>5.9165000000000002E-2</v>
      </c>
      <c r="G63" s="24">
        <v>1.2175321999999999E-2</v>
      </c>
      <c r="H63" s="24">
        <v>5.4697990000000002E-2</v>
      </c>
      <c r="I63" s="24">
        <v>3.3426761999999999E-2</v>
      </c>
      <c r="J63" s="24">
        <v>3.9155244999999998E-2</v>
      </c>
      <c r="K63" s="24">
        <v>4.7337293999999995E-2</v>
      </c>
      <c r="L63" s="24">
        <v>5.4849505E-2</v>
      </c>
      <c r="M63" s="24">
        <v>9.2024559999999991E-2</v>
      </c>
      <c r="N63" s="24">
        <v>7.4434875999999997E-2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">
        <v>43754</v>
      </c>
      <c r="B64" s="24">
        <v>1.6764998E-2</v>
      </c>
      <c r="C64" s="24">
        <v>-7.5589419999999999E-3</v>
      </c>
      <c r="D64" s="24">
        <v>-1.4147699E-2</v>
      </c>
      <c r="E64" s="24">
        <v>2.3153304999999999E-2</v>
      </c>
      <c r="F64" s="24">
        <v>1.8737912000000002E-2</v>
      </c>
      <c r="G64" s="24">
        <v>5.0787926000000006E-3</v>
      </c>
      <c r="H64" s="24">
        <v>1.1453986000000001E-2</v>
      </c>
      <c r="I64" s="24">
        <v>9.1260669999999999E-3</v>
      </c>
      <c r="J64" s="24">
        <v>-1.2520551999999998E-3</v>
      </c>
      <c r="K64" s="24">
        <v>1.9275545999999998E-2</v>
      </c>
      <c r="L64" s="24">
        <v>8.2434416E-3</v>
      </c>
      <c r="M64" s="24">
        <v>-5.6179760000000002E-3</v>
      </c>
      <c r="N64" s="24">
        <v>2.3939012999999999E-2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">
        <v>43784</v>
      </c>
      <c r="B65" s="24">
        <v>-7.4940919999999999E-4</v>
      </c>
      <c r="C65" s="24">
        <v>2.1953344E-2</v>
      </c>
      <c r="D65" s="24">
        <v>4.0601969999999994E-2</v>
      </c>
      <c r="E65" s="24">
        <v>4.3103455999999998E-2</v>
      </c>
      <c r="F65" s="24">
        <v>3.7480474E-2</v>
      </c>
      <c r="G65" s="24">
        <v>3.0851007E-2</v>
      </c>
      <c r="H65" s="24">
        <v>2.6737928000000001E-2</v>
      </c>
      <c r="I65" s="24">
        <v>5.1129340000000002E-2</v>
      </c>
      <c r="J65" s="24">
        <v>4.4872759999999998E-2</v>
      </c>
      <c r="K65" s="24">
        <v>4.1082500000000001E-2</v>
      </c>
      <c r="L65" s="24">
        <v>3.3647775999999997E-2</v>
      </c>
      <c r="M65" s="24">
        <v>6.4805627000000005E-2</v>
      </c>
      <c r="N65" s="24">
        <v>4.4279099999999995E-2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">
        <v>43815</v>
      </c>
      <c r="B66" s="24">
        <v>5.7889223000000004E-2</v>
      </c>
      <c r="C66" s="24">
        <v>2.0439506E-2</v>
      </c>
      <c r="D66" s="24">
        <v>5.8497189999999998E-3</v>
      </c>
      <c r="E66" s="24">
        <v>2.2727249999999997E-2</v>
      </c>
      <c r="F66" s="24">
        <v>2.03377E-2</v>
      </c>
      <c r="G66" s="24">
        <v>2.6831865E-2</v>
      </c>
      <c r="H66" s="24">
        <v>6.6138864000000006E-2</v>
      </c>
      <c r="I66" s="24">
        <v>3.1343937000000002E-2</v>
      </c>
      <c r="J66" s="24">
        <v>2.4728180000000002E-2</v>
      </c>
      <c r="K66" s="24">
        <v>1.7822146000000001E-2</v>
      </c>
      <c r="L66" s="24">
        <v>3.0379534E-2</v>
      </c>
      <c r="M66" s="24">
        <v>4.7929645E-2</v>
      </c>
      <c r="N66" s="24">
        <v>-8.9389086000000008E-4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">
        <v>43846</v>
      </c>
      <c r="B67" s="24">
        <v>5.6299685999999995E-2</v>
      </c>
      <c r="C67" s="24">
        <v>3.1551360000000001E-2</v>
      </c>
      <c r="D67" s="24">
        <v>3.388679E-2</v>
      </c>
      <c r="E67" s="24">
        <v>3.3669472E-3</v>
      </c>
      <c r="F67" s="24">
        <v>-9.7860100000000012E-3</v>
      </c>
      <c r="G67" s="24">
        <v>3.4170866000000001E-2</v>
      </c>
      <c r="H67" s="24">
        <v>-7.0176125000000001E-3</v>
      </c>
      <c r="I67" s="24">
        <v>6.4463495999999995E-2</v>
      </c>
      <c r="J67" s="24">
        <v>4.0813326999999996E-2</v>
      </c>
      <c r="K67" s="24">
        <v>1.2334347000000001E-2</v>
      </c>
      <c r="L67" s="24">
        <v>1.0080099E-2</v>
      </c>
      <c r="M67" s="24">
        <v>6.0313939999999998E-3</v>
      </c>
      <c r="N67" s="24">
        <v>1.9487142999999998E-2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">
        <v>43875</v>
      </c>
      <c r="B68" s="24">
        <v>-1.9880056E-2</v>
      </c>
      <c r="C68" s="24">
        <v>-2.0815730000000001E-2</v>
      </c>
      <c r="D68" s="24">
        <v>3.2776593999999997E-3</v>
      </c>
      <c r="E68" s="24">
        <v>-1.0738254000000001E-2</v>
      </c>
      <c r="F68" s="24">
        <v>-2.0938040000000002E-2</v>
      </c>
      <c r="G68" s="24">
        <v>1.7978668E-2</v>
      </c>
      <c r="H68" s="24">
        <v>-3.0624269999999999E-2</v>
      </c>
      <c r="I68" s="24">
        <v>5.5605529999999993E-2</v>
      </c>
      <c r="J68" s="24">
        <v>2.0186066999999999E-2</v>
      </c>
      <c r="K68" s="24">
        <v>-1.6448378999999999E-2</v>
      </c>
      <c r="L68" s="24">
        <v>1.4382242999999999E-2</v>
      </c>
      <c r="M68" s="24">
        <v>1.588726E-2</v>
      </c>
      <c r="N68" s="24">
        <v>4.024148E-3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">
        <v>43906</v>
      </c>
      <c r="B69" s="24">
        <v>-0.27050179000000002</v>
      </c>
      <c r="C69" s="24">
        <v>-0.37180042000000002</v>
      </c>
      <c r="D69" s="24">
        <v>-0.34857886999999999</v>
      </c>
      <c r="E69" s="24">
        <v>-0.36465400000000003</v>
      </c>
      <c r="F69" s="24">
        <v>-0.26056457999999999</v>
      </c>
      <c r="G69" s="24">
        <v>-0.25894992999999999</v>
      </c>
      <c r="H69" s="24">
        <v>-0.35783714000000005</v>
      </c>
      <c r="I69" s="24">
        <v>-0.27846914</v>
      </c>
      <c r="J69" s="24">
        <v>-0.28954380000000002</v>
      </c>
      <c r="K69" s="24">
        <v>-0.36079290000000003</v>
      </c>
      <c r="L69" s="24">
        <v>-0.33072926000000002</v>
      </c>
      <c r="M69" s="24">
        <v>-0.32753019999999999</v>
      </c>
      <c r="N69" s="24">
        <v>-0.39579160000000002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">
        <v>43937</v>
      </c>
      <c r="B70" s="24">
        <v>0.15124630999999999</v>
      </c>
      <c r="C70" s="24">
        <v>0.13328732000000001</v>
      </c>
      <c r="D70" s="24">
        <v>0.12537611000000001</v>
      </c>
      <c r="E70" s="24">
        <v>0.18152689999999999</v>
      </c>
      <c r="F70" s="24">
        <v>0.16034245</v>
      </c>
      <c r="G70" s="24">
        <v>0.16425133</v>
      </c>
      <c r="H70" s="24">
        <v>0.13670778</v>
      </c>
      <c r="I70" s="24">
        <v>0.26227844</v>
      </c>
      <c r="J70" s="24">
        <v>0.17079246999999997</v>
      </c>
      <c r="K70" s="24">
        <v>0.12015510000000001</v>
      </c>
      <c r="L70" s="24">
        <v>0.17466497</v>
      </c>
      <c r="M70" s="24">
        <v>0.11715650999999999</v>
      </c>
      <c r="N70" s="24">
        <v>0.1077944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">
        <v>43966</v>
      </c>
      <c r="B71" s="24">
        <v>2.1861434000000003E-2</v>
      </c>
      <c r="C71" s="24">
        <v>1.5234589999999999E-2</v>
      </c>
      <c r="D71" s="24">
        <v>5.7486534000000006E-2</v>
      </c>
      <c r="E71" s="24">
        <v>2.5756955000000002E-2</v>
      </c>
      <c r="F71" s="24">
        <v>3.1106590999999999E-2</v>
      </c>
      <c r="G71" s="24">
        <v>9.9583863999999998E-3</v>
      </c>
      <c r="H71" s="24">
        <v>5.8259964000000001E-3</v>
      </c>
      <c r="I71" s="24">
        <v>4.6987175999999999E-2</v>
      </c>
      <c r="J71" s="24">
        <v>2.5725484E-2</v>
      </c>
      <c r="K71" s="24">
        <v>-2.1626950000000001E-3</v>
      </c>
      <c r="L71" s="24">
        <v>2.4659513999999997E-2</v>
      </c>
      <c r="M71" s="24">
        <v>3.5349606999999998E-2</v>
      </c>
      <c r="N71" s="24">
        <v>-3.9920807000000001E-3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">
        <v>43998</v>
      </c>
      <c r="B72" s="24">
        <v>0.10031485999999999</v>
      </c>
      <c r="C72" s="24">
        <v>0.18051040000000002</v>
      </c>
      <c r="D72" s="24">
        <v>0.10498547999999999</v>
      </c>
      <c r="E72" s="24">
        <v>0.20717286999999998</v>
      </c>
      <c r="F72" s="24">
        <v>9.4569210000000001E-2</v>
      </c>
      <c r="G72" s="24">
        <v>7.8611255000000005E-2</v>
      </c>
      <c r="H72" s="24">
        <v>0.10797976999999999</v>
      </c>
      <c r="I72" s="24">
        <v>8.7696549999999998E-2</v>
      </c>
      <c r="J72" s="24">
        <v>9.3195440000000004E-2</v>
      </c>
      <c r="K72" s="24">
        <v>0.19457685000000002</v>
      </c>
      <c r="L72" s="24">
        <v>0.16427814000000002</v>
      </c>
      <c r="M72" s="24">
        <v>0.17325233000000001</v>
      </c>
      <c r="N72" s="24">
        <v>0.22612179000000002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">
        <v>44028</v>
      </c>
      <c r="B73" s="24">
        <v>6.6003560000000003E-2</v>
      </c>
      <c r="C73" s="24">
        <v>2.2187830000000002E-2</v>
      </c>
      <c r="D73" s="24">
        <v>3.0431509999999998E-2</v>
      </c>
      <c r="E73" s="24">
        <v>5.4572225000000002E-2</v>
      </c>
      <c r="F73" s="24">
        <v>-1.4247894E-3</v>
      </c>
      <c r="G73" s="24">
        <v>5.0838710000000002E-2</v>
      </c>
      <c r="H73" s="24">
        <v>2.2745132000000002E-3</v>
      </c>
      <c r="I73" s="24">
        <v>6.8830730000000007E-2</v>
      </c>
      <c r="J73" s="24">
        <v>2.9556631999999999E-2</v>
      </c>
      <c r="K73" s="24">
        <v>4.7479987000000001E-2</v>
      </c>
      <c r="L73" s="24">
        <v>6.207323E-2</v>
      </c>
      <c r="M73" s="24">
        <v>9.1469400000000006E-2</v>
      </c>
      <c r="N73" s="24">
        <v>5.6151986000000001E-2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">
        <v>44057</v>
      </c>
      <c r="B74" s="24">
        <v>-6.8205595000000001E-3</v>
      </c>
      <c r="C74" s="24">
        <v>3.8364530000000001E-2</v>
      </c>
      <c r="D74" s="24">
        <v>5.6448579999999998E-2</v>
      </c>
      <c r="E74" s="24">
        <v>3.6713243E-2</v>
      </c>
      <c r="F74" s="24">
        <v>3.1746030000000001E-2</v>
      </c>
      <c r="G74" s="24">
        <v>1.9155144999999998E-2</v>
      </c>
      <c r="H74" s="24">
        <v>1.3993858999999999E-2</v>
      </c>
      <c r="I74" s="24">
        <v>5.0324199999999999E-2</v>
      </c>
      <c r="J74" s="24">
        <v>5.0032734999999995E-2</v>
      </c>
      <c r="K74" s="24">
        <v>1.5690327E-2</v>
      </c>
      <c r="L74" s="24">
        <v>2.7177094999999998E-2</v>
      </c>
      <c r="M74" s="24">
        <v>4.1604639999999998E-2</v>
      </c>
      <c r="N74" s="24">
        <v>1.7200947000000001E-2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">
        <v>44090</v>
      </c>
      <c r="B75" s="24">
        <v>4.2479277000000003E-2</v>
      </c>
      <c r="C75" s="24">
        <v>-3.4030080000000003E-3</v>
      </c>
      <c r="D75" s="24">
        <v>-1.1323392000000002E-2</v>
      </c>
      <c r="E75" s="24">
        <v>2.1247983000000002E-2</v>
      </c>
      <c r="F75" s="24">
        <v>2.7657747E-2</v>
      </c>
      <c r="G75" s="24">
        <v>2.8433799999999999E-2</v>
      </c>
      <c r="H75" s="24">
        <v>-1.0443807000000001E-2</v>
      </c>
      <c r="I75" s="24">
        <v>9.0019699999999998E-3</v>
      </c>
      <c r="J75" s="24">
        <v>5.87821E-3</v>
      </c>
      <c r="K75" s="24">
        <v>1.1328578000000001E-2</v>
      </c>
      <c r="L75" s="24">
        <v>8.2502365000000008E-3</v>
      </c>
      <c r="M75" s="24">
        <v>2.8815984999999999E-2</v>
      </c>
      <c r="N75" s="24">
        <v>-1.4604211000000001E-2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">
        <v>44120</v>
      </c>
      <c r="B76" s="24">
        <v>3.7120104000000001E-2</v>
      </c>
      <c r="C76" s="24">
        <v>1.219511E-2</v>
      </c>
      <c r="D76" s="24">
        <v>9.3057156000000002E-3</v>
      </c>
      <c r="E76" s="24">
        <v>-2.2126793999999998E-2</v>
      </c>
      <c r="F76" s="24">
        <v>-9.2514753000000009E-3</v>
      </c>
      <c r="G76" s="24">
        <v>-2.9522061000000002E-2</v>
      </c>
      <c r="H76" s="24">
        <v>-3.2416165000000004E-2</v>
      </c>
      <c r="I76" s="24">
        <v>5.2142023999999995E-2</v>
      </c>
      <c r="J76" s="24">
        <v>2.9150010000000001E-2</v>
      </c>
      <c r="K76" s="24">
        <v>-2.4100423000000003E-2</v>
      </c>
      <c r="L76" s="24">
        <v>2.7370214E-2</v>
      </c>
      <c r="M76" s="24">
        <v>3.0503272999999999E-3</v>
      </c>
      <c r="N76" s="24">
        <v>-3.4321367999999998E-2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">
        <v>44151</v>
      </c>
      <c r="B77" s="24">
        <v>7.1905494E-2</v>
      </c>
      <c r="C77" s="24">
        <v>8.5301285000000004E-2</v>
      </c>
      <c r="D77" s="24">
        <v>3.9361595999999999E-2</v>
      </c>
      <c r="E77" s="24">
        <v>1.5535235000000001E-2</v>
      </c>
      <c r="F77" s="24">
        <v>9.1341260000000007E-2</v>
      </c>
      <c r="G77" s="24">
        <v>3.9835809999999999E-2</v>
      </c>
      <c r="H77" s="24">
        <v>0.11842608</v>
      </c>
      <c r="I77" s="24">
        <v>1.6255974999999999E-2</v>
      </c>
      <c r="J77" s="24">
        <v>4.3997764999999994E-2</v>
      </c>
      <c r="K77" s="24">
        <v>0.12069571</v>
      </c>
      <c r="L77" s="24">
        <v>5.7127236999999997E-2</v>
      </c>
      <c r="M77" s="24">
        <v>7.2435856000000007E-2</v>
      </c>
      <c r="N77" s="24">
        <v>0.11389339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">
        <v>44181</v>
      </c>
      <c r="B78" s="24">
        <v>2.4689435999999999E-2</v>
      </c>
      <c r="C78" s="24">
        <v>7.3419570000000003E-2</v>
      </c>
      <c r="D78" s="24">
        <v>7.504189E-2</v>
      </c>
      <c r="E78" s="24">
        <v>6.7825316999999996E-2</v>
      </c>
      <c r="F78" s="24">
        <v>3.6559939999999999E-2</v>
      </c>
      <c r="G78" s="24">
        <v>1.8642068000000001E-2</v>
      </c>
      <c r="H78" s="24">
        <v>4.4221519999999993E-2</v>
      </c>
      <c r="I78" s="24">
        <v>5.3819895000000006E-2</v>
      </c>
      <c r="J78" s="24">
        <v>2.0961522999999999E-2</v>
      </c>
      <c r="K78" s="24">
        <v>4.0194870000000001E-2</v>
      </c>
      <c r="L78" s="24">
        <v>6.2438489999999999E-2</v>
      </c>
      <c r="M78" s="24">
        <v>3.2158256000000003E-2</v>
      </c>
      <c r="N78" s="24">
        <v>6.8579555E-2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">
        <v>44211</v>
      </c>
      <c r="B79" s="24">
        <v>-3.2998323E-3</v>
      </c>
      <c r="C79" s="24">
        <v>2.0025134000000003E-2</v>
      </c>
      <c r="D79" s="24">
        <v>2.2814869999999998E-2</v>
      </c>
      <c r="E79" s="24">
        <v>4.0997266999999995E-3</v>
      </c>
      <c r="F79" s="24">
        <v>3.5407543E-2</v>
      </c>
      <c r="G79" s="24">
        <v>2.8962373999999999E-2</v>
      </c>
      <c r="H79" s="24">
        <v>3.0701755999999997E-2</v>
      </c>
      <c r="I79" s="24">
        <v>1.1154889999999999E-2</v>
      </c>
      <c r="J79" s="24">
        <v>1.9282818E-2</v>
      </c>
      <c r="K79" s="24">
        <v>3.5983323999999998E-3</v>
      </c>
      <c r="L79" s="24">
        <v>4.9558400000000002E-2</v>
      </c>
      <c r="M79" s="24">
        <v>2.9692888000000001E-2</v>
      </c>
      <c r="N79" s="24">
        <v>3.4211873999999997E-3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">
        <v>44243</v>
      </c>
      <c r="B80" s="24">
        <v>-1.7005205000000002E-2</v>
      </c>
      <c r="C80" s="24">
        <v>3.5991787999999997E-2</v>
      </c>
      <c r="D80" s="24">
        <v>3.7700295000000002E-2</v>
      </c>
      <c r="E80" s="24">
        <v>3.5804032999999999E-2</v>
      </c>
      <c r="F80" s="24">
        <v>4.5692679999999999E-2</v>
      </c>
      <c r="G80" s="24">
        <v>7.9786779999999995E-3</v>
      </c>
      <c r="H80" s="24">
        <v>2.4549959999999999E-2</v>
      </c>
      <c r="I80" s="24">
        <v>7.593155E-2</v>
      </c>
      <c r="J80" s="24">
        <v>4.4184089999999995E-2</v>
      </c>
      <c r="K80" s="24">
        <v>3.2267690000000002E-2</v>
      </c>
      <c r="L80" s="24">
        <v>8.6956500000000006E-2</v>
      </c>
      <c r="M80" s="24">
        <v>5.3763509999999994E-2</v>
      </c>
      <c r="N80" s="24">
        <v>4.739177E-2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">
        <v>44271</v>
      </c>
      <c r="B81" s="24">
        <v>-7.6550244999999998E-4</v>
      </c>
      <c r="C81" s="24">
        <v>-5.9218406999999992E-3</v>
      </c>
      <c r="D81" s="24">
        <v>4.9046396999999999E-2</v>
      </c>
      <c r="E81" s="24">
        <v>3.0322075E-3</v>
      </c>
      <c r="F81" s="24">
        <v>-3.2284975E-2</v>
      </c>
      <c r="G81" s="24">
        <v>-2.3746670000000001E-2</v>
      </c>
      <c r="H81" s="24">
        <v>1.5655041000000001E-2</v>
      </c>
      <c r="I81" s="24">
        <v>-4.4584929999999995E-2</v>
      </c>
      <c r="J81" s="24">
        <v>9.2021227000000008E-3</v>
      </c>
      <c r="K81" s="24">
        <v>2.1128773999999999E-2</v>
      </c>
      <c r="L81" s="24">
        <v>-3.2258093000000002E-2</v>
      </c>
      <c r="M81" s="24">
        <v>4.6382190000000004E-2</v>
      </c>
      <c r="N81" s="24">
        <v>2.2135376999999998E-2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">
        <v>44302</v>
      </c>
      <c r="B82" s="24">
        <v>-1.1950314E-2</v>
      </c>
      <c r="C82" s="24">
        <v>4.2891144999999999E-2</v>
      </c>
      <c r="D82" s="24">
        <v>2.1067857999999998E-2</v>
      </c>
      <c r="E82" s="24">
        <v>6.9830655999999991E-2</v>
      </c>
      <c r="F82" s="24">
        <v>6.0396194000000005E-3</v>
      </c>
      <c r="G82" s="24">
        <v>5.3828834999999998E-2</v>
      </c>
      <c r="H82" s="24">
        <v>3.2085537999999997E-2</v>
      </c>
      <c r="I82" s="24">
        <v>6.8169235999999994E-2</v>
      </c>
      <c r="J82" s="24">
        <v>5.7384133000000004E-2</v>
      </c>
      <c r="K82" s="24">
        <v>5.0453543999999996E-2</v>
      </c>
      <c r="L82" s="24">
        <v>7.8888893000000002E-2</v>
      </c>
      <c r="M82" s="24">
        <v>7.1143627000000001E-2</v>
      </c>
      <c r="N82" s="24">
        <v>3.1847238999999999E-2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">
        <v>44330</v>
      </c>
      <c r="B83" s="24">
        <v>-2.4189769999999999E-2</v>
      </c>
      <c r="C83" s="24">
        <v>9.1394185999999992E-3</v>
      </c>
      <c r="D83" s="24">
        <v>4.1266203000000001E-2</v>
      </c>
      <c r="E83" s="24">
        <v>8.4769726000000006E-4</v>
      </c>
      <c r="F83" s="24">
        <v>-4.2166889999999999E-2</v>
      </c>
      <c r="G83" s="24">
        <v>8.5487366000000006E-3</v>
      </c>
      <c r="H83" s="24">
        <v>3.1392812999999999E-2</v>
      </c>
      <c r="I83" s="24">
        <v>-4.5671166999999999E-2</v>
      </c>
      <c r="J83" s="24">
        <v>-1.6297102E-3</v>
      </c>
      <c r="K83" s="24">
        <v>3.5078287E-2</v>
      </c>
      <c r="L83" s="24">
        <v>-6.591141E-3</v>
      </c>
      <c r="M83" s="24">
        <v>6.2072277000000005E-4</v>
      </c>
      <c r="N83" s="24">
        <v>1.5432118999999999E-2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">
        <v>44363</v>
      </c>
      <c r="B84" s="24">
        <v>-1.4841378000000001E-2</v>
      </c>
      <c r="C84" s="24">
        <v>2.8859973000000001E-2</v>
      </c>
      <c r="D84" s="24">
        <v>3.1281829999999997E-2</v>
      </c>
      <c r="E84" s="24">
        <v>1.3258575999999999E-2</v>
      </c>
      <c r="F84" s="24">
        <v>3.8457750999999998E-2</v>
      </c>
      <c r="G84" s="24">
        <v>7.0241094000000004E-2</v>
      </c>
      <c r="H84" s="24">
        <v>9.9852085000000004E-3</v>
      </c>
      <c r="I84" s="24">
        <v>4.4793010000000001E-2</v>
      </c>
      <c r="J84" s="24">
        <v>1.3274789E-2</v>
      </c>
      <c r="K84" s="24">
        <v>2.6986360000000001E-2</v>
      </c>
      <c r="L84" s="24">
        <v>2.6867747000000001E-2</v>
      </c>
      <c r="M84" s="24">
        <v>3.3967494999999999E-3</v>
      </c>
      <c r="N84" s="24">
        <v>3.1574965000000003E-2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">
        <v>44393</v>
      </c>
      <c r="B85" s="24">
        <v>0</v>
      </c>
      <c r="C85" s="24">
        <v>-4.7973213000000001E-2</v>
      </c>
      <c r="D85" s="24">
        <v>-3.7870646000000001E-2</v>
      </c>
      <c r="E85" s="24">
        <v>-2.7769864000000002E-2</v>
      </c>
      <c r="F85" s="24">
        <v>-2.6925325E-2</v>
      </c>
      <c r="G85" s="24">
        <v>-9.4777345999999991E-3</v>
      </c>
      <c r="H85" s="24">
        <v>-3.8678944E-2</v>
      </c>
      <c r="I85" s="24">
        <v>4.9857855000000006E-2</v>
      </c>
      <c r="J85" s="24">
        <v>2.5254965000000001E-2</v>
      </c>
      <c r="K85" s="24">
        <v>-4.5174479999999996E-2</v>
      </c>
      <c r="L85" s="24">
        <v>-2.7235746000000002E-2</v>
      </c>
      <c r="M85" s="24">
        <v>-1.1387527E-2</v>
      </c>
      <c r="N85" s="24">
        <v>-6.0244502999999998E-2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">
        <v>44424</v>
      </c>
      <c r="B86" s="24">
        <v>-5.2083135000000006E-3</v>
      </c>
      <c r="C86" s="24">
        <v>2.8515577E-2</v>
      </c>
      <c r="D86" s="24">
        <v>3.1929493000000003E-2</v>
      </c>
      <c r="E86" s="24">
        <v>2.4774075E-2</v>
      </c>
      <c r="F86" s="24">
        <v>1.4132618999999999E-2</v>
      </c>
      <c r="G86" s="24">
        <v>4.1327356999999995E-2</v>
      </c>
      <c r="H86" s="24">
        <v>3.4973621000000003E-2</v>
      </c>
      <c r="I86" s="24">
        <v>3.1823277000000004E-2</v>
      </c>
      <c r="J86" s="24">
        <v>3.6235929E-2</v>
      </c>
      <c r="K86" s="24">
        <v>5.6451559999999998E-2</v>
      </c>
      <c r="L86" s="24">
        <v>6.539905E-2</v>
      </c>
      <c r="M86" s="24">
        <v>2.7090429999999999E-2</v>
      </c>
      <c r="N86" s="24">
        <v>6.9819092999999999E-2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">
        <v>44455</v>
      </c>
      <c r="B87" s="24">
        <v>3.534031E-2</v>
      </c>
      <c r="C87" s="24">
        <v>-1.5571593999999999E-2</v>
      </c>
      <c r="D87" s="24">
        <v>-6.6684483999999997E-3</v>
      </c>
      <c r="E87" s="24">
        <v>-1.706481E-2</v>
      </c>
      <c r="F87" s="24">
        <v>8.4787960000000009E-2</v>
      </c>
      <c r="G87" s="24">
        <v>-3.7536679999999996E-2</v>
      </c>
      <c r="H87" s="24">
        <v>-1.614821E-2</v>
      </c>
      <c r="I87" s="24">
        <v>2.528584E-2</v>
      </c>
      <c r="J87" s="24">
        <v>4.4751167000000003E-4</v>
      </c>
      <c r="K87" s="24">
        <v>-1.9847273999999998E-2</v>
      </c>
      <c r="L87" s="24">
        <v>5.0009847000000003E-2</v>
      </c>
      <c r="M87" s="24">
        <v>-2.9076338E-3</v>
      </c>
      <c r="N87" s="24">
        <v>-3.1148015999999997E-2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">
        <v>44484</v>
      </c>
      <c r="B88" s="24">
        <v>-3.1605362999999999E-3</v>
      </c>
      <c r="C88" s="24">
        <v>9.2592239999999999E-3</v>
      </c>
      <c r="D88" s="24">
        <v>4.699242E-2</v>
      </c>
      <c r="E88" s="24">
        <v>-2.6909709999999996E-2</v>
      </c>
      <c r="F88" s="24">
        <v>-6.6396179999999999E-2</v>
      </c>
      <c r="G88" s="24">
        <v>-1.1781394000000001E-2</v>
      </c>
      <c r="H88" s="24">
        <v>2.5835872000000003E-2</v>
      </c>
      <c r="I88" s="24">
        <v>-2.3664176000000002E-2</v>
      </c>
      <c r="J88" s="24">
        <v>3.1876564000000003E-4</v>
      </c>
      <c r="K88" s="24">
        <v>6.2304735E-3</v>
      </c>
      <c r="L88" s="24">
        <v>-4.0530499999999997E-2</v>
      </c>
      <c r="M88" s="24">
        <v>-1.3538778E-2</v>
      </c>
      <c r="N88" s="24">
        <v>1.0716438E-2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">
        <v>44516</v>
      </c>
      <c r="B89" s="24">
        <v>-2.9486358000000001E-2</v>
      </c>
      <c r="C89" s="24">
        <v>-8.4097384999999997E-3</v>
      </c>
      <c r="D89" s="24">
        <v>2.1287441000000001E-2</v>
      </c>
      <c r="E89" s="24">
        <v>1.2191533999999999E-2</v>
      </c>
      <c r="F89" s="24">
        <v>1.2166858000000001E-2</v>
      </c>
      <c r="G89" s="24">
        <v>4.1109920000000001E-2</v>
      </c>
      <c r="H89" s="24">
        <v>-1.0370314E-2</v>
      </c>
      <c r="I89" s="24">
        <v>7.7194095000000004E-2</v>
      </c>
      <c r="J89" s="24">
        <v>5.2504062999999997E-2</v>
      </c>
      <c r="K89" s="24">
        <v>3.0443787999999999E-2</v>
      </c>
      <c r="L89" s="24">
        <v>2.6669263999999998E-2</v>
      </c>
      <c r="M89" s="24">
        <v>2.4282097999999998E-2</v>
      </c>
      <c r="N89" s="24">
        <v>1.8782258E-2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">
        <v>44546</v>
      </c>
      <c r="B90" s="24">
        <v>-4.3061790000000003E-2</v>
      </c>
      <c r="C90" s="24">
        <v>-3.6339521E-2</v>
      </c>
      <c r="D90" s="24">
        <v>-5.3958177999999996E-2</v>
      </c>
      <c r="E90" s="24">
        <v>-4.2131959999999996E-2</v>
      </c>
      <c r="F90" s="24">
        <v>-1.3402819999999999E-2</v>
      </c>
      <c r="G90" s="24">
        <v>2.4086832999999998E-2</v>
      </c>
      <c r="H90" s="24">
        <v>-1.0618687E-2</v>
      </c>
      <c r="I90" s="24">
        <v>-2.6621760000000001E-2</v>
      </c>
      <c r="J90" s="24">
        <v>-6.0304999999999994E-3</v>
      </c>
      <c r="K90" s="24">
        <v>-2.6884317000000001E-2</v>
      </c>
      <c r="L90" s="24">
        <v>-7.9064426000000007E-2</v>
      </c>
      <c r="M90" s="24">
        <v>-5.3078356E-2</v>
      </c>
      <c r="N90" s="24">
        <v>-3.3110200999999999E-2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">
        <v>44575</v>
      </c>
      <c r="B91" s="24">
        <v>3.4666059999999998E-4</v>
      </c>
      <c r="C91" s="24">
        <v>1.9969701999999999E-2</v>
      </c>
      <c r="D91" s="24">
        <v>5.2164674000000001E-2</v>
      </c>
      <c r="E91" s="24">
        <v>3.1363129999999996E-2</v>
      </c>
      <c r="F91" s="24">
        <v>-1.1904715999999999E-2</v>
      </c>
      <c r="G91" s="24">
        <v>-1.5230357999999999E-2</v>
      </c>
      <c r="H91" s="24">
        <v>7.5248836999999999E-2</v>
      </c>
      <c r="I91" s="24">
        <v>-1.6387820000000001E-2</v>
      </c>
      <c r="J91" s="24">
        <v>-1.6361475000000001E-4</v>
      </c>
      <c r="K91" s="24">
        <v>3.7546276999999996E-2</v>
      </c>
      <c r="L91" s="24">
        <v>1.9838809999999998E-2</v>
      </c>
      <c r="M91" s="24">
        <v>9.5446109999999997E-3</v>
      </c>
      <c r="N91" s="24">
        <v>4.4915795000000001E-2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">
        <v>44608</v>
      </c>
      <c r="B92" s="24">
        <v>-6.3929376999999996E-2</v>
      </c>
      <c r="C92" s="24">
        <v>-9.7560880000000013E-3</v>
      </c>
      <c r="D92" s="24">
        <v>-1.04779E-2</v>
      </c>
      <c r="E92" s="24">
        <v>-3.3593236999999998E-2</v>
      </c>
      <c r="F92" s="24">
        <v>-3.7929535E-2</v>
      </c>
      <c r="G92" s="24">
        <v>-3.7392378000000004E-2</v>
      </c>
      <c r="H92" s="24">
        <v>2.3133755000000001E-3</v>
      </c>
      <c r="I92" s="24">
        <v>-6.3077270000000005E-2</v>
      </c>
      <c r="J92" s="24">
        <v>-3.8991212999999997E-2</v>
      </c>
      <c r="K92" s="24">
        <v>-2.9052079000000001E-2</v>
      </c>
      <c r="L92" s="24">
        <v>-6.0992899999999996E-2</v>
      </c>
      <c r="M92" s="24">
        <v>-7.0729550000000002E-2</v>
      </c>
      <c r="N92" s="24">
        <v>-1.9701481E-2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">
        <v>44636</v>
      </c>
      <c r="B93" s="24">
        <v>2.0544171000000003E-2</v>
      </c>
      <c r="C93" s="24">
        <v>3.1198739999999999E-2</v>
      </c>
      <c r="D93" s="24">
        <v>3.3574104E-3</v>
      </c>
      <c r="E93" s="24">
        <v>-0.10211050000000001</v>
      </c>
      <c r="F93" s="24">
        <v>-5.8286962999999997E-2</v>
      </c>
      <c r="G93" s="24">
        <v>-3.7827909999999999E-2</v>
      </c>
      <c r="H93" s="24">
        <v>-5.3952636999999998E-2</v>
      </c>
      <c r="I93" s="24">
        <v>-4.4152316999999996E-2</v>
      </c>
      <c r="J93" s="24">
        <v>-2.4585783E-2</v>
      </c>
      <c r="K93" s="24">
        <v>-8.0314869999999997E-2</v>
      </c>
      <c r="L93" s="24">
        <v>-8.955550000000001E-2</v>
      </c>
      <c r="M93" s="24">
        <v>-4.4040203E-2</v>
      </c>
      <c r="N93" s="24">
        <v>-0.12393421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">
        <v>44665</v>
      </c>
      <c r="B94" s="24">
        <v>-3.6271334000000002E-2</v>
      </c>
      <c r="C94" s="24">
        <v>5.0557255999999995E-2</v>
      </c>
      <c r="D94" s="24">
        <v>2.1364212E-2</v>
      </c>
      <c r="E94" s="24">
        <v>-6.0836496000000004E-2</v>
      </c>
      <c r="F94" s="24">
        <v>-4.1208324000000005E-2</v>
      </c>
      <c r="G94" s="24">
        <v>4.1006090000000002E-2</v>
      </c>
      <c r="H94" s="24">
        <v>3.9951085999999997E-2</v>
      </c>
      <c r="I94" s="24">
        <v>-4.3217539999999997E-3</v>
      </c>
      <c r="J94" s="24">
        <v>8.0697536E-3</v>
      </c>
      <c r="K94" s="24">
        <v>-2.1404087999999998E-2</v>
      </c>
      <c r="L94" s="24">
        <v>-4.5982419999999996E-2</v>
      </c>
      <c r="M94" s="24">
        <v>-4.3314933999999999E-2</v>
      </c>
      <c r="N94" s="24">
        <v>1.0427474999999999E-2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">
        <v>44697</v>
      </c>
      <c r="B95" s="24">
        <v>-0.12213016</v>
      </c>
      <c r="C95" s="24">
        <v>-0.10117472</v>
      </c>
      <c r="D95" s="24">
        <v>-8.6693529999999991E-2</v>
      </c>
      <c r="E95" s="24">
        <v>-5.1527380000000005E-2</v>
      </c>
      <c r="F95" s="24">
        <v>-4.0753419999999999E-2</v>
      </c>
      <c r="G95" s="24">
        <v>-0.10822338000000001</v>
      </c>
      <c r="H95" s="24">
        <v>-6.4516125000000007E-2</v>
      </c>
      <c r="I95" s="24">
        <v>-0.11816322</v>
      </c>
      <c r="J95" s="24">
        <v>-8.6114350000000006E-2</v>
      </c>
      <c r="K95" s="24">
        <v>-5.0160410000000002E-2</v>
      </c>
      <c r="L95" s="24">
        <v>-7.8757705999999997E-2</v>
      </c>
      <c r="M95" s="24">
        <v>-9.133725999999999E-2</v>
      </c>
      <c r="N95" s="24">
        <v>-6.3983499999999999E-2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">
        <v>44728</v>
      </c>
      <c r="B96" s="24">
        <v>-5.4631233000000001E-2</v>
      </c>
      <c r="C96" s="24">
        <v>-7.8235207000000001E-2</v>
      </c>
      <c r="D96" s="24">
        <v>-6.3434600000000008E-2</v>
      </c>
      <c r="E96" s="24">
        <v>-5.9490259999999996E-2</v>
      </c>
      <c r="F96" s="24">
        <v>-5.1142750000000001E-2</v>
      </c>
      <c r="G96" s="24">
        <v>-8.0893939999999998E-2</v>
      </c>
      <c r="H96" s="24">
        <v>-5.4106829999999995E-2</v>
      </c>
      <c r="I96" s="24">
        <v>-9.0637919999999997E-2</v>
      </c>
      <c r="J96" s="24">
        <v>-8.3581210000000003E-2</v>
      </c>
      <c r="K96" s="24">
        <v>-5.9640169999999999E-2</v>
      </c>
      <c r="L96" s="24">
        <v>-7.8163330000000003E-2</v>
      </c>
      <c r="M96" s="24">
        <v>-8.1002350000000001E-2</v>
      </c>
      <c r="N96" s="24">
        <v>-7.5367450000000002E-2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">
        <v>44757</v>
      </c>
      <c r="B97" s="24">
        <v>3.7393928E-2</v>
      </c>
      <c r="C97" s="24">
        <v>-5.193591E-3</v>
      </c>
      <c r="D97" s="24">
        <v>-3.8587093000000003E-2</v>
      </c>
      <c r="E97" s="24">
        <v>-6.2951921999999993E-2</v>
      </c>
      <c r="F97" s="24">
        <v>2.2796392E-3</v>
      </c>
      <c r="G97" s="24">
        <v>4.3225407999999993E-2</v>
      </c>
      <c r="H97" s="24">
        <v>-1.9912183E-2</v>
      </c>
      <c r="I97" s="24">
        <v>7.7481149999999999E-2</v>
      </c>
      <c r="J97" s="24">
        <v>5.4929614000000002E-2</v>
      </c>
      <c r="K97" s="24">
        <v>-1.1428595E-2</v>
      </c>
      <c r="L97" s="24">
        <v>1.659739E-2</v>
      </c>
      <c r="M97" s="24">
        <v>-2.2250890000000002E-2</v>
      </c>
      <c r="N97" s="24">
        <v>-7.9885299999999992E-2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">
        <v>44789</v>
      </c>
      <c r="B98" s="24">
        <v>9.8850010000000002E-2</v>
      </c>
      <c r="C98" s="24">
        <v>9.6345539999999993E-2</v>
      </c>
      <c r="D98" s="24">
        <v>0.119481325</v>
      </c>
      <c r="E98" s="24">
        <v>9.0785265000000004E-2</v>
      </c>
      <c r="F98" s="24">
        <v>8.0174450000000008E-2</v>
      </c>
      <c r="G98" s="24">
        <v>5.0642132999999999E-2</v>
      </c>
      <c r="H98" s="24">
        <v>7.4035764000000004E-2</v>
      </c>
      <c r="I98" s="24">
        <v>0.13845204999999999</v>
      </c>
      <c r="J98" s="24">
        <v>0.11572718999999999</v>
      </c>
      <c r="K98" s="24">
        <v>0.10404634</v>
      </c>
      <c r="L98" s="24">
        <v>0.11020410999999999</v>
      </c>
      <c r="M98" s="24">
        <v>0.10653029999999999</v>
      </c>
      <c r="N98" s="24">
        <v>0.11442577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">
        <v>44820</v>
      </c>
      <c r="B99" s="24">
        <v>-7.4662867000000008E-2</v>
      </c>
      <c r="C99" s="24">
        <v>-8.0519494999999996E-2</v>
      </c>
      <c r="D99" s="24">
        <v>-7.4462120000000007E-2</v>
      </c>
      <c r="E99" s="24">
        <v>-0.10070747000000001</v>
      </c>
      <c r="F99" s="24">
        <v>-9.4051599999999999E-2</v>
      </c>
      <c r="G99" s="24">
        <v>-7.5184526000000002E-2</v>
      </c>
      <c r="H99" s="24">
        <v>-9.0413569999999999E-2</v>
      </c>
      <c r="I99" s="24">
        <v>-0.12928856</v>
      </c>
      <c r="J99" s="24">
        <v>-9.9007719999999994E-2</v>
      </c>
      <c r="K99" s="24">
        <v>-9.5472760000000004E-2</v>
      </c>
      <c r="L99" s="24">
        <v>-0.12053573999999999</v>
      </c>
      <c r="M99" s="24">
        <v>-0.11982113</v>
      </c>
      <c r="N99" s="24">
        <v>-5.1138640000000006E-2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">
        <v>44848</v>
      </c>
      <c r="B100" s="24">
        <v>-0.13397127</v>
      </c>
      <c r="C100" s="24">
        <v>-7.8154445000000003E-2</v>
      </c>
      <c r="D100" s="24">
        <v>-9.2073970000000005E-2</v>
      </c>
      <c r="E100" s="24">
        <v>-6.9875060000000003E-2</v>
      </c>
      <c r="F100" s="24">
        <v>-6.139845E-2</v>
      </c>
      <c r="G100" s="24">
        <v>-7.605982E-2</v>
      </c>
      <c r="H100" s="24">
        <v>-7.4021873000000002E-2</v>
      </c>
      <c r="I100" s="24">
        <v>-9.7177739999999999E-2</v>
      </c>
      <c r="J100" s="24">
        <v>-7.2440089999999999E-2</v>
      </c>
      <c r="K100" s="24">
        <v>-6.2989473000000004E-2</v>
      </c>
      <c r="L100" s="24">
        <v>-0.10839057000000001</v>
      </c>
      <c r="M100" s="24">
        <v>-7.8564224000000002E-2</v>
      </c>
      <c r="N100" s="24">
        <v>-8.4210510000000002E-2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">
        <v>44881</v>
      </c>
      <c r="B101" s="24">
        <v>0.14942241000000001</v>
      </c>
      <c r="C101" s="24">
        <v>0.16036774000000001</v>
      </c>
      <c r="D101" s="24">
        <v>0.13751231999999999</v>
      </c>
      <c r="E101" s="24">
        <v>0.23184072</v>
      </c>
      <c r="F101" s="24">
        <v>0.12174988</v>
      </c>
      <c r="G101" s="24">
        <v>0.13576257999999999</v>
      </c>
      <c r="H101" s="24">
        <v>0.14465165000000002</v>
      </c>
      <c r="I101" s="24">
        <v>9.4730380000000003E-2</v>
      </c>
      <c r="J101" s="24">
        <v>0.10575174999999999</v>
      </c>
      <c r="K101" s="24">
        <v>0.19331396000000001</v>
      </c>
      <c r="L101" s="24">
        <v>0.26021432999999999</v>
      </c>
      <c r="M101" s="24">
        <v>0.20911443999999998</v>
      </c>
      <c r="N101" s="24">
        <v>0.25563216999999999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">
        <v>44911</v>
      </c>
      <c r="B102" s="24">
        <v>7.0272446000000002E-2</v>
      </c>
      <c r="C102" s="24">
        <v>-4.2437314999999995E-3</v>
      </c>
      <c r="D102" s="24">
        <v>-5.0998210000000002E-2</v>
      </c>
      <c r="E102" s="24">
        <v>-6.1281920000000002E-3</v>
      </c>
      <c r="F102" s="24">
        <v>5.725384E-3</v>
      </c>
      <c r="G102" s="24">
        <v>-6.6540239999999997E-3</v>
      </c>
      <c r="H102" s="24">
        <v>2.6438950999999999E-2</v>
      </c>
      <c r="I102" s="24">
        <v>-3.9202629999999995E-2</v>
      </c>
      <c r="J102" s="24">
        <v>-2.6295662000000001E-2</v>
      </c>
      <c r="K102" s="24">
        <v>2.9956102000000002E-3</v>
      </c>
      <c r="L102" s="24">
        <v>8.6165666999999998E-3</v>
      </c>
      <c r="M102" s="24">
        <v>-5.2877664999999999E-3</v>
      </c>
      <c r="N102" s="24">
        <v>-1.098007E-2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">
        <v>44939</v>
      </c>
      <c r="B103" s="24">
        <v>3.6512851999999998E-2</v>
      </c>
      <c r="C103" s="24">
        <v>8.1044669999999999E-2</v>
      </c>
      <c r="D103" s="24">
        <v>7.3719979999999991E-2</v>
      </c>
      <c r="E103" s="24">
        <v>0.12967480000000001</v>
      </c>
      <c r="F103" s="24">
        <v>4.0696620000000003E-2</v>
      </c>
      <c r="G103" s="24">
        <v>6.6985607000000003E-2</v>
      </c>
      <c r="H103" s="24">
        <v>7.2673439999999992E-2</v>
      </c>
      <c r="I103" s="24">
        <v>2.6992440000000003E-2</v>
      </c>
      <c r="J103" s="24">
        <v>3.9736986000000002E-2</v>
      </c>
      <c r="K103" s="24">
        <v>0.11090792000000001</v>
      </c>
      <c r="L103" s="24">
        <v>0.11214209</v>
      </c>
      <c r="M103" s="24">
        <v>8.6969850000000001E-2</v>
      </c>
      <c r="N103" s="24">
        <v>0.11311542499999999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">
        <v>44973</v>
      </c>
      <c r="B104" s="24">
        <v>1.108253E-2</v>
      </c>
      <c r="C104" s="24">
        <v>-7.0803760000000002E-3</v>
      </c>
      <c r="D104" s="24">
        <v>1.0341762999999999E-2</v>
      </c>
      <c r="E104" s="24">
        <v>9.3557834999999992E-3</v>
      </c>
      <c r="F104" s="24">
        <v>4.7560930000000003E-3</v>
      </c>
      <c r="G104" s="24">
        <v>-3.8115978000000002E-3</v>
      </c>
      <c r="H104" s="24">
        <v>9.1981889999999996E-4</v>
      </c>
      <c r="I104" s="24">
        <v>7.9474688000000002E-2</v>
      </c>
      <c r="J104" s="24">
        <v>2.4541974000000001E-2</v>
      </c>
      <c r="K104" s="24">
        <v>2.4684668E-2</v>
      </c>
      <c r="L104" s="24">
        <v>7.6280829999999999E-3</v>
      </c>
      <c r="M104" s="24">
        <v>1.0178089E-2</v>
      </c>
      <c r="N104" s="24">
        <v>3.7812233000000001E-2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">
        <v>45001</v>
      </c>
      <c r="B105" s="24">
        <v>-5.1869273E-2</v>
      </c>
      <c r="C105" s="24">
        <v>-7.2986545999999999E-2</v>
      </c>
      <c r="D105" s="24">
        <v>-7.0230245999999996E-2</v>
      </c>
      <c r="E105" s="24">
        <v>-4.4563293000000004E-2</v>
      </c>
      <c r="F105" s="24">
        <v>-1.7180919999999999E-2</v>
      </c>
      <c r="G105" s="24">
        <v>-2.9484629999999998E-2</v>
      </c>
      <c r="H105" s="24">
        <v>-5.3598824000000003E-2</v>
      </c>
      <c r="I105" s="24">
        <v>1.1572719E-2</v>
      </c>
      <c r="J105" s="24">
        <v>-2.9807985000000002E-2</v>
      </c>
      <c r="K105" s="24">
        <v>-4.2826595000000002E-2</v>
      </c>
      <c r="L105" s="24">
        <v>-5.3465842999999999E-2</v>
      </c>
      <c r="M105" s="24">
        <v>-6.0173454000000001E-2</v>
      </c>
      <c r="N105" s="24">
        <v>-6.6037774000000007E-2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">
        <v>45030</v>
      </c>
      <c r="B106" s="24">
        <v>1.7960429E-2</v>
      </c>
      <c r="C106" s="24">
        <v>6.1538459999999996E-2</v>
      </c>
      <c r="D106" s="24">
        <v>8.409786000000001E-2</v>
      </c>
      <c r="E106" s="24">
        <v>8.7313410000000008E-2</v>
      </c>
      <c r="F106" s="24">
        <v>4.2454479999999996E-2</v>
      </c>
      <c r="G106" s="24">
        <v>9.5315460000000005E-2</v>
      </c>
      <c r="H106" s="24">
        <v>8.640777999999999E-2</v>
      </c>
      <c r="I106" s="24">
        <v>3.9932490000000001E-2</v>
      </c>
      <c r="J106" s="24">
        <v>4.5297980000000002E-2</v>
      </c>
      <c r="K106" s="24">
        <v>9.9552630000000003E-2</v>
      </c>
      <c r="L106" s="24">
        <v>6.2484384000000004E-2</v>
      </c>
      <c r="M106" s="24">
        <v>8.7849860000000002E-2</v>
      </c>
      <c r="N106" s="24">
        <v>0.10553812999999999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">
        <v>45062</v>
      </c>
      <c r="B107" s="24">
        <v>1.5615463000000001E-2</v>
      </c>
      <c r="C107" s="24">
        <v>-3.1116784000000001E-2</v>
      </c>
      <c r="D107" s="24">
        <v>-2.2002875999999998E-2</v>
      </c>
      <c r="E107" s="24">
        <v>-1.2354136E-2</v>
      </c>
      <c r="F107" s="24">
        <v>3.4223080000000003E-2</v>
      </c>
      <c r="G107" s="24">
        <v>1.8420458000000001E-2</v>
      </c>
      <c r="H107" s="24">
        <v>-1.2213290000000002E-2</v>
      </c>
      <c r="I107" s="24">
        <v>2.6964188E-2</v>
      </c>
      <c r="J107" s="24">
        <v>-5.3581000000000002E-3</v>
      </c>
      <c r="K107" s="24">
        <v>-1.6276717E-2</v>
      </c>
      <c r="L107" s="24">
        <v>-9.6448064000000007E-3</v>
      </c>
      <c r="M107" s="24">
        <v>-1.9983589999999999E-2</v>
      </c>
      <c r="N107" s="24">
        <v>-2.1424055000000001E-2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">
        <v>45093</v>
      </c>
      <c r="B108" s="24">
        <v>-1.4594734E-2</v>
      </c>
      <c r="C108" s="24">
        <v>4.5797586000000001E-2</v>
      </c>
      <c r="D108" s="24">
        <v>1.1880159E-2</v>
      </c>
      <c r="E108" s="24">
        <v>3.2099962000000003E-2</v>
      </c>
      <c r="F108" s="24">
        <v>5.1380990000000001E-2</v>
      </c>
      <c r="G108" s="24">
        <v>-1.2199044000000001E-2</v>
      </c>
      <c r="H108" s="24">
        <v>1.3584374999999999E-2</v>
      </c>
      <c r="I108" s="24">
        <v>0.12461794</v>
      </c>
      <c r="J108" s="24">
        <v>7.5194120000000003E-2</v>
      </c>
      <c r="K108" s="24">
        <v>1.2048244E-2</v>
      </c>
      <c r="L108" s="24">
        <v>3.4502149000000003E-2</v>
      </c>
      <c r="M108" s="24">
        <v>3.6313533999999996E-3</v>
      </c>
      <c r="N108" s="24">
        <v>3.7071824000000003E-2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">
        <v>45121</v>
      </c>
      <c r="B109" s="24">
        <v>4.2161226000000003E-2</v>
      </c>
      <c r="C109" s="24">
        <v>-1.2859106000000001E-3</v>
      </c>
      <c r="D109" s="24">
        <v>1.4684796E-2</v>
      </c>
      <c r="E109" s="24">
        <v>1.0377050000000001E-2</v>
      </c>
      <c r="F109" s="24">
        <v>-1.0776579E-2</v>
      </c>
      <c r="G109" s="24">
        <v>1.8506526999999998E-2</v>
      </c>
      <c r="H109" s="24">
        <v>-7.2793960000000005E-3</v>
      </c>
      <c r="I109" s="24">
        <v>3.1692624000000003E-2</v>
      </c>
      <c r="J109" s="24">
        <v>2.2345662000000002E-2</v>
      </c>
      <c r="K109" s="24">
        <v>2.9511569999999997E-2</v>
      </c>
      <c r="L109" s="24">
        <v>4.7364829999999997E-2</v>
      </c>
      <c r="M109" s="24">
        <v>9.4628334000000005E-3</v>
      </c>
      <c r="N109" s="24">
        <v>4.8664092999999999E-2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">
        <v>45154</v>
      </c>
      <c r="B110" s="24">
        <v>-9.5247449999999997E-2</v>
      </c>
      <c r="C110" s="24">
        <v>-7.1673813000000003E-2</v>
      </c>
      <c r="D110" s="24">
        <v>-3.8308800000000004E-2</v>
      </c>
      <c r="E110" s="24">
        <v>-5.2036943000000002E-2</v>
      </c>
      <c r="F110" s="24">
        <v>-4.8061550000000001E-2</v>
      </c>
      <c r="G110" s="24">
        <v>-3.6763191000000001E-2</v>
      </c>
      <c r="H110" s="24">
        <v>-3.2080650000000002E-2</v>
      </c>
      <c r="I110" s="24">
        <v>-4.3606699999999998E-2</v>
      </c>
      <c r="J110" s="24">
        <v>-2.145654E-2</v>
      </c>
      <c r="K110" s="24">
        <v>-5.2004040000000001E-2</v>
      </c>
      <c r="L110" s="24">
        <v>-7.2046100000000002E-2</v>
      </c>
      <c r="M110" s="24">
        <v>-8.2988739999999991E-2</v>
      </c>
      <c r="N110" s="24">
        <v>-4.8225699999999996E-2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">
        <v>45184</v>
      </c>
      <c r="B111" s="24">
        <v>-4.2978050000000004E-2</v>
      </c>
      <c r="C111" s="24">
        <v>2.820158E-2</v>
      </c>
      <c r="D111" s="24">
        <v>4.0719986E-2</v>
      </c>
      <c r="E111" s="24">
        <v>-1.3001084000000001E-2</v>
      </c>
      <c r="F111" s="24">
        <v>6.0080886E-2</v>
      </c>
      <c r="G111" s="24">
        <v>0</v>
      </c>
      <c r="H111" s="24">
        <v>2.5568246999999999E-2</v>
      </c>
      <c r="I111" s="24">
        <v>2.2811294000000003E-2</v>
      </c>
      <c r="J111" s="24">
        <v>1.2085199E-2</v>
      </c>
      <c r="K111" s="24">
        <v>-5.8870316000000002E-3</v>
      </c>
      <c r="L111" s="24">
        <v>-6.2350692999999999E-2</v>
      </c>
      <c r="M111" s="24">
        <v>-1.202637E-2</v>
      </c>
      <c r="N111" s="24">
        <v>6.6921710000000002E-3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">
        <v>45215</v>
      </c>
      <c r="B112" s="24">
        <v>-7.2578790000000001E-3</v>
      </c>
      <c r="C112" s="24">
        <v>-3.3722997000000005E-2</v>
      </c>
      <c r="D112" s="24">
        <v>-4.7349094999999994E-2</v>
      </c>
      <c r="E112" s="24">
        <v>-5.0859870000000001E-2</v>
      </c>
      <c r="F112" s="24">
        <v>-5.1119269999999994E-2</v>
      </c>
      <c r="G112" s="24">
        <v>-3.1805216999999997E-2</v>
      </c>
      <c r="H112" s="24">
        <v>-1.5081644E-2</v>
      </c>
      <c r="I112" s="24">
        <v>-2.3360848000000003E-3</v>
      </c>
      <c r="J112" s="24">
        <v>-1.6532420999999999E-2</v>
      </c>
      <c r="K112" s="24">
        <v>-5.625844E-2</v>
      </c>
      <c r="L112" s="24">
        <v>-3.4267544999999996E-2</v>
      </c>
      <c r="M112" s="24">
        <v>2.5867224000000001E-2</v>
      </c>
      <c r="N112" s="24">
        <v>-3.5770833000000002E-2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">
        <v>45246</v>
      </c>
      <c r="B113" s="24">
        <v>1.0738015E-2</v>
      </c>
      <c r="C113" s="24">
        <v>2.280128E-2</v>
      </c>
      <c r="D113" s="24">
        <v>1.4583349000000001E-2</v>
      </c>
      <c r="E113" s="24">
        <v>6.5150260000000002E-2</v>
      </c>
      <c r="F113" s="24">
        <v>2.71039E-2</v>
      </c>
      <c r="G113" s="24">
        <v>-6.7961216000000002E-4</v>
      </c>
      <c r="H113" s="24">
        <v>-1.1874974E-2</v>
      </c>
      <c r="I113" s="24">
        <v>4.4774174999999999E-2</v>
      </c>
      <c r="J113" s="24">
        <v>3.2542943999999997E-2</v>
      </c>
      <c r="K113" s="24">
        <v>5.0770044E-2</v>
      </c>
      <c r="L113" s="24">
        <v>9.8403930000000001E-2</v>
      </c>
      <c r="M113" s="24">
        <v>3.0258060000000003E-2</v>
      </c>
      <c r="N113" s="24">
        <v>5.4826020000000003E-2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">
        <v>45275</v>
      </c>
      <c r="B114" s="24">
        <v>6.9846272000000001E-2</v>
      </c>
      <c r="C114" s="24">
        <v>8.4167480000000003E-2</v>
      </c>
      <c r="D114" s="24">
        <v>5.4561496000000001E-2</v>
      </c>
      <c r="E114" s="24">
        <v>5.9355854999999999E-2</v>
      </c>
      <c r="F114" s="24">
        <v>2.8994917999999998E-2</v>
      </c>
      <c r="G114" s="24">
        <v>6.1210630000000002E-2</v>
      </c>
      <c r="H114" s="24">
        <v>3.9531826999999999E-2</v>
      </c>
      <c r="I114" s="24">
        <v>5.0239680000000002E-2</v>
      </c>
      <c r="J114" s="24">
        <v>4.6656250000000003E-2</v>
      </c>
      <c r="K114" s="24">
        <v>5.7546140000000003E-2</v>
      </c>
      <c r="L114" s="24">
        <v>7.2342989999999996E-2</v>
      </c>
      <c r="M114" s="24">
        <v>0.13417792000000001</v>
      </c>
      <c r="N114" s="24">
        <v>4.6062827000000001E-2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">
        <v>45307</v>
      </c>
      <c r="B115" s="24">
        <v>7.6535940000000005E-3</v>
      </c>
      <c r="C115" s="24">
        <v>-1.0661423000000001E-2</v>
      </c>
      <c r="D115" s="24">
        <v>1.4189123999999999E-2</v>
      </c>
      <c r="E115" s="24">
        <v>-2.0447552000000001E-2</v>
      </c>
      <c r="F115" s="24">
        <v>5.8562994E-2</v>
      </c>
      <c r="G115" s="24">
        <v>9.1860294000000002E-3</v>
      </c>
      <c r="H115" s="24">
        <v>-2.4995208000000001E-3</v>
      </c>
      <c r="I115" s="24">
        <v>1.2849330999999999E-2</v>
      </c>
      <c r="J115" s="24">
        <v>1.1931895999999999E-2</v>
      </c>
      <c r="K115" s="24">
        <v>-2.6555119999999998E-2</v>
      </c>
      <c r="L115" s="24">
        <v>-3.1879662999999996E-2</v>
      </c>
      <c r="M115" s="24">
        <v>-4.7624769999999997E-2</v>
      </c>
      <c r="N115" s="24">
        <v>4.1801929999999996E-3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">
        <v>45338</v>
      </c>
      <c r="B116" s="24">
        <v>-2.3330510000000002E-2</v>
      </c>
      <c r="C116" s="24">
        <v>2.7272701E-2</v>
      </c>
      <c r="D116" s="24">
        <v>1.9738674000000001E-2</v>
      </c>
      <c r="E116" s="24">
        <v>2.9298902000000002E-2</v>
      </c>
      <c r="F116" s="24">
        <v>2.5629282E-2</v>
      </c>
      <c r="G116" s="24">
        <v>-1.2066126E-2</v>
      </c>
      <c r="H116" s="24">
        <v>1.9656777E-2</v>
      </c>
      <c r="I116" s="24">
        <v>5.1401734000000004E-2</v>
      </c>
      <c r="J116" s="24">
        <v>5.1755069999999993E-2</v>
      </c>
      <c r="K116" s="24">
        <v>3.7420391999999997E-2</v>
      </c>
      <c r="L116" s="24">
        <v>0.10186481</v>
      </c>
      <c r="M116" s="24">
        <v>4.752791E-2</v>
      </c>
      <c r="N116" s="24">
        <v>3.2103180000000002E-2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">
        <v>45366</v>
      </c>
      <c r="B117" s="24">
        <v>-1.1615217000000001E-2</v>
      </c>
      <c r="C117" s="24">
        <v>1.2642264E-2</v>
      </c>
      <c r="D117" s="24">
        <v>2.8625965E-2</v>
      </c>
      <c r="E117" s="24">
        <v>5.6252120000000003E-2</v>
      </c>
      <c r="F117" s="24">
        <v>2.8685570000000001E-2</v>
      </c>
      <c r="G117" s="24">
        <v>3.4068941999999998E-2</v>
      </c>
      <c r="H117" s="24">
        <v>2.2643805000000003E-2</v>
      </c>
      <c r="I117" s="24">
        <v>7.7804326999999993E-3</v>
      </c>
      <c r="J117" s="24">
        <v>2.3853182999999997E-2</v>
      </c>
      <c r="K117" s="24">
        <v>6.3443303000000006E-2</v>
      </c>
      <c r="L117" s="24">
        <v>1.8616437999999999E-2</v>
      </c>
      <c r="M117" s="24">
        <v>6.8057420000000007E-2</v>
      </c>
      <c r="N117" s="24">
        <v>8.2267399999999991E-2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">
        <v>45398</v>
      </c>
      <c r="B118" s="24">
        <v>-2.5055350000000001E-2</v>
      </c>
      <c r="C118" s="24">
        <v>-3.2875596999999999E-2</v>
      </c>
      <c r="D118" s="24">
        <v>-2.9419600000000001E-2</v>
      </c>
      <c r="E118" s="24">
        <v>-3.7536084999999997E-2</v>
      </c>
      <c r="F118" s="24">
        <v>-2.5298297000000001E-2</v>
      </c>
      <c r="G118" s="24">
        <v>-6.4649819999999997E-2</v>
      </c>
      <c r="H118" s="24">
        <v>-6.2836409999999995E-3</v>
      </c>
      <c r="I118" s="24">
        <v>-5.1966906000000005E-3</v>
      </c>
      <c r="J118" s="24">
        <v>-1.2357056E-2</v>
      </c>
      <c r="K118" s="24">
        <v>-5.0517139999999995E-2</v>
      </c>
      <c r="L118" s="24">
        <v>2.2844075999999998E-3</v>
      </c>
      <c r="M118" s="24">
        <v>-6.3476505000000003E-2</v>
      </c>
      <c r="N118" s="24">
        <v>-4.1095853000000002E-2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">
        <v>45428</v>
      </c>
      <c r="B119" s="24">
        <v>3.5706162E-2</v>
      </c>
      <c r="C119" s="24">
        <v>8.1325289999999995E-2</v>
      </c>
      <c r="D119" s="24">
        <v>4.587662E-2</v>
      </c>
      <c r="E119" s="24">
        <v>7.8333260000000002E-2</v>
      </c>
      <c r="F119" s="24">
        <v>6.7836046000000006E-3</v>
      </c>
      <c r="G119" s="24">
        <v>8.1524129999999986E-2</v>
      </c>
      <c r="H119" s="24">
        <v>0.10388433</v>
      </c>
      <c r="I119" s="24">
        <v>4.8434258000000001E-2</v>
      </c>
      <c r="J119" s="24">
        <v>4.9967290000000004E-2</v>
      </c>
      <c r="K119" s="24">
        <v>6.9419740000000008E-2</v>
      </c>
      <c r="L119" s="24">
        <v>6.6721915999999992E-2</v>
      </c>
      <c r="M119" s="24">
        <v>7.1428537E-2</v>
      </c>
      <c r="N119" s="24">
        <v>9.8319290000000004E-2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">
        <v>45457</v>
      </c>
      <c r="B120" s="24">
        <v>1.1271477E-2</v>
      </c>
      <c r="C120" s="24">
        <v>-2.2705197E-2</v>
      </c>
      <c r="D120" s="24">
        <v>-3.6919713E-2</v>
      </c>
      <c r="E120" s="24">
        <v>-4.9452009999999998E-2</v>
      </c>
      <c r="F120" s="24">
        <v>-9.3496440000000007E-3</v>
      </c>
      <c r="G120" s="24">
        <v>1.9931674E-2</v>
      </c>
      <c r="H120" s="24">
        <v>-2.9087304999999997E-2</v>
      </c>
      <c r="I120" s="24">
        <v>6.0201764000000005E-2</v>
      </c>
      <c r="J120" s="24">
        <v>2.6650786000000003E-2</v>
      </c>
      <c r="K120" s="24">
        <v>-8.7309949999999997E-2</v>
      </c>
      <c r="L120" s="24">
        <v>-9.9344254000000003E-3</v>
      </c>
      <c r="M120" s="24">
        <v>-5.148232E-3</v>
      </c>
      <c r="N120" s="24">
        <v>-7.768506E-2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">
        <v>45489</v>
      </c>
      <c r="B121" s="24">
        <v>2.2906542000000002E-2</v>
      </c>
      <c r="C121" s="24">
        <v>6.2266469999999997E-2</v>
      </c>
      <c r="D121" s="24">
        <v>6.8144440000000001E-2</v>
      </c>
      <c r="E121" s="24">
        <v>5.3982020000000006E-2</v>
      </c>
      <c r="F121" s="24">
        <v>7.1056247000000003E-2</v>
      </c>
      <c r="G121" s="24">
        <v>1.5993357E-2</v>
      </c>
      <c r="H121" s="24">
        <v>2.6067019E-2</v>
      </c>
      <c r="I121" s="24">
        <v>3.7453650999999998E-2</v>
      </c>
      <c r="J121" s="24">
        <v>4.4041275999999997E-2</v>
      </c>
      <c r="K121" s="24">
        <v>3.6387799999999998E-2</v>
      </c>
      <c r="L121" s="24">
        <v>3.7500024E-2</v>
      </c>
      <c r="M121" s="24">
        <v>2.4105310000000001E-2</v>
      </c>
      <c r="N121" s="24">
        <v>7.0558189999999993E-2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">
        <v>45520</v>
      </c>
      <c r="B122" s="24">
        <v>2.9304743000000001E-2</v>
      </c>
      <c r="C122" s="24">
        <v>-2.5009750999999997E-2</v>
      </c>
      <c r="D122" s="24">
        <v>6.149173E-3</v>
      </c>
      <c r="E122" s="24">
        <v>-7.2715879999999998E-3</v>
      </c>
      <c r="F122" s="24">
        <v>-3.5187720999999998E-2</v>
      </c>
      <c r="G122" s="24">
        <v>2.4419784999999999E-2</v>
      </c>
      <c r="H122" s="24">
        <v>1.8704653000000002E-2</v>
      </c>
      <c r="I122" s="24">
        <v>-4.2934300000000002E-2</v>
      </c>
      <c r="J122" s="24">
        <v>-1.8677175000000001E-2</v>
      </c>
      <c r="K122" s="24">
        <v>-5.6381820000000003E-3</v>
      </c>
      <c r="L122" s="24">
        <v>-4.7427772999999999E-2</v>
      </c>
      <c r="M122" s="24">
        <v>-2.3052692E-2</v>
      </c>
      <c r="N122" s="50">
        <v>-1.5087366E-2</v>
      </c>
    </row>
    <row r="123" spans="1:26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35">
      <c r="A126" t="s">
        <v>782</v>
      </c>
      <c r="B126" s="24" cm="1">
        <f t="array" ref="B126">MAX(_xlfn._xlws.FILTER(B1:B122, ISNUMBER(B1:B122)))</f>
        <v>0.15124630999999999</v>
      </c>
      <c r="C126" s="24" cm="1">
        <f t="array" ref="C126">MAX(_xlfn._xlws.FILTER(C1:C122, ISNUMBER(C1:C122)))</f>
        <v>0.18051040000000002</v>
      </c>
      <c r="D126" s="24" cm="1">
        <f t="array" ref="D126">MAX(_xlfn._xlws.FILTER(D1:D122, ISNUMBER(D1:D122)))</f>
        <v>0.13751231999999999</v>
      </c>
      <c r="E126" s="24" cm="1">
        <f t="array" ref="E126">MAX(_xlfn._xlws.FILTER(E1:E122, ISNUMBER(E1:E122)))</f>
        <v>0.23184072</v>
      </c>
      <c r="F126" s="24" cm="1">
        <f t="array" ref="F126">MAX(_xlfn._xlws.FILTER(F1:F122, ISNUMBER(F1:F122)))</f>
        <v>0.16034245</v>
      </c>
      <c r="G126" s="24" cm="1">
        <f t="array" ref="G126">MAX(_xlfn._xlws.FILTER(G1:G122, ISNUMBER(G1:G122)))</f>
        <v>0.16425133</v>
      </c>
      <c r="H126" s="24" cm="1">
        <f t="array" ref="H126">MAX(_xlfn._xlws.FILTER(H1:H122, ISNUMBER(H1:H122)))</f>
        <v>0.14465165000000002</v>
      </c>
      <c r="I126" s="24" cm="1">
        <f t="array" ref="I126">MAX(_xlfn._xlws.FILTER(I1:I122, ISNUMBER(I1:I122)))</f>
        <v>0.26227844</v>
      </c>
      <c r="J126" s="24" cm="1">
        <f t="array" ref="J126">MAX(_xlfn._xlws.FILTER(J1:J122, ISNUMBER(J1:J122)))</f>
        <v>0.17079246999999997</v>
      </c>
      <c r="K126" s="24" cm="1">
        <f t="array" ref="K126">MAX(_xlfn._xlws.FILTER(K1:K122, ISNUMBER(K1:K122)))</f>
        <v>0.19457685000000002</v>
      </c>
      <c r="L126" s="24" cm="1">
        <f t="array" ref="L126">MAX(_xlfn._xlws.FILTER(L1:L122, ISNUMBER(L1:L122)))</f>
        <v>0.26021432999999999</v>
      </c>
      <c r="M126" s="24" cm="1">
        <f t="array" ref="M126">MAX(_xlfn._xlws.FILTER(M1:M122, ISNUMBER(M1:M122)))</f>
        <v>0.20911443999999998</v>
      </c>
      <c r="N126" s="24" cm="1">
        <f t="array" ref="N126">MAX(_xlfn._xlws.FILTER(N1:N122, ISNUMBER(N1:N122)))</f>
        <v>0.25563216999999999</v>
      </c>
    </row>
    <row r="127" spans="1:26" x14ac:dyDescent="0.35">
      <c r="A127" t="s">
        <v>85</v>
      </c>
      <c r="B127" s="24" cm="1">
        <f t="array" ref="B127">MIN(_xlfn._xlws.FILTER(B2:B122, ISNUMBER(B2:B122)))</f>
        <v>-0.27050179000000002</v>
      </c>
      <c r="C127" s="24" cm="1">
        <f t="array" ref="C127">MIN(_xlfn._xlws.FILTER(C2:C122, ISNUMBER(C2:C122)))</f>
        <v>-0.37180042000000002</v>
      </c>
      <c r="D127" s="24" cm="1">
        <f t="array" ref="D127">MIN(_xlfn._xlws.FILTER(D2:D122, ISNUMBER(D2:D122)))</f>
        <v>-0.34857886999999999</v>
      </c>
      <c r="E127" s="24" cm="1">
        <f t="array" ref="E127">MIN(_xlfn._xlws.FILTER(E2:E122, ISNUMBER(E2:E122)))</f>
        <v>-0.36465400000000003</v>
      </c>
      <c r="F127" s="24" cm="1">
        <f t="array" ref="F127">MIN(_xlfn._xlws.FILTER(F2:F122, ISNUMBER(F2:F122)))</f>
        <v>-0.26056457999999999</v>
      </c>
      <c r="G127" s="24" cm="1">
        <f t="array" ref="G127">MIN(_xlfn._xlws.FILTER(G2:G122, ISNUMBER(G2:G122)))</f>
        <v>-0.25894992999999999</v>
      </c>
      <c r="H127" s="24" cm="1">
        <f t="array" ref="H127">MIN(_xlfn._xlws.FILTER(H2:H122, ISNUMBER(H2:H122)))</f>
        <v>-0.35783714000000005</v>
      </c>
      <c r="I127" s="24" cm="1">
        <f t="array" ref="I127">MIN(_xlfn._xlws.FILTER(I2:I122, ISNUMBER(I2:I122)))</f>
        <v>-0.27846914</v>
      </c>
      <c r="J127" s="24" cm="1">
        <f t="array" ref="J127">MIN(_xlfn._xlws.FILTER(J2:J122, ISNUMBER(J2:J122)))</f>
        <v>-0.28954380000000002</v>
      </c>
      <c r="K127" s="24" cm="1">
        <f t="array" ref="K127">MIN(_xlfn._xlws.FILTER(K2:K122, ISNUMBER(K2:K122)))</f>
        <v>-0.36079290000000003</v>
      </c>
      <c r="L127" s="24" cm="1">
        <f t="array" ref="L127">MIN(_xlfn._xlws.FILTER(L2:L122, ISNUMBER(L2:L122)))</f>
        <v>-0.33072926000000002</v>
      </c>
      <c r="M127" s="24" cm="1">
        <f t="array" ref="M127">MIN(_xlfn._xlws.FILTER(M2:M122, ISNUMBER(M2:M122)))</f>
        <v>-0.32753019999999999</v>
      </c>
      <c r="N127" s="24" cm="1">
        <f t="array" ref="N127">MIN(_xlfn._xlws.FILTER(N2:N122, ISNUMBER(N2:N122)))</f>
        <v>-0.39579160000000002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35">
      <c r="A129" t="s">
        <v>87</v>
      </c>
      <c r="B129">
        <f>COUNTIF(B2:B122, "&lt;"&amp;Assumption!$E$50)</f>
        <v>12</v>
      </c>
      <c r="C129">
        <f>COUNTIF(C2:C122, "&lt;"&amp;Assumption!$E$50)</f>
        <v>15</v>
      </c>
      <c r="D129">
        <f>COUNTIF(D2:D122, "&lt;"&amp;Assumption!$E$50)</f>
        <v>14</v>
      </c>
      <c r="E129">
        <f>COUNTIF(E2:E122, "&lt;"&amp;Assumption!$E$50)</f>
        <v>18</v>
      </c>
      <c r="F129">
        <f>COUNTIF(F2:F122, "&lt;"&amp;Assumption!$E$50)</f>
        <v>12</v>
      </c>
      <c r="G129">
        <f>COUNTIF(G2:G122, "&lt;"&amp;Assumption!$E$50)</f>
        <v>8</v>
      </c>
      <c r="H129">
        <f>COUNTIF(H2:H122, "&lt;"&amp;Assumption!$E$50)</f>
        <v>12</v>
      </c>
      <c r="I129">
        <f>COUNTIF(I2:I122, "&lt;"&amp;Assumption!$E$50)</f>
        <v>9</v>
      </c>
      <c r="J129">
        <f>COUNTIF(J2:J122, "&lt;"&amp;Assumption!$E$50)</f>
        <v>7</v>
      </c>
      <c r="K129">
        <f>COUNTIF(K2:K122, "&lt;"&amp;Assumption!$E$50)</f>
        <v>16</v>
      </c>
      <c r="L129">
        <f>COUNTIF(L2:L122, "&lt;"&amp;Assumption!$E$50)</f>
        <v>14</v>
      </c>
      <c r="M129">
        <f>COUNTIF(M2:M122, "&lt;"&amp;Assumption!$E$50)</f>
        <v>14</v>
      </c>
      <c r="N129">
        <f>COUNTIF(N2:N122, "&lt;"&amp;Assumption!$E$50)</f>
        <v>20</v>
      </c>
    </row>
    <row r="130" spans="1:17" x14ac:dyDescent="0.3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88</v>
      </c>
      <c r="B132" s="9">
        <f t="shared" ref="B132:J132" si="2">B129/B130</f>
        <v>9.9173553719008267E-2</v>
      </c>
      <c r="C132" s="9">
        <f t="shared" si="2"/>
        <v>0.12396694214876033</v>
      </c>
      <c r="D132" s="9">
        <f t="shared" si="2"/>
        <v>0.11570247933884298</v>
      </c>
      <c r="E132" s="9">
        <f t="shared" si="2"/>
        <v>0.1487603305785124</v>
      </c>
      <c r="F132" s="9">
        <f t="shared" si="2"/>
        <v>9.9173553719008267E-2</v>
      </c>
      <c r="G132" s="9">
        <f t="shared" si="2"/>
        <v>6.6115702479338845E-2</v>
      </c>
      <c r="H132" s="9">
        <f t="shared" si="2"/>
        <v>9.9173553719008267E-2</v>
      </c>
      <c r="I132" s="9">
        <f t="shared" si="2"/>
        <v>7.43801652892562E-2</v>
      </c>
      <c r="J132" s="9">
        <f t="shared" si="2"/>
        <v>5.7851239669421489E-2</v>
      </c>
      <c r="K132" s="9">
        <f t="shared" ref="K132:N132" si="3">K129/K130</f>
        <v>0.13223140495867769</v>
      </c>
      <c r="L132" s="9">
        <f t="shared" si="3"/>
        <v>0.11570247933884298</v>
      </c>
      <c r="M132" s="9">
        <f t="shared" si="3"/>
        <v>0.11570247933884298</v>
      </c>
      <c r="N132" s="9">
        <f t="shared" si="3"/>
        <v>0.16528925619834711</v>
      </c>
      <c r="O132" s="9"/>
      <c r="P132" s="9"/>
      <c r="Q132" s="9"/>
    </row>
    <row r="134" spans="1:17" x14ac:dyDescent="0.35">
      <c r="A134" t="s">
        <v>95</v>
      </c>
      <c r="B134" s="9" cm="1">
        <f t="array" ref="B134">_xlfn.PERCENTRANK.EXC(_xlfn._xlws.FILTER(B2:B122, ISNUMBER(B2:B122)),B122)</f>
        <v>0.70399999999999996</v>
      </c>
      <c r="C134" s="9" cm="1">
        <f t="array" ref="C134">_xlfn.PERCENTRANK.EXC(_xlfn._xlws.FILTER(C2:C122, ISNUMBER(C2:C122)),C122)</f>
        <v>0.22900000000000001</v>
      </c>
      <c r="D134" s="9" cm="1">
        <f t="array" ref="D134">_xlfn.PERCENTRANK.EXC(_xlfn._xlws.FILTER(D2:D122, ISNUMBER(D2:D122)),D122)</f>
        <v>0.45900000000000002</v>
      </c>
      <c r="E134" s="9" cm="1">
        <f t="array" ref="E134">_xlfn.PERCENTRANK.EXC(_xlfn._xlws.FILTER(E2:E122, ISNUMBER(E2:E122)),E122)</f>
        <v>0.38500000000000001</v>
      </c>
      <c r="F134" s="9" cm="1">
        <f t="array" ref="F134">_xlfn.PERCENTRANK.EXC(_xlfn._xlws.FILTER(F2:F122, ISNUMBER(F2:F122)),F122)</f>
        <v>0.155</v>
      </c>
      <c r="G134" s="9" cm="1">
        <f t="array" ref="G134">_xlfn.PERCENTRANK.EXC(_xlfn._xlws.FILTER(G2:G122, ISNUMBER(G2:G122)),G122)</f>
        <v>0.66300000000000003</v>
      </c>
      <c r="H134" s="9" cm="1">
        <f t="array" ref="H134">_xlfn.PERCENTRANK.EXC(_xlfn._xlws.FILTER(H2:H122, ISNUMBER(H2:H122)),H122)</f>
        <v>0.59</v>
      </c>
      <c r="I134" s="9" cm="1">
        <f t="array" ref="I134">_xlfn.PERCENTRANK.EXC(_xlfn._xlws.FILTER(I2:I122, ISNUMBER(I2:I122)),I122)</f>
        <v>0.122</v>
      </c>
      <c r="J134" s="9" cm="1">
        <f t="array" ref="J134">_xlfn.PERCENTRANK.EXC(_xlfn._xlws.FILTER(J2:J122, ISNUMBER(J2:J122)),J122)</f>
        <v>0.17199999999999999</v>
      </c>
      <c r="K134" s="9" cm="1">
        <f t="array" ref="K134">_xlfn.PERCENTRANK.EXC(_xlfn._xlws.FILTER(K2:K122, ISNUMBER(K2:K122)),K122)</f>
        <v>0.38500000000000001</v>
      </c>
      <c r="L134" s="9" cm="1">
        <f t="array" ref="L134">_xlfn.PERCENTRANK.EXC(_xlfn._xlws.FILTER(L2:L122, ISNUMBER(L2:L122)),L122)</f>
        <v>0.13100000000000001</v>
      </c>
      <c r="M134" s="9" cm="1">
        <f t="array" ref="M134">_xlfn.PERCENTRANK.EXC(_xlfn._xlws.FILTER(M2:M122, ISNUMBER(M2:M122)),M122)</f>
        <v>0.27800000000000002</v>
      </c>
      <c r="N134" s="9" cm="1">
        <f t="array" ref="N134">_xlfn.PERCENTRANK.EXC(_xlfn._xlws.FILTER(N2:N122, ISNUMBER(N2:N122)),N122)</f>
        <v>0.33600000000000002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0.50800000000000001</v>
      </c>
      <c r="C136" s="9" cm="1">
        <f t="array" ref="C136">_xlfn.PERCENTRANK.EXC(_xlfn._xlws.FILTER(C4:C125, ISNUMBER(C4:C125)),C113)</f>
        <v>0.63300000000000001</v>
      </c>
      <c r="D136" s="9" cm="1">
        <f t="array" ref="D136">_xlfn.PERCENTRANK.EXC(_xlfn._xlws.FILTER(D4:D125, ISNUMBER(D4:D125)),D113)</f>
        <v>0.53300000000000003</v>
      </c>
      <c r="E136" s="9" cm="1">
        <f t="array" ref="E136">_xlfn.PERCENTRANK.EXC(_xlfn._xlws.FILTER(E4:E125, ISNUMBER(E4:E125)),E113)</f>
        <v>0.89100000000000001</v>
      </c>
      <c r="F136" s="9" cm="1">
        <f t="array" ref="F136">_xlfn.PERCENTRANK.EXC(_xlfn._xlws.FILTER(F4:F125, ISNUMBER(F4:F125)),F113)</f>
        <v>0.68300000000000005</v>
      </c>
      <c r="G136" s="9" cm="1">
        <f t="array" ref="G136">_xlfn.PERCENTRANK.EXC(_xlfn._xlws.FILTER(G4:G125, ISNUMBER(G4:G125)),G113)</f>
        <v>0.4</v>
      </c>
      <c r="H136" s="9" cm="1">
        <f t="array" ref="H136">_xlfn.PERCENTRANK.EXC(_xlfn._xlws.FILTER(H4:H125, ISNUMBER(H4:H125)),H113)</f>
        <v>0.34100000000000003</v>
      </c>
      <c r="I136" s="9" cm="1">
        <f t="array" ref="I136">_xlfn.PERCENTRANK.EXC(_xlfn._xlws.FILTER(I4:I125, ISNUMBER(I4:I125)),I113)</f>
        <v>0.70799999999999996</v>
      </c>
      <c r="J136" s="9" cm="1">
        <f t="array" ref="J136">_xlfn.PERCENTRANK.EXC(_xlfn._xlws.FILTER(J4:J125, ISNUMBER(J4:J125)),J113)</f>
        <v>0.72499999999999998</v>
      </c>
      <c r="K136" s="9" cm="1">
        <f t="array" ref="K136">_xlfn.PERCENTRANK.EXC(_xlfn._xlws.FILTER(K4:K125, ISNUMBER(K4:K125)),K113)</f>
        <v>0.85</v>
      </c>
      <c r="L136" s="9" cm="1">
        <f t="array" ref="L136">_xlfn.PERCENTRANK.EXC(_xlfn._xlws.FILTER(L4:L125, ISNUMBER(L4:L125)),L113)</f>
        <v>0.92500000000000004</v>
      </c>
      <c r="M136" s="9" cm="1">
        <f t="array" ref="M136">_xlfn.PERCENTRANK.EXC(_xlfn._xlws.FILTER(M4:M125, ISNUMBER(M4:M125)),M113)</f>
        <v>0.66600000000000004</v>
      </c>
      <c r="N136" s="9" cm="1">
        <f t="array" ref="N136">_xlfn.PERCENTRANK.EXC(_xlfn._xlws.FILTER(N4:N125, ISNUMBER(N4:N125)),N113)</f>
        <v>0.80800000000000005</v>
      </c>
    </row>
    <row r="138" spans="1:17" x14ac:dyDescent="0.35">
      <c r="A138" t="s">
        <v>829</v>
      </c>
      <c r="B138">
        <f t="shared" ref="B138:J138" si="4">STDEV(B40:B122)</f>
        <v>5.8081220347975693E-2</v>
      </c>
      <c r="C138">
        <f t="shared" si="4"/>
        <v>6.5252744286929523E-2</v>
      </c>
      <c r="D138">
        <f t="shared" si="4"/>
        <v>6.1161763452406155E-2</v>
      </c>
      <c r="E138">
        <f t="shared" si="4"/>
        <v>7.1862163294000386E-2</v>
      </c>
      <c r="F138">
        <f t="shared" si="4"/>
        <v>5.3034637928994405E-2</v>
      </c>
      <c r="G138">
        <f t="shared" si="4"/>
        <v>5.2646497780364489E-2</v>
      </c>
      <c r="H138">
        <f t="shared" si="4"/>
        <v>6.1475699416828407E-2</v>
      </c>
      <c r="I138">
        <f t="shared" si="4"/>
        <v>6.5446429016907448E-2</v>
      </c>
      <c r="J138">
        <f t="shared" si="4"/>
        <v>5.3613157555382471E-2</v>
      </c>
      <c r="K138">
        <f t="shared" ref="K138:N138" si="5">STDEV(K40:K122)</f>
        <v>6.7997182150002541E-2</v>
      </c>
      <c r="L138">
        <f t="shared" si="5"/>
        <v>7.2788474604927211E-2</v>
      </c>
      <c r="M138">
        <f t="shared" si="5"/>
        <v>6.9685190451002951E-2</v>
      </c>
      <c r="N138">
        <f t="shared" si="5"/>
        <v>7.8667325220508316E-2</v>
      </c>
    </row>
    <row r="139" spans="1:17" x14ac:dyDescent="0.35">
      <c r="A139" t="s">
        <v>830</v>
      </c>
      <c r="B139" s="74">
        <f t="shared" ref="B139:J139" si="6">B138*SQRT(12)</f>
        <v>0.20119924921659441</v>
      </c>
      <c r="C139" s="74">
        <f t="shared" si="6"/>
        <v>0.22604213687652344</v>
      </c>
      <c r="D139" s="74">
        <f t="shared" si="6"/>
        <v>0.21187056356015344</v>
      </c>
      <c r="E139" s="74">
        <f t="shared" si="6"/>
        <v>0.24893783593403979</v>
      </c>
      <c r="F139" s="74">
        <f t="shared" si="6"/>
        <v>0.18371737490807552</v>
      </c>
      <c r="G139" s="74">
        <f t="shared" si="6"/>
        <v>0.18237281799230684</v>
      </c>
      <c r="H139" s="74">
        <f t="shared" si="6"/>
        <v>0.21295806964155839</v>
      </c>
      <c r="I139" s="74">
        <f t="shared" si="6"/>
        <v>0.22671308046246749</v>
      </c>
      <c r="J139" s="74">
        <f t="shared" si="6"/>
        <v>0.18572142568023531</v>
      </c>
      <c r="K139" s="74">
        <f t="shared" ref="K139:N139" si="7">K138*SQRT(12)</f>
        <v>0.23554914851063988</v>
      </c>
      <c r="L139" s="74">
        <f t="shared" si="7"/>
        <v>0.25214667244234179</v>
      </c>
      <c r="M139" s="74">
        <f t="shared" si="7"/>
        <v>0.24139658079250134</v>
      </c>
      <c r="N139" s="74">
        <f t="shared" si="7"/>
        <v>0.27251160835492988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11" max="11" width="8.81640625" customWidth="1"/>
  </cols>
  <sheetData>
    <row r="1" spans="1:14" x14ac:dyDescent="0.3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865</v>
      </c>
      <c r="L1" s="47" t="s">
        <v>867</v>
      </c>
      <c r="M1" s="47" t="s">
        <v>864</v>
      </c>
      <c r="N1" s="47" t="s">
        <v>866</v>
      </c>
    </row>
    <row r="2" spans="1:14" x14ac:dyDescent="0.35">
      <c r="A2" s="2" cm="1">
        <f t="array" ref="A2:A122">_xll.FDS(B1,"JULIAN(P_PRICE_RETURNS_PR('52W',2,-10AY,0,AM).dates)")</f>
        <v>41866</v>
      </c>
      <c r="B2" s="7" cm="1">
        <f t="array" ref="B2:B122">_xll.FDS(B1,"P_PRICE_RETURNS_PR('52W',2,-10AY,0,AM)")</f>
        <v>19.134509999999999</v>
      </c>
      <c r="C2" s="7" cm="1">
        <f t="array" ref="C2:C122">_xll.FDS(C1,"P_PRICE_RETURNS_PR('52W',2,-10AY,0,AM)")</f>
        <v>15.659559</v>
      </c>
      <c r="D2" s="7" cm="1">
        <f t="array" ref="D2:D122">_xll.FDS(D1,"P_PRICE_RETURNS_PR('52W',2,-10AY,0,AM)")</f>
        <v>17.024124</v>
      </c>
      <c r="E2" s="7" cm="1">
        <f t="array" ref="E2:E122">_xll.FDS(E1,"P_PRICE_RETURNS_PR('52W',2,-10AY,0,AM)")</f>
        <v>8.6051939999999991</v>
      </c>
      <c r="F2" s="7" cm="1">
        <f t="array" ref="F2:F122">_xll.FDS(F1,"P_PRICE_RETURNS_PR('52W',2,-10AY,0,AM)")</f>
        <v>6.9691299999999998</v>
      </c>
      <c r="G2" s="7" cm="1">
        <f t="array" ref="G2:G122">_xll.FDS(G1,"P_PRICE_RETURNS_PR('52W',2,-10AY,0,AM)")</f>
        <v>11.388707</v>
      </c>
      <c r="H2" s="7" cm="1">
        <f t="array" ref="H2:H122">_xll.FDS(H1,"P_PRICE_RETURNS_PR('52W',2,-10AY,0,AM)")</f>
        <v>13.308619999999999</v>
      </c>
      <c r="I2" s="7" cm="1">
        <f t="array" ref="I2:I122">_xll.FDS(I1,"P_PRICE_RETURNS_PR('52W',2,-10AY,0,AM)")</f>
        <v>30.973099999999999</v>
      </c>
      <c r="J2" s="7" cm="1">
        <f t="array" ref="J2:J122">_xll.FDS(J1,"P_PRICE_RETURNS_PR('52W',2,-10AY,0,AM)")</f>
        <v>19.94698</v>
      </c>
      <c r="K2" s="158" cm="1">
        <f t="array" ref="K2:K122">_xll.FDS(K1,"P_PRICE_RETURNS_PR('52W',2,-10AY,0,AM)")</f>
        <v>5.5227636999999996</v>
      </c>
      <c r="L2" s="158" cm="1">
        <f t="array" ref="L2:L122">_xll.FDS(L1,"P_PRICE_RETURNS_PR('52W',2,-10AY,0,AM)")</f>
        <v>3.9951444</v>
      </c>
      <c r="M2" s="158" cm="1">
        <f t="array" ref="M2:M122">_xll.FDS(M1,"P_PRICE_RETURNS_PR('52W',2,-10AY,0,AM)")</f>
        <v>5.2990794000000001</v>
      </c>
      <c r="N2" s="158" cm="1">
        <f t="array" ref="N2:N122">_xll.FDS(N1,"P_PRICE_RETURNS_PR('52W',2,-10AY,0,AM)")</f>
        <v>14.121819</v>
      </c>
    </row>
    <row r="3" spans="1:14" x14ac:dyDescent="0.35">
      <c r="A3" s="2">
        <v>41898</v>
      </c>
      <c r="B3" s="40">
        <v>11.780416499999999</v>
      </c>
      <c r="C3" s="40">
        <v>6.3875317999999996</v>
      </c>
      <c r="D3" s="40">
        <v>17.144120000000001</v>
      </c>
      <c r="E3" s="40">
        <v>7.9964757000000004</v>
      </c>
      <c r="F3" s="40">
        <v>2.0327926000000001</v>
      </c>
      <c r="G3" s="40">
        <v>12.102985</v>
      </c>
      <c r="H3" s="40">
        <v>7.7638030000000002</v>
      </c>
      <c r="I3" s="40">
        <v>29.6188</v>
      </c>
      <c r="J3" s="40">
        <v>20.028984000000001</v>
      </c>
      <c r="K3" s="47">
        <v>6.4591409999999998</v>
      </c>
      <c r="L3" s="47">
        <v>5.7289719999999997</v>
      </c>
      <c r="M3" s="47">
        <v>1.2225269999999999</v>
      </c>
      <c r="N3" s="47">
        <v>17.956913</v>
      </c>
    </row>
    <row r="4" spans="1:14" x14ac:dyDescent="0.35">
      <c r="A4" s="2">
        <v>41928</v>
      </c>
      <c r="B4" s="40">
        <v>1.8572926999999999</v>
      </c>
      <c r="C4" s="40">
        <v>-4.774851</v>
      </c>
      <c r="D4" s="40">
        <v>2.3330212000000001</v>
      </c>
      <c r="E4" s="40">
        <v>-9.0327920000000006</v>
      </c>
      <c r="F4" s="40">
        <v>-7.7151895000000001</v>
      </c>
      <c r="G4" s="40">
        <v>-0.54529905000000001</v>
      </c>
      <c r="H4" s="40">
        <v>-2.8959990000000002</v>
      </c>
      <c r="I4" s="40">
        <v>15.878189000000001</v>
      </c>
      <c r="J4" s="40">
        <v>10.35552</v>
      </c>
      <c r="K4" s="47">
        <v>-10.063611999999999</v>
      </c>
      <c r="L4" s="47">
        <v>-6.7801119999999999</v>
      </c>
      <c r="M4" s="47">
        <v>-7.6921280000000003</v>
      </c>
      <c r="N4" s="47">
        <v>-8.8493940000000002</v>
      </c>
    </row>
    <row r="5" spans="1:14" x14ac:dyDescent="0.35">
      <c r="A5" s="2">
        <v>41957</v>
      </c>
      <c r="B5" s="40">
        <v>6.8191766999999999</v>
      </c>
      <c r="C5" s="40">
        <v>-0.45861005999999999</v>
      </c>
      <c r="D5" s="40">
        <v>5.0327419999999998</v>
      </c>
      <c r="E5" s="40">
        <v>-6.7468405000000002</v>
      </c>
      <c r="F5" s="40">
        <v>-0.8460164</v>
      </c>
      <c r="G5" s="40">
        <v>3.8841009999999998</v>
      </c>
      <c r="H5" s="40">
        <v>-0.46468377</v>
      </c>
      <c r="I5" s="40">
        <v>24.989664000000001</v>
      </c>
      <c r="J5" s="40">
        <v>16.142060000000001</v>
      </c>
      <c r="K5" s="47">
        <v>-5.8820604999999997</v>
      </c>
      <c r="L5" s="47">
        <v>-1.9457161000000001</v>
      </c>
      <c r="M5" s="47">
        <v>1.2818813</v>
      </c>
      <c r="N5" s="47">
        <v>-3.4235536999999998</v>
      </c>
    </row>
    <row r="6" spans="1:14" x14ac:dyDescent="0.35">
      <c r="A6" s="2">
        <v>41989</v>
      </c>
      <c r="B6" s="40">
        <v>9.2233180000000008</v>
      </c>
      <c r="C6" s="40">
        <v>-4.1226269999999996</v>
      </c>
      <c r="D6" s="40">
        <v>-1.6264080999999999</v>
      </c>
      <c r="E6" s="40">
        <v>-7.3830422999999996</v>
      </c>
      <c r="F6" s="40">
        <v>-3.5044252999999999</v>
      </c>
      <c r="G6" s="40">
        <v>3.2714962999999999</v>
      </c>
      <c r="H6" s="40">
        <v>-5.3910312999999999</v>
      </c>
      <c r="I6" s="40">
        <v>18.909513</v>
      </c>
      <c r="J6" s="40">
        <v>12.576378</v>
      </c>
      <c r="K6" s="47">
        <v>-8.2058909999999994</v>
      </c>
      <c r="L6" s="47">
        <v>-1.8549085000000001</v>
      </c>
      <c r="M6" s="47">
        <v>-2.4562240000000002</v>
      </c>
      <c r="N6" s="47">
        <v>-5.7024717000000003</v>
      </c>
    </row>
    <row r="7" spans="1:14" x14ac:dyDescent="0.35">
      <c r="A7" s="2">
        <v>42020</v>
      </c>
      <c r="B7" s="40">
        <v>7.8964590000000001</v>
      </c>
      <c r="C7" s="40">
        <v>-1.919049</v>
      </c>
      <c r="D7" s="40">
        <v>-3.1264842000000002</v>
      </c>
      <c r="E7" s="40">
        <v>-10.803318000000001</v>
      </c>
      <c r="F7" s="40">
        <v>-4.4525623000000003</v>
      </c>
      <c r="G7" s="40">
        <v>0.52561760000000002</v>
      </c>
      <c r="H7" s="40">
        <v>-8.8002680000000009</v>
      </c>
      <c r="I7" s="40">
        <v>15.821398</v>
      </c>
      <c r="J7" s="40">
        <v>11.466682</v>
      </c>
      <c r="K7" s="47">
        <v>-10.725754999999999</v>
      </c>
      <c r="L7" s="47">
        <v>-7.3286294999999999</v>
      </c>
      <c r="M7" s="47">
        <v>-10.660702000000001</v>
      </c>
      <c r="N7" s="47">
        <v>-15.640985499999999</v>
      </c>
    </row>
    <row r="8" spans="1:14" x14ac:dyDescent="0.35">
      <c r="A8" s="2">
        <v>42048</v>
      </c>
      <c r="B8" s="40">
        <v>7.0205570000000002</v>
      </c>
      <c r="C8" s="40">
        <v>-0.50663950000000002</v>
      </c>
      <c r="D8" s="40">
        <v>-0.90208650000000001</v>
      </c>
      <c r="E8" s="40">
        <v>-5.3738475000000001</v>
      </c>
      <c r="F8" s="40">
        <v>5.7072279999999997</v>
      </c>
      <c r="G8" s="40">
        <v>0.49161909999999998</v>
      </c>
      <c r="H8" s="40">
        <v>-2.3568392</v>
      </c>
      <c r="I8" s="40">
        <v>21.104717000000001</v>
      </c>
      <c r="J8" s="40">
        <v>16.865729999999999</v>
      </c>
      <c r="K8" s="47">
        <v>-5.0176379999999998</v>
      </c>
      <c r="L8" s="47">
        <v>-6.0522555999999998E-2</v>
      </c>
      <c r="M8" s="47">
        <v>-2.3532449999999998</v>
      </c>
      <c r="N8" s="47">
        <v>-10.152167</v>
      </c>
    </row>
    <row r="9" spans="1:14" x14ac:dyDescent="0.35">
      <c r="A9" s="2">
        <v>42079</v>
      </c>
      <c r="B9" s="40">
        <v>2.1357536000000001</v>
      </c>
      <c r="C9" s="40">
        <v>-3.0422807000000001</v>
      </c>
      <c r="D9" s="40">
        <v>-5.6856513</v>
      </c>
      <c r="E9" s="40">
        <v>1.9491791999999999</v>
      </c>
      <c r="F9" s="40">
        <v>14.945626000000001</v>
      </c>
      <c r="G9" s="40">
        <v>2.4175644E-2</v>
      </c>
      <c r="H9" s="40">
        <v>-4.4285955000000001</v>
      </c>
      <c r="I9" s="40">
        <v>21.67343</v>
      </c>
      <c r="J9" s="40">
        <v>15.158975999999999</v>
      </c>
      <c r="K9" s="47">
        <v>-5.7718572999999997</v>
      </c>
      <c r="L9" s="47">
        <v>4.3142440000000004</v>
      </c>
      <c r="M9" s="47">
        <v>-2.5623798</v>
      </c>
      <c r="N9" s="47">
        <v>-11.826343</v>
      </c>
    </row>
    <row r="10" spans="1:14" x14ac:dyDescent="0.35">
      <c r="A10" s="2">
        <v>42110</v>
      </c>
      <c r="B10" s="40">
        <v>2.665019</v>
      </c>
      <c r="C10" s="40">
        <v>-5.7278513999999996</v>
      </c>
      <c r="D10" s="40">
        <v>-0.16099810000000001</v>
      </c>
      <c r="E10" s="40">
        <v>-0.24162531000000001</v>
      </c>
      <c r="F10" s="40">
        <v>18.353224000000001</v>
      </c>
      <c r="G10" s="40">
        <v>4.2659880000000001</v>
      </c>
      <c r="H10" s="40">
        <v>-1.9737601</v>
      </c>
      <c r="I10" s="40">
        <v>26.346755999999999</v>
      </c>
      <c r="J10" s="40">
        <v>15.232479</v>
      </c>
      <c r="K10" s="47">
        <v>-5.4721475000000002</v>
      </c>
      <c r="L10" s="47">
        <v>4.4298289999999998</v>
      </c>
      <c r="M10" s="47">
        <v>-6.6536664999999995E-2</v>
      </c>
      <c r="N10" s="47">
        <v>-13.121301000000001</v>
      </c>
    </row>
    <row r="11" spans="1:14" x14ac:dyDescent="0.35">
      <c r="A11" s="2">
        <v>42139</v>
      </c>
      <c r="B11" s="40">
        <v>-3.2295883000000001</v>
      </c>
      <c r="C11" s="40">
        <v>-6.8668604000000002</v>
      </c>
      <c r="D11" s="40">
        <v>-3.2829225000000002</v>
      </c>
      <c r="E11" s="40">
        <v>-1.1940658</v>
      </c>
      <c r="F11" s="40">
        <v>19.566821999999998</v>
      </c>
      <c r="G11" s="40">
        <v>4.1538953999999997</v>
      </c>
      <c r="H11" s="40">
        <v>-2.4061499999999998</v>
      </c>
      <c r="I11" s="40">
        <v>27.155125000000002</v>
      </c>
      <c r="J11" s="40">
        <v>15.574635000000001</v>
      </c>
      <c r="K11" s="47">
        <v>-3.3461332000000001</v>
      </c>
      <c r="L11" s="47">
        <v>9.2935920000000003</v>
      </c>
      <c r="M11" s="47">
        <v>-3.2893180000000002</v>
      </c>
      <c r="N11" s="47">
        <v>-1.4556347999999999</v>
      </c>
    </row>
    <row r="12" spans="1:14" x14ac:dyDescent="0.35">
      <c r="A12" s="2">
        <v>42171</v>
      </c>
      <c r="B12" s="40">
        <v>-7.8624305999999997</v>
      </c>
      <c r="C12" s="40">
        <v>-12.115002</v>
      </c>
      <c r="D12" s="40">
        <v>-10.871637</v>
      </c>
      <c r="E12" s="40">
        <v>-7.7230572999999998</v>
      </c>
      <c r="F12" s="40">
        <v>10.779655</v>
      </c>
      <c r="G12" s="40">
        <v>0.52082539999999999</v>
      </c>
      <c r="H12" s="40">
        <v>-6.519514</v>
      </c>
      <c r="I12" s="40">
        <v>19.056225000000001</v>
      </c>
      <c r="J12" s="40">
        <v>10.326886</v>
      </c>
      <c r="K12" s="47">
        <v>-8.6348059999999993</v>
      </c>
      <c r="L12" s="47">
        <v>2.6959658000000002</v>
      </c>
      <c r="M12" s="47">
        <v>-3.5314142999999998</v>
      </c>
      <c r="N12" s="47">
        <v>-13.42367</v>
      </c>
    </row>
    <row r="13" spans="1:14" x14ac:dyDescent="0.35">
      <c r="A13" s="2">
        <v>42201</v>
      </c>
      <c r="B13" s="40">
        <v>-14.092582999999999</v>
      </c>
      <c r="C13" s="40">
        <v>-15.978736</v>
      </c>
      <c r="D13" s="40">
        <v>-17.517900000000001</v>
      </c>
      <c r="E13" s="40">
        <v>-4.6743750000000004</v>
      </c>
      <c r="F13" s="40">
        <v>7.8412414000000004</v>
      </c>
      <c r="G13" s="40">
        <v>3.1370640000000001</v>
      </c>
      <c r="H13" s="40">
        <v>-6.9465279999999998</v>
      </c>
      <c r="I13" s="40">
        <v>17.990196000000001</v>
      </c>
      <c r="J13" s="40">
        <v>9.3488220000000002</v>
      </c>
      <c r="K13" s="47">
        <v>-3.4037054000000002</v>
      </c>
      <c r="L13" s="47">
        <v>8.3797929999999994</v>
      </c>
      <c r="M13" s="47">
        <v>-2.3263335000000001</v>
      </c>
      <c r="N13" s="47">
        <v>-6.7532063000000004</v>
      </c>
    </row>
    <row r="14" spans="1:14" x14ac:dyDescent="0.35">
      <c r="A14" s="2">
        <v>42230</v>
      </c>
      <c r="B14" s="40">
        <v>-12.296224</v>
      </c>
      <c r="C14" s="40">
        <v>-21.133047000000001</v>
      </c>
      <c r="D14" s="40">
        <v>-19.750845000000002</v>
      </c>
      <c r="E14" s="40">
        <v>-0.67080854999999995</v>
      </c>
      <c r="F14" s="40">
        <v>9.3020800000000001</v>
      </c>
      <c r="G14" s="40">
        <v>3.4372568000000001</v>
      </c>
      <c r="H14" s="40">
        <v>-5.663043</v>
      </c>
      <c r="I14" s="40">
        <v>15.233110999999999</v>
      </c>
      <c r="J14" s="40">
        <v>9.0776439999999994</v>
      </c>
      <c r="K14" s="47">
        <v>1.1137843000000001</v>
      </c>
      <c r="L14" s="47">
        <v>9.5592500000000005</v>
      </c>
      <c r="M14" s="47">
        <v>-1.5897631999999999</v>
      </c>
      <c r="N14" s="47">
        <v>3.3969282999999999</v>
      </c>
    </row>
    <row r="15" spans="1:14" x14ac:dyDescent="0.35">
      <c r="A15" s="2">
        <v>42263</v>
      </c>
      <c r="B15" s="40">
        <v>-14.273113</v>
      </c>
      <c r="C15" s="40">
        <v>-22.680658000000001</v>
      </c>
      <c r="D15" s="40">
        <v>-24.101513000000001</v>
      </c>
      <c r="E15" s="40">
        <v>-7.0456979999999998</v>
      </c>
      <c r="F15" s="40">
        <v>1.7802</v>
      </c>
      <c r="G15" s="40">
        <v>-2.0127773000000002</v>
      </c>
      <c r="H15" s="40">
        <v>-10.823995</v>
      </c>
      <c r="I15" s="40">
        <v>8.9140414999999997</v>
      </c>
      <c r="J15" s="40">
        <v>1.8101692</v>
      </c>
      <c r="K15" s="47">
        <v>-6.0601354000000001</v>
      </c>
      <c r="L15" s="47">
        <v>0.25088787000000001</v>
      </c>
      <c r="M15" s="47">
        <v>-4.4551610000000004</v>
      </c>
      <c r="N15" s="47">
        <v>-4.6592770000000003</v>
      </c>
    </row>
    <row r="16" spans="1:14" x14ac:dyDescent="0.35">
      <c r="A16" s="2">
        <v>42293</v>
      </c>
      <c r="B16" s="40">
        <v>-2.4872540999999999</v>
      </c>
      <c r="C16" s="40">
        <v>-13.66046</v>
      </c>
      <c r="D16" s="40">
        <v>-11.991156</v>
      </c>
      <c r="E16" s="40">
        <v>4.6057342999999999</v>
      </c>
      <c r="F16" s="40">
        <v>13.350034000000001</v>
      </c>
      <c r="G16" s="40">
        <v>9.4003680000000003</v>
      </c>
      <c r="H16" s="40">
        <v>1.6426563000000001</v>
      </c>
      <c r="I16" s="40">
        <v>19.064830000000001</v>
      </c>
      <c r="J16" s="40">
        <v>11.335730999999999</v>
      </c>
      <c r="K16" s="47">
        <v>10.109425</v>
      </c>
      <c r="L16" s="47">
        <v>14.191604</v>
      </c>
      <c r="M16" s="47">
        <v>4.5543670000000001</v>
      </c>
      <c r="N16" s="47">
        <v>13.138235</v>
      </c>
    </row>
    <row r="17" spans="1:14" x14ac:dyDescent="0.35">
      <c r="A17" s="2">
        <v>42324</v>
      </c>
      <c r="B17" s="40">
        <v>-10.860741000000001</v>
      </c>
      <c r="C17" s="40">
        <v>-22.693812999999999</v>
      </c>
      <c r="D17" s="40">
        <v>-22.401827000000001</v>
      </c>
      <c r="E17" s="40">
        <v>-0.75879693000000004</v>
      </c>
      <c r="F17" s="40">
        <v>7.1084740000000002</v>
      </c>
      <c r="G17" s="40">
        <v>-2.8848289999999999</v>
      </c>
      <c r="H17" s="40">
        <v>-7.0772649999999997</v>
      </c>
      <c r="I17" s="40">
        <v>9.1118810000000003</v>
      </c>
      <c r="J17" s="40">
        <v>2.7137994999999999</v>
      </c>
      <c r="K17" s="47">
        <v>1.2995719999999999</v>
      </c>
      <c r="L17" s="47">
        <v>3.5325408</v>
      </c>
      <c r="M17" s="47">
        <v>-6.1238109999999999</v>
      </c>
      <c r="N17" s="47">
        <v>1.6073108</v>
      </c>
    </row>
    <row r="18" spans="1:14" x14ac:dyDescent="0.35">
      <c r="A18" s="2">
        <v>42354</v>
      </c>
      <c r="B18" s="40">
        <v>-3.2124519999999999</v>
      </c>
      <c r="C18" s="40">
        <v>-10.716742500000001</v>
      </c>
      <c r="D18" s="40">
        <v>-17.937159999999999</v>
      </c>
      <c r="E18" s="40">
        <v>-1.6445756</v>
      </c>
      <c r="F18" s="40">
        <v>12.157595000000001</v>
      </c>
      <c r="G18" s="40">
        <v>0.65137149999999999</v>
      </c>
      <c r="H18" s="40">
        <v>-4.1906299999999996</v>
      </c>
      <c r="I18" s="40">
        <v>15.236044</v>
      </c>
      <c r="J18" s="40">
        <v>7.2413920000000003</v>
      </c>
      <c r="K18" s="47">
        <v>4.1502832999999999</v>
      </c>
      <c r="L18" s="47">
        <v>4.2772410000000001</v>
      </c>
      <c r="M18" s="47">
        <v>-2.4608374</v>
      </c>
      <c r="N18" s="47">
        <v>4.9318432999999997</v>
      </c>
    </row>
    <row r="19" spans="1:14" x14ac:dyDescent="0.35">
      <c r="A19" s="2">
        <v>42384</v>
      </c>
      <c r="B19" s="40">
        <v>-11.685556</v>
      </c>
      <c r="C19" s="40">
        <v>-22.480297</v>
      </c>
      <c r="D19" s="40">
        <v>-27.594691999999998</v>
      </c>
      <c r="E19" s="40">
        <v>-11.127215</v>
      </c>
      <c r="F19" s="40">
        <v>0.65076350000000005</v>
      </c>
      <c r="G19" s="40">
        <v>-11.074763000000001</v>
      </c>
      <c r="H19" s="40">
        <v>-13.99728</v>
      </c>
      <c r="I19" s="40">
        <v>2.2286057000000001</v>
      </c>
      <c r="J19" s="40">
        <v>-3.6683620000000001</v>
      </c>
      <c r="K19" s="47">
        <v>-6.1715783999999996</v>
      </c>
      <c r="L19" s="47">
        <v>-3.3403575000000001</v>
      </c>
      <c r="M19" s="47">
        <v>-11.108625</v>
      </c>
      <c r="N19" s="47">
        <v>-2.0261049999999998</v>
      </c>
    </row>
    <row r="20" spans="1:14" x14ac:dyDescent="0.35">
      <c r="A20" s="2">
        <v>42416</v>
      </c>
      <c r="B20" s="40">
        <v>-8.3067659999999997</v>
      </c>
      <c r="C20" s="40">
        <v>-21.501785000000002</v>
      </c>
      <c r="D20" s="40">
        <v>-24.632899999999999</v>
      </c>
      <c r="E20" s="40">
        <v>-18.304925999999998</v>
      </c>
      <c r="F20" s="40">
        <v>-8.4376750000000005</v>
      </c>
      <c r="G20" s="40">
        <v>-10.932702000000001</v>
      </c>
      <c r="H20" s="40">
        <v>-18.442243999999999</v>
      </c>
      <c r="I20" s="40">
        <v>-5.2898826999999997</v>
      </c>
      <c r="J20" s="40">
        <v>-7.6508044999999996</v>
      </c>
      <c r="K20" s="47">
        <v>-12.596935</v>
      </c>
      <c r="L20" s="47">
        <v>-9.0296330000000005</v>
      </c>
      <c r="M20" s="47">
        <v>-16.264825999999999</v>
      </c>
      <c r="N20" s="47">
        <v>-19.843101999999998</v>
      </c>
    </row>
    <row r="21" spans="1:14" x14ac:dyDescent="0.35">
      <c r="A21" s="2">
        <v>42445</v>
      </c>
      <c r="B21" s="40">
        <v>0.43729543999999998</v>
      </c>
      <c r="C21" s="40">
        <v>-10.145033</v>
      </c>
      <c r="D21" s="40">
        <v>-10.809231</v>
      </c>
      <c r="E21" s="40">
        <v>-13.254631</v>
      </c>
      <c r="F21" s="40">
        <v>-7.4896693000000001</v>
      </c>
      <c r="G21" s="40">
        <v>-6.9224953999999999</v>
      </c>
      <c r="H21" s="40">
        <v>-10.217661</v>
      </c>
      <c r="I21" s="40">
        <v>1.8554090999999999</v>
      </c>
      <c r="J21" s="40">
        <v>-0.48308970000000001</v>
      </c>
      <c r="K21" s="47">
        <v>-3.5604656000000001</v>
      </c>
      <c r="L21" s="47">
        <v>-2.3133694999999999</v>
      </c>
      <c r="M21" s="47">
        <v>-8.8836969999999997</v>
      </c>
      <c r="N21" s="47">
        <v>-11.370206</v>
      </c>
    </row>
    <row r="22" spans="1:14" x14ac:dyDescent="0.35">
      <c r="A22" s="2">
        <v>42475</v>
      </c>
      <c r="B22" s="40">
        <v>6.0501100000000001</v>
      </c>
      <c r="C22" s="40">
        <v>-10.362321</v>
      </c>
      <c r="D22" s="40">
        <v>-14.714593000000001</v>
      </c>
      <c r="E22" s="40">
        <v>-13.544964999999999</v>
      </c>
      <c r="F22" s="40">
        <v>-8.2644350000000006</v>
      </c>
      <c r="G22" s="40">
        <v>-10.218698</v>
      </c>
      <c r="H22" s="40">
        <v>-12.320352</v>
      </c>
      <c r="I22" s="40">
        <v>3.714931</v>
      </c>
      <c r="J22" s="40">
        <v>0.86733099999999996</v>
      </c>
      <c r="K22" s="47">
        <v>-7.2928246999999997</v>
      </c>
      <c r="L22" s="47">
        <v>-3.1237482999999999</v>
      </c>
      <c r="M22" s="47">
        <v>-8.2898560000000003</v>
      </c>
      <c r="N22" s="47">
        <v>-18.545372</v>
      </c>
    </row>
    <row r="23" spans="1:14" x14ac:dyDescent="0.35">
      <c r="A23" s="2">
        <v>42506</v>
      </c>
      <c r="B23" s="40">
        <v>9.2820169999999997</v>
      </c>
      <c r="C23" s="40">
        <v>-12.441295999999999</v>
      </c>
      <c r="D23" s="40">
        <v>-13.501846</v>
      </c>
      <c r="E23" s="40">
        <v>-14.396596000000001</v>
      </c>
      <c r="F23" s="40">
        <v>-9.9352300000000007</v>
      </c>
      <c r="G23" s="40">
        <v>-13.973224999999999</v>
      </c>
      <c r="H23" s="40">
        <v>-17.030598000000001</v>
      </c>
      <c r="I23" s="40">
        <v>-1.4559865000000001</v>
      </c>
      <c r="J23" s="40">
        <v>-0.56789520000000004</v>
      </c>
      <c r="K23" s="47">
        <v>-11.488353999999999</v>
      </c>
      <c r="L23" s="47">
        <v>-9.3327639999999992</v>
      </c>
      <c r="M23" s="47">
        <v>-13.160729</v>
      </c>
      <c r="N23" s="47">
        <v>-23.813713</v>
      </c>
    </row>
    <row r="24" spans="1:14" x14ac:dyDescent="0.35">
      <c r="A24" s="2">
        <v>42537</v>
      </c>
      <c r="B24" s="40">
        <v>19.695388999999999</v>
      </c>
      <c r="C24" s="40">
        <v>-10.048419000000001</v>
      </c>
      <c r="D24" s="40">
        <v>-9.8430579999999992</v>
      </c>
      <c r="E24" s="40">
        <v>-12.783032</v>
      </c>
      <c r="F24" s="40">
        <v>-10.420835500000001</v>
      </c>
      <c r="G24" s="40">
        <v>-12.094372999999999</v>
      </c>
      <c r="H24" s="40">
        <v>-16.664397999999998</v>
      </c>
      <c r="I24" s="40">
        <v>0.38404464999999999</v>
      </c>
      <c r="J24" s="40">
        <v>1.2403369</v>
      </c>
      <c r="K24" s="47">
        <v>-10.552663000000001</v>
      </c>
      <c r="L24" s="47">
        <v>-9.0833899999999996</v>
      </c>
      <c r="M24" s="47">
        <v>-15.527523</v>
      </c>
      <c r="N24" s="47">
        <v>-24.353391999999999</v>
      </c>
    </row>
    <row r="25" spans="1:14" x14ac:dyDescent="0.35">
      <c r="A25" s="2">
        <v>42566</v>
      </c>
      <c r="B25" s="40">
        <v>33.502364999999998</v>
      </c>
      <c r="C25" s="40">
        <v>1.6562699999999999</v>
      </c>
      <c r="D25" s="40">
        <v>-0.8186698</v>
      </c>
      <c r="E25" s="40">
        <v>-11.953670000000001</v>
      </c>
      <c r="F25" s="40">
        <v>-6.5004530000000003</v>
      </c>
      <c r="G25" s="40">
        <v>-10.125404</v>
      </c>
      <c r="H25" s="40">
        <v>-13.584882</v>
      </c>
      <c r="I25" s="40">
        <v>2.4293900000000002</v>
      </c>
      <c r="J25" s="40">
        <v>4.7206520000000003</v>
      </c>
      <c r="K25" s="47">
        <v>-9.3876299999999997</v>
      </c>
      <c r="L25" s="47">
        <v>-9.6393769999999996</v>
      </c>
      <c r="M25" s="47">
        <v>-9.9518299999999993</v>
      </c>
      <c r="N25" s="47">
        <v>-25.232690000000002</v>
      </c>
    </row>
    <row r="26" spans="1:14" x14ac:dyDescent="0.35">
      <c r="A26" s="2">
        <v>42598</v>
      </c>
      <c r="B26" s="40">
        <v>43.438839999999999</v>
      </c>
      <c r="C26" s="40">
        <v>10.181689</v>
      </c>
      <c r="D26" s="40">
        <v>5.1272390000000003</v>
      </c>
      <c r="E26" s="40">
        <v>-2.7152538000000002</v>
      </c>
      <c r="F26" s="40">
        <v>-3.4233570000000002</v>
      </c>
      <c r="G26" s="40">
        <v>-5.7578144</v>
      </c>
      <c r="H26" s="40">
        <v>-9.8725740000000002</v>
      </c>
      <c r="I26" s="40">
        <v>7.1131944999999996</v>
      </c>
      <c r="J26" s="40">
        <v>6.3550589999999998</v>
      </c>
      <c r="K26" s="47">
        <v>-6.214893</v>
      </c>
      <c r="L26" s="47">
        <v>-2.4059355</v>
      </c>
      <c r="M26" s="47">
        <v>-6.3115654000000001</v>
      </c>
      <c r="N26" s="47">
        <v>-25.605803999999999</v>
      </c>
    </row>
    <row r="27" spans="1:14" x14ac:dyDescent="0.35">
      <c r="A27" s="2">
        <v>42629</v>
      </c>
      <c r="B27" s="40">
        <v>46.312080000000002</v>
      </c>
      <c r="C27" s="40">
        <v>9.1591950000000004</v>
      </c>
      <c r="D27" s="40">
        <v>5.3344845999999997</v>
      </c>
      <c r="E27" s="40">
        <v>-1.6178786999999999</v>
      </c>
      <c r="F27" s="40">
        <v>3.1483053999999999</v>
      </c>
      <c r="G27" s="40">
        <v>-3.7422537999999999</v>
      </c>
      <c r="H27" s="40">
        <v>-6.2521990000000001</v>
      </c>
      <c r="I27" s="40">
        <v>11.038100999999999</v>
      </c>
      <c r="J27" s="40">
        <v>9.4735150000000008</v>
      </c>
      <c r="K27" s="47">
        <v>-4.1632594999999997</v>
      </c>
      <c r="L27" s="47">
        <v>0.98258257000000004</v>
      </c>
      <c r="M27" s="47">
        <v>-4.0771540000000002</v>
      </c>
      <c r="N27" s="47">
        <v>-25.625664</v>
      </c>
    </row>
    <row r="28" spans="1:14" x14ac:dyDescent="0.35">
      <c r="A28" s="2">
        <v>42657</v>
      </c>
      <c r="B28" s="40">
        <v>29.495930000000001</v>
      </c>
      <c r="C28" s="40">
        <v>12.044466</v>
      </c>
      <c r="D28" s="40">
        <v>4.8016430000000003</v>
      </c>
      <c r="E28" s="40">
        <v>1.3290048000000001</v>
      </c>
      <c r="F28" s="40">
        <v>5.7254553000000001</v>
      </c>
      <c r="G28" s="40">
        <v>-3.9622784000000002</v>
      </c>
      <c r="H28" s="40">
        <v>-9.0399630000000002</v>
      </c>
      <c r="I28" s="40">
        <v>11.834455</v>
      </c>
      <c r="J28" s="40">
        <v>9.2558860000000003</v>
      </c>
      <c r="K28" s="47">
        <v>-4.4199944000000002</v>
      </c>
      <c r="L28" s="47">
        <v>1.7765759999999999</v>
      </c>
      <c r="M28" s="47">
        <v>-3.8896918</v>
      </c>
      <c r="N28" s="47">
        <v>-25.738495</v>
      </c>
    </row>
    <row r="29" spans="1:14" x14ac:dyDescent="0.35">
      <c r="A29" s="2">
        <v>42690</v>
      </c>
      <c r="B29" s="40">
        <v>23.450396999999999</v>
      </c>
      <c r="C29" s="40">
        <v>15.0925045</v>
      </c>
      <c r="D29" s="40">
        <v>12.321674</v>
      </c>
      <c r="E29" s="40">
        <v>-2.2507608000000001</v>
      </c>
      <c r="F29" s="40">
        <v>0.55028200000000005</v>
      </c>
      <c r="G29" s="40">
        <v>-4.5049725</v>
      </c>
      <c r="H29" s="40">
        <v>-8.0957889999999999</v>
      </c>
      <c r="I29" s="40">
        <v>6.1152696999999998</v>
      </c>
      <c r="J29" s="40">
        <v>8.2525729999999999</v>
      </c>
      <c r="K29" s="47">
        <v>-4.0441694000000004</v>
      </c>
      <c r="L29" s="47">
        <v>-1.9113123000000001</v>
      </c>
      <c r="M29" s="47">
        <v>-4.1289150000000001</v>
      </c>
      <c r="N29" s="47">
        <v>-21.919208999999999</v>
      </c>
    </row>
    <row r="30" spans="1:14" x14ac:dyDescent="0.35">
      <c r="A30" s="2">
        <v>42720</v>
      </c>
      <c r="B30" s="40">
        <v>13.190007</v>
      </c>
      <c r="C30" s="40">
        <v>14.982498</v>
      </c>
      <c r="D30" s="40">
        <v>22.752618999999999</v>
      </c>
      <c r="E30" s="40">
        <v>1.0761023000000001</v>
      </c>
      <c r="F30" s="40">
        <v>2.8404950000000002</v>
      </c>
      <c r="G30" s="40">
        <v>-4.4248104000000001</v>
      </c>
      <c r="H30" s="40">
        <v>-1.5744864999999999</v>
      </c>
      <c r="I30" s="40">
        <v>6.4336180000000001</v>
      </c>
      <c r="J30" s="40">
        <v>11.17239</v>
      </c>
      <c r="K30" s="47">
        <v>1.2059689</v>
      </c>
      <c r="L30" s="47">
        <v>0.97496510000000003</v>
      </c>
      <c r="M30" s="47">
        <v>0.75768230000000003</v>
      </c>
      <c r="N30" s="47">
        <v>-12.321388000000001</v>
      </c>
    </row>
    <row r="31" spans="1:14" x14ac:dyDescent="0.35">
      <c r="A31" s="2">
        <v>42748</v>
      </c>
      <c r="B31" s="40">
        <v>26.470364</v>
      </c>
      <c r="C31" s="40">
        <v>32.669342</v>
      </c>
      <c r="D31" s="40">
        <v>42.511200000000002</v>
      </c>
      <c r="E31" s="40">
        <v>14.591969000000001</v>
      </c>
      <c r="F31" s="40">
        <v>14.206481</v>
      </c>
      <c r="G31" s="40">
        <v>7.3699593999999999</v>
      </c>
      <c r="H31" s="40">
        <v>9.8098989999999997</v>
      </c>
      <c r="I31" s="40">
        <v>22.213804</v>
      </c>
      <c r="J31" s="40">
        <v>22.826218000000001</v>
      </c>
      <c r="K31" s="47">
        <v>14.870989</v>
      </c>
      <c r="L31" s="47">
        <v>12.589192000000001</v>
      </c>
      <c r="M31" s="47">
        <v>13.513123999999999</v>
      </c>
      <c r="N31" s="47">
        <v>-0.61445236000000003</v>
      </c>
    </row>
    <row r="32" spans="1:14" x14ac:dyDescent="0.35">
      <c r="A32" s="2">
        <v>42782</v>
      </c>
      <c r="B32" s="40">
        <v>28.936398000000001</v>
      </c>
      <c r="C32" s="40">
        <v>33.949683999999998</v>
      </c>
      <c r="D32" s="40">
        <v>36.783099999999997</v>
      </c>
      <c r="E32" s="40">
        <v>20.824945</v>
      </c>
      <c r="F32" s="40">
        <v>21.01934</v>
      </c>
      <c r="G32" s="40">
        <v>11.721479</v>
      </c>
      <c r="H32" s="40">
        <v>12.07155</v>
      </c>
      <c r="I32" s="40">
        <v>30.393982000000001</v>
      </c>
      <c r="J32" s="40">
        <v>26.339828000000001</v>
      </c>
      <c r="K32" s="47">
        <v>16.263055999999999</v>
      </c>
      <c r="L32" s="47">
        <v>17.108965000000001</v>
      </c>
      <c r="M32" s="47">
        <v>19.252825000000001</v>
      </c>
      <c r="N32" s="47">
        <v>9.6562750000000008</v>
      </c>
    </row>
    <row r="33" spans="1:14" x14ac:dyDescent="0.35">
      <c r="A33" s="2">
        <v>42810</v>
      </c>
      <c r="B33" s="40">
        <v>12.300181</v>
      </c>
      <c r="C33" s="40">
        <v>19.821166999999999</v>
      </c>
      <c r="D33" s="40">
        <v>16.4495</v>
      </c>
      <c r="E33" s="40">
        <v>14.389991999999999</v>
      </c>
      <c r="F33" s="40">
        <v>15.02322</v>
      </c>
      <c r="G33" s="40">
        <v>11.335874</v>
      </c>
      <c r="H33" s="40">
        <v>8.0739140000000003</v>
      </c>
      <c r="I33" s="40">
        <v>24.079502000000002</v>
      </c>
      <c r="J33" s="40">
        <v>19.803583</v>
      </c>
      <c r="K33" s="47">
        <v>10.427117000000001</v>
      </c>
      <c r="L33" s="47">
        <v>12.877167</v>
      </c>
      <c r="M33" s="47">
        <v>11.583137499999999</v>
      </c>
      <c r="N33" s="47">
        <v>5.7035090000000004</v>
      </c>
    </row>
    <row r="34" spans="1:14" x14ac:dyDescent="0.35">
      <c r="A34" s="2">
        <v>42838</v>
      </c>
      <c r="B34" s="40">
        <v>6.8704367</v>
      </c>
      <c r="C34" s="40">
        <v>19.837261000000002</v>
      </c>
      <c r="D34" s="40">
        <v>11.446857</v>
      </c>
      <c r="E34" s="40">
        <v>12.05883</v>
      </c>
      <c r="F34" s="40">
        <v>8.9735984999999996</v>
      </c>
      <c r="G34" s="40">
        <v>8.0652480000000004</v>
      </c>
      <c r="H34" s="40">
        <v>4.8568486999999996</v>
      </c>
      <c r="I34" s="40">
        <v>18.782162</v>
      </c>
      <c r="J34" s="40">
        <v>14.098871000000001</v>
      </c>
      <c r="K34" s="47">
        <v>9.5778940000000006</v>
      </c>
      <c r="L34" s="47">
        <v>10.883724000000001</v>
      </c>
      <c r="M34" s="47">
        <v>6.8221806999999997</v>
      </c>
      <c r="N34" s="47">
        <v>6.0695766999999998</v>
      </c>
    </row>
    <row r="35" spans="1:14" x14ac:dyDescent="0.35">
      <c r="A35" s="2">
        <v>42871</v>
      </c>
      <c r="B35" s="40">
        <v>8.4546329999999994</v>
      </c>
      <c r="C35" s="40">
        <v>16.280757999999999</v>
      </c>
      <c r="D35" s="40">
        <v>9.4467049999999997</v>
      </c>
      <c r="E35" s="40">
        <v>24.013638</v>
      </c>
      <c r="F35" s="40">
        <v>14.624511999999999</v>
      </c>
      <c r="G35" s="40">
        <v>18.247437000000001</v>
      </c>
      <c r="H35" s="40">
        <v>13.357592</v>
      </c>
      <c r="I35" s="40">
        <v>32.050311999999998</v>
      </c>
      <c r="J35" s="40">
        <v>18.509232999999998</v>
      </c>
      <c r="K35" s="47">
        <v>25.606394000000002</v>
      </c>
      <c r="L35" s="47">
        <v>24.182869</v>
      </c>
      <c r="M35" s="47">
        <v>21.877967999999999</v>
      </c>
      <c r="N35" s="47">
        <v>23.509454999999999</v>
      </c>
    </row>
    <row r="36" spans="1:14" x14ac:dyDescent="0.35">
      <c r="A36" s="2">
        <v>42902</v>
      </c>
      <c r="B36" s="40">
        <v>12.827586999999999</v>
      </c>
      <c r="C36" s="40">
        <v>21.768485999999999</v>
      </c>
      <c r="D36" s="40">
        <v>10.862278999999999</v>
      </c>
      <c r="E36" s="40">
        <v>29.606605999999999</v>
      </c>
      <c r="F36" s="40">
        <v>20.723175000000001</v>
      </c>
      <c r="G36" s="40">
        <v>20.656442999999999</v>
      </c>
      <c r="H36" s="40">
        <v>16.438652000000001</v>
      </c>
      <c r="I36" s="40">
        <v>29.538440000000001</v>
      </c>
      <c r="J36" s="40">
        <v>19.43853</v>
      </c>
      <c r="K36" s="47">
        <v>29.555225</v>
      </c>
      <c r="L36" s="47">
        <v>28.891635999999998</v>
      </c>
      <c r="M36" s="47">
        <v>27.272964000000002</v>
      </c>
      <c r="N36" s="47">
        <v>29.839753999999999</v>
      </c>
    </row>
    <row r="37" spans="1:14" x14ac:dyDescent="0.35">
      <c r="A37" s="2">
        <v>42930</v>
      </c>
      <c r="B37" s="40">
        <v>10.395026</v>
      </c>
      <c r="C37" s="40">
        <v>14.218748</v>
      </c>
      <c r="D37" s="40">
        <v>10.408341999999999</v>
      </c>
      <c r="E37" s="40">
        <v>27.693784999999998</v>
      </c>
      <c r="F37" s="40">
        <v>14.53135</v>
      </c>
      <c r="G37" s="40">
        <v>17.89893</v>
      </c>
      <c r="H37" s="40">
        <v>12.846351</v>
      </c>
      <c r="I37" s="40">
        <v>28.227042999999998</v>
      </c>
      <c r="J37" s="40">
        <v>15.935898</v>
      </c>
      <c r="K37" s="47">
        <v>27.93355</v>
      </c>
      <c r="L37" s="47">
        <v>29.521167999999999</v>
      </c>
      <c r="M37" s="47">
        <v>29.921257000000001</v>
      </c>
      <c r="N37" s="47">
        <v>34.431435</v>
      </c>
    </row>
    <row r="38" spans="1:14" x14ac:dyDescent="0.35">
      <c r="A38" s="2">
        <v>42963</v>
      </c>
      <c r="B38" s="40">
        <v>7.2950125000000003</v>
      </c>
      <c r="C38" s="40">
        <v>13.929831999999999</v>
      </c>
      <c r="D38" s="40">
        <v>7.8107119999999997</v>
      </c>
      <c r="E38" s="40">
        <v>18.0488</v>
      </c>
      <c r="F38" s="40">
        <v>13.051022</v>
      </c>
      <c r="G38" s="40">
        <v>13.922822999999999</v>
      </c>
      <c r="H38" s="40">
        <v>10.133433</v>
      </c>
      <c r="I38" s="40">
        <v>24.537336</v>
      </c>
      <c r="J38" s="40">
        <v>15.603209</v>
      </c>
      <c r="K38" s="47">
        <v>25.081598</v>
      </c>
      <c r="L38" s="47">
        <v>27.934086000000001</v>
      </c>
      <c r="M38" s="47">
        <v>21.334707000000002</v>
      </c>
      <c r="N38" s="47">
        <v>37.469493999999997</v>
      </c>
    </row>
    <row r="39" spans="1:14" x14ac:dyDescent="0.35">
      <c r="A39" s="2">
        <v>42993</v>
      </c>
      <c r="B39" s="40">
        <v>6.8974970000000004</v>
      </c>
      <c r="C39" s="40">
        <v>21.298812999999999</v>
      </c>
      <c r="D39" s="40">
        <v>16.037512</v>
      </c>
      <c r="E39" s="40">
        <v>25.114201999999999</v>
      </c>
      <c r="F39" s="40">
        <v>15.356695</v>
      </c>
      <c r="G39" s="40">
        <v>16.457854999999999</v>
      </c>
      <c r="H39" s="40">
        <v>13.702035</v>
      </c>
      <c r="I39" s="40">
        <v>25.441466999999999</v>
      </c>
      <c r="J39" s="40">
        <v>18.693923999999999</v>
      </c>
      <c r="K39" s="47">
        <v>30.952024000000002</v>
      </c>
      <c r="L39" s="47">
        <v>30.648900000000001</v>
      </c>
      <c r="M39" s="47">
        <v>25.243424999999998</v>
      </c>
      <c r="N39" s="47">
        <v>43.043934</v>
      </c>
    </row>
    <row r="40" spans="1:14" x14ac:dyDescent="0.35">
      <c r="A40" s="2">
        <v>43024</v>
      </c>
      <c r="B40" s="40">
        <v>14.733040000000001</v>
      </c>
      <c r="C40" s="40">
        <v>16.539753000000001</v>
      </c>
      <c r="D40" s="40">
        <v>16.854609</v>
      </c>
      <c r="E40" s="40">
        <v>29.684425000000001</v>
      </c>
      <c r="F40" s="40">
        <v>18.905401000000001</v>
      </c>
      <c r="G40" s="40">
        <v>21.218513000000002</v>
      </c>
      <c r="H40" s="40">
        <v>20.923863999999998</v>
      </c>
      <c r="I40" s="40">
        <v>28.343440000000001</v>
      </c>
      <c r="J40" s="40">
        <v>22.212123999999999</v>
      </c>
      <c r="K40" s="47">
        <v>33.54466</v>
      </c>
      <c r="L40" s="47">
        <v>34.386490000000002</v>
      </c>
      <c r="M40" s="47">
        <v>30.36356</v>
      </c>
      <c r="N40" s="47">
        <v>46.151173</v>
      </c>
    </row>
    <row r="41" spans="1:14" x14ac:dyDescent="0.35">
      <c r="A41" s="2">
        <v>43055</v>
      </c>
      <c r="B41" s="40">
        <v>14.025413500000001</v>
      </c>
      <c r="C41" s="40">
        <v>18.828582999999998</v>
      </c>
      <c r="D41" s="40">
        <v>16.712845000000002</v>
      </c>
      <c r="E41" s="40">
        <v>33.765590000000003</v>
      </c>
      <c r="F41" s="40">
        <v>21.571169999999999</v>
      </c>
      <c r="G41" s="40">
        <v>21.484507000000001</v>
      </c>
      <c r="H41" s="40">
        <v>19.654512</v>
      </c>
      <c r="I41" s="40">
        <v>33.511673000000002</v>
      </c>
      <c r="J41" s="40">
        <v>21.107042</v>
      </c>
      <c r="K41" s="47">
        <v>35.060752999999998</v>
      </c>
      <c r="L41" s="47">
        <v>36.518300000000004</v>
      </c>
      <c r="M41" s="47">
        <v>30.955006000000001</v>
      </c>
      <c r="N41" s="47">
        <v>46.319674999999997</v>
      </c>
    </row>
    <row r="42" spans="1:14" x14ac:dyDescent="0.35">
      <c r="A42" s="2">
        <v>43084</v>
      </c>
      <c r="B42" s="40">
        <v>22.421001</v>
      </c>
      <c r="C42" s="40">
        <v>16.848552999999999</v>
      </c>
      <c r="D42" s="40">
        <v>11.312938000000001</v>
      </c>
      <c r="E42" s="40">
        <v>29.457450000000001</v>
      </c>
      <c r="F42" s="40">
        <v>20.634793999999999</v>
      </c>
      <c r="G42" s="40">
        <v>23.920594999999999</v>
      </c>
      <c r="H42" s="40">
        <v>18.371486999999998</v>
      </c>
      <c r="I42" s="40">
        <v>32.250549999999997</v>
      </c>
      <c r="J42" s="40">
        <v>20.49042</v>
      </c>
      <c r="K42" s="47">
        <v>30.206299000000001</v>
      </c>
      <c r="L42" s="47">
        <v>35.435223000000001</v>
      </c>
      <c r="M42" s="47">
        <v>21.149312999999999</v>
      </c>
      <c r="N42" s="47">
        <v>30.741882</v>
      </c>
    </row>
    <row r="43" spans="1:14" x14ac:dyDescent="0.35">
      <c r="A43" s="2">
        <v>43116</v>
      </c>
      <c r="B43" s="40">
        <v>18.568049999999999</v>
      </c>
      <c r="C43" s="40">
        <v>14.63449</v>
      </c>
      <c r="D43" s="40">
        <v>13.784302</v>
      </c>
      <c r="E43" s="40">
        <v>30.243313000000001</v>
      </c>
      <c r="F43" s="40">
        <v>26.344574000000001</v>
      </c>
      <c r="G43" s="40">
        <v>22.284603000000001</v>
      </c>
      <c r="H43" s="40">
        <v>23.227692000000001</v>
      </c>
      <c r="I43" s="40">
        <v>34.391272999999998</v>
      </c>
      <c r="J43" s="40">
        <v>24.352730000000001</v>
      </c>
      <c r="K43" s="47">
        <v>32.924506999999998</v>
      </c>
      <c r="L43" s="47">
        <v>36.317813999999998</v>
      </c>
      <c r="M43" s="47">
        <v>25.024616000000002</v>
      </c>
      <c r="N43" s="47">
        <v>38.288463999999998</v>
      </c>
    </row>
    <row r="44" spans="1:14" x14ac:dyDescent="0.35">
      <c r="A44" s="2">
        <v>43147</v>
      </c>
      <c r="B44" s="40">
        <v>15.894151000000001</v>
      </c>
      <c r="C44" s="40">
        <v>8.0051179999999995</v>
      </c>
      <c r="D44" s="40">
        <v>3.6932706999999998</v>
      </c>
      <c r="E44" s="40">
        <v>23.059929</v>
      </c>
      <c r="F44" s="40">
        <v>21.851275999999999</v>
      </c>
      <c r="G44" s="40">
        <v>18.256509999999999</v>
      </c>
      <c r="H44" s="40">
        <v>15.814947999999999</v>
      </c>
      <c r="I44" s="40">
        <v>28.792942</v>
      </c>
      <c r="J44" s="40">
        <v>18.612814</v>
      </c>
      <c r="K44" s="47">
        <v>29.562653000000001</v>
      </c>
      <c r="L44" s="47">
        <v>29.565833999999999</v>
      </c>
      <c r="M44" s="47">
        <v>16.028058999999999</v>
      </c>
      <c r="N44" s="47">
        <v>40.240893999999997</v>
      </c>
    </row>
    <row r="45" spans="1:14" x14ac:dyDescent="0.35">
      <c r="A45" s="2">
        <v>43175</v>
      </c>
      <c r="B45" s="40">
        <v>23.003053999999999</v>
      </c>
      <c r="C45" s="40">
        <v>6.2077520000000002</v>
      </c>
      <c r="D45" s="40">
        <v>5.1563499999999998</v>
      </c>
      <c r="E45" s="40">
        <v>17.056633000000001</v>
      </c>
      <c r="F45" s="40">
        <v>19.028711000000001</v>
      </c>
      <c r="G45" s="40">
        <v>11.05566</v>
      </c>
      <c r="H45" s="40">
        <v>11.670923</v>
      </c>
      <c r="I45" s="40">
        <v>30.732631999999999</v>
      </c>
      <c r="J45" s="40">
        <v>17.677475000000001</v>
      </c>
      <c r="K45" s="47">
        <v>24.492000000000001</v>
      </c>
      <c r="L45" s="47">
        <v>22.749638000000001</v>
      </c>
      <c r="M45" s="47">
        <v>12.890768</v>
      </c>
      <c r="N45" s="47">
        <v>30.625105000000001</v>
      </c>
    </row>
    <row r="46" spans="1:14" x14ac:dyDescent="0.35">
      <c r="A46" s="2">
        <v>43206</v>
      </c>
      <c r="B46" s="40">
        <v>22.817516000000001</v>
      </c>
      <c r="C46" s="40">
        <v>4.9485802999999997</v>
      </c>
      <c r="D46" s="40">
        <v>7.3959229999999998</v>
      </c>
      <c r="E46" s="40">
        <v>19.450759999999999</v>
      </c>
      <c r="F46" s="40">
        <v>20.917629999999999</v>
      </c>
      <c r="G46" s="40">
        <v>10.154557</v>
      </c>
      <c r="H46" s="40">
        <v>16.289055000000001</v>
      </c>
      <c r="I46" s="40">
        <v>25.777197000000001</v>
      </c>
      <c r="J46" s="40">
        <v>17.164218999999999</v>
      </c>
      <c r="K46" s="47">
        <v>26.971245</v>
      </c>
      <c r="L46" s="47">
        <v>24.95401</v>
      </c>
      <c r="M46" s="47">
        <v>9.8254090000000005</v>
      </c>
      <c r="N46" s="47">
        <v>38.991079999999997</v>
      </c>
    </row>
    <row r="47" spans="1:14" x14ac:dyDescent="0.35">
      <c r="A47" s="2">
        <v>43236</v>
      </c>
      <c r="B47" s="40">
        <v>14.974259999999999</v>
      </c>
      <c r="C47" s="40">
        <v>8.6164000000000005</v>
      </c>
      <c r="D47" s="40">
        <v>13.320112</v>
      </c>
      <c r="E47" s="40">
        <v>8.1354620000000004</v>
      </c>
      <c r="F47" s="40">
        <v>17.915821000000001</v>
      </c>
      <c r="G47" s="40">
        <v>1.2854695</v>
      </c>
      <c r="H47" s="40">
        <v>11.0717535</v>
      </c>
      <c r="I47" s="40">
        <v>22.080590000000001</v>
      </c>
      <c r="J47" s="40">
        <v>15.5539875</v>
      </c>
      <c r="K47" s="47">
        <v>12.833631499999999</v>
      </c>
      <c r="L47" s="47">
        <v>11.1887455</v>
      </c>
      <c r="M47" s="47">
        <v>2.6892304</v>
      </c>
      <c r="N47" s="47">
        <v>17.177105000000001</v>
      </c>
    </row>
    <row r="48" spans="1:14" x14ac:dyDescent="0.35">
      <c r="A48" s="2">
        <v>43266</v>
      </c>
      <c r="B48" s="40">
        <v>14.47649</v>
      </c>
      <c r="C48" s="40">
        <v>6.7562939999999996</v>
      </c>
      <c r="D48" s="40">
        <v>11.34994</v>
      </c>
      <c r="E48" s="40">
        <v>7.1614145999999996</v>
      </c>
      <c r="F48" s="40">
        <v>13.176584</v>
      </c>
      <c r="G48" s="40">
        <v>0.23064613</v>
      </c>
      <c r="H48" s="40">
        <v>10.635864</v>
      </c>
      <c r="I48" s="40">
        <v>28.310537</v>
      </c>
      <c r="J48" s="40">
        <v>16.369676999999999</v>
      </c>
      <c r="K48" s="47">
        <v>13.582981</v>
      </c>
      <c r="L48" s="47">
        <v>11.600674</v>
      </c>
      <c r="M48" s="47">
        <v>1.2093662999999999</v>
      </c>
      <c r="N48" s="47">
        <v>11.173117</v>
      </c>
    </row>
    <row r="49" spans="1:14" x14ac:dyDescent="0.35">
      <c r="A49" s="2">
        <v>43297</v>
      </c>
      <c r="B49" s="40">
        <v>6.4531207000000004</v>
      </c>
      <c r="C49" s="40">
        <v>6.4374566</v>
      </c>
      <c r="D49" s="40">
        <v>7.4207067000000002</v>
      </c>
      <c r="E49" s="40">
        <v>1.6822219</v>
      </c>
      <c r="F49" s="40">
        <v>8.9311489999999996</v>
      </c>
      <c r="G49" s="40">
        <v>-0.78566670000000005</v>
      </c>
      <c r="H49" s="40">
        <v>7.1747420000000002</v>
      </c>
      <c r="I49" s="40">
        <v>27.096986999999999</v>
      </c>
      <c r="J49" s="40">
        <v>15.877628</v>
      </c>
      <c r="K49" s="47">
        <v>9.3629250000000006</v>
      </c>
      <c r="L49" s="47">
        <v>7.0371629999999996</v>
      </c>
      <c r="M49" s="47">
        <v>-7.015854</v>
      </c>
      <c r="N49" s="47">
        <v>4.4390559999999999</v>
      </c>
    </row>
    <row r="50" spans="1:14" x14ac:dyDescent="0.35">
      <c r="A50" s="2">
        <v>43328</v>
      </c>
      <c r="B50" s="40">
        <v>3.5268426000000002</v>
      </c>
      <c r="C50" s="40">
        <v>4.0079950000000002</v>
      </c>
      <c r="D50" s="40">
        <v>6.4051270000000002</v>
      </c>
      <c r="E50" s="40">
        <v>-2.8832315999999998</v>
      </c>
      <c r="F50" s="40">
        <v>5.9569716000000001</v>
      </c>
      <c r="G50" s="40">
        <v>1.1332869999999999</v>
      </c>
      <c r="H50" s="40">
        <v>3.3219576000000002</v>
      </c>
      <c r="I50" s="40">
        <v>25.64143</v>
      </c>
      <c r="J50" s="40">
        <v>17.177094</v>
      </c>
      <c r="K50" s="47">
        <v>3.4333230000000001</v>
      </c>
      <c r="L50" s="47">
        <v>0.65572260000000004</v>
      </c>
      <c r="M50" s="47">
        <v>-5.3237860000000001</v>
      </c>
      <c r="N50" s="47">
        <v>-7.5170573999999997</v>
      </c>
    </row>
    <row r="51" spans="1:14" x14ac:dyDescent="0.35">
      <c r="A51" s="2">
        <v>43357</v>
      </c>
      <c r="B51" s="40">
        <v>6.9976209999999996</v>
      </c>
      <c r="C51" s="40">
        <v>-0.58183669999999998</v>
      </c>
      <c r="D51" s="40">
        <v>1.1568189</v>
      </c>
      <c r="E51" s="40">
        <v>-4.5254110000000001</v>
      </c>
      <c r="F51" s="40">
        <v>6.9029093000000001</v>
      </c>
      <c r="G51" s="40">
        <v>2.6845813000000001</v>
      </c>
      <c r="H51" s="40">
        <v>0.59515240000000003</v>
      </c>
      <c r="I51" s="40">
        <v>27.42455</v>
      </c>
      <c r="J51" s="40">
        <v>18.479073</v>
      </c>
      <c r="K51" s="47">
        <v>3.2716750000000001</v>
      </c>
      <c r="L51" s="47">
        <v>-1.1048674999999999</v>
      </c>
      <c r="M51" s="47">
        <v>-5.1474570000000002</v>
      </c>
      <c r="N51" s="47">
        <v>-7.0376276999999998</v>
      </c>
    </row>
    <row r="52" spans="1:14" x14ac:dyDescent="0.35">
      <c r="A52" s="2">
        <v>43389</v>
      </c>
      <c r="B52" s="40">
        <v>0.48154593000000001</v>
      </c>
      <c r="C52" s="40">
        <v>-4.8033595</v>
      </c>
      <c r="D52" s="40">
        <v>-3.0596255999999999</v>
      </c>
      <c r="E52" s="40">
        <v>-10.360908500000001</v>
      </c>
      <c r="F52" s="40">
        <v>1.4056443999999999</v>
      </c>
      <c r="G52" s="40">
        <v>-3.657359</v>
      </c>
      <c r="H52" s="40">
        <v>-3.2964945000000001</v>
      </c>
      <c r="I52" s="40">
        <v>19.975054</v>
      </c>
      <c r="J52" s="40">
        <v>11.836791</v>
      </c>
      <c r="K52" s="47">
        <v>-2.3181558</v>
      </c>
      <c r="L52" s="47">
        <v>-7.1683463999999999</v>
      </c>
      <c r="M52" s="47">
        <v>-9.6752109999999991</v>
      </c>
      <c r="N52" s="47">
        <v>-11.407249999999999</v>
      </c>
    </row>
    <row r="53" spans="1:14" x14ac:dyDescent="0.35">
      <c r="A53" s="2">
        <v>43420</v>
      </c>
      <c r="B53" s="40">
        <v>10.682285</v>
      </c>
      <c r="C53" s="40">
        <v>-3.8158774000000002</v>
      </c>
      <c r="D53" s="40">
        <v>-5.9004126000000001</v>
      </c>
      <c r="E53" s="40">
        <v>-14.788002000000001</v>
      </c>
      <c r="F53" s="40">
        <v>-5.9040840000000001</v>
      </c>
      <c r="G53" s="40">
        <v>-1.3877212999999999</v>
      </c>
      <c r="H53" s="40">
        <v>-3.8719296000000001</v>
      </c>
      <c r="I53" s="40">
        <v>9.2196940000000005</v>
      </c>
      <c r="J53" s="40">
        <v>7.7707290000000002</v>
      </c>
      <c r="K53" s="47">
        <v>-5.6000889999999997</v>
      </c>
      <c r="L53" s="47">
        <v>-6.7040563000000004</v>
      </c>
      <c r="M53" s="47">
        <v>-10.933738999999999</v>
      </c>
      <c r="N53" s="47">
        <v>-14.491522</v>
      </c>
    </row>
    <row r="54" spans="1:14" x14ac:dyDescent="0.35">
      <c r="A54" s="2">
        <v>43448</v>
      </c>
      <c r="B54" s="40">
        <v>2.0633219999999999</v>
      </c>
      <c r="C54" s="40">
        <v>-9.4112279999999995</v>
      </c>
      <c r="D54" s="40">
        <v>-11.274642</v>
      </c>
      <c r="E54" s="40">
        <v>-20.146719999999998</v>
      </c>
      <c r="F54" s="40">
        <v>-10.251564</v>
      </c>
      <c r="G54" s="40">
        <v>-6.4518985999999998</v>
      </c>
      <c r="H54" s="40">
        <v>-11.165851999999999</v>
      </c>
      <c r="I54" s="40">
        <v>4.1305779999999999</v>
      </c>
      <c r="J54" s="40">
        <v>-0.16747713</v>
      </c>
      <c r="K54" s="47">
        <v>-10.682076</v>
      </c>
      <c r="L54" s="47">
        <v>-11.708575</v>
      </c>
      <c r="M54" s="47">
        <v>-11.244535000000001</v>
      </c>
      <c r="N54" s="47">
        <v>-15.548361</v>
      </c>
    </row>
    <row r="55" spans="1:14" x14ac:dyDescent="0.35">
      <c r="A55" s="2">
        <v>43481</v>
      </c>
      <c r="B55" s="40">
        <v>3.2530427</v>
      </c>
      <c r="C55" s="40">
        <v>-8.3272700000000004</v>
      </c>
      <c r="D55" s="40">
        <v>-11.722737</v>
      </c>
      <c r="E55" s="40">
        <v>-22.715026999999999</v>
      </c>
      <c r="F55" s="40">
        <v>-14.2956915</v>
      </c>
      <c r="G55" s="40">
        <v>-7.9002322999999999</v>
      </c>
      <c r="H55" s="40">
        <v>-14.099151000000001</v>
      </c>
      <c r="I55" s="40">
        <v>-0.17189383999999999</v>
      </c>
      <c r="J55" s="40">
        <v>-3.9713799999999999</v>
      </c>
      <c r="K55" s="47">
        <v>-15.875828</v>
      </c>
      <c r="L55" s="47">
        <v>-16.336680000000001</v>
      </c>
      <c r="M55" s="47">
        <v>-14.915008</v>
      </c>
      <c r="N55" s="47">
        <v>-19.715267000000001</v>
      </c>
    </row>
    <row r="56" spans="1:14" x14ac:dyDescent="0.35">
      <c r="A56" s="2">
        <v>43511</v>
      </c>
      <c r="B56" s="40">
        <v>7.3292016999999996</v>
      </c>
      <c r="C56" s="40">
        <v>-3.6608398000000002</v>
      </c>
      <c r="D56" s="40">
        <v>-1.0908008</v>
      </c>
      <c r="E56" s="40">
        <v>-17.686160000000001</v>
      </c>
      <c r="F56" s="40">
        <v>-8.7808309999999992</v>
      </c>
      <c r="G56" s="40">
        <v>-3.3263623999999998</v>
      </c>
      <c r="H56" s="40">
        <v>-5.4488300000000001</v>
      </c>
      <c r="I56" s="40">
        <v>4.6530246999999996</v>
      </c>
      <c r="J56" s="40">
        <v>3.5321832</v>
      </c>
      <c r="K56" s="47">
        <v>-8.435613</v>
      </c>
      <c r="L56" s="47">
        <v>-7.1129265000000004</v>
      </c>
      <c r="M56" s="47">
        <v>-8.9685020000000009</v>
      </c>
      <c r="N56" s="47">
        <v>-15.668732</v>
      </c>
    </row>
    <row r="57" spans="1:14" x14ac:dyDescent="0.35">
      <c r="A57" s="2">
        <v>43539</v>
      </c>
      <c r="B57" s="40">
        <v>5.3680659999999998</v>
      </c>
      <c r="C57" s="40">
        <v>-0.5970299</v>
      </c>
      <c r="D57" s="40">
        <v>2.6665329999999998</v>
      </c>
      <c r="E57" s="40">
        <v>-13.488806</v>
      </c>
      <c r="F57" s="40">
        <v>-9.5146770000000007</v>
      </c>
      <c r="G57" s="40">
        <v>3.535056</v>
      </c>
      <c r="H57" s="40">
        <v>0.52585599999999999</v>
      </c>
      <c r="I57" s="40">
        <v>4.8649550000000001</v>
      </c>
      <c r="J57" s="40">
        <v>4.7076105999999998</v>
      </c>
      <c r="K57" s="47">
        <v>-3.2624602</v>
      </c>
      <c r="L57" s="47">
        <v>-4.1420640000000004</v>
      </c>
      <c r="M57" s="47">
        <v>-7.1313915000000003</v>
      </c>
      <c r="N57" s="47">
        <v>-11.610657</v>
      </c>
    </row>
    <row r="58" spans="1:14" x14ac:dyDescent="0.35">
      <c r="A58" s="2">
        <v>43571</v>
      </c>
      <c r="B58" s="40">
        <v>8.1138849999999998</v>
      </c>
      <c r="C58" s="40">
        <v>3.2529593000000001</v>
      </c>
      <c r="D58" s="40">
        <v>4.1245459999999996</v>
      </c>
      <c r="E58" s="40">
        <v>-11.593603999999999</v>
      </c>
      <c r="F58" s="40">
        <v>-7.0614695999999997</v>
      </c>
      <c r="G58" s="40">
        <v>6.3416243000000003</v>
      </c>
      <c r="H58" s="40">
        <v>-2.0898998</v>
      </c>
      <c r="I58" s="40">
        <v>15.697979999999999</v>
      </c>
      <c r="J58" s="40">
        <v>10.657776</v>
      </c>
      <c r="K58" s="47">
        <v>-3.2812416999999998</v>
      </c>
      <c r="L58" s="47">
        <v>-2.9884993999999998</v>
      </c>
      <c r="M58" s="47">
        <v>2.1302699999999999</v>
      </c>
      <c r="N58" s="47">
        <v>-12.028318000000001</v>
      </c>
    </row>
    <row r="59" spans="1:14" x14ac:dyDescent="0.35">
      <c r="A59" s="2">
        <v>43601</v>
      </c>
      <c r="B59" s="40">
        <v>13.137698</v>
      </c>
      <c r="C59" s="40">
        <v>0.13940333999999999</v>
      </c>
      <c r="D59" s="40">
        <v>-1.3049126</v>
      </c>
      <c r="E59" s="40">
        <v>-11.690163999999999</v>
      </c>
      <c r="F59" s="40">
        <v>-10.522681</v>
      </c>
      <c r="G59" s="40">
        <v>7.4767947000000001</v>
      </c>
      <c r="H59" s="40">
        <v>-6.6732940000000003</v>
      </c>
      <c r="I59" s="40">
        <v>10.392499000000001</v>
      </c>
      <c r="J59" s="40">
        <v>7.7407599999999999</v>
      </c>
      <c r="K59" s="47">
        <v>-5.4297979999999999</v>
      </c>
      <c r="L59" s="47">
        <v>-1.9415319</v>
      </c>
      <c r="M59" s="47">
        <v>-5.3763030000000001</v>
      </c>
      <c r="N59" s="47">
        <v>-13.146406000000001</v>
      </c>
    </row>
    <row r="60" spans="1:14" x14ac:dyDescent="0.35">
      <c r="A60" s="2">
        <v>43630</v>
      </c>
      <c r="B60" s="40">
        <v>4.4923900000000003</v>
      </c>
      <c r="C60" s="40">
        <v>4.6655416000000001</v>
      </c>
      <c r="D60" s="40">
        <v>-0.87900160000000005</v>
      </c>
      <c r="E60" s="40">
        <v>-12.983852000000001</v>
      </c>
      <c r="F60" s="40">
        <v>-9.5564</v>
      </c>
      <c r="G60" s="40">
        <v>13.125467</v>
      </c>
      <c r="H60" s="40">
        <v>-6.752205</v>
      </c>
      <c r="I60" s="40">
        <v>3.7338257000000001</v>
      </c>
      <c r="J60" s="40">
        <v>5.8027030000000002</v>
      </c>
      <c r="K60" s="47">
        <v>-4.5561194</v>
      </c>
      <c r="L60" s="47">
        <v>-2.1070956999999999</v>
      </c>
      <c r="M60" s="47">
        <v>-4.0671644000000002</v>
      </c>
      <c r="N60" s="47">
        <v>-7.2824774000000003</v>
      </c>
    </row>
    <row r="61" spans="1:14" x14ac:dyDescent="0.35">
      <c r="A61" s="2">
        <v>43662</v>
      </c>
      <c r="B61" s="40">
        <v>16.986858000000002</v>
      </c>
      <c r="C61" s="40">
        <v>5.0932050000000002</v>
      </c>
      <c r="D61" s="40">
        <v>2.3150563000000002</v>
      </c>
      <c r="E61" s="40">
        <v>-7.5366917000000004</v>
      </c>
      <c r="F61" s="40">
        <v>-3.3604085000000001</v>
      </c>
      <c r="G61" s="40">
        <v>13.072276</v>
      </c>
      <c r="H61" s="40">
        <v>-3.5268723999999998</v>
      </c>
      <c r="I61" s="40">
        <v>8.7428810000000006</v>
      </c>
      <c r="J61" s="40">
        <v>9.4264510000000001</v>
      </c>
      <c r="K61" s="47">
        <v>0.36152600000000001</v>
      </c>
      <c r="L61" s="47">
        <v>2.1956801000000001</v>
      </c>
      <c r="M61" s="47">
        <v>2.332306</v>
      </c>
      <c r="N61" s="47">
        <v>1.4745950999999999</v>
      </c>
    </row>
    <row r="62" spans="1:14" x14ac:dyDescent="0.35">
      <c r="A62" s="2">
        <v>43693</v>
      </c>
      <c r="B62" s="40">
        <v>14.179587</v>
      </c>
      <c r="C62" s="40">
        <v>-0.83835124999999999</v>
      </c>
      <c r="D62" s="40">
        <v>-0.45426487999999998</v>
      </c>
      <c r="E62" s="40">
        <v>-9.8950859999999992</v>
      </c>
      <c r="F62" s="40">
        <v>-4.7141549999999999</v>
      </c>
      <c r="G62" s="40">
        <v>11.431384</v>
      </c>
      <c r="H62" s="40">
        <v>-6.3761415000000001</v>
      </c>
      <c r="I62" s="40">
        <v>4.0530204999999997</v>
      </c>
      <c r="J62" s="40">
        <v>3.7090182</v>
      </c>
      <c r="K62" s="47">
        <v>-1.4402508999999999</v>
      </c>
      <c r="L62" s="47">
        <v>1.6623616000000001</v>
      </c>
      <c r="M62" s="47">
        <v>-6.6115139999999997</v>
      </c>
      <c r="N62" s="47">
        <v>-0.1401782</v>
      </c>
    </row>
    <row r="63" spans="1:14" x14ac:dyDescent="0.35">
      <c r="A63" s="2">
        <v>43724</v>
      </c>
      <c r="B63" s="40">
        <v>12.839484000000001</v>
      </c>
      <c r="C63" s="40">
        <v>9.0353969999999997</v>
      </c>
      <c r="D63" s="40">
        <v>4.9151420000000003</v>
      </c>
      <c r="E63" s="40">
        <v>-5.9045734000000003</v>
      </c>
      <c r="F63" s="40">
        <v>-1.021409</v>
      </c>
      <c r="G63" s="40">
        <v>9.6460819999999998</v>
      </c>
      <c r="H63" s="40">
        <v>-1.0177314</v>
      </c>
      <c r="I63" s="40">
        <v>5.0940633000000002</v>
      </c>
      <c r="J63" s="40">
        <v>5.2429914000000002</v>
      </c>
      <c r="K63" s="47">
        <v>0.64299107</v>
      </c>
      <c r="L63" s="47">
        <v>7.4869750000000002</v>
      </c>
      <c r="M63" s="47">
        <v>-1.4897704000000001</v>
      </c>
      <c r="N63" s="47">
        <v>3.6741017999999999</v>
      </c>
    </row>
    <row r="64" spans="1:14" x14ac:dyDescent="0.35">
      <c r="A64" s="2">
        <v>43754</v>
      </c>
      <c r="B64" s="40">
        <v>19.426833999999999</v>
      </c>
      <c r="C64" s="40">
        <v>12.911557999999999</v>
      </c>
      <c r="D64" s="40">
        <v>5.8205843000000002</v>
      </c>
      <c r="E64" s="40">
        <v>-2.4408102000000001E-2</v>
      </c>
      <c r="F64" s="40">
        <v>1.7258762999999999</v>
      </c>
      <c r="G64" s="40">
        <v>15.8245325</v>
      </c>
      <c r="H64" s="40">
        <v>2.0165682</v>
      </c>
      <c r="I64" s="40">
        <v>9.9074249999999999</v>
      </c>
      <c r="J64" s="40">
        <v>8.5480800000000006</v>
      </c>
      <c r="K64" s="47">
        <v>6.6363573000000002</v>
      </c>
      <c r="L64" s="47">
        <v>13.167977</v>
      </c>
      <c r="M64" s="47">
        <v>1.1784433999999999</v>
      </c>
      <c r="N64" s="47">
        <v>11.644030000000001</v>
      </c>
    </row>
    <row r="65" spans="1:14" x14ac:dyDescent="0.35">
      <c r="A65" s="2">
        <v>43784</v>
      </c>
      <c r="B65" s="40">
        <v>14.980124999999999</v>
      </c>
      <c r="C65" s="40">
        <v>15.390347999999999</v>
      </c>
      <c r="D65" s="40">
        <v>14.284145000000001</v>
      </c>
      <c r="E65" s="40">
        <v>9.2890259999999998</v>
      </c>
      <c r="F65" s="40">
        <v>11.234522</v>
      </c>
      <c r="G65" s="40">
        <v>20.709515</v>
      </c>
      <c r="H65" s="40">
        <v>7.3406935000000004</v>
      </c>
      <c r="I65" s="40">
        <v>21.8019</v>
      </c>
      <c r="J65" s="40">
        <v>16.484760000000001</v>
      </c>
      <c r="K65" s="47">
        <v>15.543782999999999</v>
      </c>
      <c r="L65" s="47">
        <v>17.749154999999998</v>
      </c>
      <c r="M65" s="47">
        <v>13.539910000000001</v>
      </c>
      <c r="N65" s="47">
        <v>22.504733999999999</v>
      </c>
    </row>
    <row r="66" spans="1:14" x14ac:dyDescent="0.35">
      <c r="A66" s="2">
        <v>43815</v>
      </c>
      <c r="B66" s="40">
        <v>24.813210999999999</v>
      </c>
      <c r="C66" s="40">
        <v>23.095749999999999</v>
      </c>
      <c r="D66" s="40">
        <v>20.933664</v>
      </c>
      <c r="E66" s="40">
        <v>19.28848</v>
      </c>
      <c r="F66" s="40">
        <v>17.139983999999998</v>
      </c>
      <c r="G66" s="40">
        <v>27.129507</v>
      </c>
      <c r="H66" s="40">
        <v>21.048985999999999</v>
      </c>
      <c r="I66" s="40">
        <v>31.086445000000001</v>
      </c>
      <c r="J66" s="40">
        <v>25.116479999999999</v>
      </c>
      <c r="K66" s="47">
        <v>24.05659</v>
      </c>
      <c r="L66" s="47">
        <v>28.054285</v>
      </c>
      <c r="M66" s="47">
        <v>21.953249</v>
      </c>
      <c r="N66" s="47">
        <v>23.918415</v>
      </c>
    </row>
    <row r="67" spans="1:14" x14ac:dyDescent="0.35">
      <c r="A67" s="2">
        <v>43846</v>
      </c>
      <c r="B67" s="40">
        <v>26.530992999999999</v>
      </c>
      <c r="C67" s="40">
        <v>20.635722999999999</v>
      </c>
      <c r="D67" s="40">
        <v>19.808662000000002</v>
      </c>
      <c r="E67" s="40">
        <v>17.395448999999999</v>
      </c>
      <c r="F67" s="40">
        <v>13.832808</v>
      </c>
      <c r="G67" s="40">
        <v>27.949511999999999</v>
      </c>
      <c r="H67" s="40">
        <v>16.468381999999998</v>
      </c>
      <c r="I67" s="40">
        <v>38.040576999999999</v>
      </c>
      <c r="J67" s="40">
        <v>29.197956000000001</v>
      </c>
      <c r="K67" s="47">
        <v>25.011848000000001</v>
      </c>
      <c r="L67" s="47">
        <v>29.821705000000001</v>
      </c>
      <c r="M67" s="47">
        <v>20.081292999999999</v>
      </c>
      <c r="N67" s="47">
        <v>21.519553999999999</v>
      </c>
    </row>
    <row r="68" spans="1:14" x14ac:dyDescent="0.35">
      <c r="A68" s="2">
        <v>43875</v>
      </c>
      <c r="B68" s="40">
        <v>20.121230000000001</v>
      </c>
      <c r="C68" s="40">
        <v>15.619790999999999</v>
      </c>
      <c r="D68" s="40">
        <v>15.713251</v>
      </c>
      <c r="E68" s="40">
        <v>15.82396</v>
      </c>
      <c r="F68" s="40">
        <v>10.931468000000001</v>
      </c>
      <c r="G68" s="40">
        <v>27.606795999999999</v>
      </c>
      <c r="H68" s="40">
        <v>8.0376259999999995</v>
      </c>
      <c r="I68" s="40">
        <v>38.167605999999999</v>
      </c>
      <c r="J68" s="40">
        <v>25.368893</v>
      </c>
      <c r="K68" s="47">
        <v>17.885255999999998</v>
      </c>
      <c r="L68" s="47">
        <v>22.480129999999999</v>
      </c>
      <c r="M68" s="47">
        <v>18.558502000000001</v>
      </c>
      <c r="N68" s="47">
        <v>20.175625</v>
      </c>
    </row>
    <row r="69" spans="1:14" x14ac:dyDescent="0.35">
      <c r="A69" s="2">
        <v>43906</v>
      </c>
      <c r="B69" s="40">
        <v>-14.400774</v>
      </c>
      <c r="C69" s="40">
        <v>-29.737985999999999</v>
      </c>
      <c r="D69" s="40">
        <v>-26.549847</v>
      </c>
      <c r="E69" s="40">
        <v>-30.227201000000001</v>
      </c>
      <c r="F69" s="40">
        <v>-18.743615999999999</v>
      </c>
      <c r="G69" s="40">
        <v>-10.155744</v>
      </c>
      <c r="H69" s="40">
        <v>-33.985267999999998</v>
      </c>
      <c r="I69" s="40">
        <v>-4.2932629999999996</v>
      </c>
      <c r="J69" s="40">
        <v>-13.504237</v>
      </c>
      <c r="K69" s="47">
        <v>-29.531818000000001</v>
      </c>
      <c r="L69" s="47">
        <v>-21.541107</v>
      </c>
      <c r="M69" s="47">
        <v>-22.655218000000001</v>
      </c>
      <c r="N69" s="47">
        <v>-31.554663000000001</v>
      </c>
    </row>
    <row r="70" spans="1:14" x14ac:dyDescent="0.35">
      <c r="A70" s="2">
        <v>43937</v>
      </c>
      <c r="B70" s="40">
        <v>-4.7437787</v>
      </c>
      <c r="C70" s="40">
        <v>-22.080278</v>
      </c>
      <c r="D70" s="40">
        <v>-19.543648000000001</v>
      </c>
      <c r="E70" s="40">
        <v>-19.94183</v>
      </c>
      <c r="F70" s="40">
        <v>-7.3524355999999997</v>
      </c>
      <c r="G70" s="40">
        <v>3.1103372999999999</v>
      </c>
      <c r="H70" s="40">
        <v>-25.957525</v>
      </c>
      <c r="I70" s="40">
        <v>15.319753</v>
      </c>
      <c r="J70" s="40">
        <v>-1.8201529999999999</v>
      </c>
      <c r="K70" s="47">
        <v>-22.507393</v>
      </c>
      <c r="L70" s="47">
        <v>-10.320783</v>
      </c>
      <c r="M70" s="47">
        <v>-17.658688000000001</v>
      </c>
      <c r="N70" s="47">
        <v>-26.446795999999999</v>
      </c>
    </row>
    <row r="71" spans="1:14" x14ac:dyDescent="0.35">
      <c r="A71" s="2">
        <v>43966</v>
      </c>
      <c r="B71" s="40">
        <v>-1.9391297999999999</v>
      </c>
      <c r="C71" s="40">
        <v>-19.008827</v>
      </c>
      <c r="D71" s="40">
        <v>-13.183373</v>
      </c>
      <c r="E71" s="40">
        <v>-16.825448999999999</v>
      </c>
      <c r="F71" s="40">
        <v>-1.6225636000000001</v>
      </c>
      <c r="G71" s="40">
        <v>4.6049119999999997</v>
      </c>
      <c r="H71" s="40">
        <v>-22.908646000000001</v>
      </c>
      <c r="I71" s="40">
        <v>22.987006999999998</v>
      </c>
      <c r="J71" s="40">
        <v>2.5073051</v>
      </c>
      <c r="K71" s="47">
        <v>-20.495356000000001</v>
      </c>
      <c r="L71" s="47">
        <v>-6.3364266999999996</v>
      </c>
      <c r="M71" s="47">
        <v>-9.4214500000000001</v>
      </c>
      <c r="N71" s="47">
        <v>-22.968912</v>
      </c>
    </row>
    <row r="72" spans="1:14" x14ac:dyDescent="0.35">
      <c r="A72" s="2">
        <v>43998</v>
      </c>
      <c r="B72" s="40">
        <v>9.4160319999999995</v>
      </c>
      <c r="C72" s="40">
        <v>-7.8329620000000002</v>
      </c>
      <c r="D72" s="40">
        <v>-4.3085393999999999</v>
      </c>
      <c r="E72" s="40">
        <v>1.6751885</v>
      </c>
      <c r="F72" s="40">
        <v>7.0228457000000004</v>
      </c>
      <c r="G72" s="40">
        <v>7.7751279999999996</v>
      </c>
      <c r="H72" s="40">
        <v>-13.953185</v>
      </c>
      <c r="I72" s="40">
        <v>34.102119999999999</v>
      </c>
      <c r="J72" s="40">
        <v>10.433412000000001</v>
      </c>
      <c r="K72" s="47">
        <v>-5.8157205999999997</v>
      </c>
      <c r="L72" s="47">
        <v>8.9791659999999993</v>
      </c>
      <c r="M72" s="47">
        <v>5.3705930000000004</v>
      </c>
      <c r="N72" s="47">
        <v>-6.4170179999999997</v>
      </c>
    </row>
    <row r="73" spans="1:14" x14ac:dyDescent="0.35">
      <c r="A73" s="2">
        <v>44028</v>
      </c>
      <c r="B73" s="40">
        <v>8.1978559999999998</v>
      </c>
      <c r="C73" s="40">
        <v>-8.8234840000000005</v>
      </c>
      <c r="D73" s="40">
        <v>-5.2925466999999999</v>
      </c>
      <c r="E73" s="40">
        <v>4.2881966</v>
      </c>
      <c r="F73" s="40">
        <v>4.5152307</v>
      </c>
      <c r="G73" s="40">
        <v>11.692667</v>
      </c>
      <c r="H73" s="40">
        <v>-14.813763</v>
      </c>
      <c r="I73" s="40">
        <v>35.234546999999999</v>
      </c>
      <c r="J73" s="40">
        <v>9.2014069999999997</v>
      </c>
      <c r="K73" s="47">
        <v>-5.5229900000000001</v>
      </c>
      <c r="L73" s="47">
        <v>11.578274</v>
      </c>
      <c r="M73" s="47">
        <v>11.04269</v>
      </c>
      <c r="N73" s="47">
        <v>-8.2243499999999994</v>
      </c>
    </row>
    <row r="74" spans="1:14" x14ac:dyDescent="0.35">
      <c r="A74" s="2">
        <v>44057</v>
      </c>
      <c r="B74" s="40">
        <v>11.014640999999999</v>
      </c>
      <c r="C74" s="40">
        <v>0.95913409999999999</v>
      </c>
      <c r="D74" s="40">
        <v>5.4904460000000004</v>
      </c>
      <c r="E74" s="40">
        <v>17.903220999999998</v>
      </c>
      <c r="F74" s="40">
        <v>12.693500500000001</v>
      </c>
      <c r="G74" s="40">
        <v>15.13735</v>
      </c>
      <c r="H74" s="40">
        <v>-5.8064819999999999</v>
      </c>
      <c r="I74" s="40">
        <v>50.115169999999999</v>
      </c>
      <c r="J74" s="40">
        <v>21.050585000000002</v>
      </c>
      <c r="K74" s="47">
        <v>3.3149362</v>
      </c>
      <c r="L74" s="47">
        <v>20.483124</v>
      </c>
      <c r="M74" s="47">
        <v>30.263233</v>
      </c>
      <c r="N74" s="47">
        <v>4.7695875000000001</v>
      </c>
    </row>
    <row r="75" spans="1:14" x14ac:dyDescent="0.35">
      <c r="A75" s="2">
        <v>44090</v>
      </c>
      <c r="B75" s="40">
        <v>15.972984</v>
      </c>
      <c r="C75" s="40">
        <v>-5.6477190000000004</v>
      </c>
      <c r="D75" s="40">
        <v>-1.3183355000000001</v>
      </c>
      <c r="E75" s="40">
        <v>12.443149999999999</v>
      </c>
      <c r="F75" s="40">
        <v>7.1916339999999996</v>
      </c>
      <c r="G75" s="40">
        <v>15.942251000000001</v>
      </c>
      <c r="H75" s="40">
        <v>-12.810457</v>
      </c>
      <c r="I75" s="40">
        <v>44.417879999999997</v>
      </c>
      <c r="J75" s="40">
        <v>15.166150999999999</v>
      </c>
      <c r="K75" s="47">
        <v>-1.2441814</v>
      </c>
      <c r="L75" s="47">
        <v>13.504481</v>
      </c>
      <c r="M75" s="47">
        <v>21.040379999999999</v>
      </c>
      <c r="N75" s="47">
        <v>-5.373132</v>
      </c>
    </row>
    <row r="76" spans="1:14" x14ac:dyDescent="0.35">
      <c r="A76" s="2">
        <v>44120</v>
      </c>
      <c r="B76" s="40">
        <v>18.294703999999999</v>
      </c>
      <c r="C76" s="40">
        <v>-3.7696838000000001</v>
      </c>
      <c r="D76" s="40">
        <v>1.0293007000000001</v>
      </c>
      <c r="E76" s="40">
        <v>7.4669239999999997</v>
      </c>
      <c r="F76" s="40">
        <v>4.2465925000000002</v>
      </c>
      <c r="G76" s="40">
        <v>11.950815</v>
      </c>
      <c r="H76" s="40">
        <v>-16.592162999999999</v>
      </c>
      <c r="I76" s="40">
        <v>50.573993999999999</v>
      </c>
      <c r="J76" s="40">
        <v>18.671821999999999</v>
      </c>
      <c r="K76" s="47">
        <v>-5.4467974000000003</v>
      </c>
      <c r="L76" s="47">
        <v>15.657722</v>
      </c>
      <c r="M76" s="47">
        <v>22.095537</v>
      </c>
      <c r="N76" s="47">
        <v>-10.757250000000001</v>
      </c>
    </row>
    <row r="77" spans="1:14" x14ac:dyDescent="0.35">
      <c r="A77" s="2">
        <v>44151</v>
      </c>
      <c r="B77" s="40">
        <v>26.895845000000001</v>
      </c>
      <c r="C77" s="40">
        <v>2.1953464</v>
      </c>
      <c r="D77" s="40">
        <v>0.90886354000000003</v>
      </c>
      <c r="E77" s="40">
        <v>4.6266794000000004</v>
      </c>
      <c r="F77" s="40">
        <v>9.6585389999999993</v>
      </c>
      <c r="G77" s="40">
        <v>12.926567</v>
      </c>
      <c r="H77" s="40">
        <v>-9.1438054999999991</v>
      </c>
      <c r="I77" s="40">
        <v>45.578384</v>
      </c>
      <c r="J77" s="40">
        <v>18.572462000000002</v>
      </c>
      <c r="K77" s="47">
        <v>1.7838358999999999</v>
      </c>
      <c r="L77" s="47">
        <v>18.284893</v>
      </c>
      <c r="M77" s="47">
        <v>22.970438000000001</v>
      </c>
      <c r="N77" s="47">
        <v>-4.8081100000000001</v>
      </c>
    </row>
    <row r="78" spans="1:14" x14ac:dyDescent="0.35">
      <c r="A78" s="2">
        <v>44181</v>
      </c>
      <c r="B78" s="40">
        <v>22.913467000000001</v>
      </c>
      <c r="C78" s="40">
        <v>7.5012090000000002</v>
      </c>
      <c r="D78" s="40">
        <v>7.8503610000000004</v>
      </c>
      <c r="E78" s="40">
        <v>9.2402820000000006</v>
      </c>
      <c r="F78" s="40">
        <v>11.401998499999999</v>
      </c>
      <c r="G78" s="40">
        <v>12.025905</v>
      </c>
      <c r="H78" s="40">
        <v>-11.0116005</v>
      </c>
      <c r="I78" s="40">
        <v>48.750973000000002</v>
      </c>
      <c r="J78" s="40">
        <v>18.136607999999999</v>
      </c>
      <c r="K78" s="47">
        <v>4.0211319999999997</v>
      </c>
      <c r="L78" s="47">
        <v>21.965170000000001</v>
      </c>
      <c r="M78" s="47">
        <v>21.119726</v>
      </c>
      <c r="N78" s="47">
        <v>1.8111229</v>
      </c>
    </row>
    <row r="79" spans="1:14" x14ac:dyDescent="0.35">
      <c r="A79" s="2">
        <v>44211</v>
      </c>
      <c r="B79" s="40">
        <v>17.366195999999999</v>
      </c>
      <c r="C79" s="40">
        <v>7.4872255000000001</v>
      </c>
      <c r="D79" s="40">
        <v>7.2578550000000002</v>
      </c>
      <c r="E79" s="40">
        <v>9.5774539999999995</v>
      </c>
      <c r="F79" s="40">
        <v>16.564512000000001</v>
      </c>
      <c r="G79" s="40">
        <v>11.896658</v>
      </c>
      <c r="H79" s="40">
        <v>-7.3037330000000003</v>
      </c>
      <c r="I79" s="40">
        <v>42.655647000000002</v>
      </c>
      <c r="J79" s="40">
        <v>16.655182</v>
      </c>
      <c r="K79" s="47">
        <v>3.5334587000000002</v>
      </c>
      <c r="L79" s="47">
        <v>27.292538</v>
      </c>
      <c r="M79" s="47">
        <v>25.663530000000002</v>
      </c>
      <c r="N79" s="47">
        <v>1.4656425</v>
      </c>
    </row>
    <row r="80" spans="1:14" x14ac:dyDescent="0.35">
      <c r="A80" s="2">
        <v>44243</v>
      </c>
      <c r="B80" s="40">
        <v>16.3185</v>
      </c>
      <c r="C80" s="40">
        <v>12.467039</v>
      </c>
      <c r="D80" s="40">
        <v>10.356116</v>
      </c>
      <c r="E80" s="40">
        <v>14.463282</v>
      </c>
      <c r="F80" s="40">
        <v>24.413967</v>
      </c>
      <c r="G80" s="40">
        <v>10.366762</v>
      </c>
      <c r="H80" s="40">
        <v>-2.37391</v>
      </c>
      <c r="I80" s="40">
        <v>44.022284999999997</v>
      </c>
      <c r="J80" s="40">
        <v>18.414269999999998</v>
      </c>
      <c r="K80" s="47">
        <v>8.2312580000000004</v>
      </c>
      <c r="L80" s="47">
        <v>35.799205999999998</v>
      </c>
      <c r="M80" s="47">
        <v>28.590451999999999</v>
      </c>
      <c r="N80" s="47">
        <v>4.5349836000000003</v>
      </c>
    </row>
    <row r="81" spans="1:14" x14ac:dyDescent="0.35">
      <c r="A81" s="2">
        <v>44271</v>
      </c>
      <c r="B81" s="40">
        <v>59.327950000000001</v>
      </c>
      <c r="C81" s="40">
        <v>77.97054</v>
      </c>
      <c r="D81" s="40">
        <v>77.717124999999996</v>
      </c>
      <c r="E81" s="40">
        <v>80.705280000000002</v>
      </c>
      <c r="F81" s="40">
        <v>62.823222999999999</v>
      </c>
      <c r="G81" s="40">
        <v>45.396279999999997</v>
      </c>
      <c r="H81" s="40">
        <v>54.406975000000003</v>
      </c>
      <c r="I81" s="40">
        <v>90.70711</v>
      </c>
      <c r="J81" s="40">
        <v>68.207340000000002</v>
      </c>
      <c r="K81" s="47">
        <v>72.898635999999996</v>
      </c>
      <c r="L81" s="47">
        <v>96.360849999999999</v>
      </c>
      <c r="M81" s="47">
        <v>100.09041000000001</v>
      </c>
      <c r="N81" s="47">
        <v>76.841149999999999</v>
      </c>
    </row>
    <row r="82" spans="1:14" x14ac:dyDescent="0.35">
      <c r="A82" s="2">
        <v>44302</v>
      </c>
      <c r="B82" s="40">
        <v>36.742176000000001</v>
      </c>
      <c r="C82" s="40">
        <v>63.774810000000002</v>
      </c>
      <c r="D82" s="40">
        <v>61.244953000000002</v>
      </c>
      <c r="E82" s="40">
        <v>63.622190000000003</v>
      </c>
      <c r="F82" s="40">
        <v>41.170929999999998</v>
      </c>
      <c r="G82" s="40">
        <v>31.606280999999999</v>
      </c>
      <c r="H82" s="40">
        <v>40.195419999999999</v>
      </c>
      <c r="I82" s="40">
        <v>61.380789999999998</v>
      </c>
      <c r="J82" s="40">
        <v>51.914000000000001</v>
      </c>
      <c r="K82" s="47">
        <v>62.140050000000002</v>
      </c>
      <c r="L82" s="47">
        <v>80.350620000000006</v>
      </c>
      <c r="M82" s="47">
        <v>91.849180000000004</v>
      </c>
      <c r="N82" s="47">
        <v>64.717420000000004</v>
      </c>
    </row>
    <row r="83" spans="1:14" x14ac:dyDescent="0.35">
      <c r="A83" s="2">
        <v>44330</v>
      </c>
      <c r="B83" s="40">
        <v>28.694701999999999</v>
      </c>
      <c r="C83" s="40">
        <v>64.171130000000005</v>
      </c>
      <c r="D83" s="40">
        <v>59.308770000000003</v>
      </c>
      <c r="E83" s="40">
        <v>60.853447000000003</v>
      </c>
      <c r="F83" s="40">
        <v>31.367540000000002</v>
      </c>
      <c r="G83" s="40">
        <v>31.530678000000002</v>
      </c>
      <c r="H83" s="40">
        <v>43.580807</v>
      </c>
      <c r="I83" s="40">
        <v>48.053489999999996</v>
      </c>
      <c r="J83" s="40">
        <v>48.542296999999998</v>
      </c>
      <c r="K83" s="47">
        <v>68.410385000000005</v>
      </c>
      <c r="L83" s="47">
        <v>73.232315</v>
      </c>
      <c r="M83" s="47">
        <v>86.049164000000005</v>
      </c>
      <c r="N83" s="47">
        <v>67.510140000000007</v>
      </c>
    </row>
    <row r="84" spans="1:14" x14ac:dyDescent="0.35">
      <c r="A84" s="2">
        <v>44363</v>
      </c>
      <c r="B84" s="40">
        <v>16.913605</v>
      </c>
      <c r="C84" s="40">
        <v>41.879060000000003</v>
      </c>
      <c r="D84" s="40">
        <v>48.181460000000001</v>
      </c>
      <c r="E84" s="40">
        <v>34.003627999999999</v>
      </c>
      <c r="F84" s="40">
        <v>24.416267000000001</v>
      </c>
      <c r="G84" s="40">
        <v>30.402756</v>
      </c>
      <c r="H84" s="40">
        <v>31.044329000000001</v>
      </c>
      <c r="I84" s="40">
        <v>41.296387000000003</v>
      </c>
      <c r="J84" s="40">
        <v>37.052726999999997</v>
      </c>
      <c r="K84" s="47">
        <v>44.595325000000003</v>
      </c>
      <c r="L84" s="47">
        <v>54.213977999999997</v>
      </c>
      <c r="M84" s="47">
        <v>58.570970000000003</v>
      </c>
      <c r="N84" s="47">
        <v>41.284633999999997</v>
      </c>
    </row>
    <row r="85" spans="1:14" x14ac:dyDescent="0.35">
      <c r="A85" s="2">
        <v>44393</v>
      </c>
      <c r="B85" s="40">
        <v>9.6746920000000003</v>
      </c>
      <c r="C85" s="40">
        <v>32.140743000000001</v>
      </c>
      <c r="D85" s="40">
        <v>38.359259999999999</v>
      </c>
      <c r="E85" s="40">
        <v>23.540474</v>
      </c>
      <c r="F85" s="40">
        <v>21.239066999999999</v>
      </c>
      <c r="G85" s="40">
        <v>22.917843000000001</v>
      </c>
      <c r="H85" s="40">
        <v>25.689803999999999</v>
      </c>
      <c r="I85" s="40">
        <v>38.788246000000001</v>
      </c>
      <c r="J85" s="40">
        <v>36.480094999999999</v>
      </c>
      <c r="K85" s="47">
        <v>31.805205999999998</v>
      </c>
      <c r="L85" s="47">
        <v>41.246234999999999</v>
      </c>
      <c r="M85" s="47">
        <v>43.627693000000001</v>
      </c>
      <c r="N85" s="47">
        <v>25.713920000000002</v>
      </c>
    </row>
    <row r="86" spans="1:14" x14ac:dyDescent="0.35">
      <c r="A86" s="2">
        <v>44424</v>
      </c>
      <c r="B86" s="40">
        <v>9.8527319999999996</v>
      </c>
      <c r="C86" s="40">
        <v>30.887402000000002</v>
      </c>
      <c r="D86" s="40">
        <v>35.148083</v>
      </c>
      <c r="E86" s="40">
        <v>22.117733000000001</v>
      </c>
      <c r="F86" s="40">
        <v>19.169353000000001</v>
      </c>
      <c r="G86" s="40">
        <v>25.591992999999999</v>
      </c>
      <c r="H86" s="40">
        <v>28.290344000000001</v>
      </c>
      <c r="I86" s="40">
        <v>36.343563000000003</v>
      </c>
      <c r="J86" s="40">
        <v>34.68683</v>
      </c>
      <c r="K86" s="47">
        <v>37.094760000000001</v>
      </c>
      <c r="L86" s="47">
        <v>46.502090000000003</v>
      </c>
      <c r="M86" s="47">
        <v>41.626311999999999</v>
      </c>
      <c r="N86" s="47">
        <v>32.216895999999998</v>
      </c>
    </row>
    <row r="87" spans="1:14" x14ac:dyDescent="0.35">
      <c r="A87" s="2">
        <v>44455</v>
      </c>
      <c r="B87" s="40">
        <v>9.1004489999999993</v>
      </c>
      <c r="C87" s="40">
        <v>29.289245999999999</v>
      </c>
      <c r="D87" s="40">
        <v>35.784399999999998</v>
      </c>
      <c r="E87" s="40">
        <v>17.536413</v>
      </c>
      <c r="F87" s="40">
        <v>25.794291999999999</v>
      </c>
      <c r="G87" s="40">
        <v>17.535698</v>
      </c>
      <c r="H87" s="40">
        <v>27.550792999999999</v>
      </c>
      <c r="I87" s="40">
        <v>38.543937999999997</v>
      </c>
      <c r="J87" s="40">
        <v>33.959651999999998</v>
      </c>
      <c r="K87" s="47">
        <v>32.868586999999998</v>
      </c>
      <c r="L87" s="47">
        <v>52.569899999999997</v>
      </c>
      <c r="M87" s="47">
        <v>37.259247000000002</v>
      </c>
      <c r="N87" s="47">
        <v>29.997109999999999</v>
      </c>
    </row>
    <row r="88" spans="1:14" x14ac:dyDescent="0.35">
      <c r="A88" s="2">
        <v>44484</v>
      </c>
      <c r="B88" s="40">
        <v>4.7096251999999996</v>
      </c>
      <c r="C88" s="40">
        <v>28.914238000000001</v>
      </c>
      <c r="D88" s="40">
        <v>40.505744999999997</v>
      </c>
      <c r="E88" s="40">
        <v>18.320156000000001</v>
      </c>
      <c r="F88" s="40">
        <v>18.297671999999999</v>
      </c>
      <c r="G88" s="40">
        <v>20.381820000000001</v>
      </c>
      <c r="H88" s="40">
        <v>36.559759999999997</v>
      </c>
      <c r="I88" s="40">
        <v>27.857303999999999</v>
      </c>
      <c r="J88" s="40">
        <v>30.128145</v>
      </c>
      <c r="K88" s="47">
        <v>38.19988</v>
      </c>
      <c r="L88" s="47">
        <v>43.949092999999998</v>
      </c>
      <c r="M88" s="47">
        <v>36.651479999999999</v>
      </c>
      <c r="N88" s="47">
        <v>37.672460000000001</v>
      </c>
    </row>
    <row r="89" spans="1:14" x14ac:dyDescent="0.35">
      <c r="A89" s="2">
        <v>44516</v>
      </c>
      <c r="B89" s="40">
        <v>-5.0559339999999997</v>
      </c>
      <c r="C89" s="40">
        <v>17.783069999999999</v>
      </c>
      <c r="D89" s="40">
        <v>38.405098000000002</v>
      </c>
      <c r="E89" s="40">
        <v>16.576422000000001</v>
      </c>
      <c r="F89" s="40">
        <v>9.938955</v>
      </c>
      <c r="G89" s="40">
        <v>19.830942</v>
      </c>
      <c r="H89" s="40">
        <v>19.656921000000001</v>
      </c>
      <c r="I89" s="40">
        <v>36.270949999999999</v>
      </c>
      <c r="J89" s="40">
        <v>31.267738000000001</v>
      </c>
      <c r="K89" s="47">
        <v>25.965405000000001</v>
      </c>
      <c r="L89" s="47">
        <v>38.380980000000001</v>
      </c>
      <c r="M89" s="47">
        <v>28.927969999999998</v>
      </c>
      <c r="N89" s="47">
        <v>24.442339</v>
      </c>
    </row>
    <row r="90" spans="1:14" x14ac:dyDescent="0.35">
      <c r="A90" s="2">
        <v>44546</v>
      </c>
      <c r="B90" s="40">
        <v>-11.333513</v>
      </c>
      <c r="C90" s="40">
        <v>5.739522</v>
      </c>
      <c r="D90" s="40">
        <v>21.797121000000001</v>
      </c>
      <c r="E90" s="40">
        <v>4.5721889999999998</v>
      </c>
      <c r="F90" s="40">
        <v>4.6398279999999996</v>
      </c>
      <c r="G90" s="40">
        <v>20.471454999999999</v>
      </c>
      <c r="H90" s="40">
        <v>13.372790999999999</v>
      </c>
      <c r="I90" s="40">
        <v>25.868904000000001</v>
      </c>
      <c r="J90" s="40">
        <v>27.797305999999999</v>
      </c>
      <c r="K90" s="47">
        <v>17.842244999999998</v>
      </c>
      <c r="L90" s="47">
        <v>19.950448999999999</v>
      </c>
      <c r="M90" s="47">
        <v>18.280971999999998</v>
      </c>
      <c r="N90" s="47">
        <v>12.599956499999999</v>
      </c>
    </row>
    <row r="91" spans="1:14" x14ac:dyDescent="0.35">
      <c r="A91" s="2">
        <v>44575</v>
      </c>
      <c r="B91" s="40">
        <v>-12.015420000000001</v>
      </c>
      <c r="C91" s="40">
        <v>4.3678045000000001</v>
      </c>
      <c r="D91" s="40">
        <v>23.967922000000002</v>
      </c>
      <c r="E91" s="40">
        <v>5.0686239999999998</v>
      </c>
      <c r="F91" s="40">
        <v>-1.8554269999999999</v>
      </c>
      <c r="G91" s="40">
        <v>14.737892</v>
      </c>
      <c r="H91" s="40">
        <v>16.181135000000001</v>
      </c>
      <c r="I91" s="40">
        <v>21.470510000000001</v>
      </c>
      <c r="J91" s="40">
        <v>24.444914000000001</v>
      </c>
      <c r="K91" s="47">
        <v>19.507550999999999</v>
      </c>
      <c r="L91" s="47">
        <v>14.703822000000001</v>
      </c>
      <c r="M91" s="47">
        <v>13.879311</v>
      </c>
      <c r="N91" s="47">
        <v>14.752352</v>
      </c>
    </row>
    <row r="92" spans="1:14" x14ac:dyDescent="0.35">
      <c r="A92" s="2">
        <v>44608</v>
      </c>
      <c r="B92" s="40">
        <v>-15.257179000000001</v>
      </c>
      <c r="C92" s="40">
        <v>1.0647177999999999</v>
      </c>
      <c r="D92" s="40">
        <v>19.475066999999999</v>
      </c>
      <c r="E92" s="40">
        <v>0.21513699999999999</v>
      </c>
      <c r="F92" s="40">
        <v>-8.1271229999999992</v>
      </c>
      <c r="G92" s="40">
        <v>10.107576</v>
      </c>
      <c r="H92" s="40">
        <v>15.705824</v>
      </c>
      <c r="I92" s="40">
        <v>6.6212534999999999</v>
      </c>
      <c r="J92" s="40">
        <v>15.37354</v>
      </c>
      <c r="K92" s="47">
        <v>14.591455</v>
      </c>
      <c r="L92" s="47">
        <v>0.68935155999999997</v>
      </c>
      <c r="M92" s="47">
        <v>2.2660969999999998</v>
      </c>
      <c r="N92" s="47">
        <v>9.7451799999999995</v>
      </c>
    </row>
    <row r="93" spans="1:14" x14ac:dyDescent="0.35">
      <c r="A93" s="2">
        <v>44636</v>
      </c>
      <c r="B93" s="40">
        <v>-13.449954999999999</v>
      </c>
      <c r="C93" s="40">
        <v>4.8386573999999998</v>
      </c>
      <c r="D93" s="40">
        <v>14.271569</v>
      </c>
      <c r="E93" s="40">
        <v>-10.289902</v>
      </c>
      <c r="F93" s="40">
        <v>-10.595692</v>
      </c>
      <c r="G93" s="40">
        <v>8.5194229999999997</v>
      </c>
      <c r="H93" s="40">
        <v>7.7759624000000001</v>
      </c>
      <c r="I93" s="40">
        <v>6.6695333000000003</v>
      </c>
      <c r="J93" s="40">
        <v>11.510849</v>
      </c>
      <c r="K93" s="47">
        <v>3.2074094</v>
      </c>
      <c r="L93" s="47">
        <v>-5.2722096000000001</v>
      </c>
      <c r="M93" s="47">
        <v>-6.5711617000000002</v>
      </c>
      <c r="N93" s="47">
        <v>-5.9381009999999996</v>
      </c>
    </row>
    <row r="94" spans="1:14" x14ac:dyDescent="0.35">
      <c r="A94" s="2">
        <v>44665</v>
      </c>
      <c r="B94" s="40">
        <v>-14.920771</v>
      </c>
      <c r="C94" s="40">
        <v>7.7009679999999996</v>
      </c>
      <c r="D94" s="40">
        <v>15.282261</v>
      </c>
      <c r="E94" s="40">
        <v>-19.425518</v>
      </c>
      <c r="F94" s="40">
        <v>-14.292216</v>
      </c>
      <c r="G94" s="40">
        <v>9.372878</v>
      </c>
      <c r="H94" s="40">
        <v>10.448801</v>
      </c>
      <c r="I94" s="40">
        <v>1.0555505999999999</v>
      </c>
      <c r="J94" s="40">
        <v>7.8113793999999999</v>
      </c>
      <c r="K94" s="47">
        <v>-2.1361827999999998</v>
      </c>
      <c r="L94" s="47">
        <v>-14.903975000000001</v>
      </c>
      <c r="M94" s="47">
        <v>-13.973671</v>
      </c>
      <c r="N94" s="47">
        <v>-6.5641284000000004</v>
      </c>
    </row>
    <row r="95" spans="1:14" x14ac:dyDescent="0.35">
      <c r="A95" s="2">
        <v>44697</v>
      </c>
      <c r="B95" s="40">
        <v>-24.053455</v>
      </c>
      <c r="C95" s="40">
        <v>-5.9353885999999996</v>
      </c>
      <c r="D95" s="40">
        <v>0.25800466999999999</v>
      </c>
      <c r="E95" s="40">
        <v>-25.368130000000001</v>
      </c>
      <c r="F95" s="40">
        <v>-14.668761999999999</v>
      </c>
      <c r="G95" s="40">
        <v>-5.2127780000000001</v>
      </c>
      <c r="H95" s="40">
        <v>-1.5011190999999999</v>
      </c>
      <c r="I95" s="40">
        <v>-8.1224329999999991</v>
      </c>
      <c r="J95" s="40">
        <v>-2.6860415999999998</v>
      </c>
      <c r="K95" s="47">
        <v>-11.770367999999999</v>
      </c>
      <c r="L95" s="47">
        <v>-22.321123</v>
      </c>
      <c r="M95" s="47">
        <v>-24.22335</v>
      </c>
      <c r="N95" s="47">
        <v>-15.094441</v>
      </c>
    </row>
    <row r="96" spans="1:14" x14ac:dyDescent="0.35">
      <c r="A96" s="2">
        <v>44728</v>
      </c>
      <c r="B96" s="40">
        <v>-27.120882000000002</v>
      </c>
      <c r="C96" s="40">
        <v>-15.72668</v>
      </c>
      <c r="D96" s="40">
        <v>-8.9500309999999992</v>
      </c>
      <c r="E96" s="40">
        <v>-30.726469000000002</v>
      </c>
      <c r="F96" s="40">
        <v>-22.031343</v>
      </c>
      <c r="G96" s="40">
        <v>-18.598227999999999</v>
      </c>
      <c r="H96" s="40">
        <v>-7.7516974999999997</v>
      </c>
      <c r="I96" s="40">
        <v>-20.032029999999999</v>
      </c>
      <c r="J96" s="40">
        <v>-11.987996000000001</v>
      </c>
      <c r="K96" s="47">
        <v>-19.212554999999998</v>
      </c>
      <c r="L96" s="47">
        <v>-30.266344</v>
      </c>
      <c r="M96" s="47">
        <v>-30.597187000000002</v>
      </c>
      <c r="N96" s="47">
        <v>-23.896515000000001</v>
      </c>
    </row>
    <row r="97" spans="1:14" x14ac:dyDescent="0.35">
      <c r="A97" s="2">
        <v>44757</v>
      </c>
      <c r="B97" s="40">
        <v>-24.099534999999999</v>
      </c>
      <c r="C97" s="40">
        <v>-12.554682</v>
      </c>
      <c r="D97" s="40">
        <v>-10.082084</v>
      </c>
      <c r="E97" s="40">
        <v>-33.77373</v>
      </c>
      <c r="F97" s="40">
        <v>-20.507245999999999</v>
      </c>
      <c r="G97" s="40">
        <v>-14.354229</v>
      </c>
      <c r="H97" s="40">
        <v>-6.7874613000000004</v>
      </c>
      <c r="I97" s="40">
        <v>-18.592690999999999</v>
      </c>
      <c r="J97" s="40">
        <v>-10.150921</v>
      </c>
      <c r="K97" s="47">
        <v>-16.937864000000001</v>
      </c>
      <c r="L97" s="47">
        <v>-27.937190999999999</v>
      </c>
      <c r="M97" s="47">
        <v>-32.041145</v>
      </c>
      <c r="N97" s="47">
        <v>-26.003706000000001</v>
      </c>
    </row>
    <row r="98" spans="1:14" x14ac:dyDescent="0.35">
      <c r="A98" s="2">
        <v>44789</v>
      </c>
      <c r="B98" s="40">
        <v>-16.487193999999999</v>
      </c>
      <c r="C98" s="40">
        <v>-6.1323166000000002</v>
      </c>
      <c r="D98" s="40">
        <v>-1.2986481000000001</v>
      </c>
      <c r="E98" s="40">
        <v>-28.932459000000001</v>
      </c>
      <c r="F98" s="40">
        <v>-14.461452</v>
      </c>
      <c r="G98" s="40">
        <v>-13.500171999999999</v>
      </c>
      <c r="H98" s="40">
        <v>-2.4012207999999999</v>
      </c>
      <c r="I98" s="40">
        <v>-9.4466149999999995</v>
      </c>
      <c r="J98" s="40">
        <v>-2.4936557000000001</v>
      </c>
      <c r="K98" s="47">
        <v>-12.589097000000001</v>
      </c>
      <c r="L98" s="47">
        <v>-24.059342999999998</v>
      </c>
      <c r="M98" s="47">
        <v>-26.05087</v>
      </c>
      <c r="N98" s="47">
        <v>-22.380220000000001</v>
      </c>
    </row>
    <row r="99" spans="1:14" x14ac:dyDescent="0.35">
      <c r="A99" s="2">
        <v>44820</v>
      </c>
      <c r="B99" s="40">
        <v>-25.360292000000001</v>
      </c>
      <c r="C99" s="40">
        <v>-12.325263</v>
      </c>
      <c r="D99" s="40">
        <v>-8.0348970000000008</v>
      </c>
      <c r="E99" s="40">
        <v>-34.979934999999998</v>
      </c>
      <c r="F99" s="40">
        <v>-28.563445999999999</v>
      </c>
      <c r="G99" s="40">
        <v>-16.883707000000001</v>
      </c>
      <c r="H99" s="40">
        <v>-9.7683909999999994</v>
      </c>
      <c r="I99" s="40">
        <v>-23.098648000000001</v>
      </c>
      <c r="J99" s="40">
        <v>-12.186831</v>
      </c>
      <c r="K99" s="47">
        <v>-19.333447</v>
      </c>
      <c r="L99" s="47">
        <v>-36.393833000000001</v>
      </c>
      <c r="M99" s="47">
        <v>-34.721733</v>
      </c>
      <c r="N99" s="47">
        <v>-23.981773</v>
      </c>
    </row>
    <row r="100" spans="1:14" x14ac:dyDescent="0.35">
      <c r="A100" s="2">
        <v>44848</v>
      </c>
      <c r="B100" s="40">
        <v>-34.834679999999999</v>
      </c>
      <c r="C100" s="40">
        <v>-19.549889</v>
      </c>
      <c r="D100" s="40">
        <v>-19.673275</v>
      </c>
      <c r="E100" s="40">
        <v>-37.366570000000003</v>
      </c>
      <c r="F100" s="40">
        <v>-27.424161999999999</v>
      </c>
      <c r="G100" s="40">
        <v>-21.920849</v>
      </c>
      <c r="H100" s="40">
        <v>-17.870415000000001</v>
      </c>
      <c r="I100" s="40">
        <v>-28.440916000000001</v>
      </c>
      <c r="J100" s="40">
        <v>-17.953861</v>
      </c>
      <c r="K100" s="47">
        <v>-24.414587000000001</v>
      </c>
      <c r="L100" s="47">
        <v>-40.252791999999999</v>
      </c>
      <c r="M100" s="47">
        <v>-38.413555000000002</v>
      </c>
      <c r="N100" s="47">
        <v>-30.722695999999999</v>
      </c>
    </row>
    <row r="101" spans="1:14" x14ac:dyDescent="0.35">
      <c r="A101" s="2">
        <v>44881</v>
      </c>
      <c r="B101" s="40">
        <v>-23.201096</v>
      </c>
      <c r="C101" s="40">
        <v>-6.2884149999999996</v>
      </c>
      <c r="D101" s="40">
        <v>-11.174410999999999</v>
      </c>
      <c r="E101" s="40">
        <v>-24.364197000000001</v>
      </c>
      <c r="F101" s="40">
        <v>-20.405494999999998</v>
      </c>
      <c r="G101" s="40">
        <v>-15.224976</v>
      </c>
      <c r="H101" s="40">
        <v>-5.7932139999999999</v>
      </c>
      <c r="I101" s="40">
        <v>-27.731306</v>
      </c>
      <c r="J101" s="40">
        <v>-14.454518999999999</v>
      </c>
      <c r="K101" s="47">
        <v>-13.009679999999999</v>
      </c>
      <c r="L101" s="47">
        <v>-27.446805999999999</v>
      </c>
      <c r="M101" s="47">
        <v>-28.021711</v>
      </c>
      <c r="N101" s="47">
        <v>-15.108328999999999</v>
      </c>
    </row>
    <row r="102" spans="1:14" x14ac:dyDescent="0.35">
      <c r="A102" s="2">
        <v>44911</v>
      </c>
      <c r="B102" s="40">
        <v>-14.105468999999999</v>
      </c>
      <c r="C102" s="40">
        <v>-3.16723</v>
      </c>
      <c r="D102" s="40">
        <v>-10.896492</v>
      </c>
      <c r="E102" s="40">
        <v>-21.521239999999999</v>
      </c>
      <c r="F102" s="40">
        <v>-18.862295</v>
      </c>
      <c r="G102" s="40">
        <v>-17.769735000000001</v>
      </c>
      <c r="H102" s="40">
        <v>-2.2646487</v>
      </c>
      <c r="I102" s="40">
        <v>-28.665368999999998</v>
      </c>
      <c r="J102" s="40">
        <v>-16.198634999999999</v>
      </c>
      <c r="K102" s="47">
        <v>-10.338592999999999</v>
      </c>
      <c r="L102" s="47">
        <v>-20.539124000000001</v>
      </c>
      <c r="M102" s="47">
        <v>-24.389011</v>
      </c>
      <c r="N102" s="47">
        <v>-13.165336999999999</v>
      </c>
    </row>
    <row r="103" spans="1:14" x14ac:dyDescent="0.35">
      <c r="A103" s="2">
        <v>44939</v>
      </c>
      <c r="B103" s="40">
        <v>-11.444986</v>
      </c>
      <c r="C103" s="40">
        <v>1.4760256</v>
      </c>
      <c r="D103" s="40">
        <v>-8.8380810000000007</v>
      </c>
      <c r="E103" s="40">
        <v>-14.040482000000001</v>
      </c>
      <c r="F103" s="40">
        <v>-14.64448</v>
      </c>
      <c r="G103" s="40">
        <v>-11.338471999999999</v>
      </c>
      <c r="H103" s="40">
        <v>-2.2443175000000002</v>
      </c>
      <c r="I103" s="40">
        <v>-25.055842999999999</v>
      </c>
      <c r="J103" s="40">
        <v>-12.818718000000001</v>
      </c>
      <c r="K103" s="47">
        <v>-4.0966750000000003</v>
      </c>
      <c r="L103" s="47">
        <v>-13.224214999999999</v>
      </c>
      <c r="M103" s="47">
        <v>-20.239998</v>
      </c>
      <c r="N103" s="47">
        <v>-7.8005433000000002</v>
      </c>
    </row>
    <row r="104" spans="1:14" x14ac:dyDescent="0.35">
      <c r="A104" s="2">
        <v>44973</v>
      </c>
      <c r="B104" s="40">
        <v>-3.8680672999999999</v>
      </c>
      <c r="C104" s="40">
        <v>2.9083610000000002</v>
      </c>
      <c r="D104" s="40">
        <v>-7.1578980000000003</v>
      </c>
      <c r="E104" s="40">
        <v>-10.220264999999999</v>
      </c>
      <c r="F104" s="40">
        <v>-10.751325</v>
      </c>
      <c r="G104" s="40">
        <v>-7.7964250000000002</v>
      </c>
      <c r="H104" s="40">
        <v>-2.6343166999999998</v>
      </c>
      <c r="I104" s="40">
        <v>-14.187127</v>
      </c>
      <c r="J104" s="40">
        <v>-7.0930720000000003</v>
      </c>
      <c r="K104" s="47">
        <v>1.3142228</v>
      </c>
      <c r="L104" s="47">
        <v>-7.0148706000000001</v>
      </c>
      <c r="M104" s="47">
        <v>-11.502147000000001</v>
      </c>
      <c r="N104" s="47">
        <v>-2.0707369999999998</v>
      </c>
    </row>
    <row r="105" spans="1:14" x14ac:dyDescent="0.35">
      <c r="A105" s="2">
        <v>45001</v>
      </c>
      <c r="B105" s="40">
        <v>-10.689187</v>
      </c>
      <c r="C105" s="40">
        <v>-7.4887990000000002</v>
      </c>
      <c r="D105" s="40">
        <v>-13.967067</v>
      </c>
      <c r="E105" s="40">
        <v>-4.4661283000000003</v>
      </c>
      <c r="F105" s="40">
        <v>-6.8555890000000002</v>
      </c>
      <c r="G105" s="40">
        <v>-6.9968995999999999</v>
      </c>
      <c r="H105" s="40">
        <v>-2.5978981999999999</v>
      </c>
      <c r="I105" s="40">
        <v>-9.1843240000000002</v>
      </c>
      <c r="J105" s="40">
        <v>-7.5904845999999999</v>
      </c>
      <c r="K105" s="47">
        <v>5.4440020000000002</v>
      </c>
      <c r="L105" s="47">
        <v>-3.3289849999999999</v>
      </c>
      <c r="M105" s="47">
        <v>-12.995678</v>
      </c>
      <c r="N105" s="47">
        <v>4.4011116000000001</v>
      </c>
    </row>
    <row r="106" spans="1:14" x14ac:dyDescent="0.35">
      <c r="A106" s="2">
        <v>45030</v>
      </c>
      <c r="B106" s="40">
        <v>-5.6634130000000003</v>
      </c>
      <c r="C106" s="40">
        <v>-6.5218153000000001</v>
      </c>
      <c r="D106" s="40">
        <v>-8.6828120000000002</v>
      </c>
      <c r="E106" s="40">
        <v>10.604024000000001</v>
      </c>
      <c r="F106" s="40">
        <v>1.2720465999999999</v>
      </c>
      <c r="G106" s="40">
        <v>-2.1449327</v>
      </c>
      <c r="H106" s="40">
        <v>1.7532468000000001</v>
      </c>
      <c r="I106" s="40">
        <v>-5.1479043999999998</v>
      </c>
      <c r="J106" s="40">
        <v>-4.1777905999999998</v>
      </c>
      <c r="K106" s="47">
        <v>18.477129999999999</v>
      </c>
      <c r="L106" s="47">
        <v>7.6619982999999996</v>
      </c>
      <c r="M106" s="47">
        <v>-1.0670900000000001</v>
      </c>
      <c r="N106" s="47">
        <v>14.228296</v>
      </c>
    </row>
    <row r="107" spans="1:14" x14ac:dyDescent="0.35">
      <c r="A107" s="2">
        <v>45062</v>
      </c>
      <c r="B107" s="40">
        <v>9.1388459999999991</v>
      </c>
      <c r="C107" s="40">
        <v>0.76423883000000004</v>
      </c>
      <c r="D107" s="40">
        <v>-2.2147060000000001</v>
      </c>
      <c r="E107" s="40">
        <v>15.172124</v>
      </c>
      <c r="F107" s="40">
        <v>9.1876745</v>
      </c>
      <c r="G107" s="40">
        <v>11.751759</v>
      </c>
      <c r="H107" s="40">
        <v>7.4422600000000001</v>
      </c>
      <c r="I107" s="40">
        <v>10.462296</v>
      </c>
      <c r="J107" s="40">
        <v>4.2896270000000003</v>
      </c>
      <c r="K107" s="47">
        <v>22.703575000000001</v>
      </c>
      <c r="L107" s="47">
        <v>15.738963999999999</v>
      </c>
      <c r="M107" s="47">
        <v>6.7017316999999998</v>
      </c>
      <c r="N107" s="47">
        <v>19.422101999999999</v>
      </c>
    </row>
    <row r="108" spans="1:14" x14ac:dyDescent="0.35">
      <c r="A108" s="2">
        <v>45093</v>
      </c>
      <c r="B108" s="40">
        <v>13.760889000000001</v>
      </c>
      <c r="C108" s="40">
        <v>14.323067999999999</v>
      </c>
      <c r="D108" s="40">
        <v>5.6487800000000004</v>
      </c>
      <c r="E108" s="40">
        <v>26.388000000000002</v>
      </c>
      <c r="F108" s="40">
        <v>20.985365000000002</v>
      </c>
      <c r="G108" s="40">
        <v>20.104206000000001</v>
      </c>
      <c r="H108" s="40">
        <v>15.131187000000001</v>
      </c>
      <c r="I108" s="40">
        <v>36.609912999999999</v>
      </c>
      <c r="J108" s="40">
        <v>22.358453999999998</v>
      </c>
      <c r="K108" s="47">
        <v>32.05789</v>
      </c>
      <c r="L108" s="47">
        <v>29.884398000000001</v>
      </c>
      <c r="M108" s="47">
        <v>16.528261000000001</v>
      </c>
      <c r="N108" s="47">
        <v>33.944332000000003</v>
      </c>
    </row>
    <row r="109" spans="1:14" x14ac:dyDescent="0.35">
      <c r="A109" s="2">
        <v>45121</v>
      </c>
      <c r="B109" s="40">
        <v>14.919019</v>
      </c>
      <c r="C109" s="40">
        <v>17.049811999999999</v>
      </c>
      <c r="D109" s="40">
        <v>12.685657000000001</v>
      </c>
      <c r="E109" s="40">
        <v>39.898228000000003</v>
      </c>
      <c r="F109" s="40">
        <v>20.667278</v>
      </c>
      <c r="G109" s="40">
        <v>19.281566999999999</v>
      </c>
      <c r="H109" s="40">
        <v>18.78302</v>
      </c>
      <c r="I109" s="40">
        <v>33.177258000000002</v>
      </c>
      <c r="J109" s="40">
        <v>20.844602999999999</v>
      </c>
      <c r="K109" s="47">
        <v>40.293633</v>
      </c>
      <c r="L109" s="47">
        <v>36.440742</v>
      </c>
      <c r="M109" s="47">
        <v>21.267796000000001</v>
      </c>
      <c r="N109" s="47">
        <v>55.708122000000003</v>
      </c>
    </row>
    <row r="110" spans="1:14" x14ac:dyDescent="0.35">
      <c r="A110" s="2">
        <v>45154</v>
      </c>
      <c r="B110" s="40">
        <v>-5.903035</v>
      </c>
      <c r="C110" s="40">
        <v>-2.817148</v>
      </c>
      <c r="D110" s="40">
        <v>-4.2134643000000001</v>
      </c>
      <c r="E110" s="40">
        <v>18.434857999999998</v>
      </c>
      <c r="F110" s="40">
        <v>5.2333354999999999</v>
      </c>
      <c r="G110" s="40">
        <v>7.5033903000000004</v>
      </c>
      <c r="H110" s="40">
        <v>5.0933957000000003</v>
      </c>
      <c r="I110" s="40">
        <v>9.8865619999999996</v>
      </c>
      <c r="J110" s="40">
        <v>3.9992809999999999</v>
      </c>
      <c r="K110" s="47">
        <v>18.088256999999999</v>
      </c>
      <c r="L110" s="47">
        <v>11.848330499999999</v>
      </c>
      <c r="M110" s="47">
        <v>-0.29762982999999998</v>
      </c>
      <c r="N110" s="47">
        <v>30.377209000000001</v>
      </c>
    </row>
    <row r="111" spans="1:14" x14ac:dyDescent="0.35">
      <c r="A111" s="2">
        <v>45184</v>
      </c>
      <c r="B111" s="40">
        <v>-2.3837983999999999</v>
      </c>
      <c r="C111" s="40">
        <v>7.8110455999999999</v>
      </c>
      <c r="D111" s="40">
        <v>6.3758016</v>
      </c>
      <c r="E111" s="40">
        <v>28.499020000000002</v>
      </c>
      <c r="F111" s="40">
        <v>23.041761000000001</v>
      </c>
      <c r="G111" s="40">
        <v>14.953077</v>
      </c>
      <c r="H111" s="40">
        <v>17.66441</v>
      </c>
      <c r="I111" s="40">
        <v>28.292739999999998</v>
      </c>
      <c r="J111" s="40">
        <v>15.935015999999999</v>
      </c>
      <c r="K111" s="47">
        <v>28.949715000000001</v>
      </c>
      <c r="L111" s="47">
        <v>18.294466</v>
      </c>
      <c r="M111" s="47">
        <v>10.713100000000001</v>
      </c>
      <c r="N111" s="47">
        <v>37.685679999999998</v>
      </c>
    </row>
    <row r="112" spans="1:14" x14ac:dyDescent="0.35">
      <c r="A112" s="2">
        <v>45215</v>
      </c>
      <c r="B112" s="40">
        <v>11.558258</v>
      </c>
      <c r="C112" s="40">
        <v>13.911830999999999</v>
      </c>
      <c r="D112" s="40">
        <v>13.012767</v>
      </c>
      <c r="E112" s="40">
        <v>32.642982000000003</v>
      </c>
      <c r="F112" s="40">
        <v>24.485636</v>
      </c>
      <c r="G112" s="40">
        <v>21.810853999999999</v>
      </c>
      <c r="H112" s="40">
        <v>26.036263000000002</v>
      </c>
      <c r="I112" s="40">
        <v>42.642139999999998</v>
      </c>
      <c r="J112" s="40">
        <v>23.863814999999999</v>
      </c>
      <c r="K112" s="47">
        <v>30.716206</v>
      </c>
      <c r="L112" s="47">
        <v>29.161740000000002</v>
      </c>
      <c r="M112" s="47">
        <v>24.596547999999999</v>
      </c>
      <c r="N112" s="47">
        <v>45.639847000000003</v>
      </c>
    </row>
    <row r="113" spans="1:14" x14ac:dyDescent="0.35">
      <c r="A113" s="2">
        <v>45246</v>
      </c>
      <c r="B113" s="40">
        <v>-1.9018948</v>
      </c>
      <c r="C113" s="40">
        <v>0.40711164</v>
      </c>
      <c r="D113" s="40">
        <v>0.79967975999999996</v>
      </c>
      <c r="E113" s="40">
        <v>14.693963999999999</v>
      </c>
      <c r="F113" s="40">
        <v>13.982332</v>
      </c>
      <c r="G113" s="40">
        <v>7.1773766999999999</v>
      </c>
      <c r="H113" s="40">
        <v>8.8012929999999994</v>
      </c>
      <c r="I113" s="40">
        <v>36.132874000000001</v>
      </c>
      <c r="J113" s="40">
        <v>15.663123000000001</v>
      </c>
      <c r="K113" s="47">
        <v>15.101872999999999</v>
      </c>
      <c r="L113" s="47">
        <v>12.577475</v>
      </c>
      <c r="M113" s="47">
        <v>6.1658144000000004</v>
      </c>
      <c r="N113" s="47">
        <v>22.348510000000001</v>
      </c>
    </row>
    <row r="114" spans="1:14" x14ac:dyDescent="0.35">
      <c r="A114" s="2">
        <v>45275</v>
      </c>
      <c r="B114" s="40">
        <v>-1.6382992000000001</v>
      </c>
      <c r="C114" s="40">
        <v>8.8808539999999994</v>
      </c>
      <c r="D114" s="40">
        <v>10.781706</v>
      </c>
      <c r="E114" s="40">
        <v>20.972335999999999</v>
      </c>
      <c r="F114" s="40">
        <v>16.705120000000001</v>
      </c>
      <c r="G114" s="40">
        <v>13.1729965</v>
      </c>
      <c r="H114" s="40">
        <v>8.4067109999999996</v>
      </c>
      <c r="I114" s="40">
        <v>47.386932000000002</v>
      </c>
      <c r="J114" s="40">
        <v>22.867833999999998</v>
      </c>
      <c r="K114" s="47">
        <v>19.972908</v>
      </c>
      <c r="L114" s="47">
        <v>18.217361</v>
      </c>
      <c r="M114" s="47">
        <v>18.323813999999999</v>
      </c>
      <c r="N114" s="47">
        <v>28.583632999999999</v>
      </c>
    </row>
    <row r="115" spans="1:14" x14ac:dyDescent="0.35">
      <c r="A115" s="2">
        <v>45307</v>
      </c>
      <c r="B115" s="40">
        <v>-4.6711682999999997</v>
      </c>
      <c r="C115" s="40">
        <v>4.8172474E-2</v>
      </c>
      <c r="D115" s="40">
        <v>5.8015226999999996</v>
      </c>
      <c r="E115" s="40">
        <v>6.0049890000000001</v>
      </c>
      <c r="F115" s="40">
        <v>18.621635000000001</v>
      </c>
      <c r="G115" s="40">
        <v>8.29711</v>
      </c>
      <c r="H115" s="40">
        <v>2.4670839999999998</v>
      </c>
      <c r="I115" s="40">
        <v>46.756447000000001</v>
      </c>
      <c r="J115" s="40">
        <v>21.003986000000001</v>
      </c>
      <c r="K115" s="47">
        <v>6.3447237000000003</v>
      </c>
      <c r="L115" s="47">
        <v>4.1905403000000003</v>
      </c>
      <c r="M115" s="47">
        <v>6.0618043000000004</v>
      </c>
      <c r="N115" s="47">
        <v>16.740835000000001</v>
      </c>
    </row>
    <row r="116" spans="1:14" x14ac:dyDescent="0.35">
      <c r="A116" s="2">
        <v>45338</v>
      </c>
      <c r="B116" s="40">
        <v>-7.9157590000000004</v>
      </c>
      <c r="C116" s="40">
        <v>3.5096406999999998</v>
      </c>
      <c r="D116" s="40">
        <v>6.7855477000000004</v>
      </c>
      <c r="E116" s="40">
        <v>8.0994609999999998</v>
      </c>
      <c r="F116" s="40">
        <v>21.085940999999998</v>
      </c>
      <c r="G116" s="40">
        <v>7.3997617</v>
      </c>
      <c r="H116" s="40">
        <v>4.3852450000000003</v>
      </c>
      <c r="I116" s="40">
        <v>42.939877000000003</v>
      </c>
      <c r="J116" s="40">
        <v>24.217987000000001</v>
      </c>
      <c r="K116" s="47">
        <v>7.6664804999999996</v>
      </c>
      <c r="L116" s="47">
        <v>13.934767000000001</v>
      </c>
      <c r="M116" s="47">
        <v>9.9832769999999993</v>
      </c>
      <c r="N116" s="47">
        <v>16.098642000000002</v>
      </c>
    </row>
    <row r="117" spans="1:14" x14ac:dyDescent="0.35">
      <c r="A117" s="2">
        <v>45366</v>
      </c>
      <c r="B117" s="40">
        <v>-2.1477460000000002</v>
      </c>
      <c r="C117" s="40">
        <v>14.416969</v>
      </c>
      <c r="D117" s="40">
        <v>19.528352999999999</v>
      </c>
      <c r="E117" s="40">
        <v>21.041452</v>
      </c>
      <c r="F117" s="40">
        <v>29.320454000000002</v>
      </c>
      <c r="G117" s="40">
        <v>16.651081000000001</v>
      </c>
      <c r="H117" s="40">
        <v>14.273846000000001</v>
      </c>
      <c r="I117" s="40">
        <v>46.157898000000003</v>
      </c>
      <c r="J117" s="40">
        <v>33.388446999999999</v>
      </c>
      <c r="K117" s="47">
        <v>21.869395999999998</v>
      </c>
      <c r="L117" s="47">
        <v>25.497066</v>
      </c>
      <c r="M117" s="47">
        <v>26.763748</v>
      </c>
      <c r="N117" s="47">
        <v>35.9069</v>
      </c>
    </row>
    <row r="118" spans="1:14" x14ac:dyDescent="0.35">
      <c r="A118" s="2">
        <v>45398</v>
      </c>
      <c r="B118" s="40">
        <v>-8.0626069999999999</v>
      </c>
      <c r="C118" s="40">
        <v>3.0142902999999999</v>
      </c>
      <c r="D118" s="40">
        <v>5.7687999999999997</v>
      </c>
      <c r="E118" s="40">
        <v>5.7837367000000004</v>
      </c>
      <c r="F118" s="40">
        <v>18.499744</v>
      </c>
      <c r="G118" s="40">
        <v>-2.2795497999999998</v>
      </c>
      <c r="H118" s="40">
        <v>3.1710386000000002</v>
      </c>
      <c r="I118" s="40">
        <v>36.224235999999998</v>
      </c>
      <c r="J118" s="40">
        <v>23.858082</v>
      </c>
      <c r="K118" s="47">
        <v>3.2940744999999998</v>
      </c>
      <c r="L118" s="47">
        <v>15.664255000000001</v>
      </c>
      <c r="M118" s="47">
        <v>7.6027274</v>
      </c>
      <c r="N118" s="47">
        <v>16.690062999999999</v>
      </c>
    </row>
    <row r="119" spans="1:14" x14ac:dyDescent="0.35">
      <c r="A119" s="2">
        <v>45428</v>
      </c>
      <c r="B119" s="40">
        <v>-6.2439203000000001</v>
      </c>
      <c r="C119" s="40">
        <v>14.96942</v>
      </c>
      <c r="D119" s="40">
        <v>13.109863000000001</v>
      </c>
      <c r="E119" s="40">
        <v>15.496981</v>
      </c>
      <c r="F119" s="40">
        <v>15.355753999999999</v>
      </c>
      <c r="G119" s="40">
        <v>3.7754416000000002</v>
      </c>
      <c r="H119" s="40">
        <v>15.297043</v>
      </c>
      <c r="I119" s="40">
        <v>39.072166000000003</v>
      </c>
      <c r="J119" s="40">
        <v>30.747498</v>
      </c>
      <c r="K119" s="47">
        <v>12.292469000000001</v>
      </c>
      <c r="L119" s="47">
        <v>24.583172000000001</v>
      </c>
      <c r="M119" s="47">
        <v>17.639482000000001</v>
      </c>
      <c r="N119" s="47">
        <v>30.968820000000001</v>
      </c>
    </row>
    <row r="120" spans="1:14" x14ac:dyDescent="0.35">
      <c r="A120" s="2">
        <v>45457</v>
      </c>
      <c r="B120" s="40">
        <v>-2.8884946999999999</v>
      </c>
      <c r="C120" s="40">
        <v>9.8878749999999993</v>
      </c>
      <c r="D120" s="40">
        <v>8.6876510000000007</v>
      </c>
      <c r="E120" s="40">
        <v>7.6744914</v>
      </c>
      <c r="F120" s="40">
        <v>7.4999450000000003</v>
      </c>
      <c r="G120" s="40">
        <v>8.4816219999999998</v>
      </c>
      <c r="H120" s="40">
        <v>12.2128725</v>
      </c>
      <c r="I120" s="40">
        <v>31.833732999999999</v>
      </c>
      <c r="J120" s="40">
        <v>25.963412999999999</v>
      </c>
      <c r="K120" s="47">
        <v>3.0716538</v>
      </c>
      <c r="L120" s="47">
        <v>19.314861000000001</v>
      </c>
      <c r="M120" s="47">
        <v>17.427455999999999</v>
      </c>
      <c r="N120" s="47">
        <v>18.244160000000001</v>
      </c>
    </row>
    <row r="121" spans="1:14" x14ac:dyDescent="0.35">
      <c r="A121" s="2">
        <v>45489</v>
      </c>
      <c r="B121" s="40">
        <v>-5.5605650000000004</v>
      </c>
      <c r="C121" s="40">
        <v>14.275372000000001</v>
      </c>
      <c r="D121" s="40">
        <v>13.326824</v>
      </c>
      <c r="E121" s="40">
        <v>10.96158</v>
      </c>
      <c r="F121" s="40">
        <v>17.684006</v>
      </c>
      <c r="G121" s="40">
        <v>6.8865895000000004</v>
      </c>
      <c r="H121" s="40">
        <v>14.152945000000001</v>
      </c>
      <c r="I121" s="40">
        <v>31.838476</v>
      </c>
      <c r="J121" s="40">
        <v>27.493822000000002</v>
      </c>
      <c r="K121" s="47">
        <v>1.9444703999999999</v>
      </c>
      <c r="L121" s="47">
        <v>18.108750000000001</v>
      </c>
      <c r="M121" s="47">
        <v>18.301856999999998</v>
      </c>
      <c r="N121" s="47">
        <v>18.90831</v>
      </c>
    </row>
    <row r="122" spans="1:14" x14ac:dyDescent="0.35">
      <c r="A122" s="2">
        <v>45520</v>
      </c>
      <c r="B122">
        <v>7.4403762999999996</v>
      </c>
      <c r="C122">
        <v>20.019638</v>
      </c>
      <c r="D122">
        <v>18.565809999999999</v>
      </c>
      <c r="E122">
        <v>16.201485000000002</v>
      </c>
      <c r="F122">
        <v>19.275521999999999</v>
      </c>
      <c r="G122">
        <v>13.675820999999999</v>
      </c>
      <c r="H122">
        <v>20.142386999999999</v>
      </c>
      <c r="I122">
        <v>31.931173000000001</v>
      </c>
      <c r="J122">
        <v>27.855957</v>
      </c>
      <c r="K122" s="47">
        <v>6.9305060000000003</v>
      </c>
      <c r="L122" s="47">
        <v>21.24213</v>
      </c>
      <c r="M122" s="47">
        <v>26.034092000000001</v>
      </c>
      <c r="N122" s="47">
        <v>23.048400000000001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85</v>
      </c>
      <c r="B126" s="40" cm="1">
        <f t="array" ref="B126">MIN(_xlfn._xlws.FILTER(B2:B122, ISNUMBER(B2:B122)))</f>
        <v>-34.834679999999999</v>
      </c>
      <c r="C126" s="40" cm="1">
        <f t="array" ref="C126">MIN(_xlfn._xlws.FILTER(C2:C122, ISNUMBER(C2:C122)))</f>
        <v>-29.737985999999999</v>
      </c>
      <c r="D126" s="40" cm="1">
        <f t="array" ref="D126">MIN(_xlfn._xlws.FILTER(D2:D122, ISNUMBER(D2:D122)))</f>
        <v>-27.594691999999998</v>
      </c>
      <c r="E126" s="40" cm="1">
        <f t="array" ref="E126">MIN(_xlfn._xlws.FILTER(E2:E122, ISNUMBER(E2:E122)))</f>
        <v>-37.366570000000003</v>
      </c>
      <c r="F126" s="40" cm="1">
        <f t="array" ref="F126">MIN(_xlfn._xlws.FILTER(F2:F122, ISNUMBER(F2:F122)))</f>
        <v>-28.563445999999999</v>
      </c>
      <c r="G126" s="40" cm="1">
        <f t="array" ref="G126">MIN(_xlfn._xlws.FILTER(G2:G122, ISNUMBER(G2:G122)))</f>
        <v>-21.920849</v>
      </c>
      <c r="H126" s="40" cm="1">
        <f t="array" ref="H126">MIN(_xlfn._xlws.FILTER(H2:H122, ISNUMBER(H2:H122)))</f>
        <v>-33.985267999999998</v>
      </c>
      <c r="I126" s="40" cm="1">
        <f t="array" ref="I126">MIN(_xlfn._xlws.FILTER(I2:I122, ISNUMBER(I2:I122)))</f>
        <v>-28.665368999999998</v>
      </c>
      <c r="J126" s="40" cm="1">
        <f t="array" ref="J126">MIN(_xlfn._xlws.FILTER(J2:J122, ISNUMBER(J2:J122)))</f>
        <v>-17.953861</v>
      </c>
      <c r="K126" s="40" cm="1">
        <f t="array" ref="K126">MIN(_xlfn._xlws.FILTER(K2:K122, ISNUMBER(K2:K122)))</f>
        <v>-29.531818000000001</v>
      </c>
      <c r="L126" s="40" cm="1">
        <f t="array" ref="L126">MIN(_xlfn._xlws.FILTER(L2:L122, ISNUMBER(L2:L122)))</f>
        <v>-40.252791999999999</v>
      </c>
      <c r="M126" s="40" cm="1">
        <f t="array" ref="M126">MIN(_xlfn._xlws.FILTER(M2:M122, ISNUMBER(M2:M122)))</f>
        <v>-38.413555000000002</v>
      </c>
      <c r="N126" s="40" cm="1">
        <f t="array" ref="N126">MIN(_xlfn._xlws.FILTER(N2:N122, ISNUMBER(N2:N122)))</f>
        <v>-31.554663000000001</v>
      </c>
    </row>
    <row r="127" spans="1:14" x14ac:dyDescent="0.35">
      <c r="A127" s="2" t="s">
        <v>393</v>
      </c>
      <c r="B127" s="42" cm="1">
        <f t="array" ref="B127">MAX(_xlfn._xlws.FILTER(B1:B122, ISNUMBER(B1:B122)))</f>
        <v>59.327950000000001</v>
      </c>
      <c r="C127" s="42" cm="1">
        <f t="array" ref="C127">MAX(_xlfn._xlws.FILTER(C1:C122, ISNUMBER(C1:C122)))</f>
        <v>77.97054</v>
      </c>
      <c r="D127" s="42" cm="1">
        <f t="array" ref="D127">MAX(_xlfn._xlws.FILTER(D1:D122, ISNUMBER(D1:D122)))</f>
        <v>77.717124999999996</v>
      </c>
      <c r="E127" s="42" cm="1">
        <f t="array" ref="E127">MAX(_xlfn._xlws.FILTER(E1:E122, ISNUMBER(E1:E122)))</f>
        <v>80.705280000000002</v>
      </c>
      <c r="F127" s="42" cm="1">
        <f t="array" ref="F127">MAX(_xlfn._xlws.FILTER(F1:F122, ISNUMBER(F1:F122)))</f>
        <v>62.823222999999999</v>
      </c>
      <c r="G127" s="42" cm="1">
        <f t="array" ref="G127">MAX(_xlfn._xlws.FILTER(G1:G122, ISNUMBER(G1:G122)))</f>
        <v>45.396279999999997</v>
      </c>
      <c r="H127" s="42" cm="1">
        <f t="array" ref="H127">MAX(_xlfn._xlws.FILTER(H1:H122, ISNUMBER(H1:H122)))</f>
        <v>54.406975000000003</v>
      </c>
      <c r="I127" s="42" cm="1">
        <f t="array" ref="I127">MAX(_xlfn._xlws.FILTER(I1:I122, ISNUMBER(I1:I122)))</f>
        <v>90.70711</v>
      </c>
      <c r="J127" s="42" cm="1">
        <f t="array" ref="J127">MAX(_xlfn._xlws.FILTER(J1:J122, ISNUMBER(J1:J122)))</f>
        <v>68.207340000000002</v>
      </c>
      <c r="K127" s="42" cm="1">
        <f t="array" ref="K127">MAX(_xlfn._xlws.FILTER(K1:K122, ISNUMBER(K1:K122)))</f>
        <v>72.898635999999996</v>
      </c>
      <c r="L127" s="42" cm="1">
        <f t="array" ref="L127">MAX(_xlfn._xlws.FILTER(L1:L122, ISNUMBER(L1:L122)))</f>
        <v>96.360849999999999</v>
      </c>
      <c r="M127" s="42" cm="1">
        <f t="array" ref="M127">MAX(_xlfn._xlws.FILTER(M1:M122, ISNUMBER(M1:M122)))</f>
        <v>100.09041000000001</v>
      </c>
      <c r="N127" s="42" cm="1">
        <f t="array" ref="N127">MAX(_xlfn._xlws.FILTER(N1:N122, ISNUMBER(N1:N122)))</f>
        <v>76.841149999999999</v>
      </c>
    </row>
    <row r="128" spans="1:14" x14ac:dyDescent="0.35">
      <c r="A128" s="2" t="s">
        <v>394</v>
      </c>
      <c r="B128" s="40" cm="1">
        <f t="array" ref="B128">MEDIAN(_xlfn._xlws.FILTER(B1:B122, ISNUMBER(B1:B122)))</f>
        <v>7.2950125000000003</v>
      </c>
      <c r="C128" s="40" cm="1">
        <f t="array" ref="C128">MEDIAN(_xlfn._xlws.FILTER(C1:C122, ISNUMBER(C1:C122)))</f>
        <v>4.0079950000000002</v>
      </c>
      <c r="D128" s="40" cm="1">
        <f t="array" ref="D128">MEDIAN(_xlfn._xlws.FILTER(D1:D122, ISNUMBER(D1:D122)))</f>
        <v>5.1272390000000003</v>
      </c>
      <c r="E128" s="40" cm="1">
        <f t="array" ref="E128">MEDIAN(_xlfn._xlws.FILTER(E1:E122, ISNUMBER(E1:E122)))</f>
        <v>4.2881966</v>
      </c>
      <c r="F128" s="40" cm="1">
        <f t="array" ref="F128">MEDIAN(_xlfn._xlws.FILTER(F1:F122, ISNUMBER(F1:F122)))</f>
        <v>7.1916339999999996</v>
      </c>
      <c r="G128" s="40" cm="1">
        <f t="array" ref="G128">MEDIAN(_xlfn._xlws.FILTER(G1:G122, ISNUMBER(G1:G122)))</f>
        <v>7.5033903000000004</v>
      </c>
      <c r="H128" s="40" cm="1">
        <f t="array" ref="H128">MEDIAN(_xlfn._xlws.FILTER(H1:H122, ISNUMBER(H1:H122)))</f>
        <v>0.52585599999999999</v>
      </c>
      <c r="I128" s="40" cm="1">
        <f t="array" ref="I128">MEDIAN(_xlfn._xlws.FILTER(I1:I122, ISNUMBER(I1:I122)))</f>
        <v>22.213804</v>
      </c>
      <c r="J128" s="40" cm="1">
        <f t="array" ref="J128">MEDIAN(_xlfn._xlws.FILTER(J1:J122, ISNUMBER(J1:J122)))</f>
        <v>15.37354</v>
      </c>
      <c r="K128" s="40" cm="1">
        <f t="array" ref="K128">MEDIAN(_xlfn._xlws.FILTER(K1:K122, ISNUMBER(K1:K122)))</f>
        <v>3.2940744999999998</v>
      </c>
      <c r="L128" s="40" cm="1">
        <f t="array" ref="L128">MEDIAN(_xlfn._xlws.FILTER(L1:L122, ISNUMBER(L1:L122)))</f>
        <v>8.9791659999999993</v>
      </c>
      <c r="M128" s="40" cm="1">
        <f t="array" ref="M128">MEDIAN(_xlfn._xlws.FILTER(M1:M122, ISNUMBER(M1:M122)))</f>
        <v>2.1302699999999999</v>
      </c>
      <c r="N128" s="40" cm="1">
        <f t="array" ref="N128">MEDIAN(_xlfn._xlws.FILTER(N1:N122, ISNUMBER(N1:N122)))</f>
        <v>3.3969282999999999</v>
      </c>
    </row>
    <row r="129" spans="1:14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35">
      <c r="A130" s="2" t="s">
        <v>87</v>
      </c>
      <c r="B130">
        <f>COUNTIF(B2:B122, "&lt;"&amp;Assumption!$F$50)</f>
        <v>21</v>
      </c>
      <c r="C130">
        <f>COUNTIF(C2:C122, "&lt;"&amp;Assumption!$F$50)</f>
        <v>20</v>
      </c>
      <c r="D130">
        <f>COUNTIF(D2:D122, "&lt;"&amp;Assumption!$F$50)</f>
        <v>22</v>
      </c>
      <c r="E130">
        <f>COUNTIF(E2:E122, "&lt;"&amp;Assumption!$F$50)</f>
        <v>32</v>
      </c>
      <c r="F130">
        <f>COUNTIF(F2:F122, "&lt;"&amp;Assumption!$F$50)</f>
        <v>17</v>
      </c>
      <c r="G130">
        <f>COUNTIF(G2:G122, "&lt;"&amp;Assumption!$F$50)</f>
        <v>15</v>
      </c>
      <c r="H130">
        <f>COUNTIF(H2:H122, "&lt;"&amp;Assumption!$F$50)</f>
        <v>19</v>
      </c>
      <c r="I130">
        <f>COUNTIF(I2:I122, "&lt;"&amp;Assumption!$F$50)</f>
        <v>8</v>
      </c>
      <c r="J130">
        <f>COUNTIF(J2:J122, "&lt;"&amp;Assumption!$F$50)</f>
        <v>8</v>
      </c>
      <c r="K130">
        <f>COUNTIF(K2:K122, "&lt;"&amp;Assumption!$F$50)</f>
        <v>18</v>
      </c>
      <c r="L130">
        <f>COUNTIF(L2:L122, "&lt;"&amp;Assumption!$F$50)</f>
        <v>14</v>
      </c>
      <c r="M130">
        <f>COUNTIF(M2:M122, "&lt;"&amp;Assumption!$F$50)</f>
        <v>22</v>
      </c>
      <c r="N130">
        <f>COUNTIF(N2:N122, "&lt;"&amp;Assumption!$F$50)</f>
        <v>36</v>
      </c>
    </row>
    <row r="131" spans="1:14" x14ac:dyDescent="0.3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397</v>
      </c>
      <c r="B133" s="9">
        <f t="shared" ref="B133:J133" si="2">B130/B131</f>
        <v>0.17355371900826447</v>
      </c>
      <c r="C133" s="9">
        <f t="shared" si="2"/>
        <v>0.16528925619834711</v>
      </c>
      <c r="D133" s="9">
        <f t="shared" si="2"/>
        <v>0.18181818181818182</v>
      </c>
      <c r="E133" s="9">
        <f t="shared" si="2"/>
        <v>0.26446280991735538</v>
      </c>
      <c r="F133" s="9">
        <f t="shared" si="2"/>
        <v>0.14049586776859505</v>
      </c>
      <c r="G133" s="9">
        <f t="shared" si="2"/>
        <v>0.12396694214876033</v>
      </c>
      <c r="H133" s="9">
        <f t="shared" si="2"/>
        <v>0.15702479338842976</v>
      </c>
      <c r="I133" s="9">
        <f t="shared" si="2"/>
        <v>6.6115702479338845E-2</v>
      </c>
      <c r="J133" s="9">
        <f t="shared" si="2"/>
        <v>6.6115702479338845E-2</v>
      </c>
      <c r="K133" s="9">
        <f t="shared" ref="K133:N133" si="3">K130/K131</f>
        <v>0.1487603305785124</v>
      </c>
      <c r="L133" s="9">
        <f t="shared" si="3"/>
        <v>0.11570247933884298</v>
      </c>
      <c r="M133" s="9">
        <f t="shared" si="3"/>
        <v>0.18181818181818182</v>
      </c>
      <c r="N133" s="9">
        <f t="shared" si="3"/>
        <v>0.2975206611570248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400</v>
      </c>
      <c r="B136" s="40" cm="1">
        <f t="array" ref="B136">_xlfn.PERCENTRANK.EXC(_xlfn._xlws.FILTER(B2:B122, ISNUMBER(B2:B122)),B120)</f>
        <v>0.29499999999999998</v>
      </c>
      <c r="C136" s="40" cm="1">
        <f t="array" ref="C136">_xlfn.PERCENTRANK.EXC(_xlfn._xlws.FILTER(C2:C122, ISNUMBER(C2:C122)),C120)</f>
        <v>0.66300000000000003</v>
      </c>
      <c r="D136" s="40" cm="1">
        <f t="array" ref="D136">_xlfn.PERCENTRANK.EXC(_xlfn._xlws.FILTER(D2:D122, ISNUMBER(D2:D122)),D120)</f>
        <v>0.63100000000000001</v>
      </c>
      <c r="E136" s="40" cm="1">
        <f t="array" ref="E136">_xlfn.PERCENTRANK.EXC(_xlfn._xlws.FILTER(E2:E122, ISNUMBER(E2:E122)),E120)</f>
        <v>0.57299999999999995</v>
      </c>
      <c r="F136" s="40" cm="1">
        <f t="array" ref="F136">_xlfn.PERCENTRANK.EXC(_xlfn._xlws.FILTER(F2:F122, ISNUMBER(F2:F122)),F120)</f>
        <v>0.50800000000000001</v>
      </c>
      <c r="G136" s="40" cm="1">
        <f t="array" ref="G136">_xlfn.PERCENTRANK.EXC(_xlfn._xlws.FILTER(G2:G122, ISNUMBER(G2:G122)),G120)</f>
        <v>0.53200000000000003</v>
      </c>
      <c r="H136" s="40" cm="1">
        <f t="array" ref="H136">_xlfn.PERCENTRANK.EXC(_xlfn._xlws.FILTER(H2:H122, ISNUMBER(H2:H122)),H120)</f>
        <v>0.72099999999999997</v>
      </c>
      <c r="I136" s="40" cm="1">
        <f t="array" ref="I136">_xlfn.PERCENTRANK.EXC(_xlfn._xlws.FILTER(I2:I122, ISNUMBER(I2:I122)),I120)</f>
        <v>0.70399999999999996</v>
      </c>
      <c r="J136" s="40" cm="1">
        <f t="array" ref="J136">_xlfn.PERCENTRANK.EXC(_xlfn._xlws.FILTER(J2:J122, ISNUMBER(J2:J122)),J120)</f>
        <v>0.86</v>
      </c>
      <c r="K136" s="40" cm="1">
        <f t="array" ref="K136">_xlfn.PERCENTRANK.EXC(_xlfn._xlws.FILTER(K2:K122, ISNUMBER(K2:K122)),K120)</f>
        <v>0.47499999999999998</v>
      </c>
      <c r="L136" s="40" cm="1">
        <f t="array" ref="L136">_xlfn.PERCENTRANK.EXC(_xlfn._xlws.FILTER(L2:L122, ISNUMBER(L2:L122)),L120)</f>
        <v>0.70399999999999996</v>
      </c>
      <c r="M136" s="40" cm="1">
        <f t="array" ref="M136">_xlfn.PERCENTRANK.EXC(_xlfn._xlws.FILTER(M2:M122, ISNUMBER(M2:M122)),M120)</f>
        <v>0.68799999999999994</v>
      </c>
      <c r="N136" s="40" cm="1">
        <f t="array" ref="N136">_xlfn.PERCENTRANK.EXC(_xlfn._xlws.FILTER(N2:N122, ISNUMBER(N2:N122)),N120)</f>
        <v>0.68799999999999994</v>
      </c>
    </row>
    <row r="137" spans="1:14" x14ac:dyDescent="0.35">
      <c r="A137" s="2" t="s">
        <v>399</v>
      </c>
      <c r="B137" s="40" cm="1">
        <f t="array" ref="B137">_xlfn.PERCENTRANK.EXC(_xlfn._xlws.FILTER(B2:B122, ISNUMBER(B2:B122)),B121)</f>
        <v>0.23699999999999999</v>
      </c>
      <c r="C137" s="40" cm="1">
        <f t="array" ref="C137">_xlfn.PERCENTRANK.EXC(_xlfn._xlws.FILTER(C2:C122, ISNUMBER(C2:C122)),C121)</f>
        <v>0.72899999999999998</v>
      </c>
      <c r="D137" s="40" cm="1">
        <f t="array" ref="D137">_xlfn.PERCENTRANK.EXC(_xlfn._xlws.FILTER(D2:D122, ISNUMBER(D2:D122)),D121)</f>
        <v>0.745</v>
      </c>
      <c r="E137" s="40" cm="1">
        <f t="array" ref="E137">_xlfn.PERCENTRANK.EXC(_xlfn._xlws.FILTER(E2:E122, ISNUMBER(E2:E122)),E121)</f>
        <v>0.64700000000000002</v>
      </c>
      <c r="F137" s="40" cm="1">
        <f t="array" ref="F137">_xlfn.PERCENTRANK.EXC(_xlfn._xlws.FILTER(F2:F122, ISNUMBER(F2:F122)),F121)</f>
        <v>0.745</v>
      </c>
      <c r="G137" s="40" cm="1">
        <f t="array" ref="G137">_xlfn.PERCENTRANK.EXC(_xlfn._xlws.FILTER(G2:G122, ISNUMBER(G2:G122)),G121)</f>
        <v>0.45900000000000002</v>
      </c>
      <c r="H137" s="40" cm="1">
        <f t="array" ref="H137">_xlfn.PERCENTRANK.EXC(_xlfn._xlws.FILTER(H2:H122, ISNUMBER(H2:H122)),H121)</f>
        <v>0.77</v>
      </c>
      <c r="I137" s="40" cm="1">
        <f t="array" ref="I137">_xlfn.PERCENTRANK.EXC(_xlfn._xlws.FILTER(I2:I122, ISNUMBER(I2:I122)),I121)</f>
        <v>0.71299999999999997</v>
      </c>
      <c r="J137" s="40" cm="1">
        <f t="array" ref="J137">_xlfn.PERCENTRANK.EXC(_xlfn._xlws.FILTER(J2:J122, ISNUMBER(J2:J122)),J121)</f>
        <v>0.877</v>
      </c>
      <c r="K137" s="40" cm="1">
        <f t="array" ref="K137">_xlfn.PERCENTRANK.EXC(_xlfn._xlws.FILTER(K2:K122, ISNUMBER(K2:K122)),K121)</f>
        <v>0.46700000000000003</v>
      </c>
      <c r="L137" s="40" cm="1">
        <f t="array" ref="L137">_xlfn.PERCENTRANK.EXC(_xlfn._xlws.FILTER(L2:L122, ISNUMBER(L2:L122)),L121)</f>
        <v>0.67200000000000004</v>
      </c>
      <c r="M137" s="40" cm="1">
        <f t="array" ref="M137">_xlfn.PERCENTRANK.EXC(_xlfn._xlws.FILTER(M2:M122, ISNUMBER(M2:M122)),M121)</f>
        <v>0.71299999999999997</v>
      </c>
      <c r="N137" s="40" cm="1">
        <f t="array" ref="N137">_xlfn.PERCENTRANK.EXC(_xlfn._xlws.FILTER(N2:N122, ISNUMBER(N2:N122)),N121)</f>
        <v>0.69599999999999995</v>
      </c>
    </row>
    <row r="138" spans="1:14" x14ac:dyDescent="0.35">
      <c r="A138" s="2" t="s">
        <v>401</v>
      </c>
      <c r="B138" s="40" cm="1">
        <f t="array" ref="B138">_xlfn.PERCENTRANK.EXC(_xlfn._xlws.FILTER(B2:B122, ISNUMBER(B2:B122)),B122)</f>
        <v>0.51600000000000001</v>
      </c>
      <c r="C138" s="40" cm="1">
        <f t="array" ref="C138">_xlfn.PERCENTRANK.EXC(_xlfn._xlws.FILTER(C2:C122, ISNUMBER(C2:C122)),C122)</f>
        <v>0.877</v>
      </c>
      <c r="D138" s="40" cm="1">
        <f t="array" ref="D138">_xlfn.PERCENTRANK.EXC(_xlfn._xlws.FILTER(D2:D122, ISNUMBER(D2:D122)),D122)</f>
        <v>0.84399999999999997</v>
      </c>
      <c r="E138" s="40" cm="1">
        <f t="array" ref="E138">_xlfn.PERCENTRANK.EXC(_xlfn._xlws.FILTER(E2:E122, ISNUMBER(E2:E122)),E122)</f>
        <v>0.72899999999999998</v>
      </c>
      <c r="F138" s="40" cm="1">
        <f t="array" ref="F138">_xlfn.PERCENTRANK.EXC(_xlfn._xlws.FILTER(F2:F122, ISNUMBER(F2:F122)),F122)</f>
        <v>0.81899999999999995</v>
      </c>
      <c r="G138" s="40" cm="1">
        <f t="array" ref="G138">_xlfn.PERCENTRANK.EXC(_xlfn._xlws.FILTER(G2:G122, ISNUMBER(G2:G122)),G122)</f>
        <v>0.72099999999999997</v>
      </c>
      <c r="H138" s="40" cm="1">
        <f t="array" ref="H138">_xlfn.PERCENTRANK.EXC(_xlfn._xlws.FILTER(H2:H122, ISNUMBER(H2:H122)),H122)</f>
        <v>0.89300000000000002</v>
      </c>
      <c r="I138" s="40" cm="1">
        <f t="array" ref="I138">_xlfn.PERCENTRANK.EXC(_xlfn._xlws.FILTER(I2:I122, ISNUMBER(I2:I122)),I122)</f>
        <v>0.72099999999999997</v>
      </c>
      <c r="J138" s="40" cm="1">
        <f t="array" ref="J138">_xlfn.PERCENTRANK.EXC(_xlfn._xlws.FILTER(J2:J122, ISNUMBER(J2:J122)),J122)</f>
        <v>0.89300000000000002</v>
      </c>
      <c r="K138" s="40" cm="1">
        <f t="array" ref="K138">_xlfn.PERCENTRANK.EXC(_xlfn._xlws.FILTER(K2:K122, ISNUMBER(K2:K122)),K122)</f>
        <v>0.59</v>
      </c>
      <c r="L138" s="40" cm="1">
        <f t="array" ref="L138">_xlfn.PERCENTRANK.EXC(_xlfn._xlws.FILTER(L2:L122, ISNUMBER(L2:L122)),L122)</f>
        <v>0.72899999999999998</v>
      </c>
      <c r="M138" s="40" cm="1">
        <f t="array" ref="M138">_xlfn.PERCENTRANK.EXC(_xlfn._xlws.FILTER(M2:M122, ISNUMBER(M2:M122)),M122)</f>
        <v>0.86</v>
      </c>
      <c r="N138" s="40" cm="1">
        <f t="array" ref="N138">_xlfn.PERCENTRANK.EXC(_xlfn._xlws.FILTER(N2:N122, ISNUMBER(N2:N122)),N122)</f>
        <v>0.745</v>
      </c>
    </row>
    <row r="139" spans="1:14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35">
      <c r="A140" s="2" t="s">
        <v>463</v>
      </c>
      <c r="B140" s="40">
        <f t="shared" ref="B140:J140" si="4">AVERAGE(B136:B138)</f>
        <v>0.34933333333333333</v>
      </c>
      <c r="C140" s="40">
        <f t="shared" si="4"/>
        <v>0.75633333333333341</v>
      </c>
      <c r="D140" s="40">
        <f t="shared" si="4"/>
        <v>0.73999999999999988</v>
      </c>
      <c r="E140" s="40">
        <f t="shared" si="4"/>
        <v>0.64966666666666661</v>
      </c>
      <c r="F140" s="40">
        <f t="shared" si="4"/>
        <v>0.69066666666666665</v>
      </c>
      <c r="G140" s="40">
        <f t="shared" si="4"/>
        <v>0.57066666666666677</v>
      </c>
      <c r="H140" s="40">
        <f t="shared" si="4"/>
        <v>0.79466666666666674</v>
      </c>
      <c r="I140" s="40">
        <f t="shared" si="4"/>
        <v>0.71266666666666667</v>
      </c>
      <c r="J140" s="40">
        <f t="shared" si="4"/>
        <v>0.87666666666666659</v>
      </c>
      <c r="K140" s="40">
        <f t="shared" ref="K140:N140" si="5">AVERAGE(K136:K138)</f>
        <v>0.51066666666666671</v>
      </c>
      <c r="L140" s="40">
        <f t="shared" si="5"/>
        <v>0.70166666666666666</v>
      </c>
      <c r="M140" s="40">
        <f t="shared" si="5"/>
        <v>0.7536666666666666</v>
      </c>
      <c r="N140" s="40">
        <f t="shared" si="5"/>
        <v>0.70966666666666667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2.2473256441274398</v>
      </c>
      <c r="C17">
        <v>1.3179969848114801</v>
      </c>
      <c r="D17">
        <v>2.0739392179922902</v>
      </c>
      <c r="E17">
        <v>2.0881582961298202</v>
      </c>
      <c r="F17">
        <v>4.0763823276408298</v>
      </c>
      <c r="G17">
        <v>2.2808425238276202</v>
      </c>
      <c r="H17">
        <v>2.5348223379569501</v>
      </c>
      <c r="I17">
        <v>9.3523184782613296</v>
      </c>
      <c r="J17">
        <v>17.7294354415451</v>
      </c>
      <c r="K17">
        <v>2.1970597068808599</v>
      </c>
      <c r="L17">
        <v>1.9908579954138399</v>
      </c>
      <c r="M17">
        <v>2.0450009261645601</v>
      </c>
      <c r="N17">
        <v>2.59251661571796</v>
      </c>
    </row>
    <row r="18" spans="1:14" x14ac:dyDescent="0.35">
      <c r="A18" s="2">
        <v>44196</v>
      </c>
      <c r="B18">
        <v>1.98522618259249</v>
      </c>
      <c r="C18">
        <v>1.26256164176903</v>
      </c>
      <c r="D18">
        <v>1.9578408739872699</v>
      </c>
      <c r="E18">
        <v>1.98003612030208</v>
      </c>
      <c r="F18">
        <v>3.6778954431728401</v>
      </c>
      <c r="G18">
        <v>2.3686407868237098</v>
      </c>
      <c r="H18">
        <v>2.0350756238413701</v>
      </c>
      <c r="I18">
        <v>10.426078296822199</v>
      </c>
      <c r="J18">
        <v>16.661770328992599</v>
      </c>
      <c r="K18">
        <v>1.8510975044778899</v>
      </c>
      <c r="L18">
        <v>2.0089294605542301</v>
      </c>
      <c r="M18">
        <v>2.2131087379995402</v>
      </c>
      <c r="N18">
        <v>1.9971174572949799</v>
      </c>
    </row>
    <row r="19" spans="1:14" x14ac:dyDescent="0.35">
      <c r="A19" s="2">
        <v>44561</v>
      </c>
      <c r="B19">
        <v>1.8209368887947699</v>
      </c>
      <c r="C19">
        <v>1.41909398824033</v>
      </c>
      <c r="D19">
        <v>2.6644833781776298</v>
      </c>
      <c r="E19">
        <v>2.4494459059837599</v>
      </c>
      <c r="F19">
        <v>4.6161385443947696</v>
      </c>
      <c r="G19">
        <v>2.66234515884581</v>
      </c>
      <c r="H19">
        <v>2.7142722434063198</v>
      </c>
      <c r="I19">
        <v>13.6402697448185</v>
      </c>
      <c r="J19">
        <v>22.276707385168599</v>
      </c>
      <c r="K19">
        <v>2.4608174875049298</v>
      </c>
      <c r="L19">
        <v>2.4360180794544801</v>
      </c>
      <c r="M19">
        <v>2.4898156523483901</v>
      </c>
      <c r="N19">
        <v>2.9640029759690898</v>
      </c>
    </row>
    <row r="20" spans="1:14" x14ac:dyDescent="0.35">
      <c r="A20" s="2">
        <v>44925</v>
      </c>
      <c r="B20">
        <v>2.1103784647633299</v>
      </c>
      <c r="C20">
        <v>1.5685033677051301</v>
      </c>
      <c r="D20">
        <v>2.7492045610204201</v>
      </c>
      <c r="E20">
        <v>2.36386839889078</v>
      </c>
      <c r="F20">
        <v>4.4608954004815304</v>
      </c>
      <c r="G20">
        <v>2.5838872063229701</v>
      </c>
      <c r="H20">
        <v>3.12760121442787</v>
      </c>
      <c r="I20">
        <v>12.750313440204099</v>
      </c>
      <c r="J20">
        <v>22.968710461533099</v>
      </c>
      <c r="K20">
        <v>2.8026651908005</v>
      </c>
      <c r="L20">
        <v>2.4294142632387001</v>
      </c>
      <c r="M20">
        <v>2.56381617192707</v>
      </c>
      <c r="N20">
        <v>3.5473670886293198</v>
      </c>
    </row>
    <row r="21" spans="1:14" x14ac:dyDescent="0.35">
      <c r="A21" s="2">
        <v>45289</v>
      </c>
      <c r="B21">
        <v>2.11106621771878</v>
      </c>
      <c r="C21">
        <v>1.47895581929429</v>
      </c>
      <c r="D21">
        <v>2.6826335841504898</v>
      </c>
      <c r="E21">
        <v>2.6563834912307702</v>
      </c>
      <c r="F21">
        <v>4.5667318566591204</v>
      </c>
      <c r="G21">
        <v>2.8647085842717601</v>
      </c>
      <c r="H21">
        <v>3.0026988691271801</v>
      </c>
      <c r="I21">
        <v>16.324300082232199</v>
      </c>
      <c r="J21">
        <v>24.344986761993699</v>
      </c>
      <c r="K21">
        <v>2.92070467991761</v>
      </c>
      <c r="L21">
        <v>2.9556075049707502</v>
      </c>
      <c r="M21">
        <v>2.5100925867761701</v>
      </c>
      <c r="N21">
        <v>3.8118027168384301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90</v>
      </c>
      <c r="B25" s="48" cm="1">
        <f t="array" ref="B25">(B21/INDEX(B2:B21,MATCH(TRUE,INDEX(ISNUMBER(B2:B21),0),0)))^(1/B23)-1</f>
        <v>-9.3828148339384354E-3</v>
      </c>
      <c r="C25" s="48" cm="1">
        <f t="array" ref="C25">(C21/INDEX(C2:C21,MATCH(TRUE,INDEX(ISNUMBER(C2:C21),0),0)))^(1/C23)-1</f>
        <v>1.1174820218081027E-2</v>
      </c>
      <c r="D25" s="48" cm="1">
        <f t="array" ref="D25">(D21/INDEX(D2:D21,MATCH(TRUE,INDEX(ISNUMBER(D2:D21),0),0)))^(1/D23)-1</f>
        <v>4.0909866878857226E-2</v>
      </c>
      <c r="E25" s="48" cm="1">
        <f t="array" ref="E25">(E21/INDEX(E2:E21,MATCH(TRUE,INDEX(ISNUMBER(E2:E21),0),0)))^(1/E23)-1</f>
        <v>2.8283515901657452E-2</v>
      </c>
      <c r="F25" s="48" cm="1">
        <f t="array" ref="F25">(F21/INDEX(F2:F21,MATCH(TRUE,INDEX(ISNUMBER(F2:F21),0),0)))^(1/F23)-1</f>
        <v>2.4111181364210088E-2</v>
      </c>
      <c r="G25" s="48" cm="1">
        <f t="array" ref="G25">(G21/INDEX(G2:G21,MATCH(TRUE,INDEX(ISNUMBER(G2:G21),0),0)))^(1/G23)-1</f>
        <v>4.6616158051884682E-2</v>
      </c>
      <c r="H25" s="48" cm="1">
        <f t="array" ref="H25">(H21/INDEX(H2:H21,MATCH(TRUE,INDEX(ISNUMBER(H2:H21),0),0)))^(1/H23)-1</f>
        <v>3.7109465036002653E-3</v>
      </c>
      <c r="I25" s="48" cm="1">
        <f t="array" ref="I25">(I21/INDEX(I2:I21,MATCH(TRUE,INDEX(ISNUMBER(I2:I21),0),0)))^(1/I23)-1</f>
        <v>0.12988959921025178</v>
      </c>
      <c r="J25" s="48" cm="1">
        <f t="array" ref="J25">(J21/INDEX(J2:J21,MATCH(TRUE,INDEX(ISNUMBER(J2:J21),0),0)))^(1/J23)-1</f>
        <v>5.9884631603759342E-2</v>
      </c>
      <c r="K25" s="48" cm="1">
        <f t="array" ref="K25">(K21/INDEX(K2:K21,MATCH(TRUE,INDEX(ISNUMBER(K2:K21),0),0)))^(1/K23)-1</f>
        <v>1.8533351259146347E-2</v>
      </c>
      <c r="L25" s="48" cm="1">
        <f t="array" ref="L25">(L21/INDEX(L2:L21,MATCH(TRUE,INDEX(ISNUMBER(L2:L21),0),0)))^(1/L23)-1</f>
        <v>3.4801405293916954E-2</v>
      </c>
      <c r="M25" s="48" cm="1">
        <f t="array" ref="M25">(M21/INDEX(M2:M21,MATCH(TRUE,INDEX(ISNUMBER(M2:M21),0),0)))^(1/M23)-1</f>
        <v>2.4305006375947569E-2</v>
      </c>
      <c r="N25" s="48" cm="1">
        <f t="array" ref="N25">(N21/INDEX(N2:N21,MATCH(TRUE,INDEX(ISNUMBER(N2:N21),0),0)))^(1/N23)-1</f>
        <v>9.2743946932130061E-3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0" customWidth="1"/>
    <col min="23" max="23" width="9.453125" customWidth="1"/>
  </cols>
  <sheetData>
    <row r="1" spans="1:24" ht="18.5" x14ac:dyDescent="0.45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3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3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3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3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35">
      <c r="A7" s="216"/>
      <c r="B7" s="216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35">
      <c r="A8" s="100"/>
      <c r="B8" s="100"/>
      <c r="C8" s="217" t="s">
        <v>558</v>
      </c>
      <c r="D8" s="218"/>
      <c r="E8" s="219"/>
      <c r="G8" s="80"/>
      <c r="H8" s="80"/>
      <c r="I8" s="80"/>
      <c r="J8" s="80"/>
      <c r="K8" s="80"/>
      <c r="L8" s="217" t="s">
        <v>559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3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3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3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3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3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3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3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3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3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3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3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3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3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3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3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3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3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3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3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3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3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3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3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3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3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3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3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3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3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3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3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3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3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3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3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3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3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3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3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3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3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3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3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3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3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3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3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3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3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3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3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3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3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3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3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3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3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3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3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3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3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3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3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3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3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3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3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3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3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3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3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3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3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3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3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3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3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3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3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3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3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3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3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3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3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3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3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3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3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3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3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3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3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3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3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3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3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3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3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3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3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3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3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3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3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3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3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3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3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3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3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3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3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3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3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3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3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3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3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3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3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3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3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3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3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3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3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3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3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3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3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3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3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3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3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3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3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3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3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3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3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3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3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3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3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3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3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3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3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3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3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3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3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3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3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3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3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1.6601644</v>
      </c>
      <c r="E3" cm="1">
        <f t="array" ref="E3">_xll.FDSB(B3,"FG_PRICE_CHANGE(0,-1AY)")</f>
        <v>-1.1123121</v>
      </c>
      <c r="F3" cm="1">
        <f t="array" ref="F3">_xll.FDSB(B3,"FG_PRICE_CHANGE(0,-1AM)")</f>
        <v>0.31542777999999999</v>
      </c>
      <c r="G3" cm="1">
        <f t="array" ref="G3">_xll.FDSB(B3,"FG_PRICE_CHANGE(0,-3AM)")</f>
        <v>1.5273452000000001</v>
      </c>
      <c r="H3" cm="1">
        <f t="array" ref="H3">_xll.FDSB(B3,"FG_PRICE_CHANGE(0,-6AM)")</f>
        <v>1.5190482000000001</v>
      </c>
      <c r="I3" cm="1">
        <f t="array" ref="I3">_xll.FDS(B3,"STD(FG_PRICE_CHANGE(0,-1AY,AM))")</f>
        <v>2.8057630008387702</v>
      </c>
      <c r="J3" cm="1">
        <f t="array" ref="J3">_xll.FDS(B3,"STD(FG_PRICE_CHANGE(0,-3AY,M))")*SQRT(12)</f>
        <v>12.054964411496529</v>
      </c>
      <c r="L3">
        <f>(1-(_xlfn.PERCENTRANK.EXC($F$3:$F$15,F3)))*100</f>
        <v>21.499999999999996</v>
      </c>
      <c r="M3">
        <f>(1-(_xlfn.PERCENTRANK.EXC($G$3:$G$15,G3)))*100</f>
        <v>7.1999999999999957</v>
      </c>
      <c r="N3">
        <f>(1-(_xlfn.PERCENTRANK.EXC($H$3:$H$15,H3)))*100</f>
        <v>14.3</v>
      </c>
      <c r="O3">
        <f>SUMPRODUCT($L$1:$N$1,L3:N3)</f>
        <v>12.899999999999999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10.029999999999996</v>
      </c>
      <c r="U3" cm="1">
        <f t="array" ref="U3">_xlfn.PERCENTRANK.EXC(_xlfn._xlws.FILTER(S$3:S$15, ISNUMBER(S$3:S$15)),S3)*100</f>
        <v>7.1</v>
      </c>
    </row>
    <row r="4" spans="1:21" x14ac:dyDescent="0.3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1.5065913</v>
      </c>
      <c r="E4" cm="1">
        <f t="array" ref="E4">_xll.FDSB(B4,"FG_PRICE_CHANGE(0,-1AY)")</f>
        <v>-2.7344643999999998</v>
      </c>
      <c r="F4" cm="1">
        <f t="array" ref="F4">_xll.FDSB(B4,"FG_PRICE_CHANGE(0,-1AM)")</f>
        <v>1.2956738000000001</v>
      </c>
      <c r="G4" cm="1">
        <f t="array" ref="G4">_xll.FDSB(B4,"FG_PRICE_CHANGE(0,-3AM)")</f>
        <v>0.58757066999999996</v>
      </c>
      <c r="H4" cm="1">
        <f t="array" ref="H4">_xll.FDSB(B4,"FG_PRICE_CHANGE(0,-6AM)")</f>
        <v>-1.6723155999999999</v>
      </c>
      <c r="I4" cm="1">
        <f t="array" ref="I4">_xll.FDS(B4,"STD(FG_PRICE_CHANGE(0,-1AY,AM))")</f>
        <v>2.7845241214341501</v>
      </c>
      <c r="J4" cm="1">
        <f t="array" ref="J4">_xll.FDS(B4,"STD(FG_PRICE_CHANGE(0,-3AY,M))")*SQRT(12)</f>
        <v>10.612816984926036</v>
      </c>
      <c r="L4">
        <f t="shared" ref="L4:L15" si="1">(1-(_xlfn.PERCENTRANK.EXC($F$3:$F$15,F4)))*100</f>
        <v>7.1999999999999957</v>
      </c>
      <c r="M4">
        <f t="shared" ref="M4:M15" si="2">(1-(_xlfn.PERCENTRANK.EXC($G$3:$G$15,G4)))*100</f>
        <v>21.499999999999996</v>
      </c>
      <c r="N4">
        <f t="shared" ref="N4:N15" si="3">(1-(_xlfn.PERCENTRANK.EXC($H$3:$H$15,H4)))*100</f>
        <v>71.500000000000014</v>
      </c>
      <c r="O4">
        <f t="shared" ref="O4:O11" si="4">SUMPRODUCT($L$1:$N$1,L4:N4)</f>
        <v>38.640000000000008</v>
      </c>
      <c r="P4">
        <f t="shared" ref="P4:P15" si="5">100- (_xlfn.PERCENTRANK.EXC($J$3:$J$15,J4)*100)</f>
        <v>21.5</v>
      </c>
      <c r="Q4">
        <f>VLOOKUP(A4,CAD!$A$3:$J$15, 10, FALSE)</f>
        <v>50</v>
      </c>
      <c r="S4">
        <f t="shared" si="0"/>
        <v>35.770000000000003</v>
      </c>
      <c r="U4" cm="1">
        <f t="array" ref="U4">_xlfn.PERCENTRANK.EXC(_xlfn._xlws.FILTER(S$3:S$15, ISNUMBER(S$3:S$15)),S4)*100</f>
        <v>21.4</v>
      </c>
    </row>
    <row r="5" spans="1:21" x14ac:dyDescent="0.3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1.37165</v>
      </c>
      <c r="E5" cm="1">
        <f t="array" ref="E5">_xll.FDSB(B5,"FG_PRICE_CHANGE(0,-1AY)")</f>
        <v>1.4721632</v>
      </c>
      <c r="F5" cm="1">
        <f t="array" ref="F5">_xll.FDSB(B5,"FG_PRICE_CHANGE(0,-1AM)")</f>
        <v>0.13139248000000001</v>
      </c>
      <c r="G5" cm="1">
        <f t="array" ref="G5">_xll.FDSB(B5,"FG_PRICE_CHANGE(0,-3AM)")</f>
        <v>0.74180365000000004</v>
      </c>
      <c r="H5" cm="1">
        <f t="array" ref="H5">_xll.FDSB(B5,"FG_PRICE_CHANGE(0,-6AM)")</f>
        <v>1.7355799999999999</v>
      </c>
      <c r="I5" cm="1">
        <f t="array" ref="I5">_xll.FDS(B5,"STD(FG_PRICE_CHANGE(0,-1AY,AM))")</f>
        <v>1.3970089080105601</v>
      </c>
      <c r="J5" cm="1">
        <f t="array" ref="J5">_xll.FDS(B5,"STD(FG_PRICE_CHANGE(0,-3AY,M))")*SQRT(12)</f>
        <v>6.1828245035966845</v>
      </c>
      <c r="L5">
        <f t="shared" si="1"/>
        <v>28.6</v>
      </c>
      <c r="M5">
        <f t="shared" si="2"/>
        <v>14.3</v>
      </c>
      <c r="N5">
        <f t="shared" si="3"/>
        <v>7.1999999999999957</v>
      </c>
      <c r="O5">
        <f t="shared" si="4"/>
        <v>14.32</v>
      </c>
      <c r="P5">
        <f t="shared" si="5"/>
        <v>71.5</v>
      </c>
      <c r="Q5">
        <f>VLOOKUP(A5,CAD!$A$3:$J$15, 10, FALSE)</f>
        <v>35.699999999999996</v>
      </c>
      <c r="S5">
        <f t="shared" si="0"/>
        <v>35.75</v>
      </c>
      <c r="U5" cm="1">
        <f t="array" ref="U5">_xlfn.PERCENTRANK.EXC(_xlfn._xlws.FILTER(S$3:S$15, ISNUMBER(S$3:S$15)),S5)*100</f>
        <v>14.2</v>
      </c>
    </row>
    <row r="6" spans="1:21" x14ac:dyDescent="0.3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0.90983533999999999</v>
      </c>
      <c r="E6" cm="1">
        <f t="array" ref="E6">_xll.FDSB(B6,"FG_PRICE_CHANGE(0,-1AY)")</f>
        <v>-0.76426269999999996</v>
      </c>
      <c r="F6" cm="1">
        <f t="array" ref="F6">_xll.FDSB(B6,"FG_PRICE_CHANGE(0,-1AM)")</f>
        <v>-1.0190129000000001</v>
      </c>
      <c r="G6" cm="1">
        <f t="array" ref="G6">_xll.FDSB(B6,"FG_PRICE_CHANGE(0,-3AM)")</f>
        <v>-1.1008978</v>
      </c>
      <c r="H6" cm="1">
        <f t="array" ref="H6">_xll.FDSB(B6,"FG_PRICE_CHANGE(0,-6AM)")</f>
        <v>-1.9970834</v>
      </c>
      <c r="I6" cm="1">
        <f t="array" ref="I6">_xll.FDS(B6,"STD(FG_PRICE_CHANGE(0,-1AY,AM))")</f>
        <v>1.9240863460661499</v>
      </c>
      <c r="J6" cm="1">
        <f t="array" ref="J6">_xll.FDS(B6,"STD(FG_PRICE_CHANGE(0,-3AY,M))")*SQRT(12)</f>
        <v>7.4263797589644263</v>
      </c>
      <c r="L6">
        <f t="shared" si="1"/>
        <v>64.3</v>
      </c>
      <c r="M6">
        <f t="shared" si="2"/>
        <v>57.2</v>
      </c>
      <c r="N6">
        <f t="shared" si="3"/>
        <v>85.8</v>
      </c>
      <c r="O6">
        <f t="shared" si="4"/>
        <v>70.06</v>
      </c>
      <c r="P6">
        <f t="shared" si="5"/>
        <v>64.300000000000011</v>
      </c>
      <c r="Q6">
        <f>VLOOKUP(A6,CAD!$A$3:$J$15, 10, FALSE)</f>
        <v>78.5</v>
      </c>
      <c r="S6">
        <f t="shared" si="0"/>
        <v>70.02000000000001</v>
      </c>
      <c r="U6" cm="1">
        <f t="array" ref="U6">_xlfn.PERCENTRANK.EXC(_xlfn._xlws.FILTER(S$3:S$15, ISNUMBER(S$3:S$15)),S6)*100</f>
        <v>92.800000000000011</v>
      </c>
    </row>
    <row r="7" spans="1:21" x14ac:dyDescent="0.3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147.995</v>
      </c>
      <c r="E7" cm="1">
        <f t="array" ref="E7">_xll.FDSB(B7,"FG_PRICE_CHANGE(0,-1AY)")</f>
        <v>1.4950395000000001</v>
      </c>
      <c r="F7" cm="1">
        <f t="array" ref="F7">_xll.FDSB(B7,"FG_PRICE_CHANGE(0,-1AM)")</f>
        <v>-6.6836953000000001</v>
      </c>
      <c r="G7" cm="1">
        <f t="array" ref="G7">_xll.FDSB(B7,"FG_PRICE_CHANGE(0,-3AM)")</f>
        <v>-4.7222080000000002</v>
      </c>
      <c r="H7" cm="1">
        <f t="array" ref="H7">_xll.FDSB(B7,"FG_PRICE_CHANGE(0,-6AM)")</f>
        <v>-1.4909983</v>
      </c>
      <c r="I7" cm="1">
        <f t="array" ref="I7">_xll.FDS(B7,"STD(FG_PRICE_CHANGE(0,-1AY,AM))")</f>
        <v>3.41623689007612</v>
      </c>
      <c r="J7" cm="1">
        <f t="array" ref="J7">_xll.FDS(B7,"STD(FG_PRICE_CHANGE(0,-3AY,M))")*SQRT(12)</f>
        <v>11.369899696650135</v>
      </c>
      <c r="L7">
        <f t="shared" si="1"/>
        <v>92.9</v>
      </c>
      <c r="M7">
        <f t="shared" si="2"/>
        <v>92.9</v>
      </c>
      <c r="N7">
        <f t="shared" si="3"/>
        <v>64.3</v>
      </c>
      <c r="O7">
        <f t="shared" si="4"/>
        <v>81.460000000000008</v>
      </c>
      <c r="P7">
        <f t="shared" si="5"/>
        <v>14.299999999999997</v>
      </c>
      <c r="Q7">
        <f>VLOOKUP(A7,CAD!$A$3:$J$15, 10, FALSE)</f>
        <v>64.2</v>
      </c>
      <c r="S7">
        <f t="shared" si="0"/>
        <v>57.860000000000007</v>
      </c>
      <c r="U7" cm="1">
        <f t="array" ref="U7">_xlfn.PERCENTRANK.EXC(_xlfn._xlws.FILTER(S$3:S$15, ISNUMBER(S$3:S$15)),S7)*100</f>
        <v>57.099999999999994</v>
      </c>
    </row>
    <row r="8" spans="1:21" x14ac:dyDescent="0.3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0.86834999999999996</v>
      </c>
      <c r="E8" cm="1">
        <f t="array" ref="E8">_xll.FDSB(B8,"FG_PRICE_CHANGE(0,-1AY)")</f>
        <v>-1.2059808000000001</v>
      </c>
      <c r="F8" cm="1">
        <f t="array" ref="F8">_xll.FDSB(B8,"FG_PRICE_CHANGE(0,-1AM)")</f>
        <v>-3.0859350000000001</v>
      </c>
      <c r="G8" cm="1">
        <f t="array" ref="G8">_xll.FDSB(B8,"FG_PRICE_CHANGE(0,-3AM)")</f>
        <v>-3.9913713999999998</v>
      </c>
      <c r="H8" cm="1">
        <f t="array" ref="H8">_xll.FDSB(B8,"FG_PRICE_CHANGE(0,-6AM)")</f>
        <v>-1.4078856</v>
      </c>
      <c r="I8" cm="1">
        <f t="array" ref="I8">_xll.FDS(B8,"STD(FG_PRICE_CHANGE(0,-1AY,AM))")</f>
        <v>1.9914970508487999</v>
      </c>
      <c r="J8" cm="1">
        <f t="array" ref="J8">_xll.FDS(B8,"STD(FG_PRICE_CHANGE(0,-3AY,M))")*SQRT(12)</f>
        <v>8.3740438995508715</v>
      </c>
      <c r="L8">
        <f t="shared" si="1"/>
        <v>85.8</v>
      </c>
      <c r="M8">
        <f t="shared" si="2"/>
        <v>85.8</v>
      </c>
      <c r="N8">
        <f t="shared" si="3"/>
        <v>57.2</v>
      </c>
      <c r="O8">
        <f t="shared" si="4"/>
        <v>74.360000000000014</v>
      </c>
      <c r="P8">
        <f t="shared" si="5"/>
        <v>42.900000000000006</v>
      </c>
      <c r="Q8">
        <f>VLOOKUP(A8,CAD!$A$3:$J$15, 10, FALSE)</f>
        <v>85.7</v>
      </c>
      <c r="S8">
        <f t="shared" si="0"/>
        <v>67.190000000000012</v>
      </c>
      <c r="U8" cm="1">
        <f t="array" ref="U8">_xlfn.PERCENTRANK.EXC(_xlfn._xlws.FILTER(S$3:S$15, ISNUMBER(S$3:S$15)),S8)*100</f>
        <v>85.7</v>
      </c>
    </row>
    <row r="9" spans="1:21" x14ac:dyDescent="0.3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0.77570490000000003</v>
      </c>
      <c r="E9" cm="1">
        <f t="array" ref="E9">_xll.FDSB(B9,"FG_PRICE_CHANGE(0,-1AY)")</f>
        <v>-1.0782301000000001</v>
      </c>
      <c r="F9" cm="1">
        <f t="array" ref="F9">_xll.FDSB(B9,"FG_PRICE_CHANGE(0,-1AM)")</f>
        <v>0.43438673</v>
      </c>
      <c r="G9" cm="1">
        <f t="array" ref="G9">_xll.FDSB(B9,"FG_PRICE_CHANGE(0,-3AM)")</f>
        <v>-1.7298222000000001</v>
      </c>
      <c r="H9" cm="1">
        <f t="array" ref="H9">_xll.FDSB(B9,"FG_PRICE_CHANGE(0,-6AM)")</f>
        <v>-2.3697792999999998</v>
      </c>
      <c r="I9" cm="1">
        <f t="array" ref="I9">_xll.FDS(B9,"STD(FG_PRICE_CHANGE(0,-1AY,AM))")</f>
        <v>1.8921901375163599</v>
      </c>
      <c r="J9" cm="1">
        <f t="array" ref="J9">_xll.FDS(B9,"STD(FG_PRICE_CHANGE(0,-3AY,M))")*SQRT(12)</f>
        <v>8.155130445493457</v>
      </c>
      <c r="L9">
        <f t="shared" si="1"/>
        <v>14.3</v>
      </c>
      <c r="M9">
        <f t="shared" si="2"/>
        <v>64.3</v>
      </c>
      <c r="N9">
        <f t="shared" si="3"/>
        <v>92.9</v>
      </c>
      <c r="O9">
        <f>SUMPRODUCT($L$1:$N$1,L9:N9)</f>
        <v>65.740000000000009</v>
      </c>
      <c r="P9">
        <f t="shared" si="5"/>
        <v>50</v>
      </c>
      <c r="Q9">
        <f>VLOOKUP(A9,CAD!$A$3:$J$15, 10, FALSE)</f>
        <v>28.499999999999996</v>
      </c>
      <c r="S9">
        <f t="shared" si="0"/>
        <v>53.570000000000007</v>
      </c>
      <c r="U9" cm="1">
        <f t="array" ref="U9">_xlfn.PERCENTRANK.EXC(_xlfn._xlws.FILTER(S$3:S$15, ISNUMBER(S$3:S$15)),S9)*100</f>
        <v>50</v>
      </c>
    </row>
    <row r="10" spans="1:21" x14ac:dyDescent="0.3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50</v>
      </c>
      <c r="M10">
        <f t="shared" si="2"/>
        <v>42.900000000000006</v>
      </c>
      <c r="N10">
        <f t="shared" si="3"/>
        <v>42.900000000000006</v>
      </c>
      <c r="O10">
        <f t="shared" si="4"/>
        <v>44.320000000000007</v>
      </c>
      <c r="P10">
        <f t="shared" si="5"/>
        <v>92.9</v>
      </c>
      <c r="Q10">
        <f>VLOOKUP(A10,CAD!$A$3:$J$15, 10, FALSE)</f>
        <v>14.2</v>
      </c>
      <c r="S10">
        <f t="shared" si="0"/>
        <v>52.870000000000005</v>
      </c>
      <c r="U10" cm="1">
        <f t="array" ref="U10">_xlfn.PERCENTRANK.EXC(_xlfn._xlws.FILTER(S$3:S$15, ISNUMBER(S$3:S$15)),S10)*100</f>
        <v>35.699999999999996</v>
      </c>
    </row>
    <row r="11" spans="1:21" x14ac:dyDescent="0.3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50</v>
      </c>
      <c r="M11">
        <f t="shared" si="2"/>
        <v>42.900000000000006</v>
      </c>
      <c r="N11">
        <f t="shared" si="3"/>
        <v>42.900000000000006</v>
      </c>
      <c r="O11">
        <f t="shared" si="4"/>
        <v>44.320000000000007</v>
      </c>
      <c r="P11">
        <f t="shared" si="5"/>
        <v>92.9</v>
      </c>
      <c r="Q11">
        <f>VLOOKUP(A11,CAD!$A$3:$J$15, 10, FALSE)</f>
        <v>14.2</v>
      </c>
      <c r="S11">
        <f t="shared" si="0"/>
        <v>52.870000000000005</v>
      </c>
      <c r="U11" cm="1">
        <f t="array" ref="U11">_xlfn.PERCENTRANK.EXC(_xlfn._xlws.FILTER(S$3:S$15, ISNUMBER(S$3:S$15)),S11)*100</f>
        <v>35.699999999999996</v>
      </c>
    </row>
    <row r="12" spans="1:21" x14ac:dyDescent="0.35">
      <c r="A12" t="s">
        <v>865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0.86834999999999996</v>
      </c>
      <c r="E12" cm="1">
        <f t="array" ref="E12">_xll.FDSB(B12,"FG_PRICE_CHANGE(0,-1AY)")</f>
        <v>-1.2059808000000001</v>
      </c>
      <c r="F12" cm="1">
        <f t="array" ref="F12">_xll.FDSB(B12,"FG_PRICE_CHANGE(0,-1AM)")</f>
        <v>-3.0859350000000001</v>
      </c>
      <c r="G12" cm="1">
        <f t="array" ref="G12">_xll.FDSB(B12,"FG_PRICE_CHANGE(0,-3AM)")</f>
        <v>-3.9913713999999998</v>
      </c>
      <c r="H12" cm="1">
        <f t="array" ref="H12">_xll.FDSB(B12,"FG_PRICE_CHANGE(0,-6AM)")</f>
        <v>-1.4078856</v>
      </c>
      <c r="I12" cm="1">
        <f t="array" ref="I12">_xll.FDS(B12,"STD(FG_PRICE_CHANGE(0,-1AY,AM))")</f>
        <v>1.9914970508487999</v>
      </c>
      <c r="J12" cm="1">
        <f t="array" ref="J12">_xll.FDS(B12,"STD(FG_PRICE_CHANGE(0,-3AY,M))")*SQRT(12)</f>
        <v>8.3740438995508715</v>
      </c>
      <c r="L12">
        <f t="shared" si="1"/>
        <v>85.8</v>
      </c>
      <c r="M12">
        <f t="shared" si="2"/>
        <v>85.8</v>
      </c>
      <c r="N12">
        <f t="shared" si="3"/>
        <v>57.2</v>
      </c>
      <c r="O12">
        <f t="shared" ref="O12:O15" si="6">SUMPRODUCT($L$1:$N$1,L12:N12)</f>
        <v>74.360000000000014</v>
      </c>
      <c r="P12">
        <f t="shared" si="5"/>
        <v>42.900000000000006</v>
      </c>
      <c r="Q12">
        <f>VLOOKUP(A12,CAD!$A$3:$J$15, 10, FALSE)</f>
        <v>42.8</v>
      </c>
      <c r="S12">
        <f t="shared" ref="S12:S15" si="7">SUMPRODUCT($O$1:$Q$1,O12:Q12)</f>
        <v>58.610000000000014</v>
      </c>
      <c r="U12" cm="1">
        <f t="array" ref="U12">_xlfn.PERCENTRANK.EXC(_xlfn._xlws.FILTER(S$3:S$15, ISNUMBER(S$3:S$15)),S12)*100</f>
        <v>64.2</v>
      </c>
    </row>
    <row r="13" spans="1:21" s="183" customFormat="1" x14ac:dyDescent="0.35">
      <c r="A13" s="183" t="s">
        <v>867</v>
      </c>
      <c r="B13" s="183" t="s">
        <v>880</v>
      </c>
      <c r="C13" s="183" t="str" cm="1">
        <f t="array" ref="C13">_xll.FDSB(B13,"FG_COMPANY_NAME")</f>
        <v>Netherlands Antilles Guilder per U.S. Dollar</v>
      </c>
      <c r="D13" s="183" cm="1">
        <f t="array" ref="D13">_xll.FDSB(B13,"FG_PRICE(0)")</f>
        <v>1.79</v>
      </c>
      <c r="E13" s="183" cm="1">
        <f t="array" ref="E13">_xll.FDSB(B13,"FG_PRICE_CHANGE(0,-1AY)")</f>
        <v>0</v>
      </c>
      <c r="F13" s="183" cm="1">
        <f t="array" ref="F13">_xll.FDSB(B13,"FG_PRICE_CHANGE(0,-1AM)")</f>
        <v>0</v>
      </c>
      <c r="G13" s="183" cm="1">
        <f t="array" ref="G13">_xll.FDSB(B13,"FG_PRICE_CHANGE(0,-3AM)")</f>
        <v>0</v>
      </c>
      <c r="H13" s="183" cm="1">
        <f t="array" ref="H13">_xll.FDSB(B13,"FG_PRICE_CHANGE(0,-6AM)")</f>
        <v>0</v>
      </c>
      <c r="I13" s="183" cm="1">
        <f t="array" ref="I13">_xll.FDS(B13,"STD(FG_PRICE_CHANGE(0,-1AY,AM))")</f>
        <v>0</v>
      </c>
      <c r="J13" s="183" cm="1">
        <f t="array" ref="J13">_xll.FDS(B13,"STD(FG_PRICE_CHANGE(0,-3AY,M))")*SQRT(12)</f>
        <v>0.2059757180491337</v>
      </c>
      <c r="L13" s="183">
        <f t="shared" si="1"/>
        <v>50</v>
      </c>
      <c r="M13" s="183">
        <f t="shared" si="2"/>
        <v>42.900000000000006</v>
      </c>
      <c r="N13" s="183">
        <f t="shared" si="3"/>
        <v>42.900000000000006</v>
      </c>
      <c r="O13" s="183">
        <f t="shared" si="6"/>
        <v>44.320000000000007</v>
      </c>
      <c r="P13" s="183">
        <f t="shared" si="5"/>
        <v>78.599999999999994</v>
      </c>
      <c r="Q13" s="183">
        <f>VLOOKUP(A13,CAD!$A$3:$J$15, 10, FALSE)</f>
        <v>92.800000000000011</v>
      </c>
      <c r="S13" s="183">
        <f t="shared" si="7"/>
        <v>64.300000000000011</v>
      </c>
      <c r="U13" s="183" cm="1">
        <f t="array" ref="U13">_xlfn.PERCENTRANK.EXC(_xlfn._xlws.FILTER(S$3:S$15, ISNUMBER(S$3:S$15)),S13)*100</f>
        <v>78.5</v>
      </c>
    </row>
    <row r="14" spans="1:21" x14ac:dyDescent="0.35">
      <c r="A14" t="s">
        <v>864</v>
      </c>
      <c r="B14" t="s">
        <v>881</v>
      </c>
      <c r="C14" t="str" cm="1">
        <f t="array" ref="C14">_xll.FDSB(B14,"FG_COMPANY_NAME")</f>
        <v>Swedish Krona per U.S. Dollar</v>
      </c>
      <c r="D14" cm="1">
        <f t="array" ref="D14">_xll.FDSB(B14,"FG_PRICE(0)")</f>
        <v>10.501300000000001</v>
      </c>
      <c r="E14" cm="1">
        <f t="array" ref="E14">_xll.FDSB(B14,"FG_PRICE_CHANGE(0,-1AY)")</f>
        <v>-3.4616172000000001</v>
      </c>
      <c r="F14" cm="1">
        <f t="array" ref="F14">_xll.FDSB(B14,"FG_PRICE_CHANGE(0,-1AM)")</f>
        <v>-1.1093199</v>
      </c>
      <c r="G14" cm="1">
        <f t="array" ref="G14">_xll.FDSB(B14,"FG_PRICE_CHANGE(0,-3AM)")</f>
        <v>-1.8913925</v>
      </c>
      <c r="H14" cm="1">
        <f t="array" ref="H14">_xll.FDSB(B14,"FG_PRICE_CHANGE(0,-6AM)")</f>
        <v>0.44332743000000002</v>
      </c>
      <c r="I14" cm="1">
        <f t="array" ref="I14">_xll.FDS(B14,"STD(FG_PRICE_CHANGE(0,-1AY,AM))")</f>
        <v>3.0694366263265498</v>
      </c>
      <c r="J14" cm="1">
        <f t="array" ref="J14">_xll.FDS(B14,"STD(FG_PRICE_CHANGE(0,-3AY,M))")*SQRT(12)</f>
        <v>10.287717165288415</v>
      </c>
      <c r="L14">
        <f t="shared" si="1"/>
        <v>71.500000000000014</v>
      </c>
      <c r="M14">
        <f t="shared" si="2"/>
        <v>71.500000000000014</v>
      </c>
      <c r="N14">
        <f t="shared" si="3"/>
        <v>21.499999999999996</v>
      </c>
      <c r="O14">
        <f t="shared" si="6"/>
        <v>51.500000000000014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48.610000000000014</v>
      </c>
      <c r="U14" cm="1">
        <f t="array" ref="U14">_xlfn.PERCENTRANK.EXC(_xlfn._xlws.FILTER(S$3:S$15, ISNUMBER(S$3:S$15)),S14)*100</f>
        <v>28.499999999999996</v>
      </c>
    </row>
    <row r="15" spans="1:21" x14ac:dyDescent="0.35">
      <c r="A15" t="s">
        <v>866</v>
      </c>
      <c r="B15" t="s">
        <v>882</v>
      </c>
      <c r="C15" t="str" cm="1">
        <f t="array" ref="C15">_xll.FDSB(B15,"FG_COMPANY_NAME")</f>
        <v>Italian Lira per U.S. Dollar</v>
      </c>
      <c r="D15" cm="1">
        <f t="array" ref="D15">_xll.FDSB(B15,"FG_PRICE(0)")</f>
        <v>1761.6868999999999</v>
      </c>
      <c r="E15" cm="1">
        <f t="array" ref="E15">_xll.FDSB(B15,"FG_PRICE_CHANGE(0,-1AY)")</f>
        <v>-0.76425670000000001</v>
      </c>
      <c r="F15" cm="1">
        <f t="array" ref="F15">_xll.FDSB(B15,"FG_PRICE_CHANGE(0,-1AM)")</f>
        <v>-1.0190129000000001</v>
      </c>
      <c r="G15" cm="1">
        <f t="array" ref="G15">_xll.FDSB(B15,"FG_PRICE_CHANGE(0,-3AM)")</f>
        <v>-1.1008978</v>
      </c>
      <c r="H15" cm="1">
        <f t="array" ref="H15">_xll.FDSB(B15,"FG_PRICE_CHANGE(0,-6AM)")</f>
        <v>-1.9970834</v>
      </c>
      <c r="I15" cm="1">
        <f t="array" ref="I15">_xll.FDS(B15,"STD(FG_PRICE_CHANGE(0,-1AY,AM))")</f>
        <v>1.9240867137326301</v>
      </c>
      <c r="J15" cm="1">
        <f t="array" ref="J15">_xll.FDS(B15,"STD(FG_PRICE_CHANGE(0,-3AY,M))")*SQRT(12)</f>
        <v>7.4263798056094554</v>
      </c>
      <c r="L15">
        <f t="shared" si="1"/>
        <v>64.3</v>
      </c>
      <c r="M15">
        <f t="shared" si="2"/>
        <v>57.2</v>
      </c>
      <c r="N15">
        <f t="shared" si="3"/>
        <v>85.8</v>
      </c>
      <c r="O15">
        <f t="shared" si="6"/>
        <v>70.06</v>
      </c>
      <c r="P15">
        <f t="shared" si="5"/>
        <v>57.2</v>
      </c>
      <c r="Q15">
        <f>VLOOKUP(A15,CAD!$A$3:$J$15, 10, FALSE)</f>
        <v>57.099999999999994</v>
      </c>
      <c r="S15">
        <f t="shared" si="7"/>
        <v>63.61</v>
      </c>
      <c r="U15" cm="1">
        <f t="array" ref="U15">_xlfn.PERCENTRANK.EXC(_xlfn._xlws.FILTER(S$3:S$15, ISNUMBER(S$3:S$15)),S15)*100</f>
        <v>71.399999999999991</v>
      </c>
    </row>
    <row r="24" spans="10:10" x14ac:dyDescent="0.35">
      <c r="J24" s="53"/>
    </row>
    <row r="26" spans="10:10" x14ac:dyDescent="0.35">
      <c r="J26" s="67"/>
    </row>
    <row r="28" spans="10:10" x14ac:dyDescent="0.3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481</v>
      </c>
      <c r="G1" t="s">
        <v>482</v>
      </c>
      <c r="H1" t="s">
        <v>483</v>
      </c>
      <c r="J1" t="s">
        <v>492</v>
      </c>
    </row>
    <row r="2" spans="1:10" x14ac:dyDescent="0.3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3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-6.9</v>
      </c>
      <c r="H3" cm="1">
        <f t="array" ref="H3">IFERROR(_xll.FDS($F3,"EE_ACTUAL_ANNUAL(MED,+1)"),0)</f>
        <v>-6.05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0.27577682550316901</v>
      </c>
      <c r="H4" cm="1">
        <f t="array" ref="H4">IFERROR(_xll.FDS($F4,"EE_ACTUAL_ANNUAL(MED,+1)"),0)</f>
        <v>0</v>
      </c>
      <c r="J4" cm="1">
        <f t="array" ref="J4">_xlfn.PERCENTRANK.EXC(_xlfn._xlws.FILTER(H$3:H$15, ISNUMBER(H$3:H$15)),H4)*100</f>
        <v>50</v>
      </c>
    </row>
    <row r="5" spans="1:10" x14ac:dyDescent="0.3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-0.72541439902632698</v>
      </c>
      <c r="H5" cm="1">
        <f t="array" ref="H5">IFERROR(_xll.FDS($F5,"EE_ACTUAL_ANNUAL(MED,+1)"),0)</f>
        <v>-0.65</v>
      </c>
      <c r="J5" cm="1">
        <f t="array" ref="J5">_xlfn.PERCENTRANK.EXC(_xlfn._xlws.FILTER(H$3:H$15, ISNUMBER(H$3:H$15)),H5)*100</f>
        <v>35.699999999999996</v>
      </c>
    </row>
    <row r="6" spans="1:10" x14ac:dyDescent="0.3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6.0493724148617902</v>
      </c>
      <c r="H6" cm="1">
        <f t="array" ref="H6">IFERROR(_xll.FDS($F6,"EE_ACTUAL_ANNUAL(MED,+1)"),0)</f>
        <v>6.5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3.6066552686413398</v>
      </c>
      <c r="H7" cm="1">
        <f t="array" ref="H7">IFERROR(_xll.FDS($F7,"EE_ACTUAL_ANNUAL(MED,+1)"),0)</f>
        <v>3.8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6.9808755786158398</v>
      </c>
      <c r="H8" cm="1">
        <f t="array" ref="H8">IFERROR(_xll.FDS($F8,"EE_ACTUAL_ANNUAL(MED,+1)"),0)</f>
        <v>8</v>
      </c>
      <c r="J8" cm="1">
        <f t="array" ref="J8">_xlfn.PERCENTRANK.EXC(_xlfn._xlws.FILTER(H$3:H$15, ISNUMBER(H$3:H$15)),H8)*100</f>
        <v>85.7</v>
      </c>
    </row>
    <row r="9" spans="1:10" x14ac:dyDescent="0.3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-3.3</v>
      </c>
      <c r="H9" cm="1">
        <f t="array" ref="H9">IFERROR(_xll.FDS($F9,"EE_ACTUAL_ANNUAL(MED,+1)"),0)</f>
        <v>-2.65</v>
      </c>
      <c r="J9" cm="1">
        <f t="array" ref="J9">_xlfn.PERCENTRANK.EXC(_xlfn._xlws.FILTER(H$3:H$15, ISNUMBER(H$3:H$15)),H9)*100</f>
        <v>28.499999999999996</v>
      </c>
    </row>
    <row r="10" spans="1:10" x14ac:dyDescent="0.3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-3.3110866828871801</v>
      </c>
      <c r="H10" cm="1">
        <f t="array" ref="H10">IFERROR(_xll.FDS($F10,"EE_ACTUAL_ANNUAL(MED,+1)"),0)</f>
        <v>-3.2</v>
      </c>
      <c r="J10" cm="1">
        <f t="array" ref="J10">_xlfn.PERCENTRANK.EXC(_xlfn._xlws.FILTER(H$3:H$15, ISNUMBER(H$3:H$15)),H10)*100</f>
        <v>14.2</v>
      </c>
    </row>
    <row r="11" spans="1:10" x14ac:dyDescent="0.3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-3.3110866828871801</v>
      </c>
      <c r="H11" cm="1">
        <f t="array" ref="H11">IFERROR(_xll.FDS($F11,"EE_ACTUAL_ANNUAL(MED,+1)"),0)</f>
        <v>-3.2</v>
      </c>
      <c r="J11" cm="1">
        <f t="array" ref="J11">_xlfn.PERCENTRANK.EXC(_xlfn._xlws.FILTER(H$3:H$15, ISNUMBER(H$3:H$15)),H11)*100</f>
        <v>14.2</v>
      </c>
    </row>
    <row r="12" spans="1:10" x14ac:dyDescent="0.35">
      <c r="A12" t="s">
        <v>865</v>
      </c>
      <c r="B12" t="s">
        <v>470</v>
      </c>
      <c r="C12" t="s">
        <v>621</v>
      </c>
      <c r="D12" t="s">
        <v>106</v>
      </c>
      <c r="E12" t="s">
        <v>869</v>
      </c>
      <c r="F12" t="str">
        <f t="shared" si="0"/>
        <v>CAGDPY@FR</v>
      </c>
      <c r="G12" cm="1">
        <f t="array" ref="G12">IFERROR(_xll.FDS($F12,"EE_ACTUAL_ANNUAL(MED,0)"),0)</f>
        <v>-1.01988503384344</v>
      </c>
      <c r="H12" cm="1">
        <f t="array" ref="H12">IFERROR(_xll.FDS($F12,"EE_ACTUAL_ANNUAL(MED,+1)"),0)</f>
        <v>-0.45</v>
      </c>
      <c r="J12" cm="1">
        <f t="array" ref="J12">_xlfn.PERCENTRANK.EXC(_xlfn._xlws.FILTER(H$3:H$15, ISNUMBER(H$3:H$15)),H12)*100</f>
        <v>42.8</v>
      </c>
    </row>
    <row r="13" spans="1:10" x14ac:dyDescent="0.35">
      <c r="A13" t="s">
        <v>867</v>
      </c>
      <c r="B13" t="s">
        <v>880</v>
      </c>
      <c r="C13" t="s">
        <v>673</v>
      </c>
      <c r="D13" t="s">
        <v>875</v>
      </c>
      <c r="E13" t="s">
        <v>870</v>
      </c>
      <c r="F13" t="str">
        <f t="shared" si="0"/>
        <v>CAGDPY@NL</v>
      </c>
      <c r="G13" cm="1">
        <f t="array" ref="G13">IFERROR(_xll.FDS($F13,"EE_ACTUAL_ANNUAL(MED,0)"),0)</f>
        <v>9.8540850199698795</v>
      </c>
      <c r="H13" cm="1">
        <f t="array" ref="H13">IFERROR(_xll.FDS($F13,"EE_ACTUAL_ANNUAL(MED,+1)"),0)</f>
        <v>9.5</v>
      </c>
      <c r="J13" cm="1">
        <f t="array" ref="J13">_xlfn.PERCENTRANK.EXC(_xlfn._xlws.FILTER(H$3:H$15, ISNUMBER(H$3:H$15)),H13)*100</f>
        <v>92.800000000000011</v>
      </c>
    </row>
    <row r="14" spans="1:10" x14ac:dyDescent="0.35">
      <c r="A14" t="s">
        <v>864</v>
      </c>
      <c r="B14" t="s">
        <v>881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6.4686639012956002</v>
      </c>
      <c r="H14" cm="1">
        <f t="array" ref="H14">IFERROR(_xll.FDS($F14,"EE_ACTUAL_ANNUAL(MED,+1)"),0)</f>
        <v>6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866</v>
      </c>
      <c r="B15" t="s">
        <v>882</v>
      </c>
      <c r="C15" t="s">
        <v>641</v>
      </c>
      <c r="D15" t="s">
        <v>876</v>
      </c>
      <c r="E15" t="s">
        <v>868</v>
      </c>
      <c r="F15" t="str">
        <f t="shared" si="0"/>
        <v>CAGDPY@IT</v>
      </c>
      <c r="G15" cm="1">
        <f t="array" ref="G15">IFERROR(_xll.FDS($F15,"EE_ACTUAL_ANNUAL(MED,0)"),0)</f>
        <v>0.46418496504898199</v>
      </c>
      <c r="H15" cm="1">
        <f t="array" ref="H15">IFERROR(_xll.FDS($F15,"EE_ACTUAL_ANNUAL(MED,+1)"),0)</f>
        <v>0.95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9.1744690000000002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394</v>
      </c>
      <c r="B17">
        <f>MEDIAN(_xlfn.ANCHORARRAY(B4))</f>
        <v>9.2760645000000004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9.0038870875203099</v>
      </c>
      <c r="C17">
        <v>11.7272452753145</v>
      </c>
      <c r="D17">
        <v>11.978678386383701</v>
      </c>
      <c r="E17">
        <v>10.4475672102116</v>
      </c>
      <c r="F17">
        <v>8.35596279152373</v>
      </c>
      <c r="G17">
        <v>14.538819869127099</v>
      </c>
      <c r="H17">
        <v>12.8709323534995</v>
      </c>
      <c r="I17">
        <v>25.011729179905998</v>
      </c>
      <c r="J17">
        <v>18.2929292712369</v>
      </c>
      <c r="K17">
        <v>10.914009645236099</v>
      </c>
      <c r="L17">
        <v>13.0917636337237</v>
      </c>
      <c r="M17">
        <v>13.411796749592799</v>
      </c>
      <c r="N17">
        <v>10.235305358457801</v>
      </c>
    </row>
    <row r="18" spans="1:17" ht="25.5" customHeight="1" x14ac:dyDescent="0.35">
      <c r="A18" s="2">
        <v>44196</v>
      </c>
      <c r="B18">
        <v>7.5322638919869096</v>
      </c>
      <c r="C18">
        <v>11.050859206460901</v>
      </c>
      <c r="D18">
        <v>11.192208682288101</v>
      </c>
      <c r="E18">
        <v>9.7147154363071309</v>
      </c>
      <c r="F18">
        <v>7.4385992980085502</v>
      </c>
      <c r="G18">
        <v>14.667779515581</v>
      </c>
      <c r="H18">
        <v>11.207468740818801</v>
      </c>
      <c r="I18">
        <v>24.5344428387709</v>
      </c>
      <c r="J18">
        <v>17.2298191407891</v>
      </c>
      <c r="K18">
        <v>8.9422344840844303</v>
      </c>
      <c r="L18">
        <v>9.7785656650372808</v>
      </c>
      <c r="M18">
        <v>11.908567848488101</v>
      </c>
      <c r="N18">
        <v>8.27578853786002</v>
      </c>
    </row>
    <row r="19" spans="1:17" ht="25.5" customHeight="1" x14ac:dyDescent="0.35">
      <c r="A19" s="2">
        <v>44561</v>
      </c>
      <c r="B19">
        <v>6.4440018120205602</v>
      </c>
      <c r="C19">
        <v>12.8471719199911</v>
      </c>
      <c r="D19">
        <v>14.1061782856045</v>
      </c>
      <c r="E19">
        <v>12.199709394090799</v>
      </c>
      <c r="F19">
        <v>9.2207656739007806</v>
      </c>
      <c r="G19">
        <v>16.3837417700753</v>
      </c>
      <c r="H19">
        <v>13.922769951646799</v>
      </c>
      <c r="I19">
        <v>26.6372021629589</v>
      </c>
      <c r="J19">
        <v>20.686290275763401</v>
      </c>
      <c r="K19">
        <v>12.2539555485597</v>
      </c>
      <c r="L19">
        <v>10.899145951859399</v>
      </c>
      <c r="M19">
        <v>15.360277960938401</v>
      </c>
      <c r="N19">
        <v>11.7277999998841</v>
      </c>
    </row>
    <row r="20" spans="1:17" ht="25.5" customHeight="1" x14ac:dyDescent="0.35">
      <c r="A20" s="2">
        <v>44925</v>
      </c>
      <c r="B20">
        <v>7.7689690341126996</v>
      </c>
      <c r="C20">
        <v>14.6580605840091</v>
      </c>
      <c r="D20">
        <v>14.0029403106189</v>
      </c>
      <c r="E20">
        <v>11.818711551142201</v>
      </c>
      <c r="F20">
        <v>9.2254455713673202</v>
      </c>
      <c r="G20">
        <v>16.690651733527702</v>
      </c>
      <c r="H20">
        <v>15.8587443966116</v>
      </c>
      <c r="I20">
        <v>24.048321552738301</v>
      </c>
      <c r="J20">
        <v>20.598310588067601</v>
      </c>
      <c r="K20">
        <v>13.1476341706421</v>
      </c>
      <c r="L20">
        <v>12.015889153241799</v>
      </c>
      <c r="M20">
        <v>14.6915673510104</v>
      </c>
      <c r="N20">
        <v>13.320278986082799</v>
      </c>
    </row>
    <row r="21" spans="1:17" ht="25.5" customHeight="1" x14ac:dyDescent="0.35">
      <c r="A21" s="2">
        <v>45289</v>
      </c>
      <c r="B21">
        <v>6.5791075391831502</v>
      </c>
      <c r="C21">
        <v>13.226394097123199</v>
      </c>
      <c r="D21">
        <v>13.147116166704</v>
      </c>
      <c r="E21">
        <v>11.93889064433</v>
      </c>
      <c r="F21">
        <v>9.2997687113842105</v>
      </c>
      <c r="G21">
        <v>19.302463641340701</v>
      </c>
      <c r="H21">
        <v>14.720211275703299</v>
      </c>
      <c r="I21">
        <v>25.304063208905301</v>
      </c>
      <c r="J21">
        <v>20.344034080875002</v>
      </c>
      <c r="K21">
        <v>13.221250861669199</v>
      </c>
      <c r="L21">
        <v>12.745985665341101</v>
      </c>
      <c r="M21">
        <v>15.368050598586001</v>
      </c>
      <c r="N21">
        <v>13.3572149047324</v>
      </c>
    </row>
    <row r="23" spans="1:17" x14ac:dyDescent="0.35">
      <c r="A23" t="s">
        <v>91</v>
      </c>
      <c r="B23" s="8">
        <f t="shared" ref="B23:N23" si="0">MIN(_xlfn.ANCHORARRAY(B2))</f>
        <v>6.4440018120205602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9.7147154363071309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8.9422344840844303</v>
      </c>
      <c r="L23" s="8">
        <f t="shared" si="0"/>
        <v>9.7785656650372808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11.983677793053701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13.04966082823935</v>
      </c>
      <c r="M24" s="8">
        <f t="shared" si="1"/>
        <v>14.442959457883351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496</v>
      </c>
      <c r="B25" s="8">
        <f t="shared" ref="B25:N25" si="2">B21</f>
        <v>6.5791075391831502</v>
      </c>
      <c r="C25" s="8">
        <f t="shared" si="2"/>
        <v>13.226394097123199</v>
      </c>
      <c r="D25" s="8">
        <f t="shared" si="2"/>
        <v>13.147116166704</v>
      </c>
      <c r="E25" s="8">
        <f t="shared" si="2"/>
        <v>11.93889064433</v>
      </c>
      <c r="F25" s="8">
        <f t="shared" si="2"/>
        <v>9.2997687113842105</v>
      </c>
      <c r="G25" s="8">
        <f t="shared" si="2"/>
        <v>19.302463641340701</v>
      </c>
      <c r="H25" s="8">
        <f t="shared" si="2"/>
        <v>14.720211275703299</v>
      </c>
      <c r="I25" s="8">
        <f t="shared" si="2"/>
        <v>25.304063208905301</v>
      </c>
      <c r="J25" s="8">
        <f t="shared" si="2"/>
        <v>20.344034080875002</v>
      </c>
      <c r="K25" s="8">
        <f t="shared" si="2"/>
        <v>13.221250861669199</v>
      </c>
      <c r="L25" s="8">
        <f t="shared" si="2"/>
        <v>12.745985665341101</v>
      </c>
      <c r="M25" s="8">
        <f t="shared" si="2"/>
        <v>15.368050598586001</v>
      </c>
      <c r="N25" s="8">
        <f t="shared" si="2"/>
        <v>13.3572149047324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8" zoomScaleNormal="10" workbookViewId="0">
      <selection activeCell="O10" sqref="O10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0" ht="18.5" x14ac:dyDescent="0.55000000000000004">
      <c r="K1" s="62" t="s">
        <v>771</v>
      </c>
      <c r="L1" s="186">
        <f ca="1">EDATE(TODAY(), -1)</f>
        <v>45491</v>
      </c>
      <c r="M1" s="116"/>
    </row>
    <row r="2" spans="1:20" ht="15" thickBot="1" x14ac:dyDescent="0.4">
      <c r="K2" s="12" t="s">
        <v>772</v>
      </c>
      <c r="L2" s="187">
        <f ca="1">EDATE(TODAY(), -4)</f>
        <v>45400</v>
      </c>
    </row>
    <row r="3" spans="1:20" ht="50.25" customHeight="1" x14ac:dyDescent="0.35">
      <c r="E3" t="s">
        <v>747</v>
      </c>
      <c r="F3" t="s">
        <v>748</v>
      </c>
      <c r="H3" t="s">
        <v>764</v>
      </c>
      <c r="I3" t="s">
        <v>561</v>
      </c>
      <c r="J3" t="s">
        <v>518</v>
      </c>
      <c r="M3" s="114" t="s">
        <v>765</v>
      </c>
      <c r="N3" t="str" cm="1">
        <f t="array" aca="1" ref="N3" ca="1">_xll.FDSRC("-","DUMMY","ECON_DATE("&amp;$L$1&amp;",,, 'MM/YYYY')")</f>
        <v>07/2024</v>
      </c>
      <c r="O3" t="str" cm="1">
        <f t="array" aca="1" ref="O3" ca="1">_xll.FDSRC("-","DUMMY","ECON_DATE("&amp;$L$2&amp;",,, 'MM/YYYY')")</f>
        <v>04/2024</v>
      </c>
      <c r="P3" s="114" t="s">
        <v>768</v>
      </c>
      <c r="Q3" s="114" t="s">
        <v>774</v>
      </c>
      <c r="R3" s="117" t="s">
        <v>775</v>
      </c>
      <c r="S3" s="117" t="s">
        <v>550</v>
      </c>
      <c r="T3" s="117" t="s">
        <v>737</v>
      </c>
    </row>
    <row r="4" spans="1:20" x14ac:dyDescent="0.35">
      <c r="A4" t="s">
        <v>431</v>
      </c>
      <c r="B4" t="s">
        <v>446</v>
      </c>
      <c r="C4" t="s">
        <v>431</v>
      </c>
      <c r="D4" t="s">
        <v>750</v>
      </c>
      <c r="E4">
        <v>53.7</v>
      </c>
      <c r="F4">
        <v>5.3</v>
      </c>
      <c r="G4" t="s">
        <v>197</v>
      </c>
      <c r="H4" s="111" t="s">
        <v>755</v>
      </c>
      <c r="I4" s="112" t="s">
        <v>674</v>
      </c>
      <c r="J4" s="113" t="str" cm="1">
        <f t="array" ref="J4">_xll.FDS(K4,"FG_COMPANY_NAME")</f>
        <v>iShares MSCI New Zealand ETF</v>
      </c>
      <c r="K4" s="113" t="s">
        <v>431</v>
      </c>
      <c r="L4" t="s">
        <v>750</v>
      </c>
      <c r="M4" cm="1">
        <f t="array" ref="M4">IF(_xll.FDSRC(,"DUMMY","ECON_EXPR_DATA('FDS_ECON["&amp;H4&amp;"]',,,M)")=0,$J$19,_xll.FDSRC(,"DUMMY","ECON_EXPR_DATA('FDS_ECON["&amp;H4&amp;"]',,,M)"))</f>
        <v>44.007697999999998</v>
      </c>
      <c r="N4" cm="1">
        <f t="array" aca="1" ref="N4" ca="1">_xll.FDSRC("-","DUMMY","ECON_EXPR_DATA('FDS_ECON["&amp;H4&amp;"]',"&amp;$N$3&amp;",,Q)")</f>
        <v>45.437874000000001</v>
      </c>
      <c r="O4" cm="1">
        <f t="array" aca="1" ref="O4" ca="1">_xll.FDSRC("-","DUMMY","ECON_EXPR_DATA('FDS_ECON["&amp;H4&amp;"]',"&amp;$O$3&amp;",,Q)")</f>
        <v>47.788229999999999</v>
      </c>
      <c r="P4">
        <f t="shared" ref="P4:P12" ca="1" si="0">IFERROR(N4-O4,$M$20)</f>
        <v>-2.3503559999999979</v>
      </c>
      <c r="Q4" cm="1">
        <f t="array" ref="Q4">_xlfn.PERCENTRANK.EXC(_xlfn._xlws.FILTER(M$4:M$16, ISNUMBER(M$4:M$16)),M4)*100</f>
        <v>28.499999999999996</v>
      </c>
      <c r="R4" cm="1">
        <f t="array" aca="1" ref="R4" ca="1">_xlfn.PERCENTRANK.EXC(_xlfn._xlws.FILTER(P$4:P$16, ISNUMBER(P$4:P$16)),P4)*100</f>
        <v>14.2</v>
      </c>
      <c r="S4">
        <f ca="1">Q4*Assumption!$E$27 + R4*Assumption!$F$27</f>
        <v>22.779999999999998</v>
      </c>
      <c r="T4" cm="1">
        <f t="array" aca="1" ref="T4" ca="1">_xlfn.PERCENTRANK.EXC(_xlfn._xlws.FILTER(S$4:S$16, ISNUMBER(S$4:S$16)),S4)*100</f>
        <v>7.1</v>
      </c>
    </row>
    <row r="5" spans="1:20" x14ac:dyDescent="0.35">
      <c r="A5" t="s">
        <v>44</v>
      </c>
      <c r="B5" t="s">
        <v>45</v>
      </c>
      <c r="C5" t="s">
        <v>44</v>
      </c>
      <c r="D5" t="s">
        <v>750</v>
      </c>
      <c r="E5">
        <v>53</v>
      </c>
      <c r="F5">
        <v>4.5</v>
      </c>
      <c r="G5" t="s">
        <v>113</v>
      </c>
      <c r="H5" s="111" t="s">
        <v>753</v>
      </c>
      <c r="I5" s="112" t="s">
        <v>576</v>
      </c>
      <c r="J5" s="113" t="str" cm="1">
        <f t="array" ref="J5">_xll.FDS(K5,"FG_COMPANY_NAME")</f>
        <v>iShares MSCI Australia ETF</v>
      </c>
      <c r="K5" s="113" t="s">
        <v>44</v>
      </c>
      <c r="L5" t="s">
        <v>750</v>
      </c>
      <c r="M5" cm="1">
        <f t="array" ref="M5">IF(_xll.FDSRC(,"DUMMY","ECON_EXPR_DATA('FDS_ECON["&amp;H5&amp;"]',,,M)")=0,$J$19,_xll.FDSRC(,"DUMMY","ECON_EXPR_DATA('FDS_ECON["&amp;H5&amp;"]',,,M)"))</f>
        <v>47.461593999999998</v>
      </c>
      <c r="N5" cm="1">
        <f t="array" aca="1" ref="N5" ca="1">_xll.FDSRC("-","DUMMY","ECON_EXPR_DATA('FDS_ECON["&amp;H5&amp;"]',"&amp;$N$3&amp;",,Q)")</f>
        <v>48.811332999999998</v>
      </c>
      <c r="O5" cm="1">
        <f t="array" aca="1" ref="O5" ca="1">_xll.FDSRC("-","DUMMY","ECON_EXPR_DATA('FDS_ECON["&amp;H5&amp;"]',"&amp;$O$3&amp;",,Q)")</f>
        <v>48.395470000000003</v>
      </c>
      <c r="P5">
        <f t="shared" ca="1" si="0"/>
        <v>0.41586299999999454</v>
      </c>
      <c r="Q5" cm="1">
        <f t="array" ref="Q5">_xlfn.PERCENTRANK.EXC(_xlfn._xlws.FILTER(M$4:M$16, ISNUMBER(M$4:M$16)),M5)*100</f>
        <v>42.8</v>
      </c>
      <c r="R5" cm="1">
        <f t="array" aca="1" ref="R5" ca="1">_xlfn.PERCENTRANK.EXC(_xlfn._xlws.FILTER(P$4:P$16, ISNUMBER(P$4:P$16)),P5)*100</f>
        <v>57.099999999999994</v>
      </c>
      <c r="S5">
        <f ca="1">Q5*Assumption!$E$27 + R5*Assumption!$F$27</f>
        <v>48.519999999999996</v>
      </c>
      <c r="T5" cm="1">
        <f t="array" aca="1" ref="T5" ca="1">_xlfn.PERCENTRANK.EXC(_xlfn._xlws.FILTER(S$4:S$16, ISNUMBER(S$4:S$16)),S5)*100</f>
        <v>50</v>
      </c>
    </row>
    <row r="6" spans="1:20" x14ac:dyDescent="0.35">
      <c r="A6" t="s">
        <v>49</v>
      </c>
      <c r="B6" t="s">
        <v>50</v>
      </c>
      <c r="C6" t="s">
        <v>49</v>
      </c>
      <c r="D6" t="s">
        <v>750</v>
      </c>
      <c r="E6">
        <v>53.7</v>
      </c>
      <c r="F6">
        <v>5.3</v>
      </c>
      <c r="G6" t="s">
        <v>116</v>
      </c>
      <c r="H6" s="111" t="s">
        <v>752</v>
      </c>
      <c r="I6" s="112" t="s">
        <v>598</v>
      </c>
      <c r="J6" s="113" t="str" cm="1">
        <f t="array" ref="J6">_xll.FDS(K6,"FG_COMPANY_NAME")</f>
        <v>iShares MSCI Canada ETF</v>
      </c>
      <c r="K6" s="113" t="s">
        <v>49</v>
      </c>
      <c r="L6" t="s">
        <v>750</v>
      </c>
      <c r="M6" cm="1">
        <f t="array" ref="M6">IF(_xll.FDSRC(,"DUMMY","ECON_EXPR_DATA('FDS_ECON["&amp;H6&amp;"]',,,M)")=0,$J$19,_xll.FDSRC(,"DUMMY","ECON_EXPR_DATA('FDS_ECON["&amp;H6&amp;"]',,,M)"))</f>
        <v>47.763652999999998</v>
      </c>
      <c r="N6" cm="1">
        <f t="array" aca="1" ref="N6" ca="1">_xll.FDSRC("-","DUMMY","ECON_EXPR_DATA('FDS_ECON["&amp;H6&amp;"]',"&amp;$N$3&amp;",,Q)")</f>
        <v>49.331885999999997</v>
      </c>
      <c r="O6" cm="1">
        <f t="array" aca="1" ref="O6" ca="1">_xll.FDSRC("-","DUMMY","ECON_EXPR_DATA('FDS_ECON["&amp;H6&amp;"]',"&amp;$O$3&amp;",,Q)")</f>
        <v>49.300910000000002</v>
      </c>
      <c r="P6">
        <f t="shared" ca="1" si="0"/>
        <v>3.0975999999995452E-2</v>
      </c>
      <c r="Q6" cm="1">
        <f t="array" ref="Q6">_xlfn.PERCENTRANK.EXC(_xlfn._xlws.FILTER(M$4:M$16, ISNUMBER(M$4:M$16)),M6)*100</f>
        <v>50</v>
      </c>
      <c r="R6" cm="1">
        <f t="array" aca="1" ref="R6" ca="1">_xlfn.PERCENTRANK.EXC(_xlfn._xlws.FILTER(P$4:P$16, ISNUMBER(P$4:P$16)),P6)*100</f>
        <v>42.8</v>
      </c>
      <c r="S6">
        <f ca="1">Q6*Assumption!$E$27 + R6*Assumption!$F$27</f>
        <v>47.120000000000005</v>
      </c>
      <c r="T6" cm="1">
        <f t="array" aca="1" ref="T6" ca="1">_xlfn.PERCENTRANK.EXC(_xlfn._xlws.FILTER(S$4:S$16, ISNUMBER(S$4:S$16)),S6)*100</f>
        <v>42.8</v>
      </c>
    </row>
    <row r="7" spans="1:20" x14ac:dyDescent="0.35">
      <c r="A7" t="s">
        <v>11</v>
      </c>
      <c r="B7" t="s">
        <v>39</v>
      </c>
      <c r="C7" t="s">
        <v>11</v>
      </c>
      <c r="D7" t="s">
        <v>750</v>
      </c>
      <c r="E7">
        <v>54.2</v>
      </c>
      <c r="F7">
        <v>3.4</v>
      </c>
      <c r="G7" t="s">
        <v>102</v>
      </c>
      <c r="H7" s="111" t="s">
        <v>756</v>
      </c>
      <c r="I7" s="112" t="s">
        <v>625</v>
      </c>
      <c r="J7" s="113" t="str" cm="1">
        <f t="array" ref="J7">_xll.FDS(K7,"FG_COMPANY_NAME")</f>
        <v>iShares MSCI Germany ETF</v>
      </c>
      <c r="K7" s="113" t="s">
        <v>11</v>
      </c>
      <c r="L7" t="s">
        <v>750</v>
      </c>
      <c r="M7" cm="1">
        <f t="array" ref="M7">IF(_xll.FDSRC(,"DUMMY","ECON_EXPR_DATA('FDS_ECON["&amp;H7&amp;"]',,,M)")=0,$J$19,_xll.FDSRC(,"DUMMY","ECON_EXPR_DATA('FDS_ECON["&amp;H7&amp;"]',,,M)"))</f>
        <v>43.196869999999997</v>
      </c>
      <c r="N7" cm="1">
        <f t="array" aca="1" ref="N7" ca="1">_xll.FDSRC("-","DUMMY","ECON_EXPR_DATA('FDS_ECON["&amp;H7&amp;"]',"&amp;$N$3&amp;",,Q)")</f>
        <v>43.781999999999996</v>
      </c>
      <c r="O7" cm="1">
        <f t="array" aca="1" ref="O7" ca="1">_xll.FDSRC("-","DUMMY","ECON_EXPR_DATA('FDS_ECON["&amp;H7&amp;"]',"&amp;$O$3&amp;",,Q)")</f>
        <v>43.319096000000002</v>
      </c>
      <c r="P7">
        <f t="shared" ca="1" si="0"/>
        <v>0.46290399999999465</v>
      </c>
      <c r="Q7" cm="1">
        <f t="array" ref="Q7">_xlfn.PERCENTRANK.EXC(_xlfn._xlws.FILTER(M$4:M$16, ISNUMBER(M$4:M$16)),M7)*100</f>
        <v>7.1</v>
      </c>
      <c r="R7" cm="1">
        <f t="array" aca="1" ref="R7" ca="1">_xlfn.PERCENTRANK.EXC(_xlfn._xlws.FILTER(P$4:P$16, ISNUMBER(P$4:P$16)),P7)*100</f>
        <v>64.2</v>
      </c>
      <c r="S7">
        <f ca="1">Q7*Assumption!$E$27 + R7*Assumption!$F$27</f>
        <v>29.940000000000005</v>
      </c>
      <c r="T7" cm="1">
        <f t="array" aca="1" ref="T7" ca="1">_xlfn.PERCENTRANK.EXC(_xlfn._xlws.FILTER(S$4:S$16, ISNUMBER(S$4:S$16)),S7)*100</f>
        <v>28.499999999999996</v>
      </c>
    </row>
    <row r="8" spans="1:20" x14ac:dyDescent="0.35">
      <c r="A8" t="s">
        <v>46</v>
      </c>
      <c r="B8" t="s">
        <v>47</v>
      </c>
      <c r="C8" t="s">
        <v>46</v>
      </c>
      <c r="D8" t="s">
        <v>750</v>
      </c>
      <c r="E8">
        <v>52.9</v>
      </c>
      <c r="F8">
        <v>2.2000000000000002</v>
      </c>
      <c r="G8" t="s">
        <v>114</v>
      </c>
      <c r="H8" s="111" t="s">
        <v>754</v>
      </c>
      <c r="I8" s="112" t="s">
        <v>643</v>
      </c>
      <c r="J8" s="113" t="str" cm="1">
        <f t="array" ref="J8">_xll.FDS(K8,"FG_COMPANY_NAME")</f>
        <v>iShares MSCI Japan ETF</v>
      </c>
      <c r="K8" s="113" t="s">
        <v>46</v>
      </c>
      <c r="L8" t="s">
        <v>750</v>
      </c>
      <c r="M8" cm="1">
        <f t="array" ref="M8">IF(_xll.FDSRC(,"DUMMY","ECON_EXPR_DATA('FDS_ECON["&amp;H8&amp;"]',,,M)")=0,$J$19,_xll.FDSRC(,"DUMMY","ECON_EXPR_DATA('FDS_ECON["&amp;H8&amp;"]',,,M)"))</f>
        <v>49.104827999999998</v>
      </c>
      <c r="N8" cm="1">
        <f t="array" aca="1" ref="N8" ca="1">_xll.FDSRC("-","DUMMY","ECON_EXPR_DATA('FDS_ECON["&amp;H8&amp;"]',"&amp;$N$3&amp;",,Q)")</f>
        <v>49.991356000000003</v>
      </c>
      <c r="O8" cm="1">
        <f t="array" aca="1" ref="O8" ca="1">_xll.FDSRC("-","DUMMY","ECON_EXPR_DATA('FDS_ECON["&amp;H8&amp;"]',"&amp;$O$3&amp;",,Q)")</f>
        <v>47.808857000000003</v>
      </c>
      <c r="P8">
        <f t="shared" ca="1" si="0"/>
        <v>2.182499</v>
      </c>
      <c r="Q8" cm="1">
        <f t="array" ref="Q8">_xlfn.PERCENTRANK.EXC(_xlfn._xlws.FILTER(M$4:M$16, ISNUMBER(M$4:M$16)),M8)*100</f>
        <v>64.2</v>
      </c>
      <c r="R8" cm="1">
        <f t="array" aca="1" ref="R8" ca="1">_xlfn.PERCENTRANK.EXC(_xlfn._xlws.FILTER(P$4:P$16, ISNUMBER(P$4:P$16)),P8)*100</f>
        <v>92.800000000000011</v>
      </c>
      <c r="S8">
        <f ca="1">Q8*Assumption!$E$27 + R8*Assumption!$F$27</f>
        <v>75.640000000000015</v>
      </c>
      <c r="T8" cm="1">
        <f t="array" aca="1" ref="T8" ca="1">_xlfn.PERCENTRANK.EXC(_xlfn._xlws.FILTER(S$4:S$16, ISNUMBER(S$4:S$16)),S8)*100</f>
        <v>78.5</v>
      </c>
    </row>
    <row r="9" spans="1:20" x14ac:dyDescent="0.35">
      <c r="A9" t="s">
        <v>42</v>
      </c>
      <c r="B9" t="s">
        <v>43</v>
      </c>
      <c r="C9" t="s">
        <v>42</v>
      </c>
      <c r="D9" t="s">
        <v>750</v>
      </c>
      <c r="E9">
        <v>53.7</v>
      </c>
      <c r="F9">
        <v>5.3</v>
      </c>
      <c r="G9" t="s">
        <v>110</v>
      </c>
      <c r="H9" s="111" t="s">
        <v>758</v>
      </c>
      <c r="I9" s="112" t="s">
        <v>706</v>
      </c>
      <c r="J9" s="113" t="str" cm="1">
        <f t="array" ref="J9">_xll.FDS(K9,"FG_COMPANY_NAME")</f>
        <v>iShares MSCI Switzerland ETF</v>
      </c>
      <c r="K9" s="113" t="s">
        <v>42</v>
      </c>
      <c r="L9" t="s">
        <v>750</v>
      </c>
      <c r="M9" cm="1">
        <f t="array" ref="M9">IF(_xll.FDSRC(,"DUMMY","ECON_EXPR_DATA('FDS_ECON["&amp;H9&amp;"]',,,M)")=0,$J$19,_xll.FDSRC(,"DUMMY","ECON_EXPR_DATA('FDS_ECON["&amp;H9&amp;"]',,,M)"))</f>
        <v>43.488599999999998</v>
      </c>
      <c r="N9" cm="1">
        <f t="array" aca="1" ref="N9" ca="1">_xll.FDSRC("-","DUMMY","ECON_EXPR_DATA('FDS_ECON["&amp;H9&amp;"]',"&amp;$N$3&amp;",,Q)")</f>
        <v>43.896877000000003</v>
      </c>
      <c r="O9" cm="1">
        <f t="array" aca="1" ref="O9" ca="1">_xll.FDSRC("-","DUMMY","ECON_EXPR_DATA('FDS_ECON["&amp;H9&amp;"]',"&amp;$O$3&amp;",,Q)")</f>
        <v>44.08605</v>
      </c>
      <c r="P9">
        <f t="shared" ca="1" si="0"/>
        <v>-0.1891729999999967</v>
      </c>
      <c r="Q9" cm="1">
        <f t="array" ref="Q9">_xlfn.PERCENTRANK.EXC(_xlfn._xlws.FILTER(M$4:M$16, ISNUMBER(M$4:M$16)),M9)*100</f>
        <v>14.2</v>
      </c>
      <c r="R9" cm="1">
        <f t="array" aca="1" ref="R9" ca="1">_xlfn.PERCENTRANK.EXC(_xlfn._xlws.FILTER(P$4:P$16, ISNUMBER(P$4:P$16)),P9)*100</f>
        <v>35.699999999999996</v>
      </c>
      <c r="S9">
        <f ca="1">Q9*Assumption!$E$27 + R9*Assumption!$F$27</f>
        <v>22.799999999999997</v>
      </c>
      <c r="T9" cm="1">
        <f t="array" aca="1" ref="T9" ca="1">_xlfn.PERCENTRANK.EXC(_xlfn._xlws.FILTER(S$4:S$16, ISNUMBER(S$4:S$16)),S9)*100</f>
        <v>14.2</v>
      </c>
    </row>
    <row r="10" spans="1:20" x14ac:dyDescent="0.35">
      <c r="A10" t="s">
        <v>48</v>
      </c>
      <c r="B10" t="s">
        <v>447</v>
      </c>
      <c r="C10" t="s">
        <v>48</v>
      </c>
      <c r="D10" t="s">
        <v>750</v>
      </c>
      <c r="E10">
        <v>54.9</v>
      </c>
      <c r="F10">
        <v>6.4</v>
      </c>
      <c r="G10" t="s">
        <v>115</v>
      </c>
      <c r="H10" s="111" t="s">
        <v>757</v>
      </c>
      <c r="I10" s="112" t="s">
        <v>447</v>
      </c>
      <c r="J10" s="113" t="str" cm="1">
        <f t="array" ref="J10">_xll.FDS(K10,"FG_COMPANY_NAME")</f>
        <v>iShares MSCI United Kingdom ETF</v>
      </c>
      <c r="K10" s="113" t="s">
        <v>48</v>
      </c>
      <c r="L10" t="s">
        <v>750</v>
      </c>
      <c r="M10" cm="1">
        <f t="array" ref="M10">IF(_xll.FDSRC(,"DUMMY","ECON_EXPR_DATA('FDS_ECON["&amp;H10&amp;"]',,,M)")=0,$J$19,_xll.FDSRC(,"DUMMY","ECON_EXPR_DATA('FDS_ECON["&amp;H10&amp;"]',,,M)"))</f>
        <v>52.111539999999998</v>
      </c>
      <c r="N10" cm="1">
        <f t="array" aca="1" ref="N10" ca="1">_xll.FDSRC("-","DUMMY","ECON_EXPR_DATA('FDS_ECON["&amp;H10&amp;"]',"&amp;$N$3&amp;",,Q)")</f>
        <v>50.395269999999996</v>
      </c>
      <c r="O10" cm="1">
        <f t="array" aca="1" ref="O10" ca="1">_xll.FDSRC("-","DUMMY","ECON_EXPR_DATA('FDS_ECON["&amp;H10&amp;"]',"&amp;$O$3&amp;",,Q)")</f>
        <v>48.247959999999999</v>
      </c>
      <c r="P10">
        <f t="shared" ca="1" si="0"/>
        <v>2.1473099999999974</v>
      </c>
      <c r="Q10" cm="1">
        <f t="array" ref="Q10">_xlfn.PERCENTRANK.EXC(_xlfn._xlws.FILTER(M$4:M$16, ISNUMBER(M$4:M$16)),M10)*100</f>
        <v>92.800000000000011</v>
      </c>
      <c r="R10" cm="1">
        <f t="array" aca="1" ref="R10" ca="1">_xlfn.PERCENTRANK.EXC(_xlfn._xlws.FILTER(P$4:P$16, ISNUMBER(P$4:P$16)),P10)*100</f>
        <v>78.5</v>
      </c>
      <c r="S10">
        <f ca="1">Q10*Assumption!$E$27 + R10*Assumption!$F$27</f>
        <v>87.080000000000013</v>
      </c>
      <c r="T10" cm="1">
        <f t="array" aca="1" ref="T10" ca="1">_xlfn.PERCENTRANK.EXC(_xlfn._xlws.FILTER(S$4:S$16, ISNUMBER(S$4:S$16)),S10)*100</f>
        <v>92.800000000000011</v>
      </c>
    </row>
    <row r="11" spans="1:20" x14ac:dyDescent="0.35">
      <c r="A11" t="s">
        <v>51</v>
      </c>
      <c r="B11" t="s">
        <v>448</v>
      </c>
      <c r="C11" t="s">
        <v>51</v>
      </c>
      <c r="D11" t="s">
        <v>750</v>
      </c>
      <c r="E11">
        <v>53.4</v>
      </c>
      <c r="F11">
        <v>6.5</v>
      </c>
      <c r="G11" t="s">
        <v>119</v>
      </c>
      <c r="H11" s="111" t="s">
        <v>751</v>
      </c>
      <c r="I11" s="112" t="s">
        <v>763</v>
      </c>
      <c r="J11" s="113" t="str" cm="1">
        <f t="array" ref="J11">_xll.FDS(K11,"FG_COMPANY_NAME")</f>
        <v>Invesco QQQ Trust Series I</v>
      </c>
      <c r="K11" s="113" t="s">
        <v>51</v>
      </c>
      <c r="L11" t="s">
        <v>750</v>
      </c>
      <c r="M11" cm="1">
        <f t="array" ref="M11">IF(_xll.FDSRC(,"DUMMY","ECON_EXPR_DATA('FDS_ECON["&amp;H11&amp;"]',,,M)")=0,$J$19,_xll.FDSRC(,"DUMMY","ECON_EXPR_DATA('FDS_ECON["&amp;H11&amp;"]',,,M)"))</f>
        <v>49.629134999999998</v>
      </c>
      <c r="N11" cm="1">
        <f t="array" aca="1" ref="N11" ca="1">_xll.FDSRC("-","DUMMY","ECON_EXPR_DATA('FDS_ECON["&amp;H11&amp;"]',"&amp;$N$3&amp;",,Q)")</f>
        <v>50.939391999999998</v>
      </c>
      <c r="O11" cm="1">
        <f t="array" aca="1" ref="O11" ca="1">_xll.FDSRC("-","DUMMY","ECON_EXPR_DATA('FDS_ECON["&amp;H11&amp;"]',"&amp;$O$3&amp;",,Q)")</f>
        <v>51.582687</v>
      </c>
      <c r="P11">
        <f t="shared" ca="1" si="0"/>
        <v>-0.64329500000000195</v>
      </c>
      <c r="Q11" cm="1">
        <f t="array" ref="Q11">_xlfn.PERCENTRANK.EXC(_xlfn._xlws.FILTER(M$4:M$16, ISNUMBER(M$4:M$16)),M11)*100</f>
        <v>78.5</v>
      </c>
      <c r="R11" cm="1">
        <f t="array" aca="1" ref="R11" ca="1">_xlfn.PERCENTRANK.EXC(_xlfn._xlws.FILTER(P$4:P$16, ISNUMBER(P$4:P$16)),P11)*100</f>
        <v>21.4</v>
      </c>
      <c r="S11">
        <f ca="1">Q11*Assumption!$E$27 + R11*Assumption!$F$27</f>
        <v>55.660000000000004</v>
      </c>
      <c r="T11" cm="1">
        <f t="array" aca="1" ref="T11" ca="1">_xlfn.PERCENTRANK.EXC(_xlfn._xlws.FILTER(S$4:S$16, ISNUMBER(S$4:S$16)),S11)*100</f>
        <v>57.099999999999994</v>
      </c>
    </row>
    <row r="12" spans="1:20" x14ac:dyDescent="0.35">
      <c r="A12" t="s">
        <v>1</v>
      </c>
      <c r="B12" t="s">
        <v>1</v>
      </c>
      <c r="C12" t="s">
        <v>1</v>
      </c>
      <c r="D12" t="s">
        <v>750</v>
      </c>
      <c r="E12">
        <v>53.4</v>
      </c>
      <c r="F12">
        <v>6.5</v>
      </c>
      <c r="G12" t="s">
        <v>119</v>
      </c>
      <c r="H12" s="111" t="s">
        <v>751</v>
      </c>
      <c r="I12" s="112" t="s">
        <v>763</v>
      </c>
      <c r="J12" s="113" t="str" cm="1">
        <f t="array" ref="J12">_xll.FDS(K12,"FG_COMPANY_NAME")</f>
        <v>SPDR S&amp;P 500 ETF Trust</v>
      </c>
      <c r="K12" s="113" t="s">
        <v>1</v>
      </c>
      <c r="L12" t="s">
        <v>750</v>
      </c>
      <c r="M12" cm="1">
        <f t="array" ref="M12">IF(_xll.FDSRC(,"DUMMY","ECON_EXPR_DATA('FDS_ECON["&amp;H12&amp;"]',,,M)")=0,$J$19,_xll.FDSRC(,"DUMMY","ECON_EXPR_DATA('FDS_ECON["&amp;H12&amp;"]',,,M)"))</f>
        <v>49.629134999999998</v>
      </c>
      <c r="N12" cm="1">
        <f t="array" aca="1" ref="N12" ca="1">_xll.FDSRC("-","DUMMY","ECON_EXPR_DATA('FDS_ECON["&amp;H12&amp;"]',"&amp;$N$3&amp;",,Q)")</f>
        <v>50.939391999999998</v>
      </c>
      <c r="O12" cm="1">
        <f t="array" aca="1" ref="O12" ca="1">_xll.FDSRC("-","DUMMY","ECON_EXPR_DATA('FDS_ECON["&amp;H12&amp;"]',"&amp;$O$3&amp;",,Q)")</f>
        <v>51.582687</v>
      </c>
      <c r="P12">
        <f t="shared" ca="1" si="0"/>
        <v>-0.64329500000000195</v>
      </c>
      <c r="Q12" cm="1">
        <f t="array" ref="Q12">_xlfn.PERCENTRANK.EXC(_xlfn._xlws.FILTER(M$4:M$16, ISNUMBER(M$4:M$16)),M12)*100</f>
        <v>78.5</v>
      </c>
      <c r="R12" cm="1">
        <f t="array" aca="1" ref="R12" ca="1">_xlfn.PERCENTRANK.EXC(_xlfn._xlws.FILTER(P$4:P$16, ISNUMBER(P$4:P$16)),P12)*100</f>
        <v>21.4</v>
      </c>
      <c r="S12">
        <f ca="1">Q12*Assumption!$E$27 + R12*Assumption!$F$27</f>
        <v>55.660000000000004</v>
      </c>
      <c r="T12" cm="1">
        <f t="array" aca="1" ref="T12" ca="1">_xlfn.PERCENTRANK.EXC(_xlfn._xlws.FILTER(S$4:S$16, ISNUMBER(S$4:S$16)),S12)*100</f>
        <v>57.099999999999994</v>
      </c>
    </row>
    <row r="13" spans="1:20" x14ac:dyDescent="0.35">
      <c r="G13" t="s">
        <v>106</v>
      </c>
      <c r="H13" s="111" t="s">
        <v>883</v>
      </c>
      <c r="I13" t="s">
        <v>621</v>
      </c>
      <c r="J13" s="113" t="str" cm="1">
        <f t="array" ref="J13">_xll.FDS(K13,"FG_COMPANY_NAME")</f>
        <v>iShares MSCI France ETF</v>
      </c>
      <c r="K13" t="s">
        <v>865</v>
      </c>
      <c r="L13" t="s">
        <v>750</v>
      </c>
      <c r="M13" cm="1">
        <f t="array" ref="M13">IF(_xll.FDSRC(,"DUMMY","ECON_EXPR_DATA('FDS_ECON["&amp;H13&amp;"]',,,M)")=0,$J$19,_xll.FDSRC(,"DUMMY","ECON_EXPR_DATA('FDS_ECON["&amp;H13&amp;"]',,,M)"))</f>
        <v>44.005420000000001</v>
      </c>
      <c r="N13" cm="1">
        <f t="array" aca="1" ref="N13" ca="1">_xll.FDSRC("-","DUMMY","ECON_EXPR_DATA('FDS_ECON["&amp;H13&amp;"]',"&amp;$N$3&amp;",,Q)")</f>
        <v>45.684513000000003</v>
      </c>
      <c r="O13" cm="1">
        <f t="array" aca="1" ref="O13" ca="1">_xll.FDSRC("-","DUMMY","ECON_EXPR_DATA('FDS_ECON["&amp;H13&amp;"]',"&amp;$O$3&amp;",,Q)")</f>
        <v>45.498753000000001</v>
      </c>
      <c r="P13">
        <f t="shared" ref="P13:P16" ca="1" si="1">IFERROR(N13-O13,$M$20)</f>
        <v>0.18576000000000192</v>
      </c>
      <c r="Q13" cm="1">
        <f t="array" ref="Q13">_xlfn.PERCENTRANK.EXC(_xlfn._xlws.FILTER(M$4:M$16, ISNUMBER(M$4:M$16)),M13)*100</f>
        <v>21.4</v>
      </c>
      <c r="R13" cm="1">
        <f t="array" aca="1" ref="R13" ca="1">_xlfn.PERCENTRANK.EXC(_xlfn._xlws.FILTER(P$4:P$16, ISNUMBER(P$4:P$16)),P13)*100</f>
        <v>50</v>
      </c>
      <c r="S13">
        <f ca="1">Q13*Assumption!$E$27 + R13*Assumption!$F$27</f>
        <v>32.839999999999996</v>
      </c>
      <c r="T13" cm="1">
        <f t="array" aca="1" ref="T13" ca="1">_xlfn.PERCENTRANK.EXC(_xlfn._xlws.FILTER(S$4:S$16, ISNUMBER(S$4:S$16)),S13)*100</f>
        <v>35.699999999999996</v>
      </c>
    </row>
    <row r="14" spans="1:20" x14ac:dyDescent="0.35">
      <c r="G14" t="s">
        <v>875</v>
      </c>
      <c r="H14" s="111" t="s">
        <v>884</v>
      </c>
      <c r="I14" t="s">
        <v>673</v>
      </c>
      <c r="J14" s="113" t="str" cm="1">
        <f t="array" ref="J14">_xll.FDS(K14,"FG_COMPANY_NAME")</f>
        <v>iShares MSCI Netherlands ETF</v>
      </c>
      <c r="K14" t="s">
        <v>867</v>
      </c>
      <c r="L14" t="s">
        <v>750</v>
      </c>
      <c r="M14" cm="1">
        <f t="array" ref="M14">IF(_xll.FDSRC(,"DUMMY","ECON_EXPR_DATA('FDS_ECON["&amp;H14&amp;"]',,,M)")=0,$J$19,_xll.FDSRC(,"DUMMY","ECON_EXPR_DATA('FDS_ECON["&amp;H14&amp;"]',,,M)"))</f>
        <v>49.181964999999998</v>
      </c>
      <c r="N14" cm="1">
        <f t="array" aca="1" ref="N14" ca="1">_xll.FDSRC("-","DUMMY","ECON_EXPR_DATA('FDS_ECON["&amp;H14&amp;"]',"&amp;$N$3&amp;",,Q)")</f>
        <v>51.493879999999997</v>
      </c>
      <c r="O14" cm="1">
        <f t="array" aca="1" ref="O14" ca="1">_xll.FDSRC("-","DUMMY","ECON_EXPR_DATA('FDS_ECON["&amp;H14&amp;"]',"&amp;$O$3&amp;",,Q)")</f>
        <v>49.325873999999999</v>
      </c>
      <c r="P14">
        <f t="shared" ca="1" si="1"/>
        <v>2.1680059999999983</v>
      </c>
      <c r="Q14" cm="1">
        <f t="array" ref="Q14">_xlfn.PERCENTRANK.EXC(_xlfn._xlws.FILTER(M$4:M$16, ISNUMBER(M$4:M$16)),M14)*100</f>
        <v>71.399999999999991</v>
      </c>
      <c r="R14" cm="1">
        <f t="array" aca="1" ref="R14" ca="1">_xlfn.PERCENTRANK.EXC(_xlfn._xlws.FILTER(P$4:P$16, ISNUMBER(P$4:P$16)),P14)*100</f>
        <v>85.7</v>
      </c>
      <c r="S14">
        <f ca="1">Q14*Assumption!$E$27 + R14*Assumption!$F$27</f>
        <v>77.12</v>
      </c>
      <c r="T14" cm="1">
        <f t="array" aca="1" ref="T14" ca="1">_xlfn.PERCENTRANK.EXC(_xlfn._xlws.FILTER(S$4:S$16, ISNUMBER(S$4:S$16)),S14)*100</f>
        <v>85.7</v>
      </c>
    </row>
    <row r="15" spans="1:20" x14ac:dyDescent="0.35">
      <c r="G15" t="s">
        <v>272</v>
      </c>
      <c r="H15" s="111"/>
      <c r="I15" t="s">
        <v>705</v>
      </c>
      <c r="J15" s="113" t="str" cm="1">
        <f t="array" ref="J15">_xll.FDS(K15,"FG_COMPANY_NAME")</f>
        <v>iShares MSCI Sweden ETF</v>
      </c>
      <c r="K15" t="s">
        <v>864</v>
      </c>
      <c r="L15" t="s">
        <v>750</v>
      </c>
      <c r="M15" cm="1">
        <f t="array" ref="M15">IF(_xll.FDSRC(,"DUMMY","ECON_EXPR_DATA('FDS_ECON["&amp;H15&amp;"]',,,M)")=0,$J$19,_xll.FDSRC(,"DUMMY","ECON_EXPR_DATA('FDS_ECON["&amp;H15&amp;"]',,,M)"))</f>
        <v>48.788089999999997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1"/>
        <v>0.48830799999999641</v>
      </c>
      <c r="Q15" cm="1">
        <f t="array" ref="Q15">_xlfn.PERCENTRANK.EXC(_xlfn._xlws.FILTER(M$4:M$16, ISNUMBER(M$4:M$16)),M15)*100</f>
        <v>57.099999999999994</v>
      </c>
      <c r="R15" cm="1">
        <f t="array" aca="1" ref="R15" ca="1">_xlfn.PERCENTRANK.EXC(_xlfn._xlws.FILTER(P$4:P$16, ISNUMBER(P$4:P$16)),P15)*100</f>
        <v>71.399999999999991</v>
      </c>
      <c r="S15">
        <f ca="1">Q15*Assumption!$E$27 + R15*Assumption!$F$27</f>
        <v>62.819999999999993</v>
      </c>
      <c r="T15" cm="1">
        <f t="array" aca="1" ref="T15" ca="1">_xlfn.PERCENTRANK.EXC(_xlfn._xlws.FILTER(S$4:S$16, ISNUMBER(S$4:S$16)),S15)*100</f>
        <v>71.399999999999991</v>
      </c>
    </row>
    <row r="16" spans="1:20" x14ac:dyDescent="0.35">
      <c r="G16" t="s">
        <v>876</v>
      </c>
      <c r="H16" s="111" t="s">
        <v>885</v>
      </c>
      <c r="I16" t="s">
        <v>641</v>
      </c>
      <c r="J16" s="113" t="str" cm="1">
        <f t="array" ref="J16">_xll.FDS(K16,"FG_COMPANY_NAME")</f>
        <v>iShares MSCI Italy ETF</v>
      </c>
      <c r="K16" t="s">
        <v>866</v>
      </c>
      <c r="L16" t="s">
        <v>750</v>
      </c>
      <c r="M16" cm="1">
        <f t="array" ref="M16">IF(_xll.FDSRC(,"DUMMY","ECON_EXPR_DATA('FDS_ECON["&amp;H16&amp;"]',,,M)")=0,$J$19,_xll.FDSRC(,"DUMMY","ECON_EXPR_DATA('FDS_ECON["&amp;H16&amp;"]',,,M)"))</f>
        <v>47.399715</v>
      </c>
      <c r="N16" cm="1">
        <f t="array" aca="1" ref="N16" ca="1">_xll.FDSRC("-","DUMMY","ECON_EXPR_DATA('FDS_ECON["&amp;H16&amp;"]',"&amp;$N$3&amp;",,Q)")</f>
        <v>46.215786000000001</v>
      </c>
      <c r="O16" cm="1">
        <f t="array" aca="1" ref="O16" ca="1">_xll.FDSRC("-","DUMMY","ECON_EXPR_DATA('FDS_ECON["&amp;H16&amp;"]',"&amp;$O$3&amp;",,Q)")</f>
        <v>49.208153000000003</v>
      </c>
      <c r="P16">
        <f t="shared" ca="1" si="1"/>
        <v>-2.9923670000000016</v>
      </c>
      <c r="Q16" cm="1">
        <f t="array" ref="Q16">_xlfn.PERCENTRANK.EXC(_xlfn._xlws.FILTER(M$4:M$16, ISNUMBER(M$4:M$16)),M16)*100</f>
        <v>35.699999999999996</v>
      </c>
      <c r="R16" cm="1">
        <f t="array" aca="1" ref="R16" ca="1">_xlfn.PERCENTRANK.EXC(_xlfn._xlws.FILTER(P$4:P$16, ISNUMBER(P$4:P$16)),P16)*100</f>
        <v>7.1</v>
      </c>
      <c r="S16">
        <f ca="1">Q16*Assumption!$E$27 + R16*Assumption!$F$27</f>
        <v>24.259999999999998</v>
      </c>
      <c r="T16" cm="1">
        <f t="array" aca="1" ref="T16" ca="1">_xlfn.PERCENTRANK.EXC(_xlfn._xlws.FILTER(S$4:S$16, ISNUMBER(S$4:S$16)),S16)*100</f>
        <v>21.4</v>
      </c>
    </row>
    <row r="18" spans="8:13" x14ac:dyDescent="0.35">
      <c r="K18" t="str" cm="1">
        <f t="array" aca="1" ref="K18" ca="1">_xll.FDSRC("-","DUMMY","ECON_DATE("&amp;$L$1&amp;",,, 'MM/YYYY')")</f>
        <v>07/2024</v>
      </c>
      <c r="L18" t="str" cm="1">
        <f t="array" aca="1" ref="L18" ca="1">_xll.FDSRC("-","DUMMY","ECON_DATE("&amp;$L$2&amp;",,, 'MM/YYYY')")</f>
        <v>04/2024</v>
      </c>
      <c r="M18" t="s">
        <v>773</v>
      </c>
    </row>
    <row r="19" spans="8:13" x14ac:dyDescent="0.35">
      <c r="H19" s="111" t="s">
        <v>759</v>
      </c>
      <c r="I19" s="111" t="s">
        <v>760</v>
      </c>
      <c r="J19" cm="1">
        <f t="array" ref="J19">IF(_xll.FDSRC("-","DUMMY","ECON_EXPR_DATA('FDS_ECON["&amp;H19&amp;"]',,,M)") = "-",$K$19,_xll.FDSRC("-","DUMMY","ECON_EXPR_DATA('FDS_ECON["&amp;H19&amp;"]',,,M)"))</f>
        <v>48.788089999999997</v>
      </c>
      <c r="K19" cm="1">
        <f t="array" aca="1" ref="K19" ca="1">_xll.FDSRC("-","DUMMY","ECON_EXPR_DATA('FDS_ECON["&amp;H19&amp;"]',"&amp;$K$18&amp;",,Q)")</f>
        <v>49.418633</v>
      </c>
      <c r="L19" cm="1">
        <f t="array" aca="1" ref="L19" ca="1">_xll.FDSRC("-","DUMMY","ECON_EXPR_DATA('FDS_ECON["&amp;H19&amp;"]',"&amp;$L$18&amp;",,Q)")</f>
        <v>49.135390000000001</v>
      </c>
      <c r="M19">
        <f ca="1">K19-L19</f>
        <v>0.2832429999999988</v>
      </c>
    </row>
    <row r="20" spans="8:13" x14ac:dyDescent="0.35">
      <c r="H20" s="111" t="s">
        <v>761</v>
      </c>
      <c r="I20" s="111" t="s">
        <v>762</v>
      </c>
      <c r="J20" cm="1">
        <f t="array" ref="J20">IF(_xll.FDSRC("-","DUMMY","ECON_EXPR_DATA('FDS_ECON["&amp;H20&amp;"]',,,M)") = "-",$K$20,_xll.FDSRC("-","DUMMY","ECON_EXPR_DATA('FDS_ECON["&amp;H20&amp;"]',,,M)"))</f>
        <v>50.669899999999998</v>
      </c>
      <c r="K20" cm="1">
        <f t="array" aca="1" ref="K20" ca="1">_xll.FDSRC("-","DUMMY","ECON_EXPR_DATA('FDS_ECON["&amp;H20&amp;"]',"&amp;$K$18&amp;",,Q)")</f>
        <v>52.007823999999999</v>
      </c>
      <c r="L20" cm="1">
        <f t="array" aca="1" ref="L20" ca="1">_xll.FDSRC("-","DUMMY","ECON_EXPR_DATA('FDS_ECON["&amp;H20&amp;"]',"&amp;$L$18&amp;",,Q)")</f>
        <v>51.519516000000003</v>
      </c>
      <c r="M20">
        <f ca="1">K20-L20</f>
        <v>0.48830799999999641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740</v>
      </c>
      <c r="B1" t="s">
        <v>519</v>
      </c>
      <c r="C1" t="s">
        <v>820</v>
      </c>
      <c r="D1" t="s">
        <v>846</v>
      </c>
      <c r="E1" t="s">
        <v>561</v>
      </c>
      <c r="F1" t="s">
        <v>847</v>
      </c>
      <c r="G1" t="s">
        <v>848</v>
      </c>
    </row>
    <row r="2" spans="1:7" x14ac:dyDescent="0.35">
      <c r="A2" t="s">
        <v>198</v>
      </c>
      <c r="B2" t="s">
        <v>446</v>
      </c>
      <c r="C2" t="s">
        <v>431</v>
      </c>
      <c r="D2" s="143" cm="1">
        <f t="array" ref="D2">_xll.FDS(C2,"FREF_MARKET_VALUE_COMPANY(0,,,USD,,0,,""LEGACY"")")</f>
        <v>86.616</v>
      </c>
      <c r="E2" t="s">
        <v>674</v>
      </c>
      <c r="F2" t="str">
        <f t="shared" ref="F2:F14" si="0">_xlfn.CONCAT("FC0000",RIGHT(A2,2))</f>
        <v>FC0000NZ</v>
      </c>
      <c r="G2" s="142" cm="1">
        <f t="array" ref="G2">_xll.FDSZ(F2,"FMA_MCAP(0,,,USD,""PORTAGG"")")</f>
        <v>97755.483999999997</v>
      </c>
    </row>
    <row r="3" spans="1:7" x14ac:dyDescent="0.35">
      <c r="A3" t="s">
        <v>174</v>
      </c>
      <c r="B3" t="s">
        <v>45</v>
      </c>
      <c r="C3" t="s">
        <v>44</v>
      </c>
      <c r="D3" s="143" cm="1">
        <f t="array" ref="D3">_xll.FDS(C3,"FREF_MARKET_VALUE_COMPANY(0,,,USD,,0,,""LEGACY"")")</f>
        <v>1407.18</v>
      </c>
      <c r="E3" t="s">
        <v>576</v>
      </c>
      <c r="F3" t="str">
        <f t="shared" si="0"/>
        <v>FC0000AU</v>
      </c>
      <c r="G3" s="142" cm="1">
        <f t="array" ref="G3">_xll.FDSZ(F3,"FMA_MCAP(0,,,USD,""PORTAGG"")")</f>
        <v>1724404.1</v>
      </c>
    </row>
    <row r="4" spans="1:7" x14ac:dyDescent="0.35">
      <c r="A4" t="s">
        <v>157</v>
      </c>
      <c r="B4" t="s">
        <v>50</v>
      </c>
      <c r="C4" t="s">
        <v>49</v>
      </c>
      <c r="D4" s="143" cm="1">
        <f t="array" ref="D4">_xll.FDS(C4,"FREF_MARKET_VALUE_COMPANY(0,,,USD,,0,,""LEGACY"")")</f>
        <v>2485.7910000000002</v>
      </c>
      <c r="E4" t="s">
        <v>598</v>
      </c>
      <c r="F4" t="str">
        <f t="shared" si="0"/>
        <v>FC0000CA</v>
      </c>
      <c r="G4" s="142" cm="1">
        <f t="array" ref="G4">_xll.FDSZ(F4,"FMA_MCAP(0,,,USD,""PORTAGG"")")</f>
        <v>2828009.5</v>
      </c>
    </row>
    <row r="5" spans="1:7" s="1" customFormat="1" x14ac:dyDescent="0.35">
      <c r="A5" s="145" t="s">
        <v>555</v>
      </c>
      <c r="B5" s="145" t="s">
        <v>39</v>
      </c>
      <c r="C5" s="145" t="s">
        <v>11</v>
      </c>
      <c r="D5" s="143" cm="1">
        <f t="array" ref="D5">_xll.FDS(C5,"FREF_MARKET_VALUE_COMPANY(0,,,USD,,0,,""LEGACY"")")</f>
        <v>904.32</v>
      </c>
      <c r="E5" s="145" t="s">
        <v>625</v>
      </c>
      <c r="F5" s="145" t="str">
        <f t="shared" si="0"/>
        <v>FC0000DE</v>
      </c>
      <c r="G5" s="146" cm="1">
        <f t="array" ref="G5">_xll.FDSZ(F5,"FMA_MCAP(0,,,USD,""PORTAGG"")")</f>
        <v>2263608.7999999998</v>
      </c>
    </row>
    <row r="6" spans="1:7" x14ac:dyDescent="0.35">
      <c r="A6" t="s">
        <v>164</v>
      </c>
      <c r="B6" t="s">
        <v>47</v>
      </c>
      <c r="C6" t="s">
        <v>46</v>
      </c>
      <c r="D6" s="143" cm="1">
        <f t="array" ref="D6">_xll.FDS(C6,"FREF_MARKET_VALUE_COMPANY(0,,,USD,,0,,""LEGACY"")")</f>
        <v>15577.0335</v>
      </c>
      <c r="E6" t="s">
        <v>643</v>
      </c>
      <c r="F6" t="str">
        <f t="shared" si="0"/>
        <v>FC0000JP</v>
      </c>
      <c r="G6" s="142" cm="1">
        <f t="array" ref="G6">_xll.FDSZ(F6,"FMA_MCAP(0,,,USD,""PORTAGG"")")</f>
        <v>6583668</v>
      </c>
    </row>
    <row r="7" spans="1:7" x14ac:dyDescent="0.35">
      <c r="A7" t="s">
        <v>276</v>
      </c>
      <c r="B7" t="s">
        <v>43</v>
      </c>
      <c r="C7" t="s">
        <v>42</v>
      </c>
      <c r="D7" s="143" cm="1">
        <f t="array" ref="D7">_xll.FDS(C7,"FREF_MARKET_VALUE_COMPANY(0,,,USD,,0,,""LEGACY"")")</f>
        <v>1243.6199999999999</v>
      </c>
      <c r="E7" t="s">
        <v>706</v>
      </c>
      <c r="F7" t="str">
        <f t="shared" si="0"/>
        <v>FC0000CH</v>
      </c>
      <c r="G7" s="142" cm="1">
        <f t="array" ref="G7">_xll.FDSZ(F7,"FMA_MCAP(0,,,USD,""PORTAGG"")")</f>
        <v>2282942</v>
      </c>
    </row>
    <row r="8" spans="1:7" x14ac:dyDescent="0.35">
      <c r="A8" t="s">
        <v>167</v>
      </c>
      <c r="B8" t="s">
        <v>447</v>
      </c>
      <c r="C8" t="s">
        <v>48</v>
      </c>
      <c r="D8" s="143" cm="1">
        <f t="array" ref="D8">_xll.FDS(C8,"FREF_MARKET_VALUE_COMPANY(0,,,USD,,0,,""LEGACY"")")</f>
        <v>3141.7890000000002</v>
      </c>
      <c r="E8" t="s">
        <v>719</v>
      </c>
      <c r="F8" t="str">
        <f t="shared" si="0"/>
        <v>FC0000GB</v>
      </c>
      <c r="G8" s="142" cm="1">
        <f t="array" ref="G8">_xll.FDSZ(F8,"FMA_MCAP(0,,,USD,""PORTAGG"")")</f>
        <v>3318202.5</v>
      </c>
    </row>
    <row r="9" spans="1:7" x14ac:dyDescent="0.35">
      <c r="A9" t="s">
        <v>170</v>
      </c>
      <c r="B9" t="s">
        <v>448</v>
      </c>
      <c r="C9" t="s">
        <v>51</v>
      </c>
      <c r="D9" s="143" cm="1">
        <f t="array" ref="D9">_xll.FDS(C9,"FREF_MARKET_VALUE_COMPANY(0,,,USD,,0,,""LEGACY"")")</f>
        <v>286015.56300000002</v>
      </c>
      <c r="E9" t="s">
        <v>720</v>
      </c>
      <c r="F9" t="str">
        <f t="shared" si="0"/>
        <v>FC0000US</v>
      </c>
      <c r="G9" s="142" cm="1">
        <f t="array" ref="G9">_xll.FDSZ(F9,"FMA_MCAP(0,,,USD,""PORTAGG"")")</f>
        <v>57517052</v>
      </c>
    </row>
    <row r="10" spans="1:7" x14ac:dyDescent="0.35">
      <c r="A10" t="s">
        <v>170</v>
      </c>
      <c r="B10" t="s">
        <v>1</v>
      </c>
      <c r="C10" t="s">
        <v>1</v>
      </c>
      <c r="D10" s="143" cm="1">
        <f t="array" ref="D10">_xll.FDS(C10,"FREF_MARKET_VALUE_COMPANY(0,,,USD,,0,,""LEGACY"")")</f>
        <v>561533.82335099997</v>
      </c>
      <c r="E10" t="s">
        <v>720</v>
      </c>
      <c r="F10" t="str">
        <f t="shared" si="0"/>
        <v>FC0000US</v>
      </c>
      <c r="G10" s="142" cm="1">
        <f t="array" ref="G10">_xll.FDSZ(F10,"FMA_MCAP(0,,,USD,""PORTAGG"")")</f>
        <v>57517052</v>
      </c>
    </row>
    <row r="11" spans="1:7" x14ac:dyDescent="0.35">
      <c r="A11" t="s">
        <v>869</v>
      </c>
      <c r="B11" t="s">
        <v>874</v>
      </c>
      <c r="C11" t="s">
        <v>865</v>
      </c>
      <c r="D11" s="143" cm="1">
        <f t="array" ref="D11">_xll.FDS(C11,"FREF_MARKET_VALUE_COMPANY(0,,,USD,,0,,""LEGACY"")")</f>
        <v>651.84</v>
      </c>
      <c r="E11" t="s">
        <v>621</v>
      </c>
      <c r="F11" t="str">
        <f t="shared" si="0"/>
        <v>FC0000FR</v>
      </c>
      <c r="G11" s="142" cm="1">
        <f t="array" ref="G11">_xll.FDSZ(F11,"FMA_MCAP(0,,,USD,""PORTAGG"")")</f>
        <v>3157173.3</v>
      </c>
    </row>
    <row r="12" spans="1:7" x14ac:dyDescent="0.35">
      <c r="A12" t="s">
        <v>870</v>
      </c>
      <c r="B12" t="s">
        <v>872</v>
      </c>
      <c r="C12" t="s">
        <v>867</v>
      </c>
      <c r="D12" s="143" cm="1">
        <f t="array" ref="D12">_xll.FDS(C12,"FREF_MARKET_VALUE_COMPANY(0,,,USD,,0,,""LEGACY"")")</f>
        <v>326.25549999999998</v>
      </c>
      <c r="E12" t="s">
        <v>673</v>
      </c>
      <c r="F12" t="str">
        <f t="shared" si="0"/>
        <v>FC0000NL</v>
      </c>
      <c r="G12" s="142" cm="1">
        <f t="array" ref="G12">_xll.FDSZ(F12,"FMA_MCAP(0,,,USD,""PORTAGG"")")</f>
        <v>1119828.8999999999</v>
      </c>
    </row>
    <row r="13" spans="1:7" x14ac:dyDescent="0.35">
      <c r="A13" t="s">
        <v>273</v>
      </c>
      <c r="B13" t="s">
        <v>873</v>
      </c>
      <c r="C13" t="s">
        <v>864</v>
      </c>
      <c r="D13" s="143" cm="1">
        <f t="array" ref="D13">_xll.FDS(C13,"FREF_MARKET_VALUE_COMPANY(0,,,USD,,0,,""LEGACY"")")</f>
        <v>301.95</v>
      </c>
      <c r="E13" t="s">
        <v>705</v>
      </c>
      <c r="F13" t="str">
        <f t="shared" si="0"/>
        <v>FC0000SE</v>
      </c>
      <c r="G13" s="142" cm="1">
        <f t="array" ref="G13">_xll.FDSZ(F13,"FMA_MCAP(0,,,USD,""PORTAGG"")")</f>
        <v>1019947.5</v>
      </c>
    </row>
    <row r="14" spans="1:7" x14ac:dyDescent="0.35">
      <c r="A14" t="s">
        <v>868</v>
      </c>
      <c r="B14" t="s">
        <v>871</v>
      </c>
      <c r="C14" t="s">
        <v>866</v>
      </c>
      <c r="D14" s="143" cm="1">
        <f t="array" ref="D14">_xll.FDS(C14,"FREF_MARKET_VALUE_COMPANY(0,,,USD,,0,,""LEGACY"")")</f>
        <v>446.52</v>
      </c>
      <c r="E14" t="s">
        <v>641</v>
      </c>
      <c r="F14" t="str">
        <f t="shared" si="0"/>
        <v>FC0000IT</v>
      </c>
      <c r="G14" s="142" cm="1">
        <f t="array" ref="G14">_xll.FDSZ(F14,"FMA_MCAP(0,,,USD,""PORTAGG"")")</f>
        <v>861066</v>
      </c>
    </row>
    <row r="15" spans="1:7" x14ac:dyDescent="0.35">
      <c r="D15" s="143"/>
      <c r="G15" s="142"/>
    </row>
    <row r="17" spans="1:7" x14ac:dyDescent="0.35">
      <c r="A17" s="46" t="s">
        <v>366</v>
      </c>
      <c r="B17" s="46" t="str" cm="1">
        <f t="array" ref="B17">_xll.FDS(C17,"FG_COMPANY_NAME")</f>
        <v>Nasdaq South Africa</v>
      </c>
      <c r="C17" s="46" t="s">
        <v>852</v>
      </c>
      <c r="D17" s="149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9" cm="1">
        <f t="array" ref="G17">_xll.FDS(F17,"FG_MCAP_IDX(0,,,USD)")</f>
        <v>349007.4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3959567"><![CDATA[{"FC0000IT^FMA_MCAP(0,,,USD,\"PORTAGG\")":861066.0,"EWD^FREF_MARKET_VALUE_COMPANY(0,,,USD,,0,,\"LEGACY\")":301.95,"FC0000SE^FMA_MCAP(0,,,USD,\"PORTAGG\")":1019947.5,"EWN^FREF_MARKET_VALUE_COMPANY(0,,,USD,,0,,\"LEGACY\")":326.2555,"FC0000NL^FMA_MCAP(0,,,USD,\"PORTAGG\")":1119828.9,"EWQ^FREF_MARKET_VALUE_COMPANY(0,,,USD,,0,,\"LEGACY\")":651.84,"FC0000FR^FMA_MCAP(0,,,USD,\"PORTAGG\")":3157173.3,"SPY^FREF_MARKET_VALUE_COMPANY(0,,,USD,,0,,\"LEGACY\")":561533.823351,"FC0000US^FMA_MCAP(0,,,USD,\"PORTAGG\")":57517052.0,"QQQ^FREF_MARKET_VALUE_COMPANY(0,,,USD,,0,,\"LEGACY\")":286015.563,"EWU^FREF_MARKET_VALUE_COMPANY(0,,,USD,,0,,\"LEGACY\")":3141.789,"FC0000GB^FMA_MCAP(0,,,USD,\"PORTAGG\")":3318202.5,"EWL^FREF_MARKET_VALUE_COMPANY(0,,,USD,,0,,\"LEGACY\")":1243.62,"FC0000CH^FMA_MCAP(0,,,USD,\"PORTAGG\")":2282942.0,"EWJ^FREF_MARKET_VALUE_COMPANY(0,,,USD,,0,,\"LEGACY\")":15577.0335,"FC0000JP^FMA_MCAP(0,,,USD,\"PORTAGG\")":6583668.0,"EWG^FREF_MARKET_VALUE_COMPANY(0,,,USD,,0,,\"LEGACY\")":904.32,"FC0000DE^FMA_MCAP(0,,,USD,\"PORTAGG\")":2263608.8,"EWC^FREF_MARKET_VALUE_COMPANY(0,,,USD,,0,,\"LEGACY\")":2485.791,"FC0000CA^FMA_MCAP(0,,,USD,\"PORTAGG\")":2828009.5,"EWA^FREF_MARKET_VALUE_COMPANY(0,,,USD,,0,,\"LEGACY\")":1407.18,"FC0000AU^FMA_MCAP(0,,,USD,\"PORTAGG\")":1724404.1,"ENZL^FREF_MARKET_VALUE_COMPANY(0,,,USD,,0,,\"LEGACY\")":86.616,"FC0000NZ^FMA_MCAP(0,,,USD,\"PORTAGG\")":97755.484,"NQG00809^FG_COMPANY_NAME":"Nasdaq South Africa","CC_ZA^FG_COMPANY_NAME":"South Africa","NQG00809^FMA_MCAP(0,,,USD,\"PORTAGG\")":null,"FC0000ZA^FG_MCAP_IDX(0,,,USD)":349007.4,"EWI^FREF_MARKET_VALUE_COMPANY(0,,,USD,,0,,\"LEGACY\")":446.52,"DUMMY^ECON_EXPR_DATA('FDS_ECON[NTCPMIMFGSA@IT]',,,M)":47.399715,"DUMMY^ECON_EXPR_DATA('FDS_ECON[NTCPMIMFGMESA@US]',,,M)":49.629135,"DUMMY^ECON_EXPR_DATA('FDS_ECON[NTCPMIMFGSA@JP]',,,M)":49.104828,"DUMMY^ECON_EXPR_DATA('FDS_ECON[NTCPMIMFGSA@NL]',,,M)":49.181965,"DUMMY^ECON_EXPR_DATA('FDS_ECON[NTCPMIMFGSA@GB]',,,M)":52.11154,"DUMMY^ECON_EXPR_DATA('FDS_ECON[NTCPMIMFGSA@NZ]',,,M)":44.007698,"DUMMY^ECON_EXPR_DATA('FDS_ECON[]',,,M)":null,"DUMMY^ECON_EXPR_DATA('FDS_ECON[NTCPMIMFGSA@AU]',,,M)":47.461594,"DUMMY^ECON_EXPR_DATA('FDS_ECON[NTCPMIMFGSA@FR]',,,M)":44.00542,"DUMMY^ECON_EXPR_DATA('FDS_ECON[NTCPMIMFGSA@CA]',,,M)":47.763653,"DUMMY^ECON_EXPR_DATA('FDS_ECON[NTCPMIMFGSA@CH]',,,M)":43.4886,"DUMMY^ECON_EXPR_DATA('FDS_ECON[NTCPMIMFGSA@DE]',,,M)":43.19687,"CAGDPY@FR^EE_ACTUAL_ANNUAL(MED,+1)":-0.45,"CAGDPY@AU^EE_ACTUAL_ANNUAL(MED,+1)":0.0,"USDITL^FG_PRICE_CHANGE(0,-3AM)":-1.1008978,"USDANG^FG_PRICE_CHANGE(0,-3AM)":0.0,"USDUSD^FG_PRICE_CHANGE(0,-3AM)":0.0,"USDGBP^FG_PRICE_CHANGE(0,-3AM)":-1.7298222,"USDJPY^FG_PRICE_CHANGE(0,-3AM)":-4.722208,"USDCAD^FG_PRICE_CHANGE(0,-3AM)":0.74180365,"USDNZD^FG_PRICE_CHANGE(0,-3AM)":1.5273452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698481148,1.26256164176903,1.41909398824033,1.56850336770513,1.47895581929429],"ENZL^JULIAN(P_PRICE_RETURNS_PR('52W',2,-10AY,0,AM).DATES)":[41866,41898,41928,41957,41989,42020,42048,42079,42110,42139,42171,42201,42230,42263,42293,42324,42354,42384,42416,42445,42475,42506,42537,42566,42598,42629,42657,42690,42720,42748,42782,42810,42838,42871,42902,42930,42963,42993,43024,43055,43084,43116,43147,43175,43206,43236,43266,43297,43328,43357,43389,43420,43448,43481,43511,43539,43571,43601,43630,43662,43693,43724,43754,43784,43815,43846,43875,43906,43937,43966,43998,44028,44057,44090,44120,44151,44181,44211,44243,44271,44302,44330,44363,44393,44424,44455,44484,44516,44546,44575,44608,44636,44665,44697,44728,44757,44789,44820,44848,44881,44911,44939,44973,45001,45030,45062,45093,45121,45154,45184,45215,45246,45275,45307,45338,45366,45398,45428,45457,45489,45520],"EWD^FMA_DIV_YLD(NTMA,-10AY,0,AM,\"PORTAGG\",\"MEANR\")":[4.31049203471032,4.2042786514267,4.64173675745387,4.18268956704712,4.24111079849586,4.10853464384359,3.69143980802822,3.61968306371029,3.63062199425152,3.85337335231932,3.96269707626494,3.87548629672817,4.04417191036633,4.35199345670525,4.39694919424729,4.26380631549808,4.38713719115134,4.75612412835376,4.52251209957321,4.31500957601936,4.33062274106379,4.46088429080162,4.68877427424427,4.34415452774777,4.24400860315216,4.28130521897875,4.11098159435338,4.09544960348978,3.83182065589598,3.88572117946763,3.62712325123956,3.61859308665755,3.6684849386335,3.33799600001001,3.52322416659464,3.5213665862665,3.7448756581351,3.70742694961337,3.5711914963956,3.60619545603438,3.72826470458103,3.65736905901635,3.88809065457878,3.88744848062447,4.12474245196428,3.98448443380344,4.13597263941867,4.16613675523193,4.12457486796276,4.08058916067028,4.27225785647488,4.46993840135065,4.56195796126793,4.48333366055511,4.12241564004056,4.09987547004422,4.01521321193749,4.1681605402506,4.23054525580017,4.13057395842464,4.32396071349103,3.88347516807368,3.848291757537,3.6510214647956,3.58382159016984,3.52448348471785,3.40691658276688,4.80172923857511,3.59467435514668,3.44114784777808,3.03978514821472,2.96482124631794,3.02437649414174,2.94495465439606,3.02064307021978,3.01857724794626,3.07174504326526,3.01254192789329,2.96406905128495,2.76826972544674,2.67739968981314,2.81449833382498,2.65673081921156,2.68391072207193,2.7349104774215,2.74958276793084,2.82169454394045,2.91563612856263,2.95023633927006,2.96672091674767,2.96272588474464,3.04964834285043,3.15881729867966,3.41666244759401,3.61264584357038,3.74099201620915,3.44364124287381,3.77338742318244,3.77548841028323,3.62500102848158,3.72742535226228,3.48897666297969,3.51382470100677,3.75307347421615,3.60996685692862,3.74774105344662,3.67101274777751,3.7699691688875,3.94722135419845,3.94607167437596,3.75874185019509,3.74850371826276,2.93634280019177,3.03947942198134,3.34199163094894,3.18456472968321,3.32818363210491,3.18029821497755,3.26447854954345,3.15683564687322,3.34214539696044],"EWQ^FMA_PE(NTMA,-10AY,0,AM,\"PORTAGG\",\"MEANR\")":[13.1231148310632,13.6622946405495,12.1989231502553,13.1655248503178,13.2047601796522,14.3101186853963,15.8488584265041,16.6387190934741,16.9418901023765,16.1926892533576,15.4900423804837,16.0786045353927,15.3171938742882,14.3943223117601,14.6125367310741,14.9087876875876,14.5228954504552,13.4651441857621,13.4666092739601,14.5660790943878,14.6977510510707,14.1220275113363,13.32254938499,13.963616843326,14.0740867244139,13.6024941273295,13.8918054533823,13.6893813097589,14.5158717167062,14.7056745434906,14.3919881390647,14.5802535415127,14.7212955994013,15.4724976576134,14.9809724417214,14.9215579661956,14.6780703387949,14.8258607092245,15.1444943832622,14.8647529526101,14.9053094936228,15.2889367222045,14.6009205691885,14.5360915971499,14.4892802957373,14.8054826729583,14.492681269394,14.1000363061185,13.6615395160325,13.6030159786348,12.9577530752956,12.6135588062794,12.2094578569747,12.300019196237,13.1933277057201,13.8089476751275,14.0384220736359,13.790842449006,13.5046128784833,14.1396015900905,13.4067157089686,14.03092259982,14.3315867285766,14.85933258007,14.9457314459783,15.0277837254159,15.2160122536147,10.3648043981781,14.5125333551646,15.9632723905015,18.8112845780277,19.7459975229086,19.7744227250084,19.3063139414276,18.2304530201717,19.1522986123299,18.4162968175247,17.8584574448928,18.0495021848189,18.4745926566395,18.3474332771021,17.8286118095034,18.1058962688065,16.8652475713176,16.7169525631075,16.0096181137537,15.6765104272069,16.0375212865707,15.5488744874687,15.5344581554437,14.5638865575973,13.6261672971699,13.1567937547551,12.2057892918374,11.1657273434372,11.1572016970745,11.8942939255686,10.9691052291913,10.52055459392,11.902567359835,11.7529192775683,12.9479256597958,13.4763264758092,12.7569075584343,13.6442379508169,13.3405462563313,13.3467837550759,13.2838178731432,12.9013480057684,13.0015351224752,12.2758826647795,12.6965246995471,13.4687269953499,13.2316226639887,13.9970138551257,14.6619667923402,14.1844430127615,14.6982399962487,13.4069203400931,13.5840165067432,13.3243137118773],"QQQ^FMA_PE(LTMA,-10AY,0,AM,\"PORTAGG\",\"MEANR\")":[19.1861699893287,19.3900888552217,18.2445762911601,20.0326641392295,19.4377291116842,19.5352133605673,20.5031059244572,20.6179829083582,20.4758049215094,20.3364625893627,20.0775531299294,20.2604264880208,20.2437480939497,19.6859842949099,19.7522977909972,20.0210820006618,20.4044781024763,18.2634328835928,17.9852345743422,18.2934025539188,18.4763854813404,18.3923637653939,18.4786327785902,19.0232646156013,19.5456363651527,19.6943265831601,19.8251060114457,19.7721727446526,20.3620809062086,21.0330392307996,21.6684240557135,21.6994449712532,21.5288296751513,21.8818747882422,21.7612940494373,22.0800955859887,22.1393229362372,22.3250718471081,22.7158668409259,23.0699458199405,23.5511027597558,24.6801647877974,23.9657419816844,24.0713317525567,23.5161078569691,23.2853869617934,23.390957061603,23.3455985302211,23.0109296613212,23.1419176232441,22.3723248511033,20.7013601011065,19.6038273260475,19.7248252177548,20.7601571034967,20.9834539553982,21.2642849311131,21.2921001137745,21.2593235364343,22.0667818048716,21.6334057228909,22.2251125537985,22.5572126881019,23.6158369095241,24.7732146405429,26.4764250948944,27.2039444144262,22.9747180217934,24.5302110026204,25.6827404299666,27.328527467728,28.6775927384481,29.2795952541007,30.1683941579276,32.1481851713949,32.2456585813804,34.6132062313685,34.7099585577478,35.4489438310676,32.7815013145505,32.9331432762469,31.5634397982124,31.4737338811193,31.8082566217067,31.3082496790274,31.4882497968959,30.6978548416921,32.0779480923245,30.9840391080093,30.390409065356,27.5147213846229,26.5221181371738,26.3372751553002,25.2253635860613,23.9136457376742,24.407655901429,26.5133521791745,24.0252426302021,22.1476503986805,23.6812756196515,22.4861960664067,23.9337093920825,25.9103501306678,25.3823658299883,25.6636063863897,25.8051130031777,27.1852120861184,27.7839061153947,26.1808630801426,26.4903165841618,26.6497976277802,27.5001569484613,28.6983013593333,29.0166636907549,29.9206775601437,30.0743043692628,29.6516958385184,29.7833486826505,30.1519760379909,30.6141479972937,30.2735848703],"DDR3512M-FDS^FG_PRICE(0)":0.88307,"PASP-FDS^FG_PRICE(0)":944.0,"PLATI-FDS^FG_PRICE(0)":945.0,"W-FDS^FG_PRICE(0)":5.3,"COPP-FDS^FG_PRICE(0)":4.1275,"FC0000US^FG_PRICE(0)":415.21503,"FC0000GR^FG_PRICE(0)":9.792417,"EWI^FG_PRICE(0)":37.21,"SPY^FG_PRICE(0)":554.31,"EWJ^FG_PRICE(0)":69.37,"ENZL^FG_PRICE(0)":48.12,"EWA^FG_COMPANY_NAME":"iShares MSCI Australia ETF","FXI^P_PRICE(0)/P_PRICE_LOW_PR(0,,,,,,\"PRICE\",\"INTRA\",\"52W\")-1":0.26366246,"SPY^FMA_PCT_ABOVE_MAVG(200,0,,,,\"PORTAGG\")":70.4590818363273,"URTH^PERCENT_CHANGE(FMA_EPS(+1,0,,,,\"PORTAGG\",\"MEAN\"),FMA_EPS(+1,-3AM,,,,\"PORTAGG\",\"MEAN\"))":-0.39386590477226,"VGK^FG_TOTAL_RETURNC(0,-3AM)":-0.030356646,"EWD^P_PRICE(0)/P_PRICE_HIGH_PR(0,,,,,,\"PRICE\",\"INTRA\",\"52W\")":0.9439624,"DUMMY^ECON_EXPR_DATA('FDS_ECON[NTCPMIMFGSA@EME]',,,M)":50.6699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117967495928,11.9085678484881,15.3602779609384,14.6915673510104,15.368050598586],"^FG_YIELD(-10AY,0,Y,,\"YTM\")":[null,null,null,null,null,null,null,null,null,null],"TRYCA10Y-FDS^FG_YIELD(-10AY,0,Y,,\"YTM\")":[1.79,1.39,1.72,2.04,1.96,1.7,0.67,1.42,3.3,3.0987],"TRYDE10Y-FDS^FG_YIELD(-10AY,0,Y,,\"YTM\")":[0.5475,0.636,0.22,0.47,0.239,-0.189,-0.575,-0.181,2.534,2.004],"EWD^FMA_COS_UP(\"EPS\",\"1M\",+1,0,,,\"PORTAGG\",\"MEANR\")":13.0,"EWL^SIZE(FG_CONSTITUENTS)":46,"ENZL^FMA_COS_DOWN(\"EPS\",\"1M\",+1,0,,,\"PORTAGG\",\"MEANR\")":8.0,"EWD^FMA_RBICS_REV_CURRENT(30, LOC, \"PORTAGG\")":27.5589453559563,"SPY^FG_ROE(0)":18.5998618201091,"TRYCH10Y-FDS^FG_YIELD_NAME":"Treasury - Switzerland Benchmark Bond 10Y","EWC^FG_COMPANY_NAME":"iShares MSCI Canada ETF","REFFFUND-FDS^FG_YIELD(NOW,,,0)":5.5,"REFEUREFI-FDS^PROPER_NAME(0,,,\"SECURITY\",\"NAME\")":"Eurozone Main Refinancing Operations Minimum Bid Rate","TRYFR10Y-FDS^PCTCHG(FG_YIELD(0,,,,\"YTM\"),FG_YIELD(-3AM,,,,\"YTM\"))":2.367067,"TRYAU10Y-FDS^PCTCHG(FG_YIELD(0,,,,\"YTM\"),FG_YIELD(-3AM,,,,\"YTM\"))":-6.273855,"TRYUS10Y-FDS^FG_YIELD(0,,,,\"YTM\")":3.8878,"VWO^FMA_DIV_YLD(NTMA,NOW,NOW,M,\"PORTAGG\",\"MEANR\")":3.51157077332616,"EWI^FMA_PE(LTM,0,,,\"PORTAGG\",\"MEANR\")":10.7793236178518,"EWQ^FMA_EVAL_EBIT(LTMA,NOW,NOW,M,\"PORTAGG\",\"MEANR\")":13.1581565790769,"QQQ^FG_FCF_YIELD_NTM(0)":3.50284119502493,"EWL^FMA_PE(NTMA,0,,,\"PORTAGG\",\"MEANR\")":17.1955406458848,"ENZL^FMA_EVAL_EBITDA(NTMA,0,,,\"PORTAGG\",\"MEANR\")":12.5443443134988,"EWL^FG_COMPANY_NAME":"iShares MSCI Switzerland ETF","EWN^FG_COMPANY_NAME":"iShares MSCI Netherlands ETF","CAGDPY@FR^EE_ACTUAL_ANNUAL(MED,0)":-1.01988503384344,"CAGDPY@AU^EE_ACTUAL_ANNUAL(MED,0)":0.275776825503169,"USDITL^FG_PRICE_CHANGE(0,-1AM)":-1.0190129,"USDANG^FG_PRICE_CHANGE(0,-1AM)":0.0,"USDUSD^FG_PRICE_CHANGE(0,-1AM)":0.0,"USDGBP^FG_PRICE_CHANGE(0,-1AM)":0.43438673,"USDJPY^FG_PRICE_CHANGE(0,-1AM)":-6.6836953,"USDCAD^FG_PRICE_CHANGE(0,-1AM)":0.13139248,"USDNZD^FG_PRICE_CHANGE(0,-1AM)":0.31542778,"ENZL^FMA_EPS(NTMA,-20AY,0,CY,,\"PORTAGG\",\"MEANR\")":[null,null,null,null,null,null,2.40890596176463,2.24117429803946,2.40285148565594,2.31210808961864,2.19492193820354,2.04943671601749,2.14962845087329,2.26706810161072,2.29721148308571,2.24732564412744,1.98522618259249,1.82093688879477,2.11037846476333,2.11106621771878],"EWI^FG_TOTAL_RETURNC(-10AY,0,AM)":[-9.294117,4.4098616,-14.099383,3.1814933,-3.7841678,-2.3852646,8.489847,-0.06924868,4.781699,6.150794,-5.1713347,3.4332871,0.84034204,-3.9743662,1.9359231,-7.3346496,-0.6360352,-11.2547035,-8.842439,10.493827,-2.8731048,-1.5612185,-5.843073,0.84325075,1.7179012,-3.9999962,0.6481409,-1.4719427,11.577964,3.6674738,-2.4032593,6.510854,-3.0172408,15.191925,-1.017189,4.5983076,3.828907,3.2225847,-0.48277974,-1.3583422,-0.42622685,9.789085,-1.025331,-0.7921934,3.1940937,-2.8868973,-6.9874344,-0.7882774,-8.057362,3.4905314,-4.9156847,-4.792452,-1.2683272,3.9612293,3.5197496,4.0423155,3.086412,-4.1211724,0.11022091,7.695055,-9.520453,7.4434876,2.3939013,4.42791,-0.089389086,1.9487143,0.4024148,-39.57916,10.77944,-0.39920807,22.612179,5.6151986,1.7200947,-1.4604211,-3.4321368,11.389339,6.8579555,0.34211874,4.739177,2.2135377,3.1847239,1.5432119,3.1574965,-6.0244503,6.9819093,-3.1148016,1.0716438,1.8782258,-3.3110201,4.4915795,-1.9701481,-12.393421,1.0427475,-6.39835,-7.536745,-7.98853,11.442577,-5.113864,-8.421051,25.563217,-1.098007,11.3115425,3.7812233,-6.6037774,10.553813,-2.1424055,3.7071824,4.8664093,-4.82257,0.6692171,-3.5770833,5.482602,4.6062827,0.4180193,3.210318,8.22674,-4.1095853,9.831929,-7.768506,7.055819,-1.5087366],"EWN^FMA_DIV_YLD(NTMA,-10AY,0,AM,\"PORTAGG\",\"MEANR\")":[3.08799291620336,3.0231699584909,3.36760471219128,3.10996616655944,3.17189655201561,3.03387504756435,2.83180979558115,2.59751671863276,2.63207612749244,2.73384191644202,2.94398701069825,2.81533212105504,3.20741110135269,3.43915717658037,3.40588988344419,3.23184867937135,3.32263060621455,3.39180773227307,3.56072109400162,3.30073544219402,3.24978262335556,3.41216779355834,3.39620576483655,3.25134857476169,3.15938502004258,3.23886909330247,3.1309973680063,3.15321960728031,3.00379622822399,2.94438739934246,2.88401549982253,2.7670742716349,2.77082339462495,2.69740412733181,2.74498051575446,2.77064150014811,2.7727316986302,2.822829775736,2.75190916225263,2.82981879494652,2.82393140063983,2.80111488293685,2.94222146873073,2.91776475521495,2.93163001832129,2.88307594791868,2.86037914060345,2.93333594323061,2.93756612820607,3.03393208312088,3.16009312593047,3.20517021151715,3.34084486376781,3.38764664960602,3.11910751355892,3.03363872538778,2.98201533280184,3.01715508029484,3.07516595228479,2.95404588199905,3.02564573843328,2.86956086576142,2.7436918257051,2.64439142739781,2.58410114415821,2.59016659006427,2.46133899498892,3.73182193403208,2.89122061303491,2.69123066074165,2.40265536003588,2.32698031929321,2.3493886413242,2.30265655600882,2.27226683999229,2.17465985255622,2.04794514110662,1.9660691004843,1.87165216899005,2.00144177448861,1.90607267115916,1.99722545595578,1.98137915553804,2.01996788224273,1.95853343561872,1.83266572960165,1.92602842015288,1.83348233180766,1.98689925805914,2.0058294655903,2.20099541515847,2.29067188895979,2.31574786755424,2.56257708428586,3.60557821254363,3.37019979719514,3.03083333978257,3.76103819988329,3.15768878446416,2.70576341236047,2.74083458646793,2.5713686318426,2.53392703762515,2.74110643379979,2.66667998407773,2.70427533854816,2.65179149014381,2.64357431087314,2.81589120452195,2.98644791540618,3.03900577083479,2.83401815724697,2.64805222396655,2.73820055300025,2.46911006797909,2.61681999762179,2.58896485861958,2.4430801828741,2.46721472110064,2.44065141853673,2.66088220914024],"SPY^FMA_PE(NTMA,-10AY,0,AM,\"PORTAGG\",\"MEANR\")":[15.0470916718712,15.2640979830047,14.223625577791,15.6408499114879,15.2664542129901,15.9384278995937,16.8655024277584,16.6779630916507,16.7554005830817,16.7321049064136,16.3841196768422,16.5597930455185,16.3116711700079,15.5381309293535,15.918646410385,16.0809679439145,16.210071763861,14.8633281655956,15.5099438140132,15.5167363536305,16.5004635460184,16.5226770167304,16.36274200006,16.9559896987878,16.9188260553208,16.4848230909905,16.3374777379563,16.5912234397049,17.019118731154,16.9866013196807,17.5617363994154,17.719217113864,17.1920351489964,17.4779014278586,17.5621413915088,17.6511810503286,17.5451713334929,17.6495901546909,17.9096749703746,17.9096080180601,18.3319676385947,18.2497879694019,17.0679000965126,17.0494543503598,16.4716767495609,16.3820472934884,16.5819779029134,16.5103601195282,16.5184815858437,16.7577243542326,16.1040446056712,15.6334845014148,14.8681503657254,15.179515791277,16.1790743240804,16.3805050615818,16.7869780350726,16.4544545900807,16.4305700558728,17.0801790537282,16.4035626984394,16.9049223636934,16.9127571274072,17.6037761057106,17.9532235022655,18.5753917080759,18.9533239744087,13.6653546787529,18.6832305615386,20.4267853374547,21.9725606157081,22.2425676057804,22.3525206717543,21.8392545189013,21.9712401684022,22.0820191443521,21.9625246012851,22.1716314908759,22.2197171111658,21.9579014320933,22.4559947743006,21.3239020081084,21.1628970620986,21.210775435047,21.1604326558015,20.8960714045323,20.6911116328358,21.4085946548364,20.9681676553122,20.7518254047736,19.6299132019193,18.8204956429414,18.6746147195961,16.9017033392126,15.2985203957105,16.1465438488408,18.1549875730817,16.2715862983583,15.2019322326424,17.1553726576029,16.6779372388107,17.4305504739082,18.0386958698588,17.3751413260786,18.1840894321655,17.8581792151819,18.944008034142,19.3428380964107,18.6125779337896,18.5244417034183,18.1181420331982,18.6126424044099,19.3257802363997,19.4700674705027,20.2510365335708,20.4520611725578,20.0616639318085,20.7129462712691,20.940715335335,21.6869901187641,21.0093189191788],"EWU^FMA_PE(LTMA,-10AY,0,AM,\"PORTAGG\",\"MEANR\")":[14.158518346815,14.1457013355292,13.1973723136622,13.8915771326427,13.3472413153168,13.6269451519732,14.6601635158196,15.1603267625958,15.5228280600933,15.706076298141,15.58702487653,15.8078708128427,15.6220284400382,15.2762612698647,15.7571704215956,15.469205565971,15.2836827774575,14.521775842277,14.6318530421771,15.668857191313,15.9393670751932,15.8793565388084,15.6649281587461,16.4585341054251,16.9297031892624,16.6543916690216,16.9153118390797,16.2506036311421,16.9360422086708,17.3701048915432,17.2895407317248,17.2685233305612,17.0231368797814,16.9202398381803,16.598412962029,16.458803516706,16.2137113347256,15.8319173596839,15.8555413218229,15.2209302778646,15.2129207186856,15.6746606254511,14.7016709983108,13.9431176558217,13.9419801971904,14.1086953644901,13.898472979084,13.7745696557779,13.6117060548226,13.3854774505723,12.9840856377347,12.7023905463366,12.1910621665007,12.2447025575601,12.8363496045825,12.9637813320408,13.0401274717947,12.9273114060358,12.9374450250517,13.1662995777807,12.6656607264676,13.0558940925508,13.1264427076915,13.368073687985,14.098121656122,14.2185978120371,13.8517379739508,11.8995748641536,12.8344290662129,13.8429156348884,15.0822420825248,15.5940967899953,16.2810936028033,16.9907573494894,16.9924265529083,18.5989338506128,19.5901219478753,20.2047061894819,20.0020019316679,18.6032028277098,18.0267344535656,17.4369715518645,16.9333320423159,15.8730768116259,15.1209006390776,14.2721681353751,13.9507118430422,13.1925459607006,12.4071968281505,12.7048407391176,12.808588292119,12.4194037190727,12.2458605888793,11.7627246837853,11.2608861063018,10.9066420033726,10.8042352971663,10.0367061583245,9.3999338068059,9.74399359784121,9.57589587236408,10.1920989695497,10.3557538172266,10.1377664462064,10.3971349686168,10.3586654809829,10.3984684376936,10.4296450427429,10.4046627833614,10.7154861908912,10.6222833281038,10.5744468060128,11.0254652571899,11.1210088262075,11.3522200726246,11.4654451558111,11.4674382654145,11.7967419599984,11.6188259823663,11.775154774591,11.9271452114463],"WL-FDS^MAX(FG_PRICE(0,-5AY))":763.4,"NI-FDS^MAX(FG_PRICE(0,-5AY))":48241.0,"CPALM-FDS^MAX(FG_PRICE(0,-5AY))":8163.0,"BRENT-FDS^MAX(FG_PRICE(0,-5AY))":140.85,"TIOS-FDS^MAX(FG_PRICE(0,-5AY))":219.77,"FC0000GB^FG_PRICE(0)":131.34503,"FC0000CA^FG_PRICE(0)":301.60876,"EWD^FG_PRICE_MAVG(0,,,,200)":38.898624,"QQQ^FG_PRICE_MAVG(0,,,,200)":434.48395,"EWG^FG_PRICE_MAVG(0,,,,200)":30.1344,"EWI^FG_COMPANY_NAME":"iShares MSCI Italy ETF","ENZL^FG_COMPANY_NAME":"iShares MSCI New Zealand ETF","FXI^P_PRICE(0)/P_PRICE_HIGH_PR(0,,,,,,\"PRICE\",\"INTRA\",\"52W\")":0.89265156,"EWJ^FG_TOTAL_RETURNC(0,-12AM)":19.275522,"URTH^PERCENT_CHANGE(FMA_EPS(+1,0,,,,\"PORTAGG\",\"MEAN\"),FMA_EPS(+1,-1AM,,,,\"PORTAGG\",\"MEAN\"))":0.320068023797017,"VGK^FG_TOTAL_RETURNC(0,-1AM)":-0.27532578,"EWD^FG_TOTAL_RETURNC(0,-6AM)":6.6720366,"EWQ^P_PRICE(0)/P_PRICE_LOW_PR(0,,,,,,\"PRICE\",\"INTRA\",\"52W\")-1":0.15270352,"EWU^PERCENT_CHANGE(FMA_EPS(+1,0,,,,\"PORTAGG\",\"MEAN\"),FMA_EPS(+1,-3AM,,,,\"PORTAGG\",\"MEAN\"))":-0.350322764125294,"EWJ^FG_TOTAL_RETURNC(0,-3AM)":2.3706555,"EWC^P_PRICE(0)/P_PRICE_HIGH_PR(0,,,,,,\"PRICE\",\"INTRA\",\"52W\")":0.99923664,"ENZL^FG_TOTAL_RETURNC(0,-12AM)":7.4403763,"EWJ^FMA_COS_DOWN(\"EPS\",\"1M\",+1,0,,,\"PORTAGG\",\"MEANR\")":67.0,"CC_IT^IMF_IFS_RCPI_Q(0)":0.80847347,"EWG^JULIAN(FMA_DIV_YLD(NTMA,NOW,NOW,M,\"PORTAGG\",\"MEANR\").DATES)":45504,"EWG^FG_COMPANY_NAME":"iShares MSCI Germany ETF","VGK^FG_TOTAL_RETURNC(0,-6AM)":9.211838,"QQQ^FG_TOTAL_RETURNC(0,-6AM)":10.6479645,"VWO^FG_TOTAL_RETURNC(0,-6AM)":9.381795,"DUMMY^ECON_EXPR_DATA('FDS_ECON[PMIDMMANHE]',,,M)":48.78809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337237,9.77856566503728,10.8991459518594,12.0158891532418,12.7459856653411],"TRYSA10Y-FDS^FG_YIELD(-10AY,0,Y,,\"YTM\")":[null,null,3.8912454,3.7299898,4.5715504,2.8775356,2.0844028,2.5113702,4.613973,4.608568],"TRYGB10Y-FDS^FG_YIELD(-10AY,0,Y,,\"YTM\")":[1.8155,2.0248,1.2817,1.2536,1.3339,0.822,0.197,0.966,3.662,3.534],"TRYKR10Y-FDS^FG_YIELD(-10AY,0,Y,,\"YTM\")":[2.6272,2.0852,2.0916,2.4797,1.9804,1.6728,1.7238,2.2417,3.6906,3.1928],"EWQ^FMA_DIV_YLD(NTMA,-10AY,0,AM,\"PORTAGG\",\"MEANR\")":[3.67671950788908,3.53856543018442,3.98985798979164,3.71816952999506,3.78641513043771,3.5576478375526,3.23508532695014,3.17330395085458,3.09784655362217,3.27653260050906,3.40626581064322,3.25080359408107,3.38424968896145,3.63015782592804,3.55328513884346,3.50804336579297,3.61253244886466,3.97060678912394,4.02243763670037,3.71972930004659,3.6902858702376,3.81911710049073,4.00682906574565,3.79390057966562,3.71209692652937,3.8135661315122,3.73570870454285,3.73182656088867,3.50085564196863,3.42321925511695,3.46459954045942,3.41344989259762,3.39030113551082,3.18930944339762,3.28652961139152,3.32210990274986,3.37194875789544,3.35160086501022,3.287843320381,3.32859946515494,3.29860220024784,3.20901906889891,3.37624098390326,3.38458889508576,3.38761310946638,3.28698637845752,3.34732616668155,3.40571314840105,3.49054485038355,3.49324813213937,3.65008267848727,3.76640097552337,3.90365942878534,3.93217003839472,3.70692515352674,3.54890269637222,3.49618930356882,3.55782203524481,3.6287337692916,3.49524975184112,3.71485512777689,3.53228858725735,3.48544423485858,3.35557802514147,3.34229455454071,3.31937384613174,3.2817316534689,5.06089006003217,3.98825897890834,3.68767612002131,3.14427909071509,3.04610454436696,3.12580050553117,3.09654805112755,3.20636529569047,2.91995397484172,2.92017680953485,2.92804428846739,2.83467504376084,2.73634866297778,2.6792813059206,2.69743546184786,2.62870594700196,2.73579146280694,2.69100011997241,2.80041404728007,2.81790988622554,2.71332439787929,2.79095273339373,2.76805978093939,2.91663945422191,3.12850496685686,3.1295477202037,3.27780286139654,3.55095852032662,3.48319635814233,3.24132424591977,3.55271848746907,3.68372226997915,3.30831415551325,3.39192899753125,3.11816039961908,3.08214522149073,3.28844562848559,3.09877023088532,3.19575194485233,3.21330851247877,3.24482807129196,3.34442736277533,3.30893496477726,3.48338097352558,3.39483276062385,3.21585268122634,3.2850078573065,3.16762795487272,3.05676632013431,3.17089609887333,3.06774741504909,3.3817562841986,3.34637239219956,3.46454720257218],"NI-FDS^FG_PRICE(0)/MAX(FG_PRICE(0,-1AY))":0.7475910693302,"CPALM-FDS^FG_PRICE(0)/MAX(FG_PRICE(0,-1AY))":0.845599475868093,"BRENT-FDS^FG_PRICE(0)/MAX(FG_PRICE(0,-1AY))":0.870614479821537,"TIOS-FDS^FG_PRICE(0)/MAX(FG_PRICE(0,-1AY))":0.683615427302997,"URTH^FMA_PCT_ABOVE_MAVG(200,0,,,,\"PORTAGG\")":58.9761570827489,"VGK^PERCENT_CHANGE(FMA_EPS(+1,0,,,,\"PORTAGG\",\"MEAN\"),FMA_EPS(+1,-3AM,,,,\"PORTAGG\",\"MEAN\"))":1.06642143542723,"EWD^FG_TOTAL_RETURNC(0,-3AM)":-0.4653871,"CAGDPY@US^EE_ACTUAL_ANNUAL(MED,+1)":-3.2,"CAGDPY@NZ^EE_ACTUAL_ANNUAL(MED,+1)":-6.05,"USDITL^FG_PRICE_CHANGE(0,-1AY)":-0.7642567,"USDANG^FG_PRICE_CHANGE(0,-1AY)":0.0,"USDUSD^FG_PRICE_CHANGE(0,-1AY)":0.0,"USDGBP^FG_PRICE_CHANGE(0,-1AY)":-1.0782301,"USDJPY^FG_PRICE_CHANGE(0,-1AY)":1.4950395,"USDCAD^FG_PRICE_CHANGE(0,-1AY)":1.4721632,"USDNZD^FG_PRICE_CHANGE(0,-1AY)":-1.1123121,"EWA^JULIAN(FMA_EPS(NTMA,-20AY,0,CY,,\"PORTAGG\",\"MEANR\").DATES)":[38352,38716,39080,39447,39813,40178,40543,40907,41274,41639,42004,42369,42734,43098,43465,43830,44196,44561,44925,45289],"EWD^FG_TOTAL_RETURNC(-10AY,0,AM)":[-2.3499668,-1.1740565,-10.157406,8.363628,-4.1793766,-0.67679286,8.233774,-0.29833913,3.0520678,0.8130193,-1.2960851,-1.2844384,-1.9889891,-3.684044,-1.6855776,-2.7035952,-0.44053197,-10.914886,3.5946488,8.490217,2.7900696,-3.6742747,-3.9862514,3.3637404,3.8156986,-1.3869584,-0.84388256,-3.5815597,4.6340585,3.7786722,5.2506804,1.5127182,-1.2048244,9.467268,0.26385784,5.5904984,-3.1152725,3.5077453,1.4967442,-3.1441212,-3.6771119,7.627952,-2.3229718,-1.2320936,-3.8874388,2.3543596,-2.683574,-1.492995,-1.3522208,3.524804,-3.18411,-4.4936476,-3.0685306,2.171445,4.4436812,1.550138,4.9366713,-5.168682,0.09791851,3.5716891,-9.974014,9.202456,-0.5617976,6.4805627,4.7929645,0.6031394,1.588726,-32.75302,11.715651,3.5349607,17.325233,9.14694,4.160464,2.8815985,0.30503273,7.2435856,3.2158256,2.9692888,5.376351,4.638219,7.1143627,0.062072277,0.33967495,-1.1387527,2.709043,-0.29076338,-1.3538778,2.4282098,-5.3078356,0.9544611,-7.072955,-4.4040203,-4.3314934,-9.133726,-8.100235,-2.225089,10.65303,-11.982113,-7.8564224,20.911444,-0.52877665,8.696985,1.0178089,-6.0173454,8.784986,-1.998359,0.36313534,0.94628334,-8.298874,-1.202637,2.5867224,3.025806,13.417792,-4.762477,4.752791,6.805742,-6.3476505,7.1428537,-0.5148232,2.410531,-2.3052692],"QQQ^FMA_PE(NTMA,-10AY,0,AM,\"PORTAGG\",\"MEANR\")":[17.5522553505286,17.6356018849403,16.1203545631418,17.9690043435943,17.1125729569592,16.9330232799213,17.9161326809444,17.7839476424559,17.9703826145012,18.0342417150186,17.7498095186775,18.2320512403522,18.3615253723083,17.641777813643,17.7982614318244,18.2940359250583,18.6187700823236,16.6737264004486,16.5572251190368,17.5584035523776,18.0607152042005,17.5658389892079,17.537255701942,18.2690755934434,18.7445952066306,18.5111857492327,18.3218733537774,18.0624728255788,18.3237547324015,18.7052007770418,19.9947946125617,20.185105834029,19.7520475929053,20.7911890027279,20.3634873398926,20.6994070110152,20.6106479512643,20.5756923235018,20.6982164241615,20.9342533119566,21.0646955933483,21.6571145852943,20.6398029045591,21.1703525274099,19.9575737911135,20.0849430539057,20.7675877891223,20.9003215009121,20.4551356183335,20.7113743374634,19.8456526582956,18.624333458586,17.8324881299539,18.2922407675878,19.5287904397589,20.1694240256922,20.9889001464117,20.6616798343285,20.2867765968932,21.3798040814673,20.3281675470633,20.7666077829856,20.7695784782364,21.6443772940533,22.3082424046524,23.6171305240042,24.3524418837769,17.8479627174155,24.0479059491882,26.2007836886209,28.179411268836,29.2927273519752,29.2731358670832,28.9561631177321,30.0153744319668,29.319650675041,30.2099021556552,29.6062108879878,30.196017668935,28.1700890191607,29.751079499804,26.6188913359525,27.328312040227,28.3574743047676,27.9768494836886,28.3231408680558,27.5836090791132,29.5419489526961,28.3334966603231,27.7465203051154,25.5824751790352,24.1542419450266,23.892941221234,21.2182669467676,19.1274742382058,20.805062565555,24.287719430973,20.9876374369768,19.1199622976239,21.7853371632005,20.8801568624971,22.0460347216955,23.9604426180014,23.9646164616471,24.7640317989987,24.7046472861628,26.9901385659271,27.214784662849,24.1412772568457,24.0271527181792,23.741695765415,24.4009448699208,24.9407300168327,24.9383324743832,25.9134441825368,25.6801890144076,25.2421952179505,26.1511253858869,27.0549580483565,27.6817575815318,26.4615144898674],"EWL^FMA_PE(LTMA,-10AY,0,AM,\"PORTAGG\",\"MEANR\")":[17.0882868020366,17.4068840763413,16.2035021232996,17.4709973983293,16.9967853304744,16.0147467139515,17.3349180242138,17.999217545531,18.2192925407691,18.0596897370386,17.8807004496018,18.2803900184392,17.9847158056531,17.4585806294232,17.527806045658,17.2518684280131,17.1850136922794,16.0796320553105,16.3993136518842,16.6348404438483,16.8065920963905,16.8417251235588,16.6874821584834,17.3242519198926,17.8977042685715,17.834477350752,17.9042062599483,17.6213311929522,18.0667534293573,18.7173341123518,19.5541419977943,19.6332294307746,19.4216073651036,19.5985667965988,19.5015116689712,19.4379880252634,19.2468941368554,19.290425718539,19.7558394816679,20.1354640268493,20.5841943457321,20.9877672732329,21.802982471816,20.9690547696546,20.4404360350413,20.1424170398869,19.5135862262678,19.2886541882088,18.876314097956,18.6590302815512,17.812729267128,17.6385673064002,16.9757461007628,17.0696180916569,17.9059655420583,18.3217764710399,18.306203041975,18.1928894950579,18.2649458859688,18.308205506001,18.1158404315763,18.3369166934446,18.42229049868,18.8875719225669,19.3769069592046,19.7799076235185,20.0781761046872,17.4090744063123,18.212240847601,18.7266479224091,19.3174239155145,20.1818772249484,20.3564382882023,21.1032835026455,20.9094031579738,21.4007230445276,21.3296407861815,21.9739840268714,21.3186513541491,20.4787310319916,20.6496100222041,20.4377771470938,20.9641529752954,20.9527683175109,21.1992951302938,20.6971371410375,20.4932502600136,21.0336706925076,21.3713904989815,20.8293094697787,18.6121704858303,18.4563942645293,18.6824282663476,18.1473763038254,17.3744130384502,17.7262674826216,18.3124253664685,17.5624428838475,17.0184135519917,19.4455037564749,20.0034162188729,21.3842478550433,21.2476462152739,20.4341639060226,20.4090133779618,20.1338381405608,19.5036825296999,19.2342469080082,18.8122495233555,18.8701152022807,18.3310970573146,17.7711558289883,18.4520363813571,18.3777869466339,19.0079391164452,19.1993354239204,18.8385651281541,18.943102786662,18.8770717066008,18.936628553194,18.7143750985697],"WL-FDS^FG_PRICE(0)/MAX(FG_PRICE(0,-1AY))":0.676840450615667,"EWD^FG_PRICE_MAVG(0,,,,60)":40.44,"QQQ^FG_PRICE_MAVG(0,,,,60)":470.4165,"EWG^FG_PRICE_MAVG(0,,,,60)":31.034834,"EWD^FG_COMPANY_NAME":"iShares MSCI Sweden ETF","FXI^FG_TOTAL_RETURNC(0,-6AM)":14.626991,"EWJ^P_PRICE(0)/P_PRICE_LOW_PR(0,,,,,,\"PRICE\",\"INTRA\",\"52W\")-1":0.21276224,"EWQ^P_PRICE(0)/P_PRICE_HIGH_PR(0,,,,,,\"PRICE\",\"INTRA\",\"52W\")":0.91079813,"QQQ^FG_TOTAL_RETURNC(0,-12AM)":31.931173,"EWU^PERCENT_CHANGE(FMA_EPS(+1,0,,,,\"PORTAGG\",\"MEAN\"),FMA_EPS(+1,-1AM,,,,\"PORTAGG\",\"MEAN\"))":-0.606219442239148,"EWJ^FG_TOTAL_RETURNC(0,-1AM)":-3.5187721,"EWC^FG_TOTAL_RETURNC(0,-6AM)":8.07476,"ENZL^P_PRICE(0)/P_PRICE_LOW_PR(0,,,,,,\"PRICE\",\"INTRA\",\"52W\")-1":0.17279744,"EWJ^FMA_COS_UP(\"EPS\",\"1M\",+1,0,,,\"PORTAGG\",\"MEANR\")":100.0,"EWN^SIZE(FG_CONSTITUENTS)":53,"EWL^FMA_COS_DOWN(\"EPS\",\"1M\",+1,0,,,\"PORTAGG\",\"MEANR\")":15.0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452361,8.94223448408443,12.2539555485597,13.1476341706421,13.2212508616692],"TRYID10Y-FDS^FG_YIELD(-10AY,0,Y,,\"YTM\")":[7.922017,8.942368,7.89735,6.462641,8.148183,7.263584,5.902206,6.458283,6.936579,6.498571],"TRY10Y-FDS^FG_YIELD(-10AY,0,Y,,\"YTM\")":[null,null,null,null,null,null,null,null,null,null],"TRYPL10Y-FDS^FG_YIELD(-10AY,0,Y,,\"YTM\")":[2.5048,2.9303,3.6245,3.292,2.8144,2.1086,1.235,3.6216,6.8411,5.1912],"CAGDPY@US^EE_ACTUAL_ANNUAL(MED,0)":-3.31108668288718,"CAGDPY@NZ^EE_ACTUAL_ANNUAL(MED,0)":-6.9,"USDITL^FG_PRICE(0)":1761.6869,"USDANG^FG_PRICE(0)":1.79,"USDUSD^FG_PRICE(0)":1.0,"USDGBP^FG_PRICE(0)":0.7757049,"USDJPY^FG_PRICE(0)":147.995,"USDCAD^FG_PRICE(0)":1.37165,"USDNZD^FG_PRICE(0)":1.6601644,"EWI^P_PRICE_RETURNS_PR('52W',2,-10AY,0,AM)":[14.121819,17.956913,-8.849394,-3.4235537,-5.7024717,-15.6409855,-10.152167,-11.826343,-13.121301,-1.4556348,-13.42367,-6.7532063,3.3969283,-4.659277,13.138235,1.6073108,4.9318433,-2.026105,-19.843102,-11.370206,-18.545372,-23.813713,-24.353392,-25.23269,-25.605804,-25.625664,-25.738495,-21.919209,-12.321388,-0.61445236,9.656275,5.703509,6.0695767,23.509455,29.839754,34.431435,37.469494,43.043934,46.151173,46.319675,30.741882,38.288464,40.240894,30.625105,38.99108,17.177105,11.173117,4.439056,-7.5170574,-7.0376277,-11.40725,-14.491522,-15.548361,-19.715267,-15.668732,-11.610657,-12.028318,-13.146406,-7.2824774,1.4745951,-0.1401782,3.6741018,11.64403,22.504734,23.918415,21.519554,20.175625,-31.554663,-26.446796,-22.968912,-6.417018,-8.22435,4.7695875,-5.373132,-10.75725,-4.80811,1.8111229,1.4656425,4.5349836,76.84115,64.71742,67.51014,41.284634,25.71392,32.216896,29.99711,37.67246,24.442339,12.5999565,14.752352,9.74518,-5.938101,-6.5641284,-15.094441,-23.896515,-26.003706,-22.38022,-23.981773,-30.722696,-15.108329,-13.165337,-7.8005433,-2.070737,4.4011116,14.228296,19.422102,33.944332,55.708122,30.377209,37.68568,45.639847,22.34851,28.583633,16.740835,16.098642,35.9069,16.690063,30.96882,18.24416,18.90831,23.0484],"EWN^FG_TOTAL_RETURNC(-10AY,0,AM)":[-3.335625,2.7858615,-10.517794,8.544302,-1.7076194,0.21452904,5.6851983,2.328384,2.2754073,4.6988845,-4.0483594,2.6073337,-2.974391,-5.277455,1.9254327,-1.5876174,-1.0006189,-8.682757,1.181817,9.883189,1.3491511,-1.9362688,-3.7844539,1.7494798,5.029845,-1.9886374,0.62111616,-3.16872,1.9124508,3.9496064,3.0881763,5.9124947,-0.521034,9.913958,-0.13614297,2.8130293,3.171146,1.7075896,1.8548131,-1.6326547,0.82987547,4.911387,-2.0179033,0.3406644,1.2654305,-2.1944582,-0.6544113,-0.50949454,-2.979809,-0.23118258,-4.2370024,-1.1406839,-4.7902107,-0.3671348,8.8518505,3.1983733,2.7695298,-1.1389136,-0.6977141,3.733337,-3.4861207,5.4849505,0.82434416,3.3647776,3.0379534,1.0080099,1.4382243,-33.072926,17.466497,2.4659514,16.427814,6.207323,2.7177094999999998,0.82502365,2.7370214,5.7127237,6.243849,4.95584,8.69565,-3.2258093,7.8888893,-0.6591141,2.6867747,-2.7235746,6.539905,5.0009847,-4.05305,2.6669264,-7.9064426,1.983881,-6.09929,-8.95555,-4.598242,-7.8757706,-7.816333,1.659739,11.020411,-12.053574,-10.839057,26.021433,0.86165667,11.214209,0.7628083,-5.3465843,6.2484384,-0.96448064,3.4502149,4.736483,-7.20461,-6.2350693,-3.4267545,9.840393,7.234299,-3.1879663,10.186481,1.8616438,0.22844076,6.6721916,-0.99344254,3.7500024,-4.7427773],"SPY^FMA_DIV_YLD(NTMA,-10AY,0,AM,\"PORTAGG\",\"MEANR\")":[2.13136459463603,2.10049106097684,2.26515013292416,2.08981761912827,2.18460816672725,2.15191508541109,2.10604062913922,2.16485873138944,2.14659733903571,2.14130476720364,2.1749516871567,2.14949469554021,2.21045830907253,2.32971630241325,2.29143583581959,2.3018289534857,2.27630441059823,2.52577322652888,2.45182025901469,2.47519773454617,2.29179874134034,2.29270141173246,2.29870510074236,2.21862376707666,2.20973600510865,2.25397209924511,2.25893253253315,2.23111977132151,2.16622740508032,2.1612069884052,2.11591318536797,2.09555923684116,2.15093950389525,2.1030063219892,2.08657704583377,2.08852115986716,2.09439642343126,2.07624463005682,2.03626003684428,2.01591495407764,1.95603580738629,1.89948996704426,1.96390334886112,1.96977148500469,2.04032808651714,2.02763844181935,1.99631000648542,2.00733265014852,1.99409545874422,1.95855025211312,2.03741055462061,2.09826917852094,2.22468361929695,2.22647483711775,2.10816995418462,2.08796241289004,2.04617355703626,2.07810776333145,2.08347783361545,2.0125872514471,2.10223589044411,2.03704385475072,2.05200735164575,1.98048412665362,1.95405146802254,1.89155392105798,1.86880880341935,2.65268542808872,2.20908740226298,2.11694031426935,1.92870320168378,1.84985053877432,1.76604733669597,1.7638602354804,1.71781403188247,1.65077279698707,1.62475218698297,1.5775018427107,1.5259914164014,1.52477243991825,1.45404538058657,1.46399396038855,1.46114918268773,1.44720079678292,1.40772997627007,1.4184948706741,1.42808819406719,1.36550659413435,1.38403985052654,1.3889646343913,1.46961335012318,1.51170261321716,1.50092306664373,1.65578679598593,1.82312613810924,1.74251139986071,1.57896901257713,1.76811468423436,1.91812858833878,1.74826013383651,1.80075888721467,1.73961899362625,1.71358064323107,1.77420086254479,1.70731728780856,1.71653664686665,1.61157747666026,1.58004168013691,1.62929489735498,1.61919387486331,1.66155989026387,1.61725259076869,1.56190930526095,1.54852122648776,1.49617722577808,1.47028211383946,1.49326659425746,1.44270209504736,1.4160772397766,1.36126080325768,1.39717492778089],"EWU^FMA_PE(NTMA,-10AY,0,AM,\"PORTAGG\",\"MEANR\")":[13.3444614365721,13.332448210597,12.267113013665,13.359123205152,13.315792924425,14.2009914453255,15.5036702680426,15.3190241073252,16.1449750252475,16.1600649341813,15.4122699758374,15.6207915823302,15.1121240671255,14.6584758735676,15.2865242054251,14.9319701768016,14.7986659572759,14.588535689747,14.9591675640227,16.1090028488745,16.4650163840602,15.7458663751402,14.9133799567984,16.0757875614766,16.2311704386748,15.4392493465808,15.2921689664295,14.2819957302112,14.3474304248576,14.4966975516942,14.5038622224306,14.5396167948266,14.4367506231128,14.8568791942062,14.6005985663932,14.6428872665172,14.5950374984314,14.4170380507208,14.6401650337828,14.2416734169839,14.4019127183173,14.7636625850495,13.7878042820511,13.3941611708345,13.4730527474874,13.924082859252,13.3985313166073,13.1177515617698,12.7859704950686,12.4504938608424,11.9416392831034,11.7389457056459,11.5319316797168,11.7978186730667,12.4858689884881,12.5998477189738,12.8250625697515,12.4075844990438,12.3915818170832,12.7216613054414,11.8193339124949,12.3328378149318,12.3823482531337,12.8093557297984,13.5018524980783,13.5285787661328,13.3222757348879,9.82550177462617,13.1505023719581,14.8021039322617,16.2300983473111,15.9524987441654,15.6042544400547,15.1432472722823,14.1626001383064,14.8917310834951,14.8225027464888,14.4658410277029,14.4386023172285,14.0597898092239,13.6239907653747,13.2932794935941,13.3411078762105,12.3717236570517,12.3169168899675,11.9112347264354,12.3312080296527,12.1240376577019,11.9557285132214,12.4176897680866,12.2969620496214,11.4385214547711,11.200315076168,10.2927151858982,9.60761006375976,9.46011955386771,9.84534544627731,9.09164987032647,8.59433106402894,9.50885490054345,9.65535588189498,10.4368937580466,10.6840512796409,9.84738782387243,10.7947377399375,10.514034128601,10.501131766694,10.4534688103248,10.278271487339,10.6280803955166,10.4092208427928,10.2359533155736,10.7231849013422,10.8547136578201,11.200519506706,11.2977686473104,11.2104978447862,11.9651771539681,11.3962732452463,11.5128040638974,11.5414386627185],"EWJ^FMA_PE(LTMA,-10AY,0,AM,\"PORTAGG\",\"MEANR\")":[15.0610325712805,15.21820114666,14.2081279245576,15.9825767546697,15.1389187737593,15.3457663960416,16.0616306388166,16.9166563213403,16.9301573254941,16.9673189602694,16.9474837296666,16.8687928445974,16.7898805113723,15.3845871301627,15.4915291469703,16.018040461289,15.6169226650516,14.3185797866969,13.5964191542678,13.8870820654403,13.8661892851473,13.8446212613597,13.620921066455,14.1554741515511,13.9958918722082,14.1347798618028,14.3625418902155,15.1260714621436,16.6375511216123,16.6314603625066,16.2948787858509,15.9219599290247,15.5214720725998,15.7317324587191,15.6225392401355,15.5096257915626,15.1208385608699,14.8375425128559,15.1915829336664,15.5561215758204,16.0437526856346,17.0077464648049,15.0221899402473,14.3822592309669,14.238339132067,14.2922238149819,14.167236305793,13.867163444857,13.5245951063148,13.5555643097804,13.158523105799,12.6288741947664,12.2795198837491,11.8533307542213,12.4088731088842,12.7014294929199,12.7759205653146,12.6181753258649,12.7774067156476,12.9527547394936,12.6469793050229,13.5201338810139,13.7965873239593,14.4505060974383,15.2926664119138,15.4076029411507,15.3906448758942,13.4668960388109,13.9890304139272,14.5358586027846,16.6545795156631,17.52375122065,18.1584822140202,19.8478506678122,20.3616856756609,22.136922619634,22.8932404998394,23.9745369787703,24.1345665635575,21.5864520906773,21.1151100567754,20.3508293220216,20.1186274979629,19.4278845065702,18.6562351928119,18.7081157961325,17.8676526548818,17.5888806801894,16.5650821123634,15.8660226920936,15.2172323869607,14.543568599867,14.4809119780486,14.1895566445409,13.9480760013636,13.8332693753648,14.0553213806187,13.5805907936186,13.1761374792508,13.5431161951114,13.2699029886749,12.8891005348232,13.6429841438323,13.5628748511794,13.6875539287658,13.9712863461814,14.560549913555,14.4503581370162,14.4491338372346,15.2717410184234,14.6303883408827,15.2480182215106,15.0516509656003,16.2693978905024,16.8009615386582,16.9466735632027,16.8341326520365,16.7668024322417,16.6473740046401,17.0393418373567,15.7125253874737],"WL-FDS^FG_PRICE_CHANGE(0,-1AY)":-26.3540478905359,"NI-FDS^FG_PRICE_CHANGE(0,-1AY)":-19.8740554156171,"CPALM-FDS^FG_PRICE_CHANGE(0,-1AY)":1.49410222804718,"BRENT-FDS^FG_PRICE_CHANGE(0,-1AY)":-1.20814635830169,"TIOS-FDS^FG_PRICE_CHANGE(0,-1AY)":-5.97271252743059,"EWD^FG_PRICE_MAVG(0,,,,30)":39.789333,"QQQ^FG_PRICE_MAVG(0,,,,30)":469.88568,"EWG^FG_PRICE_MAVG(0,,,,30)":30.852333,"FXI^FG_TOTAL_RETURNC(0,-3AM)":-9.312588,"EWJ^P_PRICE(0)/P_PRICE_HIGH_PR(0,,,,,,\"PRICE\",\"INTRA\",\"52W\")":0.9626032,"VWO^FG_TOTAL_RETURNC(0,-12AM)":15.890002,"VGK^PERCENT_CHANGE(FMA_EPS(+1,0,,,,\"PORTAGG\",\"MEAN\"),FMA_EPS(+1,-1AM,,,,\"PORTAGG\",\"MEAN\"))":0.0,"EWD^FG_TOTAL_RETURNC(0,-1AM)":-2.3052692,"EWQ^FG_TOTAL_RETURNC(0,-6AM)":1.5639782,"QQQ^P_PRICE(0)/P_PRICE_LOW_PR(0,,,,,,\"PRICE\",\"INTRA\",\"52W\")-1":0.38755655,"EWU^FMA_PCT_ABOVE_MAVG(200,0,,,,\"PORTAGG\")":63.75,"EWJ^PERCENT_CHANGE(FMA_EPS(+1,0,,,,\"PORTAGG\",\"MEAN\"),FMA_EPS(+1,-3AM,,,,\"PORTAGG\",\"MEAN\"))":6.79783493838384,"EWC^FG_TOTAL_RETURNC(0,-3AM)":3.5034537,"ENZL^P_PRICE(0)/P_PRICE_HIGH_PR(0,,,,,,\"PRICE\",\"INTRA\",\"52W\")":0.9850563,"URTH^SIZE(FG_CONSTITUENTS)":1429,"EWN^FMA_COS_DOWN(\"EPS\",\"1M\",+1,0,,,\"PORTAGG\",\"MEANR\")":20.0,"EWL^FMA_COS_UP(\"EPS\",\"1M\",+1,0,,,\"PORTAGG\",\"MEANR\")":26.0,"EWQ^FMA_RBICS_REV_CURRENT(30, LOC, \"PORTAGG\")":11.6524471452004,"EWU^FG_ROE(0)":13.9516415071905,"TRYDE10Y-FDS^FG_YIELD_NAME":"Germany Benchmark Bond - 10 Year","REFFFUND-FDS^(SUBARRAY(NOT_NA(NO_REPEAT_F(FG_YIELD(NOW,-10AY,D))),0,1)-SUBARRAY(NOT_NA(NO_REPEAT_F(FG_YIELD(NOW,-10AY,D))),1,1))*100":25.0,"REFCATARG-FDS^FG_YIELD(NOW,,,0)":4.5,"TRYUS10Y-FDS^PCTCHG(FG_YIELD(0,,,,\"YTM\"),FG_YIELD(-3AM,,,,\"YTM\"))":-11.194868,"TRYNZ10Y-FDS^PCTCHG(FG_YIELD(0,,,,\"YTM\"),FG_YIELD(-3AM,,,,\"YTM\"))":-9.761163,"TRYGB10Y-FDS^FG_YIELD(0,,,,\"YTM\")":3.923,"CC_NL^IMF_IFS_RCPI_Q(0)":2.888117,"VWO^FG_PE(0)":15.0645995254156,"EWD^FMA_EVAL_EBIT(LTMA,NOW,NOW,M,\"PORTAGG\",\"MEANR\")":16.23306246457,"EWQ^FG_FCF_YIELD_NTM(0)":6.10304704385857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712369,17.2298191407891,20.6862902757634,20.5983105880676,20.344034080875],"TRYAE10Y-FDS^FG_YIELD(-10AY,0,Y,,\"YTM\")":[null,null,null,3.371059,3.6940188,2.542721,1.7060698,2.0444937,4.2739367,null],"TRYJP10Y-FDS^FG_YIELD(-10AY,0,Y,,\"YTM\")":[0.3138,0.2604,0.0315,0.0465,-0.0051,-0.0208,0.0201,0.0672,0.4224,0.6127],"TRYZA10Y-FDS^FG_YIELD(-10AY,0,Y,,\"YTM\")":[7.9537,9.7513,8.9047,8.58389,9.37766,9.011772,9.174469,9.791837,10.764477,11.358896],"NI-FDS^FG_PRICE_CHANGE(0,-6AM)":-1.14978247358608,"CPALM-FDS^FG_PRICE_CHANGE(0,-6AM)":-0.971867007672633,"BRENT-FDS^FG_PRICE_CHANGE(0,-6AM)":0.0,"CC_US^FG_COMPANY_NAME":"United States","USDITL^FG_COMPANY_NAME":"Italian Lira per U.S. Dollar","USDANG^FG_COMPANY_NAME":"Netherlands Antilles Guilder per U.S. Dollar","USDUSD^FG_COMPANY_NAME":"U.S. Dollar per U.S. Dollar","USDGBP^FG_COMPANY_NAME":"British Pounds per U.S. Dollar","USDJPY^FG_COMPANY_NAME":"Japanese Yen per U.S. Dollar","USDCAD^FG_COMPANY_NAME":"Canadian Dollar per U.S. Dollar","USDNZD^FG_COMPANY_NAME":"New Zealand Dollar per U.S. Dollar","EWD^P_PRICE_RETURNS_PR('52W',2,-10AY,0,AM)":[5.2990794,1.222527,-7.692128,1.2818813,-2.456224,-10.660702,-2.353245,-2.5623798,-0.066536665,-3.289318,-3.5314143,-2.3263335,-1.5897632,-4.455161,4.554367,-6.123811,-2.4608374,-11.108625,-16.264826,-8.883697,-8.289856,-13.160729,-15.527523,-9.95183,-6.3115654,-4.077154,-3.8896918,-4.128915,0.7576823,13.513124,19.252825,11.5831375,6.8221807,21.877968,27.272964,29.921257,21.334707,25.243425,30.36356,30.955006,21.149313,25.024616,16.028059,12.890768,9.825409,2.6892304,1.2093663,-7.015854,-5.323786,-5.147457,-9.675211,-10.933739,-11.244535,-14.915008,-8.968502,-7.1313915,2.13027,-5.376303,-4.0671644,2.332306,-6.611514,-1.4897704,1.1784434,13.53991,21.953249,20.081293,18.558502,-22.655218,-17.658688,-9.42145,5.370593,11.04269,30.263233,21.04038,22.095537,22.970438,21.119726,25.66353,28.590452,100.09041,91.84918,86.049164,58.57097,43.627693,41.626312,37.259247,36.65148,28.92797,18.280972,13.879311,2.266097,-6.5711617,-13.973671,-24.22335,-30.597187,-32.041145,-26.05087,-34.721733,-38.413555,-28.021711,-24.389011,-20.239998,-11.502147,-12.995678,-1.06709,6.7017317,16.528261,21.267796,-0.29762983,10.7131,24.596548,6.1658144,18.323814,6.0618043,9.983277,26.763748,7.6027274,17.639482,17.427456,18.301857,26.034092],"EWQ^FG_TOTAL_RETURNC(-10AY,0,AM)":[-5.0017595,1.9651532,-12.618178,5.4515123,-3.6700904,1.3429403,6.769979,-1.5278816,4.7323465,3.222227,-4.4851065,2.1120548,-0.41151643,-5.409467,2.4225593,-2.9856563,-0.95922947,-10.450721,1.40208,8.652985,0.49260855,-1.2663364,-3.475386,2.3584723,4.1666627,-3.3402026,1.2372017,-1.7277718,4.459691,3.9848685,0.31695366,3.1990528,-0.076532364,12.945223,-0.44082403,1.902163,1.020062,2.7936816,1.6371965,-0.61211586,0.29172897,6.5932393,-2.2201955,-0.8398235,1.9134283,0.36934614,-1.0426283,-0.6316662,-4.4571757,2.565813,-3.801167,-3.9513707,-5.1687775,0.4598856,6.2291503,4.991281,1.8617034,-1.8603146,-0.06651282,4.4234514,-6.1724424,4.7337294,1.9275546,4.10825,1.7822146,1.2334347,-1.6448379,-36.07929,12.01551,-0.2162695,19.457685,4.7479987,1.5690327,1.1328578,-2.4100423,12.069571,4.019487,0.35983324,3.226769,2.1128774,5.0453544,3.5078287,2.698636,-4.517448,5.645156,-1.9847274,0.62304735,3.0443788,-2.6884317,3.7546277,-2.9052079,-8.031487,-2.1404088,-5.016041,-5.964017,-1.1428595,10.404634,-9.547276,-6.2989473,19.331396,0.29956102,11.090792,2.4684668,-4.2826595,9.955263,-1.6276717,1.2048244,2.951157,-5.200404,-0.58870316,-5.625844,5.0770044,5.754614,-2.655512,3.7420392,6.3443303,-5.051714,6.941974,-8.730995,3.63878,-0.5638182],"QQQ^FMA_DIV_YLD(NTMA,-10AY,0,AM,\"PORTAGG\",\"MEANR\")":[1.23736415324595,1.23354194437769,1.33770901524981,1.21142839046464,1.26860772079663,1.2356419380417,1.22393974869272,1.26174371551738,1.25588410414317,1.23822664266552,1.25556235391872,1.22238043903271,1.2810129803344,1.33200529905913,1.31890351116958,1.29955428376438,1.27336570800672,1.39902408568162,1.44044839738925,1.3580997205904,1.31990488823408,1.38235922234664,1.3748265620594,1.3183906793303,1.27768752254272,1.2805825751655,1.28040101312223,1.29802870266257,1.28330983663402,1.25394655088973,1.22757343515144,1.21055628037657,1.23117429046041,1.16702256719545,1.18417111945239,1.17828338641177,1.1724287801994,1.16213959833341,1.14037599028087,1.1098588027485,1.09567214236711,1.04996643366731,1.07551022921951,1.04764985965845,1.11146242486468,1.08756543593749,1.0450206961729,1.0352783791064,1.08345585529989,1.07000615593036,1.1182277220658,1.19460079800683,1.26850797440335,1.25688550808897,1.19597581977355,1.14862670736903,1.10192161881288,1.12292094273664,1.14515142345375,1.08180308830891,1.12853164751718,1.09842926635236,1.09611789432317,1.05782630516739,1.05954588891526,1.00576439424877,0.958465334659983,1.32262049953083,1.05942351472532,0.998002438627299,0.913486069208583,0.857830136340276,0.818504509281199,0.813563923165504,0.776618247236697,0.771051124641008,0.736314462409459,0.771151756252072,0.723334836759442,0.762786703170001,0.717547951864158,0.754915967709549,0.730726955339189,0.699884281380015,0.698694042220946,0.685518141731982,0.707868108215673,0.661649239270445,0.686266248597642,0.700406982845753,0.761083238834203,0.806026399580869,0.812428980434852,0.927127748387208,1.02757080362655,0.962045191444011,0.849587386570988,0.98394542738987,1.10144420546838,1.01584973461138,1.05213877630357,0.987446697991284,0.928268135915117,0.922749301167094,0.890635606210515,0.853290187186534,0.767372577477324,0.747195298723767,0.907981862954108,0.893037712174982,0.921281494771062,0.893471444064649,0.895884028706705,0.91576455120158,0.894317343166678,0.898338512006632,0.914301229274362,0.893211786988656,0.84632076435746,0.815039293990324,0.836712143527397],"EWL^FMA_PE(NTMA,-10AY,0,AM,\"PORTAGG\",\"MEANR\")":[15.773685737102,16.1394383245991,14.6286135366971,16.014286017292,15.5336012878818,15.0684969938974,17.0092735242894,17.6322951913506,18.2839099828928,17.6683527102667,17.1651976133523,17.8459590652481,17.3889131770669,16.6483396074271,16.6347215803529,16.5815305075656,16.6449321075327,15.6865596623357,15.9868720672802,16.4888650887568,16.842706697084,16.6102301299913,16.0214923393747,16.9775403745249,17.4875742365382,17.0451400333788,16.8735422040242,16.4275508075719,16.7363261949343,17.2527591954783,17.429814737621,17.7350009785155,17.3892783728153,18.1934343995335,18.0083303832634,17.9295624157615,17.6314094291765,17.6332706768824,17.9355590099084,17.55052649891,17.7047337262461,17.8308760255184,16.906642917335,16.3443899736394,15.991143390524,16.2768006430335,15.6965312297304,15.9626796990028,15.9477465201855,16.0030177472669,15.3855032959754,15.4614244484418,15.0404707209747,15.2839234164876,15.8878373452864,16.5442366262203,16.8806881369559,16.7453103213018,16.9755995114709,17.0383135380756,16.7193476877597,17.0061609131657,17.0853493609209,17.3912009304368,17.6792773918357,17.9950255169352,18.4790363072254,13.9098839356768,17.4321076816417,18.3521045601686,19.1796051098158,19.9902165178047,19.5044393812246,19.7261658532278,18.8835549768198,19.1252191908497,18.5174363261986,18.9722161656113,19.0734376452561,18.6913024598939,19.5032024652773,18.9239641718258,20.0588591681612,19.7852021477571,20.0003177471291,19.1282931926532,18.7540915189051,19.393016409201,19.623324557892,18.9367884259307,18.2926501359141,17.8382761538132,18.5527374703552,16.8616225011061,15.2093267751735,16.077543019842,16.7751906259062,15.6646012653244,14.9799063108732,16.6846365196817,16.3163836588258,17.2338498684834,17.2721873016731,16.5316416921304,17.4910162555655,17.4521593053733,16.6682321101236,16.6264505063316,16.4358446584024,16.6919037520898,16.1220205390319,15.9738686971526,16.8192071213659,16.9909507096088,17.3797773319926,17.7195356046934,16.7277551603085,17.3612806968069,17.2902814401555,17.4327929027999,17.1955406458848],"EWG^FMA_PE(LTMA,-10AY,0,AM,\"PORTAGG\",\"MEANR\")":[13.8928459597718,14.235945963845,13.0065018792119,13.6314449461168,13.9772554184799,14.8055038851887,15.8521558227276,16.6165700118854,16.4932352373531,16.0538811645989,15.5666538525806,15.7746553858961,15.0386280276146,14.1753977303733,13.9467038416892,14.3553197294608,13.8394652685847,12.434742956048,12.1282791103047,12.7621582469798,12.842965995313,12.7924202541773,12.5398626095884,12.9193952947314,13.4244260726328,13.3211554879037,13.6820613375122,13.6822527389721,14.6056325425582,14.9405384559455,14.9838885959031,14.9734195435705,14.88237161468,14.8986780455805,14.7663496423781,14.6527198892945,14.2829520448523,14.3598939911991,14.8156766688199,15.1922411623725,15.4653636267839,15.5823334723248,14.5329369343567,14.2028946496887,14.1181481258766,14.2195078178728,14.2373079989336,14.0357602630725,13.876437413072,13.8469045000514,13.4681273802409,12.9794593873438,12.4810842264307,12.4861286396936,13.0500552139688,13.2335376668333,13.3234317655124,13.3467371377752,13.1926774487072,13.574858302904,13.2410566979382,14.0090683370574,14.3651027923225,15.1325487943312,15.573813791015,15.672283040001,16.2720882887277,13.3128519855324,14.3066848487351,15.2145356281527,17.2916739552372,18.7580635824351,19.4806586795396,20.6444413590284,20.6238676354725,20.6986365729999,21.467713840763,21.8645449558947,21.4737538999595,20.1836162381744,19.9074888286869,19.0538438292597,18.6617748933493,17.9624111563696,17.2264183146359,16.5099076874441,16.0136086885761,15.3578491048566,14.2642835237905,14.0934204288255,13.2853625582812,12.4961970977895,12.3439781009498,12.044905671616,11.5937864053589,11.3000117278324,11.3398985861653,10.6291626951989,10.1307051883028,10.9705690610046,10.44949602345,11.391845505047,11.7024162138506,11.2764945656536,11.4250645606231,11.3130783009644,11.3559360329898,11.2802724494802,11.1701444287047,11.2914602192935,10.9466643662949,11.3368830275891,11.9362294901192,11.7678063841587,12.1864174910534,12.5270014214096,12.4699913272631,12.5951218231202,12.3820529780236,12.5970147466262,12.381360828206],"WL-FDS^FG_PRICE_CHANGE(0,-6AM)":-19.0506031646561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1729179906,24.5344428387709,26.6372021629589,24.0483215527383,25.3040632089053],"TRYMY10Y-FDS^FG_YIELD(-10AY,0,Y,,\"YTM\")":[4.131911,4.345605,4.195897,3.902544,4.235642,3.300551,2.804181,3.573893,4.131847,3.727505],"TRYAU10Y-FDS^FG_YIELD(-10AY,0,Y,,\"YTM\")":[2.81,2.88,2.76,2.63,2.315,1.375,0.972,1.671,4.051,3.955],"EWN^P_PRICE_RETURNS_PR('52W',2,-10AY,0,AM)":[3.9951444,5.728972,-6.780112,-1.9457161,-1.8549085,-7.3286295,-0.060522556,4.314244,4.429829,9.293592,2.6959658,8.379793,9.55925,0.25088787,14.191604,3.5325408,4.277241,-3.3403575,-9.029633,-2.3133695,-3.1237483,-9.332764,-9.08339,-9.639377,-2.4059355,0.98258257,1.776576,-1.9113123,0.9749651,12.589192,17.108965,12.877167,10.883724,24.182869,28.891636,29.521168,27.934086,30.6489,34.38649,36.5183,35.435223,36.317814,29.565834,22.749638,24.95401,11.1887455,11.600674,7.037163,0.6557226,-1.1048675,-7.1683464,-6.7040563,-11.708575,-16.33668,-7.1129265,-4.142064,-2.9884994,-1.9415319,-2.1070957,2.1956801,1.6623616,7.486975,13.167977,17.749155,28.054285,29.821705,22.48013,-21.541107,-10.320783,-6.3364267,8.979166,11.578274,20.483124,13.504481,15.657722,18.284893,21.96517,27.292538,35.799206,96.36085,80.35062,73.232315,54.213978,41.246235,46.50209,52.5699,43.949093,38.38098,19.950449,14.703822,0.68935156,-5.2722096,-14.903975,-22.321123,-30.266344,-27.937191,-24.059343,-36.393833,-40.252792,-27.446806,-20.539124,-13.224215,-7.0148706,-3.328985,7.6619983,15.738964,29.884398,36.440742,11.8483305,18.294466,29.16174,12.577475,18.217361,4.1905403,13.934767,25.497066,15.664255,24.583172,19.314861,18.10875,21.24213],"EWU^FMA_DIV_YLD(NTMA,-10AY,0,AM,\"PORTAGG\",\"MEANR\")":[3.96993651600935,3.94296797615314,4.35298576829492,4.06533360615068,4.27157677106532,4.18156400273836,3.96921039819391,4.02709477361701,3.88087179527873,3.87309130827091,4.06085313372433,4.0580298683942,4.15916149073414,4.39279463600393,4.23594083779223,4.36244689033236,4.40833851381586,4.64280909726162,4.67512226090785,4.38859718756969,4.25146207823085,4.36812380508128,4.54283743974425,4.15498306968487,4.07469487022477,4.23036913893178,4.2699743183425,4.44749444010795,4.33122110045207,4.22318648939383,4.25708632684373,4.28960331824303,4.34263509161154,4.20981720230273,4.28056827801387,4.28866480052332,4.31612189248445,4.37096960893152,4.25982730419036,4.38673993125149,4.32399199067573,4.16648106962762,4.38697091576425,4.50795766771815,4.45154524246318,4.26671062999438,4.38166360624528,4.43044357931206,4.53059898503192,4.63551652907502,4.8025395813591,4.92840173717671,5.13514795276401,5.2096368825305,4.94298950696693,4.89774516118383,4.80768617271425,4.92017376089174,4.84418453197371,4.76387958789958,5.15456576607602,4.94179461975304,4.93694763236783,4.81822374475219,4.56990398838334,4.55992793920189,4.70116297403356,6.9406001334142,5.90226871152942,4.59249524885059,4.058801533856,3.98808655893057,3.96615613965708,4.04810505439925,4.29502042883107,3.97716277702216,3.8737789797584,3.89198155409769,3.90250513772749,3.94183812274226,3.92799165914226,3.90126087113209,3.84911557497221,4.08296881444879,4.15796322166121,4.24092038661962,4.03933233597526,4.02082098864165,4.01271259549365,3.82058456354301,3.80524117591844,4.06295190651715,3.93132563070223,4.13818062019884,4.39190469314111,4.38533390964399,4.17105346920741,4.49657460705315,4.6895804993639,4.33285030851026,4.3425953018337,4.05012556374912,4.05218188835451,4.40327634297593,4.13920930085408,4.27177542073778,4.30853012103593,4.37821351457791,4.5235941580105,4.38159886135063,4.44803430455807,4.54929428525565,4.35697290448176,4.39371256348829,4.22630452117038,4.12990314182096,4.11164468915626,3.80362306757365,3.97978790610633,3.92613819788435,3.89220423703153],"EWJ^FMA_PE(NTMA,-10AY,0,AM,\"PORTAGG\",\"MEANR\")":[13.6010207446168,13.8895338948876,12.6197640856479,14.6319284028082,13.7340423283507,13.7228271357823,14.4092456046216,15.3835482889656,15.7276601985903,15.8763334837628,15.7488170101434,15.6131071699634,15.434675539156,13.5907231635009,13.9017858807677,14.5139982214341,14.0454718425406,12.7150164356575,12.0369610710171,12.9427131054076,13.0444713937215,12.9723738887451,12.4972184283968,13.4940333005006,13.1850395360251,13.2545299732359,13.4380329423782,14.0878596719626,15.0974042728696,14.8336948170236,14.4644874403246,14.3555416767913,13.3281886615521,14.3989283607387,14.3406458346215,14.3062999319394,13.8766540995668,13.7321776224153,14.2658179390874,14.484969449773,14.5217449062466,15.3105833453259,13.6765004916888,12.9926588377316,12.9168740375601,13.3566710664075,13.2205469851466,12.8025589330426,12.4308404507878,12.6494566729728,12.3302207434882,11.9547377548086,11.7721150439616,11.586685051889,12.1300495250649,12.5476757399475,12.7667990476991,12.2235653889077,12.5867005619469,12.8488222472512,12.2720165751769,13.4504056048134,13.5844549753678,14.1171314208295,14.6771723154383,14.6052534068026,14.3639002052762,10.7285904895094,13.1881876464916,14.3744558483626,17.735507367761,17.9328577281909,17.9868562465426,18.4847131372097,17.7788737103004,18.5093882756436,18.3952456610551,18.7269327609061,19.1886631887284,18.1194209623492,17.3945121057459,16.2251683550127,16.6209343609426,15.9731754535563,15.3888402446156,16.0389890798338,15.3874292074685,15.4315034842475,14.738770501471,14.3255589724836,13.7282388771426,12.6294451321631,12.9832703906153,12.5777773808411,12.3829281175426,12.4608833558915,13.0094745189351,12.6306770159395,12.2793182797937,12.8014992198037,12.6369629766139,12.3663692500393,13.1278244780818,12.7048463823178,13.2739570836796,13.9694754577588,15.0238886422624,14.4630622051845,14.1829195163302,15.1062214341041,14.0459876141713,14.429317922075,13.9472629102911,14.8527888820523,15.36232133895,15.3277787365884,15.3558404826514,15.4536278322743,15.2781164115784,16.0727513005632,13.9752992897754],"EWC^FMA_PE(LTMA,-10AY,0,AM,\"PORTAGG\",\"MEANR\")":[16.3192671854317,16.4270345126519,15.1961178616978,15.8154587589195,14.8632759398574,15.2893769634409,16.6524746640292,17.0184421501648,17.2682982864457,17.2279911586142,17.1357605031042,17.1553982087532,16.9580897846264,16.7229399403812,16.9531012943588,16.5860208013877,16.4137991157273,14.614080256697,15.1776425740984,15.9798451268357,16.1416154074434,16.5364536344069,16.6298498763935,17.1379956606272,17.447129424634,17.5038836609723,17.8748831438829,18.4834490805647,19.1963482221362,19.5543775533161,19.8355270941438,19.2574041392818,18.9603326297772,18.6115850586646,18.1752045616531,18.0113469672725,17.7220776213263,17.3908897390839,17.5216629057797,17.2816376832251,17.1781584330585,17.2448145139642,15.9096190829983,15.8167066919703,15.57110009002,15.6459287303562,15.6023470359393,15.5472063083901,15.3245245877253,15.0159706571943,14.5812780707233,14.107601794778,13.490435769898,13.9169702118752,14.6942866053121,14.7333914127315,14.6706425020943,14.5410656648975,14.4515406449411,14.504317111739,14.3046126127651,14.683415232939,14.5933183219044,15.1509044758691,15.2084510201361,15.6009921266302,15.7344230156376,13.8455075826324,14.8028571138652,16.3764521277881,17.2361464855299,17.786093112525,18.1787020406619,18.2826838943013,18.8197290100056,19.5058265059221,20.2870950858513,21.0804397584269,20.956792966446,19.8111506576016,19.4727011263889,18.991606527611,18.6499637180484,18.0152862342452,17.495125432757,16.9008863611287,16.7211905901962,16.5155364668955,15.4117159577122,15.5671639505639,15.5206850982622,15.1000712662977,14.9320499078101,14.2960363980845,13.6393487008903,13.0431998914239,13.3589542339347,12.7123297460866,11.9861223582625,12.6005363914522,12.1941921297003,12.632659695047,12.8516622923612,12.5166631389168,12.7555960868265,12.8324516598232,12.9370162466091,13.2756053320647,13.2707373486953,13.783850851519,13.3509334972801,13.6300378986532,14.1943437986932,14.5867516966184,14.7497323454767,14.9214229547106,14.8412768433953,14.9775344010923,14.7516255726695,15.2172768997416,15.115823365493],"WL-FDS^FG_PRICE_CHANGE(0,-3AM)":-3.6367027228646,"USDSEK^STD(FG_PRICE_CHANGE(0,-3AY,M))":2.969808137363,"USDCHF^STD(FG_PRICE_CHANGE(0,-3AY,M))":2.41737824980572,"USDUSD^STD(FG_PRICE_CHANGE(0,-3AY,M))":0.0,"USDEUR^STD(FG_PRICE_CHANGE(0,-3AY,M))":2.14381117647125,"USDAUD^STD(FG_PRICE_CHANGE(0,-3AY,M))":3.06365637155364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8,2.96400297596909,3.54736708862932,3.81180271683843],"SPY^FG_TOTAL_RETURNC(-10AY,0,AM)":[-1.1315465,2.4320483,-6.6532016,9.647285,-3.0992985,2.4395227,4.042053,-0.5720258,1.3043523,0.98398924,-1.0308802,1.46842,-1.3565719,-4.412186,2.080512,1.1560917,1.1720657,-9.172916,1.0489345,7.1451187,2.7083158,-0.4812777,0.7689357,4.121065,0.986886,-1.6094446,-0.11716485,2.2287965,3.9009213,0.8931756,3.3781052,1.6019106,-2.078402,3.2557726,1.5591145,1.2034297,0.56198835,1.4111042,2.447927,1.3044,3.5733342,3.924799,-1.3936579,0.80070496,-2.5054812,1.8366814,2.253735,0.79746246,1.6896963,2.400899,-3.1662107,-2.378738,-4.8441944,0.7933259,6.280172,1.8650651,3.1459928,-0.84780455,0.5422354,4.1172028,-3.6234975,3.9155245,-0.12520552,4.487276,2.472818,4.0813327,2.0186067,-28.95438,17.079247,2.5725484,9.319544,2.9556632,5.0032735,0.587821,2.915001,4.3997765,2.0961523,1.9282818,4.418409,0.92021227,5.7384133,-0.16297102,1.3274789,2.5254965,3.6235929,0.044751167,0.031876564,5.2504063,-0.60305,-0.016361475,-3.8991213,-2.4585783,0.80697536,-8.611435,-8.358121,5.4929614,11.572719,-9.900772,-7.244009,10.575175,-2.6295662,3.9736986,2.4541974,-2.9807985,4.529798,-0.53581,7.519412,2.2345662,-2.145654,1.2085199,-1.6532421,3.2542944,4.665625,1.1931896,5.175507,2.3853183,-1.2357056,4.996729,2.6650786,4.4041276,-1.8677175],"EWQ^FG_COMPANY_NAME":"iShares MSCI France ETF"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09323534995,11.2074687408188,13.9227699516468,15.8587443966116,14.7202112757033],"TRYMX10Y-FDS^FG_YIELD(-10AY,0,Y,,\"YTM\")":[5.8237,6.2537,7.5651,7.6401,8.7069,6.8373,5.552,7.558,9.0223,8.95],"TRYPE10Y-FDS^FG_YIELD(-10AY,0,Y,,\"YTM\")":[5.681629,7.426917,6.415413,5.167133,5.645114,4.243226,3.535983,5.889906,7.923381,6.6087],"EWL^FMA_DIV_YLD(NTMA,-10AY,0,AM,\"PORTAGG\",\"MEANR\")":[3.40790460970107,3.2938800988765,3.62982757848421,3.2790066892827,3.34484750283829,3.5452035248247,3.27185207080714,3.14103487754718,3.02352505721935,3.10954547489031,3.21019096442611,3.10074978246395,3.14946789237375,3.30399335532073,3.33290528003426,3.31813692299062,3.32983092515404,3.55952169820058,3.58693334550298,3.51032424671019,3.4805418606707,3.55850237997252,3.68899942937085,3.50468088196443,3.43663531142055,3.51145934261591,3.53893587347619,3.63548700569515,3.57244797468013,3.45879132170879,3.3968082313651,3.33097375318645,3.42841148640405,3.26865665084345,3.27060393818847,3.26016883417296,3.30279750426155,3.28857971560685,3.23720331937034,3.28934525194709,3.22030934850025,3.17943946220883,3.32727490180322,3.44272333089131,3.46090543069167,3.43359982964833,3.54476728563642,3.47126687225928,3.44369377838442,3.41397838368394,3.57321987578711,3.56578872563424,3.63273475197637,3.52411033506833,3.37669559867037,3.31629825966452,3.28066280463905,3.28524261413348,3.25118606650274,3.24479883053008,3.29323438479681,3.22474864127998,3.20962254466791,3.13001477012541,3.07303350424027,3.01711418713815,2.93212089638802,3.93570599789136,3.40341509742737,3.30471914341874,3.10258173387454,2.99171729755563,2.95276938474872,2.86853658643855,2.9640610033212,2.8633986011475,2.88525934454193,2.8036622943743,2.79707722174847,2.82828020193604,2.71758254894283,2.77153866852667,2.59853917524988,2.62195490085393,2.55382299556369,2.64997382075195,2.6927849676968,2.57776346754332,2.55039473180091,2.63094610546141,2.7600744426225,2.84524597082581,2.75022212358612,2.97885450084355,3.28985250929504,3.1501765264064,3.0889032337256,3.2865422619023,3.42845684950685,3.15018348874379,3.22598460770487,3.06506108755898,3.08428054926803,3.2676053271373,3.09711955849145,3.08208039583066,3.13594939452627,3.16453157943341,3.24996796982112,3.25392436237386,3.36423161090717,3.4363958320781,3.28299646752708,3.29535018843219,3.32765437048938,3.24877227380543,3.41279367688854,3.2246525204386,3.20285783350911,3.17681924925686,3.1851771893869],"EWG^FMA_PE(NTMA,-10AY,0,AM,\"PORTAGG\",\"MEANR\")":[12.1483594899213,12.7208827627622,11.3427987713535,12.2076243999072,12.5494307201263,13.3310697659629,14.2886855812265,15.7477684646027,15.3864477812363,14.279960880956,13.5161086622223,14.1925863969546,13.2744546978587,12.3513360314102,12.4512656761967,13.3511510696539,13.0525784447835,11.9224051099086,11.6122315236124,12.721762494155,12.8184334767625,12.4399101480087,11.7656484212234,12.4206475282759,13.0990514864252,12.6510087153016,12.9261583050711,12.7900354030247,13.582688290161,13.7707020331007,13.7160948874223,13.9430646924939,13.804441353196,14.0168989785369,13.7864069181796,13.6201731117836,13.1573768457842,13.3674365898591,13.8402101550056,13.8616565754698,13.9771902174272,14.0668083692485,13.1979830615009,13.0514223679959,13.0001983663055,13.4412957090641,13.4527270584679,12.9897535649085,12.683143380784,12.5862041964867,12.1395536642078,11.6359773118956,11.273842873834,11.4063609037129,11.9185768447603,12.352694185309,12.7793053422349,12.7421056227875,12.3427111688941,12.9436738226321,12.2222510663755,13.0551163601921,13.2851570648104,14.011704126437,14.2979819561522,14.2819642236427,14.5433827283186,9.4747185866952,13.4901251651864,15.0000202006832,17.8467230668555,18.501940992576,17.9808112209565,17.7521891834953,16.6823550704092,16.1267211350836,16.1330721784811,15.9906949715668,15.9069998082092,15.9459038131808,16.1946485060954,14.8383480126665,14.9876377531676,14.4734767396826,14.3294040776822,13.9999363403466,13.8077968042399,13.8837114333457,13.2577583030271,13.345287722235,12.6790760919225,11.7547246112649,11.3205300335341,10.7058555586586,9.95621479752217,9.79799769835039,10.3877048520495,9.51145341615122,9.23334668062246,10.6239306254842,10.3649605417887,11.4050094727,11.7402980443035,11.0513757108011,11.4565345418001,10.9955087247076,11.0080179765166,10.7846058269009,10.5916747607659,10.6727163695251,10.1806428669531,10.6833527840993,11.2278706626176,11.0375396231432,11.6613299894699,12.0827656388338,11.8422659379288,12.1332129658249,11.5813757611579,11.9124791193319,11.4666036268199],"EWA^FMA_PE(LTMA,-10AY,0,AM,\"PORTAGG\",\"MEANR\")":[15.3712255328928,15.0750111252304,14.7340923837189,15.1098108753778,13.990545561306,14.4967175436913,15.992758416721,16.142590902966,16.3988907253907,16.3076344332637,15.9804273830329,16.1306629216,15.7391463649467,15.3222029732748,15.673842823259,14.9689268323082,15.1524605835934,14.6889113285286,15.0411004563497,15.1306187716764,15.2776322262357,15.6849668155943,15.5121894297094,16.1015151874223,16.6227807113142,16.2787634815342,16.7829674339016,16.8791398452412,17.2656872029063,17.8994780160689,18.0336748912616,17.4320813612851,17.3439459848615,17.1309926219626,16.881450139886,16.8503678981852,16.7847034110213,16.4972615287132,16.5753012144178,16.6068449194518,16.614390611766,16.7264135844555,16.348062710048,16.4564602181154,16.2770024301164,16.3443966244075,16.1526942397189,16.2760752616634,16.4223832341942,16.0022337727002,15.3720129513108,15.0557026032624,14.596807754415,15.1301096913564,15.6489885190806,15.8646953066049,15.8776735324262,15.8544464242137,16.0974121842654,16.2222033635933,16.0557866071596,16.719708159625,17.1036463327998,17.5972383713488,18.0094716446962,18.6119823451075,18.889983409067,16.2062643505097,16.857767712489,17.3859317586591,18.4607441613603,18.7948651260186,19.5686698312632,19.5072675494852,19.8796492616489,21.5155533451515,22.7203241755647,23.2571726967689,23.1627356205287,21.6404618086879,21.272406053702,20.767569135073,20.6287851754561,19.4227864908401,19.2480045622209,18.8489996470549,18.71975167953,18.3436491051299,17.5448983247096,17.6988894954391,16.2104574510566,15.6760298193623,15.6625557741543,15.054450952293,14.243451521404,14.018667418019,14.6404625790494,13.7976637541728,13.3955053427908,14.2076335482935,13.982139251916,14.5110175390165,14.5648442552563,14.1361720062189,14.3633661614595,14.3499308955528,14.6091501741021,14.8721127696045,14.8032832164563,15.1881796580514,14.6647938089979,15.0332658258097,16.0748652986514,15.9460707102913,16.5334594800551,16.5799941536813,16.5019914975997,16.8256223616997,16.7586675420959,17.2119902029709,17.1041875976281],"WL-FDS^FG_PRICE_CHANGE(0,-1AM)":-10.2795624240319,"NI-FDS^FG_PRICE_CHANGE(0,-1AM)":-3.22482506845148,"CPALM-FDS^FG_PRICE_CHANGE(0,-1AM)":-2.37014624306606,"BRENT-FDS^FG_PRICE_CHANGE(0,-1AM)":0.0,"TIOS-FDS^FG_PRICE_CHANGE(0,-1AM)":-9.90949812597129,"FC0000CH^FG_PRICE(0)":346.14948,"CAGDPY@GB^EE_ACTUAL_ANNUAL(MED,+1)":-2.65,"CC_GB^FG_COMPANY_NAME":"United Kingdom","USDSEK^STD(FG_PRICE_CHANGE(0,-1AY,AM))":3.06943662632655,"USDCHF^STD(FG_PRICE_CHANGE(0,-1AY,AM))":1.9914970508488,"USDUSD^STD(FG_PRICE_CHANGE(0,-1AY,AM))":0.0,"USDEUR^STD(FG_PRICE_CHANGE(0,-1AY,AM))":1.92408634606615,"USDAUD^STD(FG_PRICE_CHANGE(0,-1AY,AM))":2.78452412143415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500092616456,2.21310873799954,2.48981565234839,2.56381617192707,2.51009258677617],"EWQ^P_PRICE_RETURNS_PR('52W',2,-10AY,0,AM)":[5.5227637,6.459141,-10.063612,-5.8820605,-8.205891,-10.725755,-5.017638,-5.7718573,-5.4721475,-3.3461332,-8.634806,-3.4037054,1.1137843,-6.0601354,10.109425,1.299572,4.1502833,-6.1715784,-12.596935,-3.5604656,-7.2928247,-11.488354,-10.552663,-9.38763,-6.214893,-4.1632595,-4.4199944,-4.0441694,1.2059689,14.870989,16.263056,10.427117,9.577894,25.606394,29.555225,27.93355,25.081598,30.952024,33.54466,35.060753,30.206299,32.924507,29.562653,24.492,26.971245,12.8336315,13.582981,9.362925,3.433323,3.271675,-2.3181558,-5.600089,-10.682076,-15.875828,-8.435613,-3.2624602,-3.2812417,-5.429798,-4.5561194,0.361526,-1.4402509,0.64299107,6.6363573,15.543783,24.05659,25.011848,17.885256,-29.531818,-22.507393,-20.495356,-5.8157206,-5.52299,3.3149362,-1.2441814,-5.4467974,1.7838359,4.021132,3.5334587,8.231258,72.898636,62.14005,68.410385,44.595325,31.805206,37.09476,32.868587,38.19988,25.965405,17.842245,19.507551,14.591455,3.2074094,-2.1361828,-11.770368,-19.212555,-16.937864,-12.589097,-19.333447,-24.414587,-13.00968,-10.338593,-4.096675,1.3142228,5.444002,18.47713,22.703575,32.05789,40.293633,18.088257,28.949715,30.716206,15.101873,19.972908,6.3447237,7.6664805,21.869396,3.2940745,12.292469,3.0716538,1.9444704,6.930506],"QQQ^FG_TOTAL_RETURNC(-10AY,0,AM)":[1.574719,2.0328522,-7.417667,12.45234,-3.1389236,1.2140751,6.0404778,-0.19643307,1.1585236,1.7550349,-0.7118046,3.1239867,-1.2774706,-3.0947506,1.2110114,3.0521631,2.297616,-11.252588,-0.60490966,7.3331356,3.1487942,-3.4526408,1.1421084,3.7587523,4.6958804,0.45610666,-0.12788773,-0.19634366,2.6045084,2.9765964,4.9447894,2.135396,-1.0139644,7.0705533,-0.7818222,2.873695,1.5198469,1.2337089,2.1337986,3.8226366,2.0124197,4.256642,0.57309866,3.673613,-4.766047,3.923738,4.7342896,1.4601111,0.3571868,2.3189902,-3.5068274,-5.484706,-3.832835,1.0838509,5.906987,3.728044,4.7596455,-0.8418262,-1.2383044,5.9880495,-3.9710045,3.3426762,0.9126067,5.112934,3.1343937,6.4463496,5.560553,-27.846914,26.227844,4.6987176,8.769655,6.883073,5.03242,0.900197,5.2142024,1.6255975,5.3819895,1.115489,7.593155,-4.458493,6.8169236,-4.5671167,4.479301,4.9857855,3.1823277,2.528584,-2.3664176,7.7194095,-2.662176,-1.638782,-6.307727,-4.4152317,-0.4321754,-11.816322,-9.063792,7.748115,13.845205,-12.928856,-9.717774,9.473038,-3.920263,2.699244,7.9474688,1.1572719,3.993249,2.6964188,12.461794,3.1692624,-4.36067,2.2811294,-0.23360848,4.4774175,5.023968,1.2849331,5.1401734,0.77804327,-0.51966906,4.8434258,6.0201764,3.7453651,-4.29343],"FC0000AU^FG_PRICE(0)":368.07574,"SPY^FG_COMPANY_NAME":"SPDR S&P 500 ETF Trust"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581,16.3837417700753,16.6906517335277,19.3024636413407],"TRYIN10Y-FDS^FG_YIELD(-10AY,0,Y,,\"YTM\")":[7.86,7.89,6.63,7.35,7.35,6.55,5.9,6.45,7.33,7.19],"TRYGR10Y-FDS^FG_YIELD(-10AY,0,Y,,\"YTM\")":[9.61,8.24,7.15,4.14,4.37,1.45,0.618,1.315,4.585,3.099],"EWC^FG_PRICE_MAVG(0,,,,30)":38.170334,"FXI^FMA_PCT_ABOVE_MAVG(200,0,,,,\"PORTAGG\")":52.9411764705882,"EWI^P_PRICE(0)/P_PRICE_HIGH_PR(0,,,,,,\"PRICE\",\"INTRA\",\"52W\")":0.9451359,"EWN^FG_TOTAL_RETURNC(0,-12AM)":21.24213,"EWQ^PERCENT_CHANGE(FMA_EPS(+1,0,,,,\"PORTAGG\",\"MEAN\"),FMA_EPS(+1,-1AM,,,,\"PORTAGG\",\"MEAN\"))":-1.13004616415131,"QQQ^FG_TOTAL_RETURNC(0,-1AM)":-4.29343,"EWL^FG_TOTAL_RETURNC(0,-6AM)":11.045229,"EWG^P_PRICE(0)/P_PRICE_LOW_PR(0,,,,,,\"PRICE\",\"INTRA\",\"52W\")-1":0.27099776,"EWC^FMA_PCT_ABOVE_MAVG(200,0,,,,\"PORTAGG\")":73.8636363636364,"ENZL^PERCENT_CHANGE(FMA_EPS(+1,0,,,,\"PORTAGG\",\"MEAN\"),FMA_EPS(+1,-3AM,,,,\"PORTAGG\",\"MEAN\"))":2.39885627344939,"VWO^FMA_COS_DOWN(\"EPS\",\"1M\",+1,0,,,\"PORTAGG\",\"MEANR\")":971.0,"EWQ^FMA_COS_UP(\"EPS\",\"1M\",+1,0,,,\"PORTAGG\",\"MEANR\")":23.0,"EWG^SIZE(FG_CONSTITUENTS)":58,"CAGDPY@GB^EE_ACTUAL_ANNUAL(MED,0)":-3.3,"CC_CH^FG_COMPANY_NAME":"Switzerland","USDSEK^FG_PRICE_CHANGE(0,-6AM)":0.44332743,"USDCHF^FG_PRICE_CHANGE(0,-6AM)":-1.4078856,"USDUSD^FG_PRICE_CHANGE(0,-6AM)":0.0,"USDEUR^FG_PRICE_CHANGE(0,-6AM)":-1.9970834,"USDAUD^FG_PRICE_CHANGE(0,-6AM)":-1.6723156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9541384,2.00892946055423,2.43601807945448,2.4294142632387,2.95560750497075],"SPY^P_PRICE_RETURNS_PR('52W',2,-10AY,0,AM)":[19.94698,20.028984,10.35552,16.14206,12.576378,11.466682,16.86573,15.158976,15.232479,15.574635,10.326886,9.348822,9.077644,1.8101692,11.335730999999999,2.7137995,7.241392,-3.668362,-7.6508045,-0.4830897,0.867331,-0.5678952,1.2403369,4.720652,6.355059,9.473515,9.255886,8.252573,11.17239,22.826218,26.339828,19.803583,14.098871,18.509233,19.43853,15.935898,15.603209,18.693924,22.212124,21.107042,20.49042,24.35273,18.612814,17.677475,17.164219,15.5539875,16.369677,15.877628,17.177094,18.479073,11.836791,7.770729,-0.16747713,-3.97138,3.5321832,4.7076106,10.657776,7.74076,5.802703,9.426451,3.7090182,5.2429914,8.54808,16.48476,25.11648,29.197956,25.368893,-13.504237,-1.820153,2.5073051,10.433412,9.201407,21.050585,15.166151,18.671822,18.572462,18.136608,16.655182,18.41427,68.20734,51.914,48.542297,37.052727,36.480095,34.68683,33.959652,30.128145,31.267738,27.797306,24.444914,15.37354,11.510849,7.8113794,-2.6860416,-11.987996,-10.150921,-2.4936557,-12.186831,-17.953861,-14.454519,-16.198635,-12.818718,-7.093072,-7.5904846,-4.1777906,4.289627,22.358454,20.844603,3.999281,15.935016,23.863815,15.663123,22.867834,21.003986,24.217987,33.388447,23.858082,30.747498,25.963413,27.493822,27.855957],"EWU^FG_TOTAL_RETURNC(-10AY,0,AM)":[-3.4285665,-0.7889509,-10.437375,5.105436,-5.702215,1.5740871,6.295669,-4.3892145,5.2544236,4.256439,-4.082656,0.6988883,-2.3379385,-5.9847593,2.0833254,-3.9115548,-2.7728677,-10.257673,2.4137974,5.252528,2.3032665,-0.87554455,-3.659308,3.8096905,2.456367,-2.208203,-2.5806427,-1.2913942,4.1261315,2.3319602,2.2662044,1.498127,-0.30751228,6.693411,-1.0407627,1.2573481,-0.6489694,2.523744,2.0272255,-2.3275614,2.6445746,6.909001,-3.885597,-2.1336257,3.8152575,1.9066095,-2.4945796,-0.83853006,-4.220504,-0.23981333,-1.8629789,-2.9087603,-4.9826565,3.203547,5.8823586,3.7243843,1.3465047,-2.863884,-1.2766004,1.2399793,-7.0492864,5.469799,1.1453986,2.6737928,6.6138864,-0.70176125,-3.062427,-35.783714,13.670778,0.58259964,10.797977,0.22745132,1.3993859,-1.0443807,-3.2416165,11.842608,4.422152,3.0701756,2.454996,1.5655041,3.2085538,3.1392813,0.99852085,-3.8678944,3.4973621,-1.614821,2.5835872,-1.0370314,-1.0618687,7.5248837,0.23133755,-5.3952637,3.9951086,-6.4516125,-5.410683,-1.9912183,7.4035764,-9.041357,-7.4021873,14.465165,2.6438951,7.267344,0.09198189,-5.3598824,8.640778,-1.221329,1.3584375,-0.7279396,-3.208065,2.5568247,-1.5081644,-1.1874974,3.9531827,-0.24995208,1.9656777,2.2643805,-0.6283641,10.388433,-2.9087305,2.6067019,1.8704653],"EWJ^FMA_DIV_YLD(NTMA,-10AY,0,AM,\"PORTAGG\",\"MEANR\")":[2.08472050245872,2.03810539817316,2.25364026841445,1.93525354744567,2.0548971028202,2.06373440990518,1.9646430271835,1.85238298410041,1.83564307408549,1.87935906282022,1.89844967284452,1.89502789097198,1.90734367392337,2.1636442382755,2.1166005519027,2.04197628402817,2.09195779785264,2.32247062199098,2.50372802776583,2.37247582140479,2.36099736972325,2.42303196178769,2.53916094498716,2.38563066876829,2.42755694331015,2.41694927701799,2.37037703564221,2.25807918311966,2.07486561142846,2.0992942701875,2.12720169379429,2.12329272310898,2.29404287345227,2.15717539938552,2.18180930940393,2.15701708964624,2.19079643838593,2.19615754400665,2.111920140348,2.08887140959779,2.08153751100606,1.97701724689361,2.19871468312943,2.23127629619239,2.25106623986958,2.19291881350765,2.22636608489503,2.30047433539202,2.36878223264339,2.32342756235546,2.38892152831038,2.50288888893973,2.5662940847468,2.67882929492499,2.61644662750196,2.57260235034742,2.55287365062673,2.69400441175876,2.69534784741395,2.66134097959375,2.80384154090776,2.57922860891759,2.55643323850776,2.47439402196401,2.41860158018697,2.43512755365935,2.46803095707648,3.36678112541231,2.89836991833035,2.81172193767774,2.46400917078507,2.47428634305503,2.38838264574848,2.34658439248738,2.39945095134159,2.24667822318987,2.1634594734087,2.08552416767708,1.99648819425029,2.03136304178314,2.07493649870663,2.20119059594912,2.14463954698166,2.22545573232489,2.26077176112439,2.135568716851,2.2119364312788,2.20744920517557,2.28601162331151,2.34939977453017,2.43903776765898,2.63443065535689,2.57385791219275,2.65885188067541,2.70331174232263,2.67298736021547,2.56327238551182,2.64386894566679,2.7270435105177,2.62044564907084,2.66612793904341,2.72701548345114,2.59649353935075,2.69775046462844,2.6021321210978,2.49654536515926,2.30829753943586,2.39759666258049,2.41931289932897,2.26944738736447,2.43120760427413,2.36871917351822,2.4537882949312,2.28939636511156,2.22345951264558,2.22092625509284,2.22672086830681,2.22595356073326,2.27113758489481,2.17002723932226,2.48064814279086],"EWC^FMA_PE(NTMA,-10AY,0,AM,\"PORTAGG\",\"MEANR\")":[15.0069709765165,15.1282805849148,13.6072805306442,14.656949438133,14.6051265672861,15.5026934232119,17.4078061118425,17.0783898152239,17.4686658733095,16.7898733962798,16.1983425706343,15.9542595936229,15.4507964870292,14.9835796962456,15.1105735831615,14.5240489366755,14.461584466809,13.3180754183939,14.4086257452018,16.0418852716928,16.1544415466319,16.6403575309618,16.2619036161053,16.5813164241268,16.4608917707567,15.9464251882732,15.8839604485531,15.8013104744252,15.9218787295197,15.9586827809231,16.4033500802547,15.9229647975688,15.7418719508532,15.6007106037184,15.2326677864307,15.3516295187364,15.4631156246051,15.3112882603128,15.7350955874495,15.8057062912578,15.8884776449158,15.7777979323294,14.5794402462917,14.5510696313716,13.962293981748,14.4103884215568,14.3946798751586,14.3350823382073,13.9181409043132,13.5207625926032,12.9622899822488,12.6451568470615,12.3527384252626,13.1107269864487,13.9455945451503,14.1989655847854,13.992830927178,13.7046896958274,13.5589115892928,13.7190613247863,13.4515578282522,14.0088965318155,13.7909344085594,14.4029825305237,14.4114602522758,14.6523141053518,15.0411560507486,11.3276799767465,14.7702009941625,17.56165997081,17.9633966548489,17.7289129735253,17.4583187008753,16.6543052227066,16.2389279324023,16.1839757138808,16.0904381194949,16.0474308198033,16.280021578231,15.5176275364112,15.6863838917343,15.3628896749062,15.6387316141186,15.0705135829639,15.0218304177273,14.8226935000492,14.9140781793645,15.018088002959,14.1641896677858,14.3824611150688,14.2217470241316,13.537295832725,13.3947497629698,12.1542584068482,11.2938381039887,10.7848991882848,11.9356130328003,11.3291722882641,10.7471379957532,11.8934984177589,11.8545123178523,12.6686151277673,12.9749254068925,12.3030903869762,13.0293430270815,12.9750013414776,12.9159711125496,13.274743642262,12.888003978983,13.3199861926355,12.5751974450659,12.7436363091509,13.3426259945547,13.6493599504642,14.0699790647334,14.4974797305341,14.1370685340704,14.4290360369263,13.8491044853556,14.5418565232845,14.2279723835365],"ENZL^FMA_PE(LTMA,-10AY,0,AM,\"PORTAGG\",\"MEANR\")":[17.91548203036,17.8304311762013,17.6117183089885,18.7856298745461,18.9054410639603,19.4178331283541,20.0170029440265,20.4401721213805,20.2179773278489,19.999759491272,19.8706164581546,19.7448222219989,19.3545693602136,19.0836826713283,19.1368195551428,19.2940373651046,19.4313382297645,19.2866706508681,18.9530711917171,19.3463485165128,19.4643361268665,19.6196656273642,19.6497739572031,19.9812940631355,20.6318113397266,20.7799639113457,20.4744921967783,19.8902595471675,19.550714252456,20.4151542588447,20.3913321827854,19.7418914420614,19.8158037117437,19.9576753938458,20.0777917390615,20.1520044961196,20.7400256415189,20.4498936561367,20.9136331103096,21.2605596891954,22.1789336898757,21.8922663058031,21.8745133611313,22.5700914670495,22.3801054851944,22.348676975373,22.8371320171852,22.8657689892955,23.0768315069072,23.5735467937231,22.6439119824149,22.7207778810362,22.6113893100361,23.4292410067849,23.8210197523605,24.0857067825863,24.1631415386968,24.3075889354101,24.3369438491701,24.9795907399806,25.0322735008327,28.5434213319157,29.3602560678301,29.1945792851556,31.3754498842708,32.851029643069,33.3238883850852,30.0070223976769,31.2612512759058,32.1124216166842,32.0303853011634,33.3831924272841,33.6441676556668,33.8890080409723,35.1876283192318,36.2285623573479,36.815436223545,37.4582800177366,35.1950406416023,34.6136155546584,34.5250602156161,34.6809179173974,35.4639113225918,36.4841007473112,36.974511544842,38.3673932308386,38.6004902660686,38.8397366037762,38.4743259117981,38.1292729645446,36.7425363420312,35.0119866783465,34.4962054461311,33.9432499279319,32.7225628643892,33.0101111533586,33.8539270454026,33.7357829928235,31.0581131250816,30.0816065111966,29.5795507733525,29.6400465486256,30.1342594367489,29.0720705814353,28.6640480628038,28.2141886879001,26.3616757506225,25.8381185940531,24.640687181444,23.9950206249763,23.1855395458675,22.3794858932353,23.8792270297255,23.8209711999392,23.0635498826774,23.8400640936247,24.0811938743162,24.6693273006691,24.3652872294488,24.9957765804756,25.7084802698373],"WL-FDS^FG_PRICE_MAVG(0,,,,30)":534.3333,"NI-FDS^FG_PRICE_MAVG(0,,,,30)":16114.5,"CPALM-FDS^FG_PRICE_MAVG(0,,,,30)":3957.1333,"BRENT-FDS^FG_PRICE_MAVG(0,,,,30)":85.86,"TIOS-FDS^FG_PRICE_MAVG(0,,,,30)":105.49367,"EWN^FG_PRICE_MAVG(0,,,,30)":49.357334,"EWU^FG_PRICE_MAVG(0,,,,30)":35.622,"QQQ^FG_COMPANY_NAME":"Invesco QQQ Trust Series I","VWO^FG_TOTAL_RETURNC(0,-3AM)":0.7480979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79152373,7.43859929800855,9.22076567390078,9.22544557136732,9.29976871138421],"TRYQA10Y-FDS^FG_YIELD(-10AY,0,Y,,\"YTM\")":[null,null,null,null,null,null,null,null,null,null],"TRYCH10Y-FDS^FG_YIELD(-10AY,0,Y,,\"YTM\")":[0.314,null,-0.12,-0.09,-0.176,-0.434,-0.49,-0.111,1.617,0.703],"EWG^FMA_DIV_YLD(NTMA,-10AY,0,AM,\"PORTAGG\",\"MEANR\")":[3.29029701786883,3.1324422368099,3.5303205647867,3.35375031000128,3.26921194283917,3.08590128961542,2.87514862004182,2.6199013190761,2.69391314257375,2.90181671971747,3.05603428541231,2.90228513771801,3.1071143406151,3.33904603146055,3.31652362997191,3.02226138817066,3.10938450105811,3.42500558004797,3.59670064236588,3.29090014680474,3.27147176838217,3.35732705085923,3.52953474853086,3.34943967450248,3.15567734499424,3.26531861693927,3.13761306977243,3.18334861613262,2.98869973323847,2.94285311543887,2.95006618295168,2.93768845306814,2.94226077264417,2.87290257099399,2.92392191708105,2.96479966206862,3.09161910313801,3.05111248768786,2.95195809203643,2.94520758197259,2.90620998132894,2.88382080235941,3.11430430654098,3.16067180542612,3.19986530269411,3.09832316703039,3.09404234501938,3.2113465828797,3.29799350645199,3.3270890147803,3.46621210359049,3.63652245238099,3.83260562643701,3.80545046857973,3.67149104071305,3.56416045099729,3.44481312373817,3.47200590753442,3.58033519115343,3.44985667961012,3.63925440864288,3.40014423095955,3.33175724424466,3.11184165228227,3.05523105455757,3.06339347142156,2.99908874490686,4.68919817488635,3.61427816490286,3.44679168415506,2.8983303790446,2.80937945394895,2.82782949121847,2.78326938350451,2.81305167363034,2.8362202731768,2.74381350682453,2.73319995329037,2.7237761366636,2.74990890901677,2.66769544526083,2.81705354305341,2.77850525990543,2.83447633691451,2.83077224624495,2.88460223578955,2.92216524600561,2.92120558064374,3.06456767655338,3.05806517225755,3.21761088315634,3.47394508454625,3.62626382635699,3.85461211048049,4.12488532595154,4.20054900548066,3.88904029548703,4.24125825017283,4.36122133487007,3.80825619395469,3.87110529147816,3.53760930042526,3.44531914471594,3.67397213762044,3.50241136792973,3.60143095262891,3.56402672129097,3.65440647003475,3.73079333887615,3.71799435439466,3.90569010386539,3.74023742344282,3.54079926243295,3.62501044093985,3.48692752684115,3.31417317965387,3.40382083934988,3.30618012167954,3.4617507992534,3.38308934193762,3.52048741864924],"CPALM-FDS^FG_PRICE(0)":3872.0,"BRENT-FDS^FG_PRICE(0)":85.86,"EWN^FG_PRICE(0)":49.81,"EWU^FG_PRICE(0)":36.49,"EWC^FG_PRICE(0)":39.27,"EWU^FG_COMPANY_NAME":"iShares MSCI United Kingdom ETF","SPY^FG_TOTAL_RETURNC(0,-12AM)":27.855957,"EWJ^PERCENT_CHANGE(FMA_EPS(+1,0,,,,\"PORTAGG\",\"MEAN\"),FMA_EPS(+1,-1AM,,,,\"PORTAGG\",\"MEAN\"))":7.44369070708445,"EWI^FG_TOTAL_RETURNC(0,-6AM)":10.847425,"EWN^P_PRICE(0)/P_PRICE_LOW_PR(0,,,,,,\"PRICE\",\"INTRA\",\"52W\")-1":0.37255442,"CAGDPY@CH^EE_ACTUAL_ANNUAL(MED,+1)":8.0,"CC_JP^FG_COMPANY_NAME":"Japan","USDSEK^FG_PRICE_CHANGE(0,-3AM)":-1.8913925,"USDCHF^FG_PRICE_CHANGE(0,-3AM)":-3.9913714,"USDEUR^FG_PRICE_CHANGE(0,-3AM)":-1.1008978,"USDAUD^FG_PRICE_CHANGE(0,-3AM)":0.58757067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0688086,1.85109750447789,2.46081748750493,2.8026651908005,2.92070467991761],"QQQ^P_PRICE_RETURNS_PR('52W',2,-10AY,0,AM)":[30.9731,29.6188,15.878189,24.989664,18.909513,15.821398,21.104717,21.67343,26.346756,27.155125,19.056225,17.990196,15.233111,8.9140415,19.06483,9.111881,15.236044,2.2286057,-5.2898827,1.8554091,3.714931,-1.4559865,0.38404465,2.42939,7.1131945,11.038101,11.834455,6.1152697,6.433618,22.213804,30.393982,24.079502,18.782162,32.050312,29.53844,28.227043,24.537336,25.441467,28.34344,33.511673,32.25055,34.391273,28.792942,30.732632,25.777197,22.08059,28.310537,27.096987,25.64143,27.42455,19.975054,9.219694,4.130578,-0.17189384,4.6530247,4.864955,15.69798,10.392499,3.7338257,8.742881,4.0530205,5.0940633,9.907425,21.8019,31.086445,38.040577,38.167606,-4.293263,15.319753,22.987007,34.10212,35.234547,50.11517,44.41788,50.573994,45.578384,48.750973,42.655647,44.022285,90.70711,61.38079,48.05349,41.296387,38.788246,36.343563,38.543938,27.857304,36.27095,25.868904,21.47051,6.6212535,6.6695333,1.0555506,-8.122433,-20.03203,-18.592691,-9.446615,-23.098648,-28.440916,-27.731306,-28.665369,-25.055843,-14.187127,-9.184324,-5.1479044,10.462296,36.609913,33.177258,9.886562,28.29274,42.64214,36.132874,47.386932,46.756447,42.939877,46.157898,36.224236,39.072166,31.833733,31.838476,31.931173],"EWL^FG_TOTAL_RETURNC(-10AY,0,AM)":[-3.0564427,1.0710478,-10.208959,8.444142,-2.4218261,2.4505258,0.6439686,-0.82266927,7.4347258,2.716601,-3.9532244,2.210319,-2.642274,-4.3841243,0.24952888,-3.7336588,1.1312246,-8.596998,-0.17482638,3.6427379,3.0077696,-0.9842515,-1.8555343,3.2859921,3.288591,-2.3391843,-1.1310697,-3.162849,1.2161136,4.837084,1.7365575,3.2850266,-0.28063655,8.630395,0.14392138,1.4334798,-0.6946385,1.4281511,1.2931108,-2.9503584,2.5723457,4.132235,-1.614672,-3.0041754,-1.0897517,-0.11597872,-2.3802578,1.9284844,1.2260795,2.8655887,-4.853529,-0.66405535,-2.9170454,2.7543068,3.4724355,3.8269043,1.4459848,0.950253,3.2392025,1.3981462,-0.24291277,1.2175322,0.50787926,3.0851007,2.6831865,3.4170866,1.7978668,-25.894993,16.425133,0.99583864,7.8611255,5.083871,1.9155145,2.84338,-2.9522061,3.983581,1.8642068,2.8962374,0.7978678,-2.374667,5.3828835,0.85487366,7.0241094,-0.94777346,4.1327357,-3.753668,-1.1781394,4.110992,2.4086833,-1.5230358,-3.7392378,-3.782791,4.100609,-10.822338,-8.089394,4.3225408,5.0642133,-7.5184526,-7.605982,13.576258,-0.6654024,6.6985607,-0.38115978,-2.948463,9.531546,1.8420458,-1.2199044,1.8506527,-3.6763191,0.0,-3.1805217,-0.067961216,6.121063,0.91860294,-1.2066126,3.4068942,-6.464982,8.152413,1.9931674,1.5993357,2.4419785],"EWA^FMA_PE(NTMA,-10AY,0,AM,\"PORTAGG\",\"MEANR\")":[14.7660627172875,14.3458356174716,13.8768837086285,14.3732068651079,13.7657055367401,14.4484274764468,16.0754891492834,15.8434058760519,16.6149859087678,16.1448385527572,15.2889434763924,15.6091166809952,14.9346261878317,14.4197506690662,15.0738126732397,14.4044269821008,14.795243565855,14.5769176103174,15.0860794394557,15.8800280315229,15.9106871610048,16.5136696192776,15.6601076712994,16.3742386509534,16.7523584765767,15.8920567278143,16.1307986646665,15.7168299338761,15.5675462201942,15.9297274751967,16.116845214996,15.7271030318437,15.9096511088234,15.6955904146577,15.4931070075755,15.6614152347496,15.7878722257745,15.5320446203342,15.7376403510669,15.8304093244172,15.8283542446788,15.9128740953779,15.3536324233092,15.2802382453732,14.9832488513519,15.4675208142708,15.1376985404315,15.5137183628754,15.7622784681094,15.1847408396588,14.3753449093213,14.1756193041024,13.8695968703289,14.5609430317912,15.0265526899971,15.221972219089,15.3966844558906,15.3700739231372,15.9141492288457,16.0345810685231,15.6315583818044,16.5539244174544,16.8287206742534,17.258025562949,17.5282439052495,17.9721879180803,18.2951028843964,13.003914269687,16.1612302146741,17.2422406212754,19.1174572174009,19.1203387734373,19.645024713894,18.775190239597,18.5841508816394,19.3116978737254,19.3116761956877,19.1787307887155,19.1563269795321,18.2244807179743,18.2188081801904,17.7291999383558,18.3545927256403,16.7966839522648,17.2203456672455,17.178022925123,17.3944057349906,17.4643302587905,17.0582285941917,17.4562645368735,16.1237827315395,15.610030463038,15.6660050718392,14.1078643702244,12.7104714671127,12.8008512132791,14.1817478987414,13.1795040960223,12.991404230077,14.2864592617576,14.0589367716908,14.5858706406704,14.7819527768212,13.8038744004355,14.7295083666579,14.5743418331734,15.0516797816379,15.3985550165621,15.0815586968347,15.4827172883608,14.675926163682,15.041723119874,16.0432541697363,15.8595021867195,16.4497600377989,16.4175421229952,16.1271689743525,16.9987883617291,16.698478248565,17.43881053052,17.1036307265672],"ENZL^JULIAN(FMA_DIV_YLD(LTMA,-10AY,0,AM,\"PORTAGG\",\"MEANR\").DATES)":[41866,41898,41928,41957,41989,42020,42048,42079,42110,42139,42171,42201,42230,42263,42293,42324,42354,42384,42416,42445,42475,42506,42537,42566,42598,42629,42657,42690,42720,42748,42782,42810,42838,42871,42902,42930,42963,42993,43024,43055,43084,43116,43147,43175,43206,43236,43266,43297,43328,43357,43389,43420,43448,43481,43511,43539,43571,43601,43630,43662,43693,43724,43754,43784,43815,43846,43875,43906,43937,43966,43998,44028,44057,44090,44120,44151,44181,44211,44243,44271,44302,44330,44363,44393,44424,44455,44484,44516,44546,44575,44608,44636,44665,44697,44728,44757,44789,44820,44848,44881,44911,44939,44973,45001,45030,45062,45093,45121,45154,45184,45215,45246,45275,45307,45338,45366,45398,45428,45457,45489,45518],"WL-FDS^FG_PRICE(0)":516.7,"NI-FDS^FG_PRICE(0)":15905.0,"TIOS-FDS^FG_PRICE(0)":98.55,"VWO^FG_TOTAL_RETURNC(0,-1AM)":-1.4974654,"EWQ^FMA_PCT_ABOVE_MAVG(200,0,,,,\"PORTAGG\")":32.258064516129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2116,9.71471543630713,12.1997093940908,11.8187115511422,11.93889064433],"TRYUS10Y-FDS^FG_YIELD(-10AY,0,Y,,\"YTM\")":[2.1881,2.2961,2.4752,2.4325,2.6836,1.9185,0.9174,1.5119,3.8776,3.8791],"TRYEU10Y-FDS^FG_YIELD(-10AY,0,Y,,\"YTM\")":[0.5475,0.636,0.2082,0.4294,0.239,-0.189,-0.575,-0.181,2.533,2.004],"TRYZA10Y-FDS^JULIAN(FG_YIELD(-10AY,0,CY,,\"YTM\").DATES)":[42004,42369,42734,43098,43465,43830,44196,44561,44925,45289],"CAGDPY@CH^EE_ACTUAL_ANNUAL(MED,0)":6.98087557861584,"CC_DE^FG_COMPANY_NAME":"Germany","USDSEK^FG_PRICE_CHANGE(0,-1AM)":-1.1093199,"USDCHF^FG_PRICE_CHANGE(0,-1AM)":-3.085935,"USDEUR^FG_PRICE_CHANGE(0,-1AM)":-1.0190129,"USDAUD^FG_PRICE_CHANGE(0,-1AM)":1.2956738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415451,16.6617703289926,22.2767073851686,22.9687104615331,24.3449867619937],"EWU^P_PRICE_RETURNS_PR('52W',2,-10AY,0,AM)":[13.30862,7.763803,-2.895999,-0.46468377,-5.3910313,-8.800268,-2.3568392,-4.4285955,-1.9737601,-2.40615,-6.519514,-6.946528,-5.663043,-10.823995,1.6426563,-7.077265,-4.19063,-13.99728,-18.442244,-10.217661,-12.320352,-17.030598,-16.664398,-13.584882,-9.872574,-6.252199,-9.039963,-8.095789,-1.5744865,9.809899,12.07155,8.073914,4.8568487,13.357592,16.438652,12.846351,10.133433,13.702035,20.923864,19.654512,18.371487,23.227692,15.814948,11.670923,16.289055,11.0717535,10.635864,7.174742,3.3219576,0.5951524,-3.2964945,-3.8719296,-11.165852,-14.099151,-5.44883,0.525856,-2.0898998,-6.673294,-6.752205,-3.5268724,-6.3761415,-1.0177314,2.0165682,7.3406935,21.048986,16.468382,8.037626,-33.985268,-25.957525,-22.908646,-13.953185,-14.813763,-5.806482,-12.810457,-16.592163,-9.1438055,-11.0116005,-7.303733,-2.37391,54.406975,40.19542,43.580807,31.044329,25.689804,28.290344,27.550793,36.55976,19.656921,13.372791,16.181135,15.705824,7.7759624,10.448801,-1.5011191,-7.7516975,-6.7874613,-2.4012208,-9.768391,-17.870415,-5.793214,-2.2646487,-2.2443175,-2.6343167,-2.5978982,1.7532468,7.44226,15.131187,18.78302,5.0933957,17.66441,26.036263,8.801293,8.406711,2.467084,4.385245,14.273846,3.1710386,15.297043,12.2128725,14.152945,20.142387],"EWJ^FG_TOTAL_RETURNC(-10AY,0,AM)":[-1.4003277,-1.25314,-7.868016,8.080805,-5.267638,2.3025513,5.202818,5.0293326,3.9904237,0.8442044,-1.5220761,0.5821943,-0.23165941,-7.8947425,2.6050448,2.1293998,-0.80192685,-9.002799,-3.4451902,6.1167717,2.8820992,-0.7640064,-2.0530343,4.578769,3.4511805,-1.6273379,2.0678282,0.081038475,1.4574885,2.7271867,0.6484628,0.85903406,-2.0325184,3.8529992,3.1582952,-0.45096874,1.7714024,1.2092352,4.344678,2.324772,1.5598536,6.6530943,-2.930981,-1.4772713,-0.47783256,1.2748241,-1.389569,-3.7948549,-1.0072947,1.9649148,-0.8774936,-5.0512075,-3.1809926,1.8982649,1.7553687,-0.3303349,1.7676234,-2.4968386,0.20412207,2.2533774,-2.3940086,5.9165,1.8737912,3.7480474,2.03377,-0.978601,-2.093804,-26.056458,16.034245,3.1106591,9.456921,-0.14247894,3.174603,2.7657747,-0.92514753,9.134126,3.655994,3.5407543,4.569268,-3.2284975,0.60396194,-4.216689,3.8457751,-2.6925325,1.4132619,8.478796,-6.639618,1.2166858,-1.340282,-1.1904716,-3.7929535,-5.8286963,-4.1208324,-4.075342,-5.114275,0.22796392,8.017445,-9.40516,-6.139845,12.174988,0.5725384,4.069662,0.4756093,-1.718092,4.245448,3.422308,5.138099,-1.0776579,-4.806155,6.0080886,-5.111927,2.71039,2.8994918,5.8562994,2.5629282,2.868557,-2.5298297,0.67836046,-0.9349644,7.1056247,-3.5187721]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3863837,11.1922086822881,14.1061782856045,14.0029403106189,13.147116166704],"TIPSCL10Y-FDS^FG_YIELD(-10AY,0,Y,,\"YTM\")":[null,null,null,null,null,null,null,null,null,null],"CAGDPY@IT^EE_ACTUAL_ANNUAL(MED,+1)":0.95,"CAGDPY@JP^EE_ACTUAL_ANNUAL(MED,+1)":3.8,"CC_CA^FG_COMPANY_NAME":"Canada","USDSEK^FG_PRICE_CHANGE(0,-1AY)":-3.4616172,"USDCHF^FG_PRICE_CHANGE(0,-1AY)":-1.2059808,"USDEUR^FG_PRICE_CHANGE(0,-1AY)":-0.7642627,"USDAUD^FG_PRICE_CHANGE(0,-1AY)":-2.7344644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7826133,10.4260782968222,13.6402697448185,12.7503134402041,16.3243000822322],"EWL^P_PRICE_RETURNS_PR('52W',2,-10AY,0,AM)":[11.388707,12.102985,-0.54529905,3.884101,3.2714963,0.5256176,0.4916191,0.024175644,4.265988,4.1538954,0.5208254,3.137064,3.4372568,-2.0127773,9.400368,-2.884829,0.6513715,-11.074763,-10.932702,-6.9224954,-10.218698,-13.973225,-12.094373,-10.125404,-5.7578144,-3.7422538,-3.9622784,-4.5049725,-4.4248104,7.3699594,11.721479,11.335874,8.065248,18.247437,20.656443,17.89893,13.922823,16.457855,21.218513,21.484507,23.920595,22.284603,18.25651,11.05566,10.154557,1.2854695,0.23064613,-0.7856667,1.133287,2.6845813,-3.657359,-1.3877213,-6.4518986,-7.9002323,-3.3263624,3.535056,6.3416243,7.4767947,13.125467,13.072276,11.431384,9.646082,15.8245325,20.709515,27.129507,27.949512,27.606796,-10.155744,3.1103373,4.604912,7.775128,11.692667,15.13735,15.942251,11.950815,12.926567,12.025905,11.896658,10.366762,45.39628,31.606281,31.530678,30.402756,22.917843,25.591993,17.535698,20.38182,19.830942,20.471455,14.737892,10.107576,8.519423,9.372878,-5.212778,-18.598228,-14.354229,-13.500172,-16.883707,-21.920849,-15.224976,-17.769735,-11.338472,-7.796425,-6.9968996,-2.1449327,11.751759,20.104206,19.281567,7.5033903,14.953077,21.810854,7.1773767,13.1729965,8.29711,7.3997617,16.651081,-2.2795498,3.7754416,8.481622,6.8865895,13.675821],"EWG^FG_TOTAL_RETURNC(-10AY,0,AM)":[-7.851374,1.963532,-12.24209,5.4858923,1.7459154,1.095295,5.4171205,2.5351167,0.3341198,1.4318943,-5.449772,2.4419665,-3.2068968,-5.343783,-1.2419999,0.07622242,0.83777905,-10.76284,-0.80405474,8.873725,1.0971785,-0.6589174,-3.6675692,2.5959134,7.8042865,-4.276067,0.9796262,-2.7551472,4.269755,3.8244128,1.917398,3.075254,-1.1934042,10.195387,0.67697763,1.4904857,-0.739789,3.7589073,2.3422837,0.30515194,0.4867673,4.896271,-3.7037134,-1.953119,0.8274555,-0.24316907,-1.1882961,-2.764696,-5.196494,1.7814279,-3.7024498,-4.648721,-6.2316713,1.9546509,2.3773074,3.2958746,2.9731631,-0.35211444,-2.1554708,2.8149247,-7.614577,6.289053,2.3153305,4.3103456,2.272725,0.33669472,-1.0738254,-36.4654,18.15269,2.5756955,20.717287,5.4572225,3.6713243,2.1247983,-2.2126794,1.5535235,6.7825317,0.40997267,3.5804033,0.30322075,6.9830656,0.084769726,1.3258576,-2.7769864,2.4774075,-1.706481,-2.690971,1.2191534,-4.213196,3.136313,-3.3593237,-10.21105,-6.0836496,-5.152738,-5.949026,-6.2951922,9.0785265,-10.070747,-6.987506,23.184072,-0.6128192,12.96748,0.93557835,-4.4563293,8.731341,-1.2354136,3.2099962,1.037705,-5.2036943,-1.3001084,-5.085987,6.515026,5.9355855,-2.0447552,2.9298902,5.625212,-3.7536085,7.833326,-4.945201,5.398202,-0.7271588],"EWA^FMA_DIV_YLD(NTMA,-10AY,0,AM,\"PORTAGG\",\"MEANR\")":[4.72472687607562,4.88521882792263,5.08179694126882,4.91118845114226,5.21095878820508,5.07826404210497,4.618311590846,4.69016839157609,4.54929471342573,4.68199650881122,4.90583021123829,4.81433972663931,5.10791159386685,5.40362490417266,5.17781929203322,5.47825853040226,5.40452144817806,5.57444278315214,5.14841112704287,4.78526741282865,4.74619603822554,4.5668794018158,4.78175703044987,4.52703744939497,4.46529514251582,4.66560174717176,4.54815502393868,4.64861007612764,4.60882932854851,4.47686615468953,4.45495119253647,4.56306656538034,4.49241857908844,4.54745244153196,4.60557263210598,4.56231754683531,4.5469941899398,4.60047393948092,4.51606783652537,4.49742729255976,4.50421286410196,4.48691495470108,4.64556705569957,4.67978048313108,4.77421823011001,4.60924521550403,4.72905838640092,4.58292754516543,4.56261857430282,4.76945326768688,5.04137174782375,5.22372835161489,5.40791565395275,5.1255888998433,4.95936250542958,4.96178941197789,4.87501083289794,4.90728910907984,4.68737642622889,4.63218525632988,4.77194841129488,4.46062172066951,4.40470129781224,4.31043540118892,4.22271811152337,4.13493354447148,4.0732781274069,5.74725289613215,4.39934472518718,3.83233180754537,3.43460482596426,3.41742101215766,3.33913985231138,3.55503722538692,3.56363253816023,3.47402429338544,3.53025741426098,3.55834767383295,3.66463898213004,3.85852715995462,3.85939079817717,3.94546016722029,3.82668874091987,4.18676000273966,4.03342640148352,4.06354799417267,3.98455239929194,3.97013316114272,3.97943876123128,3.87700807266835,4.26943915960223,4.33763736568539,4.33388876302986,4.75176205029966,5.21636138609658,5.21685834031879,4.69056642944507,5.00216648527706,5.08928712528076,4.62130939307173,4.59377994530832,4.39724632312393,4.35704927456971,4.69499527319466,4.36084801518595,4.43996759235191,4.29993057713714,4.17666727173991,4.27336278231403,4.14598123744042,4.37435863444989,4.32835246363156,4.07646021625696,4.12039501097617,3.98526379847662,4.00436529929249,4.0649296113061,3.89550480790965,3.95255765361712,3.81258430836344,3.86294147507275],"ENZL^JULIAN(FMA_DIV_YLD(NTMA,-10AY,0,AM,\"PORTAGG\",\"MEANR\").DATES)":[41866,41898,41928,41957,41989,42020,42048,42079,42110,42139,42171,42201,42230,42263,42293,42324,42354,42384,42416,42445,42475,42506,42537,42566,42598,42629,42657,42690,42720,42748,42782,42810,42838,42871,42902,42930,42963,42993,43024,43055,43084,43116,43147,43175,43206,43236,43266,43297,43328,43357,43389,43420,43448,43481,43511,43539,43571,43601,43630,43662,43693,43724,43754,43784,43815,43846,43875,43906,43937,43966,43998,44028,44057,44090,44120,44151,44181,44211,44243,44271,44302,44330,44363,44393,44424,44455,44484,44516,44546,44575,44608,44636,44665,44697,44728,44757,44789,44820,44848,44881,44911,44939,44973,45001,45030,45062,45093,45121,45154,45184,45215,45246,45275,45307,45338,45366,45398,45428,45457,45489,45518],"DDR3512M-FDS^FG_PRICE(0)/MAX(FG_PRICE(0,-1AY))":0.849105769230769,"PASP-FDS^FG_PRICE(0)/MAX(FG_PRICE(0,-1AY))":0.723371647509578,"PLATI-FDS^FG_PRICE(0)/MAX(FG_PRICE(0,-1AY))":0.88400374181478,"W-FDS^FG_PRICE(0)/MAX(FG_PRICE(0,-1AY))":0.756872545519457,"COPP-FDS^FG_PRICE(0)/MAX(FG_PRICE(0,-1AY))":0.806309826137918,"FC0000JP^FG_PRICE(0)":177.98276,"FC0000NZ^FG_PRICE(0)":410.29935,"EWQ^FG_PRICE_MAVG(0,,,,60)":39.093166,"EWL^FG_PRICE_MAVG(0,,,,60)":49.24917,"EWA^FG_PRICE_MAVG(0,,,,60)":24.5925,"EWJ^FG_COMPANY_NAME":"iShares MSCI Japan ETF","SPY^P_PRICE(0)/P_PRICE_HIGH_PR(0,,,,,,\"PRICE\",\"INTRA\",\"52W\")":0.98080194,"URTH^FG_TOTAL_RETURNC(0,-12AM)":24.861454,"VWO^PERCENT_CHANGE(FMA_EPS(+1,0,,,,\"PORTAGG\",\"MEAN\"),FMA_EPS(+1,-1AM,,,,\"PORTAGG\",\"MEAN\"))":0.0,"EWI^FG_TOTAL_RETURNC(0,-1AM)":-1.5087366,"EWN^FG_TOTAL_RETURNC(0,-6AM)":6.5621376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2753145,11.0508592064609,12.8471719199911,14.6580605840091,13.2263940971232],"TRYFR10Y-FDS^FG_YIELD(-10AY,0,Y,,\"YTM\")":[0.837,0.9989,0.682,0.785,0.71,0.118,-0.344,0.201,3.07,2.534],"CAGDPY@IT^EE_ACTUAL_ANNUAL(MED,0)":0.464184965048982,"CAGDPY@JP^EE_ACTUAL_ANNUAL(MED,0)":3.60665526864134,"CC_AU^FG_COMPANY_NAME":"Australia","USDSEK^FG_PRICE(0)":10.5013,"USDCHF^FG_PRICE(0)":0.86835,"USDEUR^FG_PRICE(0)":0.90983534,"USDAUD^FG_PRICE(0)":1.5065913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482233795695,2.03507562384137,2.71427224340632,3.12760121442787,3.00269886912718],"EWJ^P_PRICE_RETURNS_PR('52W',2,-10AY,0,AM)":[6.96913,2.0327926,-7.7151895,-0.8460164,-3.5044253,-4.4525623,5.707228,14.945626,18.353224,19.566822,10.779655,7.8412414,9.30208,1.7802,13.350034,7.108474,12.157595,0.6507635,-8.437675,-7.4896693,-8.264435,-9.93523,-10.4208355,-6.500453,-3.423357,3.1483054,5.7254553,0.550282,2.840495,14.206481,21.01934,15.02322,8.9735985,14.624512,20.723175,14.53135,13.051022,15.356695,18.905401,21.57117,20.634794,26.344574,21.851276,19.028711,20.91763,17.915821,13.176584,8.931149,5.9569716,6.9029093,1.4056444,-5.904084,-10.251564,-14.2956915,-8.780831,-9.514677,-7.0614696,-10.522681,-9.5564,-3.3604085,-4.714155,-1.021409,1.7258763,11.234522,17.139984,13.832808,10.931468,-18.743616,-7.3524356,-1.6225636,7.0228457,4.5152307,12.6935005,7.191634,4.2465925,9.658539,11.4019985,16.564512,24.413967,62.823223,41.17093,31.36754,24.416267,21.239067,19.169353,25.794292,18.297672,9.938955,4.639828,-1.855427,-8.127123,-10.595692,-14.292216,-14.668762,-22.031343,-20.507246,-14.461452,-28.563446,-27.424162,-20.405495,-18.862295,-14.64448,-10.751325,-6.855589,1.2720466,9.1876745,20.985365,20.667278,5.2333355,23.041761,24.485636,13.982332,16.70512,18.621635,21.085941,29.320454,18.499744,15.355754,7.499945,17.684006,19.275522],"ENZL^FMA_DIV_YLD(NTMA,-10AY,0,AM,\"PORTAGG\",\"MEANR\")":[4.52582458038476,4.59950889616272,4.69937774481821,4.42445149392904,4.48872907459977,4.37563125257406,4.27316629263775,4.30494889322523,4.4014852474717,4.47509882866337,4.50393281925335,4.62909638776814,4.74860424324366,5.13381022714215,5.06854880395035,4.93537905010376,4.85777237761903,4.85114730430349,4.91645574701,4.65646842920223,4.53549430349399,4.48501549090135,4.41735389013848,4.28219707736922,4.16891572078174,4.32404130987216,4.46298594097167,4.65613140398874,4.71264125286212,4.53771713130711,4.54643166579066,4.60195812862409,4.56539463799295,4.48774977485163,4.3972567422724,4.40942006807583,4.32947531507575,4.44623422274072,4.35861811852003,4.4195797603358,4.22524734145501,4.29384398492691,4.39585866613761,4.22365478740251,4.25984338351538,4.25448341661232,4.0019506501275,4.06339515904189,4.05493938779185,3.96374792435541,4.25824346740133,4.23580567805645,4.20415110316754,4.0715007690918,4.02858216118949,3.88843850406981,3.71868196339649,3.66307233310861,3.65844987222764,3.46554191046509,3.48061867404903,3.36227610805382,3.25662436700621,3.35291028848066,3.2446419573701,3.10732085241719,3.06518410950339,3.75975683121658,2.81686866912366,2.60958308729702,2.59359702099174,2.47316716820293,2.44947472715712,2.41346228126599,2.35087358014793,2.34780032080597,2.40387256922294,2.45487748039979,2.53977670009108,2.51999511212862,2.56196760003025,2.678298643876,2.68531935288951,2.61688842745586,2.66910185732967,2.62294516451877,2.66955279946242,2.71356797398173,2.79689232700689,2.84161436516067,2.99298614932416,3.06952684824939,3.14102107944302,3.24076987848427,3.42832749282623,3.32796341763629,3.16104095161655,3.26159331495112,3.48236940927434,3.40585720365496,3.43013813231712,3.39250912530448,3.23043621514215,3.51404024378053,3.42011364937346,3.48491050539246,3.46761371741946,3.40357821711688,3.43962479469606,3.4245851574524,3.46973195436564,3.449165955846,3.02441137475135,3.00631465900244,2.90899463866917,2.7905414739583,2.80079322916758,2.72243029879735,2.72146078984018,2.66124021535671,2.54596269761772],"DDR3512M-FDS^FG_PRICE_CHANGE(0,-1AY)":-8.67824985553072,"EWQ^FG_PRICE_MAVG(0,,,,30)":38.280666,"EWL^FG_PRICE_MAVG(0,,,,30)":49.645332,"EWA^FG_PRICE_MAVG(0,,,,30)":24.665,"EWC^FG_TOTAL_RETURNC(-10AY,0,AM)":[-0.5264878,1.2453318,-11.654371,5.5342913,-9.135884,0.31374693,3.0080676,-4.2022824,8.401489,-0.78874826,-4.5281706,-4.8852563,-3.490603,-3.974563,2.44205,-6.9494905,-3.9079547,-13.115043,9.225094,13.368726,3.192854,1.0726094,-0.48980117,4.5149803,2.4129748,-3.7852407,2.0473719,-0.39339066,5.0158024,3.0503035,2.6170373,-3.4841955,-0.66989064,-1.3113558,0.7972598,4.6222806,-0.50816536,4.305005,2.0286798,-0.51422715,-0.06892085,5.5764318,-6.4836206,-2.1223903,1.4456034,4.132521,-1.8132031,1.8124342,-1.4487743,-0.8050382,-2.2582889,-3.4296036,-5.1588774,4.3594956,5.261135,1.2769103,2.7377486,-1.2973368,-0.46181083,4.1137695,-4.1162252,4.54545,-1.4147699,4.060197,0.5849719,3.388679,0.32776594,-34.857887,12.537611,5.7486534,10.498548,3.043151,5.644858,-1.1323392,0.93057156,3.9361596,7.504189,2.281487,3.7700295,4.9046397,2.1067858,4.1266203,3.128183,-3.7870646,3.1929493,-0.66684484,4.699242,2.1287441,-5.3958178,5.2164674,-1.04779,0.33574104,2.1364212,-8.669353,-6.34346,-3.8587093,11.9481325,-7.446212,-9.207397,13.751232,-5.099821,7.371998,1.0341763,-7.0230246,8.409786,-2.2002876,1.1880159,1.4684796,-3.83088,4.0719986,-4.7349095,1.4583349,5.4561496,1.4189124,1.9738674,2.8625965,-2.94196,4.587662,-3.6919713,6.814444,0.6149173],"EWI^FMA_PE(LTMA,-10AY,0,AM,\"PORTAGG\",\"MEANR\")":[16.6890136575876,17.8831831646794,15.9335494392927,17.3547134700843,17.9245860486613,19.9002375160191,42.4697962851809,43.7968087354941,41.0276661065937,38.3449633926349,34.9210280643885,32.5798600139518,30.0105377451578,26.5242903014857,24.2645142485921,21.9256270445559,19.0451806319667,16.1443030110855,14.9945170404113,15.4391193653531,15.2829594089,15.4528088824277,14.5082970275297,14.6834441813784,15.0328478783114,14.4842834856679,14.6991916510975,14.308950207087,16.3027663274373,27.708500491864,20.7966672476507,82.3310321596033,75.6114101750278,68.2596590210101,60.7894872833788,54.444072239836,46.7262920349179,39.7047371536623,32.6816503311736,25.4418105369894,18.9349168046866,15.9595571475332,14.4947001707681,14.1852545697043,14.1258978670284,13.9983187552813,13.5107993476456,13.2235348620734,12.649709959308,12.4967912078804,11.8173414977835,11.2121493992115,10.8737477659887,11.020459525768,11.1305089337494,11.3091144024336,11.3448691918277,11.1752612393723,11.0099248923613,11.3691976676153,10.8001183198277,11.3008729408175,11.5155733386959,12.007555792085,12.0709206774712,12.2797843838943,12.7386842575481,10.6895950254109,11.4987918990229,13.3501179046438,15.8980225288137,17.4472198204908,17.7453990965437,18.4961530995663,18.9572518573297,20.9781711060588,22.737111323469,23.3177998003994,20.55431592642,20.077948697664,19.5136410634962,18.7722002440644,18.4522851482266,17.4890815939408,16.2479997120699,15.0964957382505,14.4903992555711,13.8437236133673,12.2178366025252,12.1257750040661,11.7609727185374,10.5714124062306,10.5267190562693,10.2498082596446,9.51085082912837,9.05336480079639,8.72659127591088,8.42534118953348,7.91567887441972,8.42874737016938,7.4757163263452,8.03862081581855,8.41205617494289,8.2072117483732,8.39975398234716,8.2775685337371,8.55188148016099,8.65788935503742,8.2017639611965,8.41793804150258,8.2337595695564,8.21653202478293,8.81874599360566,8.99086440972293,9.07175893420361,9.42361403311732,9.40302831732587,9.64122732304763,9.37653058880404,9.67737736284484,9.55198097290633],"PASP-FDS^FG_PRICE_CHANGE(0,-1AY)":-23.3766233766234,"PLATI-FDS^FG_PRICE_CHANGE(0,-1AY)":5.58659217877095,"W-FDS^FG_PRICE_CHANGE(0,-1AY)":-11.3341698034295,"COPP-FDS^FG_PRICE_CHANGE(0,-1AY)":13.0357387375051,"ENZL^FMA_ROE(NTMA,-20AY,NOW,FY,\"PORTAGG\",\"MEANR\")":[null,null,null,null,null,null,10.8532267295878,10.9048734413645,11.45876758647,11.0832589152415,9.94517431688139,9.90242652659034,9.79986582903071,9.84792896856594,9.52177142619013,9.00388708752031,7.53226389198691,6.44400181202056,7.7689690341127,6.57910753918315],"TRYCN10Y-FDS^FG_YIELD(-10AY,0,Y,,\"YTM\")":[3.653331,2.901145,3.070911,3.93859,3.259862,3.197311,3.1948,2.7893,2.855,2.574],"CAGDPY@SE^EE_ACTUAL_ANNUAL(MED,+1)":6.0,"CAGDPY@DE^EE_ACTUAL_ANNUAL(MED,+1)":6.5,"CC_NZ^FG_COMPANY_NAME":"New Zealand","USDSEK^FG_COMPANY_NAME":"Swedish Krona per U.S. Dollar","USDCHF^FG_COMPANY_NAME":"Swiss Franc per U.S. Dollar","USDEUR^FG_COMPANY_NAME":"Euro per U.S. Dollar","USDAUD^FG_COMPANY_NAME":"Australian Dollar per U.S. Dollar","EWA^JULIAN(FMA_ROE(NTMA,-20AY,NOW,FY,\"PORTAGG\",\"MEANR\").DATES)":[38352,38716,39080,39447,39813,40178,40543,40907,41274,41639,42004,42369,42734,43098,43465,43830,44196,44561,44925,45289],"TRYPH10Y-FDS^FG_YIELD(-10AY,0,Y,,\"YTM\")":[3.8633,4.1,4.6281,5.6986,7.1730304,4.847582,3.4208684,4.796723,6.9293385,6.0028777],"TRYTR7Y-FDS^FG_YIELD(-10AY,0,Y,,\"YTM\")":[7.979133,10.679033,11.110786,11.586128,15.896213,12.034795,12.534946,23.870693,7.323803,21.984322],"CAGDPY@NL^EE_ACTUAL_ANNUAL(MED,+1)":9.5,"CAGDPY@CA^EE_ACTUAL_ANNUAL(MED,+1)":-0.65,"USDITL^STD(FG_PRICE_CHANGE(0,-1AY,AM))":1.92408671373263,"USDANG^STD(FG_PRICE_CHANGE(0,-1AY,AM))":0.0,"USDGBP^STD(FG_PRICE_CHANGE(0,-1AY,AM))":1.89219013751636,"USDJPY^STD(FG_PRICE_CHANGE(0,-1AY,AM))":3.41623689007612,"USDCAD^STD(FG_PRICE_CHANGE(0,-1AY,AM))":1.39700890801056,"USDNZD^STD(FG_PRICE_CHANGE(0,-1AY,AM))":2.80576300083877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12982,1.98003612030208,2.44944590598376,2.36386839889078,2.65638349123077],"EWA^P_PRICE_RETURNS_PR('52W',2,-10AY,0,AM)":[15.659559,6.3875318,-4.774851,-0.45861006,-4.122627,-1.919049,-0.5066395,-3.0422807,-5.7278514,-6.8668604,-12.115002,-15.978736,-21.133047,-22.680658,-13.66046,-22.693813,-10.7167425,-22.480297,-21.501785,-10.145033,-10.362321,-12.441296,-10.048419,1.65627,10.181689,9.159195,12.044466,15.0925045,14.982498,32.669342,33.949684,19.821167,19.837261,16.280758,21.768486,14.218748,13.929832,21.298813,16.539753,18.828583,16.848553,14.63449,8.005118,6.207752,4.9485803,8.6164,6.756294,6.4374566,4.007995,-0.5818367,-4.8033595,-3.8158774,-9.411228,-8.32727,-3.6608398,-0.5970299,3.2529593,0.13940334,4.6655416,5.093205,-0.83835125,9.035397,12.911558,15.390348,23.09575,20.635723,15.619791,-29.737986,-22.080278,-19.008827,-7.832962,-8.823484,0.9591341,-5.647719,-3.7696838,2.1953464,7.501209,7.4872255,12.467039,77.97054,63.77481,64.17113,41.87906,32.140743,30.887402,29.289246,28.914238,17.78307,5.739522,4.3678045,1.0647178,4.8386574,7.700968,-5.9353886,-15.72668,-12.554682,-6.1323166,-12.325263,-19.549889,-6.288415,-3.16723,1.4760256,2.908361,-7.488799,-6.5218153,0.76423883,14.323068,17.049812,-2.817148,7.8110456,13.911831,0.40711164,8.880854,0.048172474,3.5096407,14.416969,3.0142903,14.96942,9.887875,14.275372,20.019638],"ENZL^JULIAN(FG_TOTAL_RETURNC(-10AY,0,AM).DATES)":[41866,41898,41928,41957,41989,42020,42048,42079,42110,42139,42171,42201,42230,42263,42293,42324,42354,42384,42416,42445,42475,42506,42537,42566,42598,42629,42657,42690,42720,42748,42782,42810,42838,42871,42902,42930,42963,42993,43024,43055,43084,43116,43147,43175,43206,43236,43266,43297,43328,43357,43389,43420,43448,43481,43511,43539,43571,43601,43630,43662,43693,43724,43754,43784,43815,43846,43875,43906,43937,43966,43998,44028,44057,44090,44120,44151,44181,44211,44243,44271,44302,44330,44363,44393,44424,44455,44484,44516,44546,44575,44608,44636,44665,44697,44728,44757,44789,44820,44848,44881,44911,44939,44973,45001,45030,45062,45093,45121,45154,45184,45215,45246,45275,45307,45338,45366,45398,45428,45457,45489,45520],"EWQ^FMA_PE(LTMA,-10AY,0,AM,\"PORTAGG\",\"MEANR\")":[15.073004984053,15.4356810322396,14.1363984006021,14.87478269779,14.5486477510934,15.3428384201067,16.7149799557503,17.5866328178089,17.6734587094016,17.4250425999342,17.1030920099733,17.4074524152145,16.8660987859848,16.0342945889533,15.9960417350144,16.0525224525061,15.484296906528,14.0278255720747,14.3700980426644,15.1954833000797,15.2350730975719,15.0520123495646,14.7013576963997,14.9937074801397,15.0133956545616,14.6746970155932,14.9304309377164,14.7871062546546,15.6390211508184,15.9757532534259,15.6339106270661,15.6148432630188,15.6146239154482,15.8822143721315,15.7158219457954,15.735855693338,15.5922171640052,15.7119950511108,16.0520235945002,15.895385039404,16.0467060225535,16.5886903232973,15.7154374416483,15.5723302975611,15.5136481217748,15.5969444159841,15.4131642136325,15.2651372147256,14.9633100523706,14.9025032781051,14.38648832423,13.9356086321765,13.3503723782391,13.220666668918,14.1935261736236,14.6086515016695,14.6514070004147,14.5822902356039,14.4685640919284,14.8772692019579,14.4682298079344,14.9960347047105,15.3587497053601,16.1053543746291,16.4313694489242,16.673210072327,16.7237668912914,13.956781788711,15.0226773132463,15.9100011692137,18.0519022289757,19.966740084539,22.0032088030201,23.5542167750921,24.2611290213217,27.2195111003981,28.2679908658037,28.716677222971,27.8433481473282,26.7374231880951,25.9388652289891,25.0290128216003,24.363829995541,22.8820188772029,21.7587992700278,20.3802082751973,19.3079381267966,18.5997077619702,17.3191700145283,16.9770690425997,16.0214479975912,15.3539524747918,15.069955793171,14.4676635893303,13.7102018246582,13.305462875801,13.2310144782106,12.238306011742,11.5014207035218,12.1863788833715,11.6279759830321,12.6038589516598,13.0198970181541,12.8413596270769,13.1399715042298,13.1495537145426,13.2783376427617,13.3424486720199,13.2240303330679,13.3470216470006,12.7920081723764,13.1369302045999,14.0540100746979,13.9679791058565,15.1599865542163,15.5307691455507,15.362325111836,15.5120019872143,14.9184201975226,14.9491359124933,14.7498546270238],"DDR3512M-FDS^FG_PRICE_CHANGE(0,-1AM)":-5.04623655913978,"EWD^FMA_PE(NTMA,-10AY,0,AM,\"PORTAGG\",\"MEANR\")":[15.0521725222958,14.6950227973146,13.2205410635012,15.281563447189,15.2130226606854,15.6294680213848,16.760723561582,17.3247666307389,16.992316924997,15.8326662680484,15.7645053365449,16.3169280294981,15.8671863887204,14.7460486989678,14.7821973688787,15.0920426057979,14.7356580298663,13.5975182581164,14.5960444962135,15.3601479971604,15.3026492275642,14.697170753877,14.0189225927965,15.0147137725576,15.4378175248458,15.3242835708722,16.0690224409378,16.0049931696675,16.7511997174863,16.5547418345694,16.4801777596002,16.8871937140627,16.8858483378652,18.3328690108693,16.8378806596828,16.8567057163582,15.8365372092733,16.1628726121903,16.8018439138404,16.8515067679638,16.3142436737457,16.609755348823,16.1561197240843,16.2175354668837,15.6618309766234,15.9986602241049,15.3852770529363,15.3719808419192,15.4588379906944,15.6168419148551,14.7425290864146,14.1007755286879,13.8125056883614,13.5590707579988,14.9294651026098,15.0133507635527,15.3278481477546,15.126076415903,14.7606030206701,15.1389001626293,13.5166288379433,14.7096910274571,15.2596106609769,15.8572599222848,16.1475111041932,16.370238090293,17.0135057231596,11.9026664528379,15.7667170827312,16.9810875295517,19.0485718860247,19.942392047886,18.5641630027403,18.5442101088809,17.3785723952257,17.264805080378,17.2155766984233,18.7186615072194,18.9332538307374,20.1654666267604,20.7635328598566,18.125656023409,18.8451553300958,18.6009314553249,18.4566028630503,18.5807427769405,18.4247497078707,18.9806874876662,18.8880908124059,17.5088930333866,16.1642258012674,15.5414081289669,15.0236532300201,15.8448760006051,14.2394700984031,14.3975046827923,15.2061761906756,13.6285537776343,13.1514911118875,12.9054866482315,12.7426217439397,13.6589372063601,14.2556819058803,13.2910026878924,13.9201951136746,13.4766568322133,13.8328967500453,13.3865921843589,12.854898412632,13.0759801560556,13.0963368640199,13.203538245257,15.6541221045383,15.2404878650801,16.0428926950517,16.7422910308327,16.0524526177943,16.3936139399142,15.8519694290206,16.5362061520468,15.5830060585929],"PASP-FDS^FG_PRICE_CHANGE(0,-1AM)":-0.631578947368416,"PLATI-FDS^FG_PRICE_CHANGE(0,-1AM)":-4.15821501014199,"W-FDS^FG_PRICE_CHANGE(0,-1AM)":-0.141309467734341,"COPP-FDS^FG_PRICE_CHANGE(0,-1AM)":-7.12196219621961,"EWI^FG_PRICE_MAVG(0,,,,60)":37.055332,"SPY^FG_PRICE_MAVG(0,,,,60)":542.1533,"EWJ^FG_PRICE_MAVG(0,,,,60)":68.3145,"ENZL^FG_PRICE_MAVG(0,,,,60)":45.990974,"SPY^PERCENT_CHANGE(FMA_EPS(+1,0,,,,\"PORTAGG\",\"MEAN\"),FMA_EPS(+1,-3AM,,,,\"PORTAGG\",\"MEAN\"))":-0.686644705922494,"URTH^FG_TOTAL_RETURNC(0,-3AM)":3.7544012,"TRYBR10Y-FDS^FG_YIELD(-10AY,0,Y,,\"YTM\")":[12.319731,15.989595,11.062725,9.887577,8.936093,6.883678,6.961219,10.970291,12.900059,10.455909],"CAGDPY@NL^EE_ACTUAL_ANNUAL(MED,0)":9.85408501996988,"CAGDPY@CA^EE_ACTUAL_ANNUAL(MED,0)":-0.725414399026327,"USDITL^FG_PRICE_CHANGE(0,-6AM)":-1.9970834,"USDANG^FG_PRICE_CHANGE(0,-6AM)":0.0,"USDGBP^FG_PRICE_CHANGE(0,-6AM)":-2.3697793,"USDJPY^FG_PRICE_CHANGE(0,-6AM)":-1.4909983,"USDCAD^FG_PRICE_CHANGE(0,-6AM)":1.73558,"USDNZD^FG_PRICE_CHANGE(0,-6AM)":1.5190482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21799229,1.95784087398727,2.66448337817763,2.74920456102042,2.68263358415049],"ENZL^P_PRICE_RETURNS_PR('52W',2,-10AY,0,AM)":[19.13451,11.7804165,1.8572927,6.8191767,9.223318,7.896459,7.020557,2.1357536,2.665019,-3.2295883,-7.8624306,-14.092583,-12.296224,-14.273113,-2.4872541,-10.860741,-3.212452,-11.685556,-8.306766,0.43729544,6.05011,9.282017,19.695389,33.502365,43.43884,46.31208,29.49593,23.450397,13.190007,26.470364,28.936398,12.300181,6.8704367,8.454633,12.827587,10.395026,7.2950125,6.897497,14.73304,14.0254135,22.421001,18.56805,15.894151,23.003054,22.817516,14.97426,14.47649,6.4531207,3.5268426,6.997621,0.48154593,10.682285,2.063322,3.2530427,7.3292017,5.368066,8.113885,13.137698,4.49239,16.986858,14.179587,12.839484,19.426834,14.980125,24.813211,26.530993,20.12123,-14.400774,-4.7437787,-1.9391298,9.416032,8.197856,11.014641,15.972984,18.294704,26.895845,22.913467,17.366196,16.3185,59.32795,36.742176,28.694702,16.913605,9.674692,9.852732,9.100449,4.7096252,-5.055934,-11.333513,-12.01542,-15.257179,-13.449955,-14.920771,-24.053455,-27.120882,-24.099535,-16.487194,-25.360292,-34.83468,-23.201096,-14.105469,-11.444986,-3.8680673,-10.689187,-5.663413,9.138846,13.760889,14.919019,-5.903035,-2.3837984,11.558258,-1.9018948,-1.6382992,-4.6711683,-7.915759,-2.147746,-8.062607,-6.2439203,-2.8884947,-5.560565,7.4403763],"EWI^FMA_DIV_YLD(NTMA,-10AY,0,AM,\"PORTAGG\",\"MEANR\")":[3.74477886904525,3.5780732765578,4.21523035568319,4.02290992528502,4.12403538707835,4.04382352170221,3.63234371246209,3.15466142911985,3.10720401533853,3.15673449409564,3.38803617922021,3.15108996000318,3.15805107064817,3.37894911581184,3.55207073737418,3.69940913585726,3.8455250746795,4.30985214745065,4.69395300694595,4.23127295235496,4.40030855249208,4.53599858086554,5.00044609487856,4.76373736596518,4.74469576618962,5.01482055046861,4.9375960449522,4.81461791501279,4.33500027503235,4.28902672126053,4.40993309223779,3.9790514848362,4.05345804219064,3.72386794640257,3.7853080044945,3.74476470191503,3.73267756496011,3.7286494614683,3.80773713458313,3.89943153506198,3.92823341587911,3.74815284476927,3.92503073918298,4.01384244607288,3.97801125818045,3.98314863830409,4.36124904132261,4.48285041958681,4.67758306795066,4.65340551184904,4.92208649545204,5.17219035349407,5.234511278456,5.13012951804044,4.919361234089,4.73641934350289,4.6118389200996,4.81913661105357,4.96082340470295,4.63529152331214,5.10238955572681,4.75430526434662,4.68275415814597,4.50596041302835,4.49352646461674,4.43998529263103,4.44293913230754,7.23582927081489,5.91145743609971,5.17046189557959,4.21464298731297,4.20685983913989,3.93919472595609,4.02380108752566,4.13893151430475,3.97244542942506,3.9427395755856,3.9855176020305,3.91745689307976,4.02318085692217,4.06134480810066,4.1706429096372,4.02603296242779,4.24017078880966,4.26214503650137,4.50743194860365,4.39499279928703,4.29785021474073,4.66900140925524,4.59371642495364,4.806510162708,5.20049987222571,5.03558338301538,5.18309748733508,5.83068806108662,6.07793457865442,5.56378503204279,5.64208214212667,6.14511238023485,5.4207764356323,5.93596553972739,5.43108017361592,5.35678478372325,5.66022385182901,5.29321499500373,5.56118196569848,5.31858362174296,5.24764498462923,5.57588612512125,5.36814292405018,5.55702014180105,5.5368582175356,5.46603007772352,5.4186132402305,5.4424091050176,5.16384700672087,5.3338906508841,5.09351799782283,5.53862937939487,5.2945649443899,5.58452656171265],"EWN^FMA_PE(NTMA,-10AY,0,AM,\"PORTAGG\",\"MEANR\")":[13.8064364414521,14.5536665081857,13.1653559741783,14.7453221406543,14.3395988932407,15.0926858747339,16.1618023240271,17.6873211633653,17.5315602533384,16.8797772619537,16.2455201672733,17.1085278822144,15.8954448349697,14.8490229210997,15.1715846055331,15.9017273130881,15.4380521319928,14.1271977719314,14.0242810450136,15.3355464912107,15.3767111388957,14.7234166298832,13.9186693114669,14.5185581145417,14.8905568591338,14.4750377367676,14.7400104948729,14.5090448735567,14.946536712276,15.0630903257718,15.4308607690246,16.0634140545885,16.115731773968,16.5405783743137,16.0596069330318,15.9960624979577,15.9604976166503,15.8558988987342,16.1980301206007,15.9717961095658,16.065092497502,16.2609612332639,15.5175437484168,15.691995133409,15.6486645324208,15.7978607090926,15.9589231399567,15.7010530471233,15.4580375717138,14.9539043284919,14.2995103737609,14.1917440632078,13.6393486589638,13.387633611337,14.8547936676726,15.3325260907041,15.646487654386,15.4306629050418,15.2225767780979,15.6373370623856,15.0658976462051,15.9271163322477,16.1809702182823,16.793814303085,17.1646903802653,17.195491750882,18.2286011618853,12.1895314422891,16.1806287885403,17.0226619812205,19.4303777967625,20.1524046188296,19.8968791471879,19.6878147871995,19.9240630826034,20.6622936161615,20.4759681481792,21.2620503251552,22.8628981156201,21.9578869120283,22.8318427884251,21.1564630929629,21.6235172515058,21.0801283769239,21.5672980847888,21.8432715875179,20.8609094541609,21.6877322812706,19.9822794558024,19.7897495397844,18.4533822809135,17.682905905573,17.6621552140946,16.2648057202995,15.2958139181669,16.1955690905754,17.8856806971485,15.4635639000286,14.0284099573637,16.3067045762836,15.7371947614159,16.9773889745447,17.189205592442,15.8732717202232,16.3794092034811,15.6686354428422,15.8433561882161,16.2266079780253,15.0838954215944,14.052853540314,13.4846404896921,14.5491101469692,15.3102962951797,14.7013727731116,16.375279434954,15.9000570265375,15.9143516944266,16.3609798976647,16.3818261319541,16.5549138826389,14.8162664926652],"SPY^FMA_PE(LTMA,-10AY,0,AM,\"PORTAGG\",\"MEANR\")":[16.273149728354,16.537337868685,15.6845752217644,16.8936009190974,16.5043372584317,16.9591436776908,17.5494875429706,17.5430314028849,17.5633653959452,17.5736238276499,17.4615608784303,17.6038591089704,17.4701055353205,16.9244625115158,17.1847933276884,17.2308596848028,17.3600143656938,15.7767110477485,16.2966838906097,16.18819342752,16.4452153070474,16.565182572191,16.7457386377851,17.2451747052816,17.5146088223823,17.4840399970967,17.5949663885182,18.0160380074902,18.8285687523753,19.0233107786646,19.4298000752775,19.4458937113447,19.2070548104936,19.1934305704863,19.1742879317122,19.2019749054996,19.1051890951033,19.2113118273692,19.5685638688675,19.6172793634385,20.2450393810298,20.8866829634217,20.0308807036986,19.7085349609422,19.3286560949483,19.0560762003129,18.9389962373342,18.7170306458944,18.5599899693127,18.6182054680109,17.9829653433857,17.2553677944083,16.2170730943309,16.1650828736977,17.0772159171718,17.1282845755884,17.2484788778956,17.1791975277533,17.2155347367706,17.6623888475178,17.3653734233629,17.8730326725191,18.04259468266,18.8397622166037,19.4910289143967,20.3608583647128,20.5215638574211,17.2491523301683,18.5759451943222,19.6292390351708,21.0150962478512,21.9746774592349,22.7727949133176,23.3707477123825,24.3645956722093,25.1821690131242,26.1642402005555,27.1287538995556,27.3510660625307,26.1823256654081,25.9954653381383,25.30444738217,24.8696750540724,24.5509958358575,24.1076739435933,23.6488490079479,23.183022109574,23.430392363286,22.8888268399775,22.6077894797438,21.2980255744315,20.6042707625537,20.4553189098729,19.6690091950069,18.6573593007739,18.7548639480362,19.7472076170718,18.2616896176935,17.1314232345278,18.2928140466051,17.5851735732217,18.1304510074269,18.5780068487594,18.0346928830745,18.2908395996942,18.2764324877093,18.9218126934613,19.3814592935226,19.212923889971,19.4669263058968,19.4129506321446,20.1396800523953,21.2524858453139,21.7128109743665,22.455042863466,22.697934440035,22.4616735711977,22.6081977181174,22.7125676778867,23.2204392951315,22.9718230459848],"DDR3512M-FDS^FG_PRICE_MAVG(0,,,,30)":0.90866166,"PASP-FDS^FG_PRICE_MAVG(0,,,,30)":943.3,"PLATI-FDS^FG_PRICE_MAVG(0,,,,30)":964.1,"W-FDS^FG_PRICE_MAVG(0,,,,30)":5.3784165,"COPP-FDS^FG_PRICE_MAVG(0,,,,30)":4.203,"EWI^FG_PRICE_MAVG(0,,,,30)":36.811,"SPY^FG_PRICE_MAVG(0,,,,30)":545.6043,"EWJ^FG_PRICE_MAVG(0,,,,30)":68.533,"ENZL^FG_PRICE_MAVG(0,,,,30)":46.28219,"FXI^FG_TOTAL_RETURNC(0,-12AM)":1.8596768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49047324],"TRYVN10Y-FDS^FG_YIELD(-10AY,0,Y,,\"YTM\")":[7.3,6.277413,7.1117578,5.6717234,4.738006,3.5404546,2.4877946,2.059403,4.687226,2.9473283],"TRYTW10Y-FDS^FG_YIELD(-10AY,0,Y,,\"YTM\")":[1.6015,1.015,1.2037,0.9478,0.8648,0.672,0.315,0.7413,1.2812,1.211]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32764083,3.67789544317284,4.61613854439477,4.46089540048153,4.56673185665912],"PASP-FDS^MAX(FG_PRICE(0,-5AY))":3158.12,"COPP-FDS^FG_PRICE_CHANGE(0,-3AM)":-15.6275551921504,"VWO^P_PRICE(0)/P_PRICE_HIGH_PR(0,,,,,,\"PRICE\",\"INTRA\",\"52W\")":0.9782395,"QQQ^FG_TOTAL_RETURNC(0,-3AM)":5.2686453,"EWA^FG_TOTAL_RETURNC(0,-1AM)":-2.5009751,"VGK^FMA_COS_UP(\"EPS\",\"1M\",+1,0,,,\"PORTAGG\",\"MEANR\")":466.0,"EWI^FMA_RBICS_REV_CURRENT(30, LOC, \"PORTAGG\")":38.7145820793369,"REFJPTON-FDS^PROPER_NAME(0,,,\"SECURITY\",\"NAME\")":"Japan Policy Rate","TRYCH10Y-FDS^PCTCHG(FG_YIELD(0,,,,\"YTM\"),FG_YIELD(-3AM,,,,\"YTM\"))":-39.804474,"TRYUS10Y-FDS^FG_YIELD_NAME":"US Benchmark Bond - 10 Year","EWD^FMA_DIV_YLD(NTMA,NOW,NOW,M,\"PORTAGG\",\"MEANR\")":3.18163844987392,"SPY^JULIAN(FMA_DIV_YLD(NTMA,NOW,NOW,M,\"PORTAGG\",\"MEANR\").DATES)":45504,"EWJ^FMA_PE(NTMA,0,,,\"PORTAGG\",\"MEANR\")":13.9752992897754,"EWD^FMA_PE(NTMA,0,,,\"PORTAGG\",\"MEANR\")":15.5830060585929,"EWD^FMA_PE(LTM,0,,,\"PORTAGG\",\"MEANR\")":13.6702042724635,"EWJ^FMA_PE(LTM,0,,,\"PORTAGG\",\"MEANR\")":16.6147104248048,"EWG^FG_PRICE(0)":31.4,"EWN^P_PRICE(0)/P_PRICE_HIGH_PR(0,,,,,,\"PRICE\",\"INTRA\",\"52W\")":0.9392797,"QQQ^PERCENT_CHANGE(FMA_EPS(+1,0,,,,\"PORTAGG\",\"MEAN\"),FMA_EPS(+1,-3AM,,,,\"PORTAGG\",\"MEAN\"))":-2.25516098920915,"EWJ^FG_TOTAL_RETURNC(0,-6AM)":3.3394098,"EWA^PERCENT_CHANGE(FMA_EPS(+1,0,,,,\"PORTAGG\",\"MEAN\"),FMA_EPS(+1,-3AM,,,,\"PORTAGG\",\"MEAN\"))":-3.82540319169538,"EWG^FMA_COS_UP(\"EPS\",\"1M\",+1,0,,,\"PORTAGG\",\"MEANR\")":27.0,"EWN^FMA_RBICS_REV_CURRENT(30, LOC, \"PORTAGG\")":25.4058816390782,"TRYNL10Y-FDS^FG_YIELD_NAME":"Netherlands Benchmark Bond - 10 Year","REFSEREPO-FDS^(SUBARRAY(NOT_NA(NO_REPEAT_F(FG_YIELD(NOW,-10AY,D))),0,1)-SUBARRAY(NOT_NA(NO_REPEAT_F(FG_YIELD(NOW,-10AY,D))),1,1))*100":-25.0,"CC_AU^IMF_IFS_RCPI_Q(0)":null,"EWG^P_PRICE_RETURNS_PR('52W',2,-10AY,0,AM)":[8.605194,7.9964757,-9.032792,-6.7468405,-7.3830423,-10.803318,-5.3738475,1.9491792,-0.24162531,-1.1940658,-7.7230573,-4.674375,-0.67080855,-7.045698,4.6057343,-0.75879693,-1.6445756,-11.127215,-18.304926,-13.254631,-13.544965,-14.396596,-12.783032,-11.95367,-2.7152538,-1.6178787,1.3290048,-2.2507608,1.0761023,14.591969,20.824945,14.389992,12.05883,24.013638,29.606606,27.693785,18.0488,25.114202,29.684425,33.76559,29.45745,30.243313,23.059929,17.056633,19.45076,8.135462,7.1614146,1.6822219,-2.8832316,-4.525411,-10.3609085,-14.788002,-20.14672,-22.715027,-17.68616,-13.488806,-11.593604,-11.690164,-12.983852,-7.5366917,-9.895086,-5.9045734,-0.024408102,9.289026,19.28848,17.395449,15.82396,-30.227201,-19.94183,-16.825449,1.6751885,4.2881966,17.903221,12.44315,7.466924,4.6266794,9.240282,9.577454,14.463282,80.70528,63.62219,60.853447,34.003628,23.540474,22.117733,17.536413,18.320156,16.576422,4.572189,5.068624,0.215137,-10.289902,-19.425518,-25.36813,-30.726469,-33.77373,-28.932459,-34.979935,-37.36657,-24.364197,-21.52124,-14.040482,-10.220265,-4.4661283,10.604024,15.172124,26.388,39.898228,18.434858,28.49902,32.642982,14.693964,20.972336,6.004989,8.099461,21.041452,5.7837367,15.496981,7.6744914,10.96158,16.201485],"EWC^FG_PRICE_MAVG(0,,,,200)":36.84455,"EWI^SIZE(FG_CONSTITUENTS)":26,"SPY^FMA_RBICS_REV_CURRENT(30, LOC, \"PORTAGG\")":12.5765138366263,"REFSEREPO-FDS^FG_YIELD(NOW,,,0)":3.75,"REFEUREFI-FDS^(SUBARRAY(NOT_NA(NO_REPEAT_F(FG_YIELD(NOW,-10AY,D))),0,1)-SUBARRAY(NOT_NA(NO_REPEAT_F(FG_YIELD(NOW,-10AY,D))),1,1))*100":-25.0,"TRYCH10Y-FDS^PCTCHG(FG_YIELD(0,,,,\"YTM\"),FG_YIELD(-1AM,,,,\"YTM\"))":-23.581562,"USO^FG_TOTAL_RETURNC(0,-3AM)":0.091803074,"VWO^P_PRICE(0)/P_PRICE_HIGH_PR(0,,,USD,,,\"PRICE\",\"INTRA\",\"52W\")":0.9782395,"USO^FG_TOTAL_RETURNC(0,-1AM)":-3.465718,"PASP-FDS^FG_PRICE_CHANGE(0,-6AM)":-1.15183246073298,"TIOS-FDS^FG_PRICE_CHANGE(0,-6AM)":-23.7760074251682,"EWC^FG_PRICE_MAVG(0,,,,60)":37.755665,"FXI^FG_TOTAL_RETURNC(0,-1AM)":-0.9394944,"VWO^PERCENT_CHANGE(FMA_EPS(+1,0,,,,\"PORTAGG\",\"MEAN\"),FMA_EPS(+1,-3AM,,,,\"PORTAGG\",\"MEAN\"))":-0.251208888876792,"EWN^FG_TOTAL_RETURNC(0,-3AM)":-2.152449,"QQQ^PERCENT_CHANGE(FMA_EPS(+1,0,,,,\"PORTAGG\",\"MEAN\"),FMA_EPS(+1,-1AM,,,,\"PORTAGG\",\"MEAN\"))":-2.8564710321309,"EWJ^FMA_PCT_ABOVE_MAVG(200,0,,,,\"PORTAGG\")":41.1764705882353,"EWA^PERCENT_CHANGE(FMA_EPS(+1,0,,,,\"PORTAGG\",\"MEAN\"),FMA_EPS(+1,-1AM,,,,\"PORTAGG\",\"MEAN\"))":-2.60185201207044,"EWC^SIZE(FG_CONSTITUENTS)":88,"QQQ^FMA_RBICS_REV_CURRENT(30, LOC, \"PORTAGG\")":0.834681122892295,"TRYFR10Y-FDS^FG_YIELD_NAME":"France Benchmark Bond - 10 Year","TRYJP10Y-FDS^PCTCHG(FG_YIELD(0,,,,\"YTM\"),FG_YIELD(-3AM,,,,\"YTM\"))":-4.1308823,"TRYCH10Y-FDS^FG_YIELD(0,,,,\"YTM\")":0.431,"CC_NZ^IMF_IFS_RCPI_Q(0)":3.330626,"ENZL^FMA_EVAL_EBIT(LTMA,NOW,NOW,M,\"PORTAGG\",\"MEANR\")":20.9784513508998,"CAGDPY@SE^EE_ACTUAL_ANNUAL(MED,0)":6.4686639012956,"EWC^P_PRICE_RETURNS_PR('52W',2,-10AY,0,AM)":[17.024124,17.14412,2.3330212,5.032742,-1.6264081,-3.1264842,-0.9020865,-5.6856513,-0.1609981,-3.2829225,-10.871637,-17.5179,-19.750845,-24.101513,-11.991156,-22.401827,-17.93716,-27.594692,-24.6329,-10.809231,-14.714593,-13.501846,-9.843058,-0.8186698,5.127239,5.3344846,4.801643,12.321674,22.752619,42.5112,36.7831,16.4495,11.446857,9.446705,10.862279,10.408342,7.810712,16.037512,16.854609,16.712845,11.312938,13.784302,3.6932707,5.15635,7.395923,13.320112,11.34994,7.4207067,6.405127,1.1568189,-3.0596256,-5.9004126,-11.274642,-11.722737,-1.0908008,2.666533,4.124546,-1.3049126,-0.8790016,2.3150563,-0.45426488,4.915142,5.8205843,14.284145,20.933664,19.808662,15.713251,-26.549847,-19.543648,-13.183373,-4.3085394,-5.2925467,5.490446,-1.3183355,1.0293007,0.90886354,7.850361,7.257855,10.356116,77.717125,61.244953,59.30877,48.18146,38.35926,35.148083,35.7844,40.505745,38.405098,21.797121,23.967922,19.475067,14.271569,15.282261,0.25800467,-8.950031,-10.082084,-1.2986481,-8.034897,-19.673275,-11.174411,-10.896492,-8.838081,-7.157898,-13.967067,-8.682812,-2.214706,5.64878,12.685657,-4.2134643,6.3758016,13.012767,0.79967976,10.781706,5.8015227,6.7855477,19.528353,5.7688,13.109863,8.687651,13.326824,18.56581],"TIOS-FDS^FG_PRICE_CHANGE(0,-3AM)":-15.6611039794608,"EWA^FG_PRICE_MAVG(0,,,,200)":23.90375,"FXI^PERCENT_CHANGE(FMA_EPS(+1,0,,,,\"PORTAGG\",\"MEAN\"),FMA_EPS(+1,-3AM,,,,\"PORTAGG\",\"MEAN\"))":2.01982040308954,"EWG^FG_TOTAL_RETURNC(0,-12AM)":16.201485,"EWI^FMA_COS_DOWN(\"EPS\",\"1M\",+1,0,,,\"PORTAGG\",\"MEANR\")":8.0,"EWC^FMA_COS_DOWN(\"EPS\",\"1M\",+1,0,,,\"PORTAGG\",\"MEANR\")":39.0,"EWU^FMA_RBICS_REV_CURRENT(30, LOC, \"PORTAGG\")":19.9086912855245,"REFSEREPO-FDS^PROPER_NAME(0,,,\"SECURITY\",\"NAME\")":"Sweden Repo Rate","REFEUREFI-FDS^FG_YIELD(NOW,,,0)":4.25,"VWO^FMA_EVAL_EBIT(LTMA,NOW,NOW,M,\"PORTAGG\",\"MEANR\")":14.4188626352092,"EWD^JULIAN(FMA_DIV_YLD(NTMA,NOW,NOW,M,\"PORTAGG\",\"MEANR\").DATES)":45504,"QQQ^FMA_EVAL_EBITDA(NTMA,0,,,\"PORTAGG\",\"MEANR\")":16.5258156115049,"EWJ^JULIAN(FMA_DIV_YLD(NTMA,NOW,NOW,M,\"PORTAGG\",\"MEANR\").DATES)":45504,"ENZL^FG_FCF_YIELD_NTM(0)":1.03455282970187,"DBA^P_PRICE(0)/P_PRICE_HIGH_PR(0,,,USD,,,\"PRICE\",\"INTRA\",\"52W\")":0.8964481,"ENZL^FMA_PE(LTM,0,,,\"PORTAGG\",\"MEANR\")":33.7234852328244,"UUP^FG_TOTAL_RETURNC(0,-1AM)":-1.1482239,"CC_GB^IMF_IFS_RCPI_Q(0)":2.8697004,"CC_DE^IMF_IFS_RCPI_Q(0)":2.2863681,"PASP-FDS^FG_PRICE_CHANGE(0,-3AM)":-7.8125,"FXI^PERCENT_CHANGE(FMA_EPS(+1,0,,,,\"PORTAGG\",\"MEAN\"),FMA_EPS(+1,-1AM,,,,\"PORTAGG\",\"MEAN\"))":-0.690716546387292,"VWO^FMA_PCT_ABOVE_MAVG(200,0,,,,\"PORTAGG\")":40.2891670263271,"EWN^FG_TOTAL_RETURNC(0,-1AM)":-4.7427773,"QQQ^FMA_PCT_ABOVE_MAVG(200,0,,,,\"PORTAGG\")":64.7058823529412,"EWG^P_PRICE(0)/P_PRICE_HIGH_PR(0,,,,,,\"PRICE\",\"INTRA\",\"52W\")":0.95885175,"EWA^FMA_PCT_ABOVE_MAVG(200,0,,,,\"PORTAGG\")":67.7966101694915,"EWI^FMA_COS_UP(\"EPS\",\"1M\",+1,0,,,\"PORTAGG\",\"MEANR\")":15.0,"EWL^FMA_RBICS_REV_CURRENT(30, LOC, \"PORTAGG\")":17.4105902747196,"REFCATARG-FDS^(SUBARRAY(NOT_NA(NO_REPEAT_F(FG_YIELD(NOW,-10AY,D))),0,1)-SUBARRAY(NOT_NA(NO_REPEAT_F(FG_YIELD(NOW,-10AY,D))),1,1))*100":-25.0,"TRYJP10Y-FDS^PCTCHG(FG_YIELD(0,,,,\"YTM\"),FG_YIELD(-1AM,,,,\"YTM\"))":-14.01969,"TRYJP10Y-FDS^FG_YIELD(0,,,,\"YTM\")":0.8819,"QQQ^FMA_DIV_YLD(NTMA,NOW,NOW,M,\"PORTAGG\",\"MEANR\")":0.851882293139089,"EWG^FMA_EVAL_EBIT(LTMA,NOW,NOW,M,\"PORTAGG\",\"MEANR\")":13.5846084637074,"ENZL^FMA_DIV_YLD(NTMA,NOW,NOW,M,\"PORTAGG\",\"MEANR\")":2.62513801696002,"EWU^FMA_EVAL_EBIT(LTMA,NOW,NOW,M,\"PORTAGG\",\"MEANR\")":10.718382251084,"TRYCA10Y-FDS^PCTCHG(FG_YIELD(0,,,,\"YTM\"),FG_YIELD(-1AM,,,,\"YTM\"))":-8.389097,"EWG^FMA_PE(NTMA,0,,,\"PORTAGG\",\"MEANR\")":11.4666036268199,"EWC^FG_FCF_YIELD_NTM(0)":6.06053285066062,"EWJ^FG_FCF_YIELD_NTM(0)":4.19363911047175,"EWU^FG_TOTAL_RETURNC(0,-12AM)":20.142387,"ENZL^FG_TOTAL_RETURNC(0,-6AM)":6.2650084,"EWC^FMA_COS_UP(\"EPS\",\"1M\",+1,0,,,\"PORTAGG\",\"MEANR\")":43.0,"EWJ^FMA_RBICS_REV_CURRENT(30, LOC, \"PORTAGG\")":19.3945730460787,"REFCATARG-FDS^PROPER_NAME(0,,,\"SECURITY\",\"NAME\")":"Canada Target Rate","TRYJP10Y-FDS^FG_YIELD_NAME":"Japan Benchmark Bond - 10 Year","VWO^FMA_EVAL_EBITDA(NTMA,0,,,\"PORTAGG\",\"MEANR\")":9.07542359797461,"EWN^FMA_EVAL_EBIT(LTMA,NOW,NOW,M,\"PORTAGG\",\"MEANR\")":21.741520738377,"QQQ^FMA_PE(NTMA,0,,,\"PORTAGG\",\"MEANR\")":26.4615144898674,"ENZL^FMA_PE(NTMA,0,,,\"PORTAGG\",\"MEANR\")":25.8743994410416,"TRYDE10Y-FDS^PCTCHG(FG_YIELD(0,,,,\"YTM\"),FG_YIELD(-3AM,,,,\"YTM\"))":-7.6702237,"DBA^FG_TOTAL_RETURNC(0,-6AM)":9.958506,"TRYCA10Y-FDS^PCTCHG(FG_YIELD(0,,,,\"YTM\"),FG_YIELD(-3AM,,,,\"YTM\"))":-14.075154,"VGK^FMA_EVAL_EBITDA(NTMA,0,,,\"PORTAGG\",\"MEANR\")":8.80440966657383,"EWA^FMA_EVAL_EBITDA(NTMA,0,,,\"PORTAGG\",\"MEANR\")":8.62864195217848,"TRYUS10Y-FDS^PCTCHG(FG_YIELD(0,,,,\"YTM\"),FG_YIELD(-1AM,,,,\"YTM\"))":-6.6083736,"TRYIT10Y-FDS^FG_YIELD_NAME":"Italy Benchmark Bond - 10 Year","CAGDPY@DE^EE_ACTUAL_ANNUAL(MED,0)":6.04937241486179,"EWA^FG_TOTAL_RETURNC(-10AY,0,AM)":[0.18782616,-3.0746162,-7.2727323,4.2136073,-11.569256,4.324472,4.077065,-1.5927613,3.7620187,-0.08431077,-6.4135017,-2.3329735,-6.0992837,-4.8338413,3.5449743,-6.6898346,2.131343,-10.43539,6.5846086,12.64435,1.8964529,-0.85512996,-3.855902,9.071005,2.9931307,-5.7170033,4.598284,-2.6086986,2.0337343,6.966543,3.966403,0.763011,-0.08909106,-1.8724918,0.6815076,2.6599169,2.3809552,0.4826665,0.3930092,-0.69595575,1.3578653,3.8792133,-2.0460367,-0.9138346,-1.2736082,1.5569448,-1.4892697,2.817285,0.044095516,-3.6579967,-4.162854,0.33413172,-4.662222,5.2586794,3.7912369,1.7552257,2.1911383,-1.5054762,2.8716922,3.329277,-5.602491,5.9350014,-0.7558942,2.1953344,2.0439506,3.155136,-2.081573,-37.180042,13.328732,1.523459,18.05104,2.218783,3.836453,-0.3403008,1.219511,8.5301285,7.341957,2.0025134,3.5991788,-0.59218407,4.2891145,0.91394186,2.8859973,-4.7973213,2.8515577,-1.5571594,0.9259224,-0.84097385,-3.6339521,1.9969702,-0.9756088,3.119874,5.0557256,-10.117472,-7.8235207,-0.5193591,9.634554,-8.0519495,-7.8154445,16.036774,-0.42437315,8.104467,-0.7080376,-7.2986546,6.153846,-3.1116784,4.5797586,-0.12859106,-7.1673813,2.820158,-3.3722997,2.280128,8.416748,-1.0661423,2.7272701,1.2642264,-3.2875597,8.132529,-2.2705197,6.226647,-2.5009751],"EWA^FG_PRICE(0)":24.95,"SPY^P_PRICE(0)/P_PRICE_LOW_PR(0,,,,,,\"PRICE\",\"INTRA\",\"52W\")-1":0.35458565,"VGK^FG_TOTAL_RETURNC(0,-12AM)":17.651367,"EWN^PERCENT_CHANGE(FMA_EPS(+1,0,,,,\"PORTAGG\",\"MEAN\"),FMA_EPS(+1,-3AM,,,,\"PORTAGG\",\"MEAN\"))":0.109079423660764,"EWG^FG_TOTAL_RETURNC(0,-6AM)":9.029174,"ENZL^FG_TOTAL_RETURNC(0,-3AM)":6.4750195,"EWD^SIZE(FG_CONSTITUENTS)":45,"REFAUCASH-FDS^(SUBARRAY(NOT_NA(NO_REPEAT_F(FG_YIELD(NOW,-10AY,D))),0,1)-SUBARRAY(NOT_NA(NO_REPEAT_F(FG_YIELD(NOW,-10AY,D))),1,1))*100":25.0,"EWN^FMA_EVAL_EBITDA(NTMA,0,,,\"PORTAGG\",\"MEANR\")":12.1570529157978,"QQQ^FMA_PE(LTM,0,,,\"PORTAGG\",\"MEANR\")":35.0891349259561,"EWG^FMA_EVAL_EBITDA(NTMA,0,,,\"PORTAGG\",\"MEANR\")":8.34943586780527,"VWO^FG_PE_NTM(0,,,90,0)":13.0065338290949,"CC_US^IMF_IFS_RCPI_Q(0)":3.19889,"EWG^FMA_DIV_YLD(NTMA,NOW,NOW,M,\"PORTAGG\",\"MEANR\")":3.40055584457229,"DBA^FG_TOTAL_RETURNC(0,-1AM)":-0.20920038,"EWG^PERCENT_CHANGE(FMA_EPS(+1,0,,,,\"PORTAGG\",\"MEAN\"),FMA_EPS(+1,-3AM,,,,\"PORTAGG\",\"MEAN\"))":-2.31462052507834,"TRYNZ10Y-FDS^FG_YIELD_NAME":"New Zealand Benchmark Bond - 10 Year","EWI^FMA_EVAL_EBITDA(NTMA,0,,,\"PORTAGG\",\"MEANR\")":6.84759953396108,"EWD^FMA_EVAL_EBITDA(NTMA,0,,,\"PORTAGG\",\"MEANR\")":10.6206866548706,"NI-FDS^FG_PRICE_CHANGE(0,-3AM)":-17.7398500129299,"EWI^FG_PRICE_MAVG(0,,,,200)":35.5632,"EWN^PERCENT_CHANGE(FMA_EPS(+1,0,,,,\"PORTAGG\",\"MEAN\"),FMA_EPS(+1,-1AM,,,,\"PORTAGG\",\"MEAN\"))":2.74178017246081,"EWU^P_PRICE(0)/P_PRICE_LOW_PR(0,,,,,,\"PRICE\",\"INTRA\",\"52W\")-1":0.21068358,"ENZL^FG_TOTAL_RETURNC(0,-1AM)":2.9304743,"EWA^SIZE(FG_CONSTITUENTS)":60,"EWG^FMA_RBICS_REV_CURRENT(30, LOC, \"PORTAGG\")":22.7047771550907,"TRYGB10Y-FDS^FG_YIELD_NAME":"United Kingdom Benchmark Bond - 10 Year","REFAUCASH-FDS^FG_YIELD(NOW,,,0)":4.35,"TRYDE10Y-FDS^PCTCHG(FG_YIELD(0,,,,\"YTM\"),FG_YIELD(-1AM,,,,\"YTM\"))":-7.594425,"TRYDE10Y-FDS^FG_YIELD(0,,,,\"YTM\")":2.251,"VWO^FG_FCF_YIELD_NTM(0)":5.35216303707632,"QQQ^JULIAN(FMA_DIV_YLD(NTMA,NOW,NOW,M,\"PORTAGG\",\"MEANR\").DATES)":45504,"ENZL^JULIAN(FMA_DIV_YLD(NTMA,NOW,NOW,M,\"PORTAGG\",\"MEANR\").DATES)":45504,"DBA^FG_TOTAL_RETURNC(0,-3AM)":1.4893651,"EWN^FG_FCF_YIELD_NTM(0)":4.17820702185231,"VWO^JULIAN(FMA_DIV_YLD(NTMA,NOW,NOW,M,\"PORTAGG\",\"MEANR\").DATES)":45471,"EWU^FMA_EVAL_EBITDA(NTMA,0,,,\"PORTAGG\",\"MEANR\")":7.54458096919728,"TRYNL10Y-FDS^FG_YIELD(0,,,,\"YTM\")":2.541,"SPY^FG_TOTAL_RETURNC(0,-6AM)":11.677515,"ENZL^FG_TOTAL_RETURNC(-10AY,0,AM)":[-3.050685,-1.2388527,-3.7129939,7.2173,-1.9441128,3.747964,-2.136296,1.4551997,2.498138,-4.0540576,-5.4044247,-7.507902,-1.562959,-2.9358864,9.524691,-1.9895196,6.469238,-5.1719723,1.4337063,11.13019,7.3120475,-0.28790236,3.6094785,4.0738106,4.836154,-0.99158883,-4.7463536,-4.9142895,-2.3798048,6.9192767,2.4779558,-3.2085478,1.6334414,1.6780853,7.7870727,2.6584387,1.0699749,-1.1221647,1.9914389,-5.50074,6.0208917,2.3694277,0.16690493,2.7286053,1.4801264,-4.815185,6.0243487,-3.3696592,-1.7083347,1.8863916,-3.9317667,4.0926814,-2.829206,4.1959405,4.09956,1.5270233,3.4533978,-0.3921628,-1.7284453,7.800555,-4.066986,0.6905794,1.6764998,-0.07494092,5.7889223,5.6299686,-1.9880056,-27.050179,15.124631,2.1861434,10.031486,6.600356,-0.68205595,4.2479277,3.7120104,7.1905494,2.4689436,-0.32998323,-1.7005205,-0.076550245,-1.1950314,-2.418977,-1.4841378,0.0,-0.52083135,3.534031,-0.31605363,-2.9486358,-4.306179,0.03466606,-6.3929377,2.0544171,-3.6271334,-12.213016,-5.4631233,3.7393928,9.885001,-7.4662867,-13.397127,14.942241,7.0272446,3.6512852,1.108253,-5.1869273,1.7960429,1.5615463,-1.4594734,4.2161226,-9.524745,-4.297805,-0.7257879,1.0738015,6.9846272,0.7653594,-2.333051,-1.1615217,-2.505535,3.5706162,1.1271477,2.2906542,2.9304743],"PLATI-FDS^MAX(FG_PRICE(0,-5AY))":1272.59,"ENZL^FG_PRICE_MAVG(0,,,,200)":45.799683,"VGK^P_PRICE(0)/P_PRICE_LOW_PR(0,,,,,,\"PRICE\",\"INTRA\",\"52W\")-1":0.24990916,"EWG^FG_TOTAL_RETURNC(0,-3AM)":-0.54246783,"ENZL^PERCENT_CHANGE(FMA_EPS(+1,0,,,,\"PORTAGG\",\"MEAN\"),FMA_EPS(+1,-1AM,,,,\"PORTAGG\",\"MEAN\"))":-1.88729989760953,"EWD^FMA_COS_DOWN(\"EPS\",\"1M\",+1,0,,,\"PORTAGG\",\"MEANR\")":22.0,"EWA^FMA_COS_DOWN(\"EPS\",\"1M\",+1,0,,,\"PORTAGG\",\"MEANR\")":37.0,"REFAUCASH-FDS^PROPER_NAME(0,,,\"SECURITY\",\"NAME\")":"Australia Target Cash Rate","EWG^FG_FCF_YIELD_NTM(0)":6.07744550026886,"REFNZOCR-FDS^FG_YIELD(NOW,,,0)":5.25,"EWN^FMA_PE(NTMA,0,,,\"PORTAGG\",\"MEANR\")":14.8162664926652,"QQQ^P_PRICE(0)/P_PRICE_HIGH_PR(0,,,USD,,,\"PRICE\",\"INTRA\",\"52W\")":0.9434183,"CC_JP^IMF_IFS_RCPI_Q(0)":2.7266946,"TLT^FG_TOTAL_RETURNC(0,-1AM)":3.8142562,"QQQ^P_PRICE(0)/P_PRICE_HIGH_PR(0,,,,,,\"PRICE\",\"INTRA\",\"52W\")":0.9434183,"USDITL^STD(FG_PRICE_CHANGE(0,-3AY,M))":2.14381118993651,"EWC^FMA_DIV_YLD(NTMA,-10AY,0,AM,\"PORTAGG\",\"MEANR\")":[2.79609921799111,2.76239348538444,3.08340408845863,2.92683205402861,3.11738383640913,3.02490215774651,2.83919569314153,2.91859170077337,2.82429623122784,2.87728232371908,2.95456687760276,2.98958903117155,3.06878136022445,3.1831746051834,3.17867320621897,3.32042337011003,3.34242959622342,3.64412404871095,3.40918607746421,3.14668686144517,3.11844869880289,3.06282018647717,3.10583223349568,2.99632552911268,2.95477815317667,3.00052497913214,2.96368497944282,2.93603428178864,2.8392288205718,2.81112142195296,2.77597129103482,2.89992476917417,2.93663049030182,2.9555150842386,3.03561012837462,3.04078888631953,3.0646313133737,3.07622990165703,2.95227047654868,2.93540322988947,2.92599443589103,2.9003732070453,3.11203558435758,3.10563011661686,3.21518323969989,3.05660653718118,3.05347109642868,3.04201752208602,3.10661324346765,3.18150356099117,3.30484913284995,3.39395448359306,3.52405817682192,3.41507736286724,3.30233583513369,3.2621944306028,3.19040545399894,3.28648922036319,3.33309653485573,3.30845685089084,3.43608433709241,3.30824873857925,3.36710042334026,3.24121717299692,3.25126513666875,3.22387666370772,3.2083159761728,4.68247408410709,4.16542081781605,3.80079386087974,3.54258384324696,3.4390150007181,3.35474142934162,3.40741591314833,3.39720943577472,3.28647843690131,3.10972392077716,3.03471458206327,2.92013441454684,2.83392024738641,2.7377678768976,2.73044371267063,2.55615523465514,2.7423913748421,2.69263084347066,2.75340356594811,2.71414416229898,2.68303500111127,2.84117499254922,2.76472550600423,2.80992272153986,2.84685525552471,2.84438195246633,3.18730420669065,3.39794267757767,3.52693570596011,3.28808219123308,3.45322396694688,3.65889703986375,3.34383375662431,3.46249639683191,3.35626827084282,3.27801063049412,3.46107696683138,3.25414713795405,3.28993769867635,3.2994765641901,3.21671047969568,3.51240976022536,3.43828310067102,3.6265099140433,3.52938933148508,3.43543309169582,3.35574661875121,3.28432229911472,3.15286422142072,3.16751531155384,3.04665532741072,3.37932120633341,3.20629639833084,3.2251372009338],"VGK^P_PRICE(0)/P_PRICE_HIGH_PR(0,,,,,,\"PRICE\",\"INTRA\",\"52W\")":0.97375304,"EWN^FMA_PCT_ABOVE_MAVG(200,0,,,,\"PORTAGG\")":49.0566037735849,"EWU^P_PRICE(0)/P_PRICE_HIGH_PR(0,,,,,,\"PRICE\",\"INTRA\",\"52W\")":0.9925201,"EWG^FG_TOTAL_RETURNC(0,-1AM)":-0.7271588,"EWN^FMA_COS_UP(\"EPS\",\"1M\",+1,0,,,\"PORTAGG\",\"MEANR\")":26.0,"EWC^FMA_RBICS_REV_CURRENT(30, LOC, \"PORTAGG\")":39.9876322956145,"TRYCA10Y-FDS^FG_YIELD_NAME":"Canada Benchmark Bond - 10 Year","REFNZOCR-FDS^(SUBARRAY(NOT_NA(NO_REPEAT_F(FG_YIELD(NOW,-10AY,D))),0,1)-SUBARRAY(NOT_NA(NO_REPEAT_F(FG_YIELD(NOW,-10AY,D))),1,1))*100":-25.0,"VGK^P_PRICE(0)/P_PRICE_HIGH_PR(0,,,USD,,,\"PRICE\",\"INTRA\",\"52W\")":0.97375304,"EWJ^FMA_EVAL_EBITDA(NTMA,0,,,\"PORTAGG\",\"MEANR\")":9.64827995052018,"TRYGB10Y-FDS^PCTCHG(FG_YIELD(0,,,,\"YTM\"),FG_YIELD(-1AM,,,,\"YTM\"))":-3.8244643,"EWD^FG_PRICE(0)":40.26,"SPY^FG_TOTAL_RETURNC(0,-3AM)":5.1846504,"EWU^FG_TOTAL_RETURNC(0,-6AM)":13.845169,"ENZL^FMA_PCT_ABOVE_MAVG(200,0,,,,\"PORTAGG\")":57.1428571428571,"EWQ^SIZE(FG_CONSTITUENTS)":62,"EWA^FMA_COS_UP(\"EPS\",\"1M\",+1,0,,,\"PORTAGG\",\"MEANR\")":18.0,"EWA^FMA_RBICS_REV_CURRENT(30, LOC, \"PORTAGG\")":43.3292251971782,"TRYAU10Y-FDS^FG_YIELD_NAME":"Australia Benchmark Bond - 10 Year","TRYCA10Y-FDS^FG_YIELD(0,,,,\"YTM\")":3.0664,"VGK^FMA_EVAL_EBIT(LTMA,NOW,NOW,M,\"PORTAGG\",\"MEANR\")":13.2220871239882,"EWN^FMA_DIV_YLD(NTMA,NOW,NOW,M,\"PORTAGG\",\"MEANR\")":2.5472359746539,"EWU^FG_FCF_YIELD_NTM(0)":6.31110004612834,"EWQ^FMA_COS_DOWN(\"EPS\",\"1M\",+1,0,,,\"PORTAGG\",\"MEANR\")":34.0,"EWI^JULIAN(FMA_DIV_YLD(NTMA,NOW,NOW,M,\"PORTAGG\",\"MEANR\").DATES)":45504,"PLATI-FDS^FG_PRICE_CHANGE(0,-6AM)":5.0,"EWN^FG_PRICE_MAVG(0,,,,200)":47.26966,"EWQ^FG_TOTAL_RETURNC(0,-12AM)":6.930506,"EWJ^FMA_EVAL_EBIT(LTMA,NOW,NOW,M,\"PORTAGG\",\"MEANR\")":17.3646110491197,"USDANG^STD(FG_PRICE_CHANGE(0,-3AY,M))":0.0594600681310969,"EWN^FG_PRICE_MAVG(0,,,,60)":50.276585,"SPY^FG_TOTAL_RETURNC(0,-1AM)":-1.8677175,"EWQ^FG_TOTAL_RETURNC(0,-3AM)":-5.9432387,"EWU^FG_TOTAL_RETURNC(0,-3AM)":1.4855504,"FXI^SIZE(FG_CONSTITUENTS)":52,"SPY^SIZE(FG_CONSTITUENTS)":503,"ENZL^SIZE(FG_CONSTITUENTS)":14,"ENZL^FMA_RBICS_REV_CURRENT(30, LOC, \"PORTAGG\")":14.3368259139163,"TRYAU10Y-FDS^PCTCHG(FG_YIELD(0,,,,\"YTM\"),FG_YIELD(-1AM,,,,\"YTM\"))":-7.596424,"VGK^FG_FCF_YIELD_NTM(0)":5.31320281987265,"EWU^FMA_DIV_YLD(NTMA,NOW,NOW,M,\"PORTAGG\",\"MEANR\")":3.83623131888061,"PLATI-FDS^FG_PRICE_CHANGE(0,-3AM)":-11.3508442776735,"EWQ^FG_PRICE_MAVG(0,,,,200)":39.229027,"VGK^FMA_PCT_ABOVE_MAVG(200,0,,,,\"PORTAGG\")":60.1114649681529,"EWQ^FG_TOTAL_RETURNC(0,-1AM)":-0.5638182,"EWG^PERCENT_CHANGE(FMA_EPS(+1,0,,,,\"PORTAGG\",\"MEAN\"),FMA_EPS(+1,-1AM,,,,\"PORTAGG\",\"MEAN\"))":-0.234023240039739,"FXI^FMA_COS_DOWN(\"EPS\",\"1M\",+1,0,,,\"PORTAGG\",\"MEANR\")":26.0,"ENZL^FMA_COS_UP(\"EPS\",\"1M\",+1,0,,,\"PORTAGG\",\"MEANR\")":4.0,"REFNZOCR-FDS^PROPER_NAME(0,,,\"SECURITY\",\"NAME\")":"New Zealand Official Cash Rate","TRYNZ10Y-FDS^PCTCHG(FG_YIELD(0,,,,\"YTM\"),FG_YIELD(-1AM,,,,\"YTM\"))":-5.553009,"VGK^FMA_DIV_YLD(NTMA,NOW,NOW,M,\"PORTAGG\",\"MEANR\")":3.52165449967514,"EWN^FMA_PE(LTM,0,,,\"PORTAGG\",\"MEANR\")":21.4259854607037,"EWG^FMA_PE(LTM,0,,,\"PORTAGG\",\"MEANR\")":14.5431532300279,"EWC^FMA_EVAL_EBIT(LTMA,NOW,NOW,M,\"PORTAGG\",\"MEANR\")":16.1864141181083,"EWU^FMA_COS_DOWN(\"EPS\",\"1M\",+1,0,,,\"PORTAGG\",\"MEANR\")":41.0,"EWA^FMA_PE(NTMA,0,,,\"PORTAGG\",\"MEANR\")":17.1036307265672,"EWI^FMA_PE(NTMA,-10AY,0,AM,\"PORTAGG\",\"MEANR\")":[13.0386173985438,13.8288748823898,11.8026050763357,12.566323629492,12.249040374154,12.9713912814776,14.62394735332,15.6682586347601,16.0604617587713,15.8818995502097,14.8238715000992,15.5350965615758,15.2929084118395,14.5294884754056,14.6660591370084,14.4954400382812,14.0255686341448,12.9375630811572,12.1784656474047,13.5582936736588,13.2821762419877,13.5545697080891,11.9356926695756,12.3935258935753,12.5803707719184,11.6759630743512,11.7829982941884,11.6351652550286,13.4700170878655,13.4553553952506,13.1637717816934,13.5295350513745,12.9901808620348,13.9697669882837,13.356857243235,13.5759248046259,13.4615028725006,13.4115433631384,13.5215260899196,13.1950811247301,13.2084720865987,13.6383878956964,12.7056101915544,12.70020595427,12.820069939293,12.6182971541364,11.6888328349106,11.3800393884653,10.7526949408193,10.7260255709366,10.1129146886518,9.58884661010097,9.49309686499545,9.7788904758192,10.3589539345726,10.6705866578494,10.9123608085454,10.4757576119529,10.1996098077383,10.9488944485688,10.0166494519419,10.7808121515061,10.9598586537165,11.3768361901244,11.4254642087284,11.5660982154679,11.8433227288521,7.52269483186945,10.8702328629536,14.359446378954,17.5495759585547,17.8235612613643,16.5140518104341,15.6931504244766,14.6175666502017,14.9477193752262,14.8996712126463,14.5483480324116,14.2941496463946,14.0694540996466,13.9800235170131,13.3196482716872,13.8269266040926,12.968662598616,12.3284068247208,11.7037795137397,11.7498462835517,11.8294821835114,10.8967312024627,11.077434246242,10.654279510034,9.60777046456629,9.73310447423821,9.16572929612224,7.87310050970064,7.47688408055032,7.75452787278004,7.68022288790052,7.30226109134474,8.29964472312996,7.59605159606092,8.21542692016361,8.52435591878545,8.10937577142377,8.77301863021218,8.31279980770768,8.79828247641717,8.82770551554842,8.22617090814103,8.49895664906106,8.19883240721131,8.23393902382804,8.8535870516537,8.97596431120255,9.00212194058697,9.62361714977697,9.43669904348398,9.95382953658455,9.21599240583638,9.67060798713912,9.35971715863598],"SPY^PERCENT_CHANGE(FMA_EPS(+1,0,,,,\"PORTAGG\",\"MEAN\"),FMA_EPS(+1,-1AM,,,,\"PORTAGG\",\"MEAN\"))":-0.301641300615054,"EWI^FG_TOTAL_RETURNC(0,-12AM)":23.0484,"EWQ^PERCENT_CHANGE(FMA_EPS(+1,0,,,,\"PORTAGG\",\"MEAN\"),FMA_EPS(+1,-3AM,,,,\"PORTAGG\",\"MEAN\"))":-2.85826662388115,"EWU^FG_TOTAL_RETURNC(0,-1AM)":1.8704653,"EWG^FMA_PCT_ABOVE_MAVG(200,0,,,,\"PORTAGG\")":44.8275862068966,"SPY^FMA_COS_DOWN(\"EPS\",\"1M\",+1,0,,,\"PORTAGG\",\"MEANR\")":188.0,"EWI^FG_ROE(0)":12.8099556964093,"TRYIT10Y-FDS^PCTCHG(FG_YIELD(0,,,,\"YTM\"),FG_YIELD(-3AM,,,,\"YTM\"))":-1.9433205,"TRYAU10Y-FDS^FG_YIELD(0,,,,\"YTM\")":3.929,"EWU^FMA_PE(NTMA,0,,,\"PORTAGG\",\"MEANR\")":11.5414386627185,"EWI^P_PRICE(0)/P_PRICE_LOW_PR(0,,,,,,\"PRICE\",\"INTRA\",\"52W\")-1":0.28244007,"EWL^FG_TOTAL_RETURNC(0,-12AM)":13.675821,"FXI^FMA_COS_UP(\"EPS\",\"1M\",+1,0,,,\"PORTAGG\",\"MEANR\")":20.0,"EWD^FG_ROE(0)":17.0212977245008,"VGK^FG_PE_NTM(0,,,90,0)":13.1801804676669,"EWN^JULIAN(FMA_DIV_YLD(NTMA,NOW,NOW,M,\"PORTAGG\",\"MEANR\").DATES)":45504,"EWU^FMA_PE(LTM,0,,,\"PORTAGG\",\"MEANR\")":13.7985240976146,"EWC^FMA_EVAL_EBITDA(NTMA,0,,,\"PORTAGG\",\"MEANR\")":9.77188247658788,"EWJ^P_PRICE(0)/P_PRICE_HIGH_PR(0,,,USD,,,\"PRICE\",\"INTRA\",\"52W\")":0.9626032,"UUP^P_PRICE(0)/P_PRICE_HIGH_PR(0,,,USD,,,\"PRICE\",\"INTRA\",\"52W\")":0.94181997,"EWQ^FMA_EVAL_EBITDA(NTMA,0,,,\"PORTAGG\",\"MEANR\")":8.92100961878888,"UUP^FG_TOTAL_RETURNC(0,-6AM)":1.1391997,"EWC^FG_ROE(0)":10.9163800326979,"TRYFR10Y-FDS^PCTCHG(FG_YIELD(0,,,,\"YTM\"),FG_YIELD(-1AM,,,,\"YTM\"))":-3.4304192,"EWA^FMA_DIV_YLD(NTMA,NOW,NOW,M,\"PORTAGG\",\"MEANR\")":3.77622152151114,"EWA^FG_TOTAL_RETURNC(0,-3AM)":1.2183666,"ENZL^FMA_PE(NTMA,-10AY,0,AM,\"PORTAGG\",\"MEANR\")":[17.0640200899694,17.0341245968389,16.7302512051919,18.0887700874356,17.9743574826411,18.5478301470677,19.1156929591577,19.0475060095657,18.5215327668944,18.1577481272639,18.0542279757561,18.0773175241054,17.6332274882663,17.4506575992936,17.6236065596109,17.7891486678597,17.8731074211231,17.7346036848985,17.1496034973417,18.2722995704497,18.8865434485466,19.2064760656178,19.0378773433585,19.4934640363663,20.2194074223236,20.1995497998947,19.5570707349898,18.632286717867,18.1634957042499,18.8846328835275,18.9688462448322,18.7471037774736,19.1344785577349,19.486240618906,19.5568107789944,19.5406576428484,20.1635517115282,19.6407115554074,20.0499256824714,20.201307470814,20.8536530945937,20.4579057258749,20.2818365986933,20.4977190042163,20.1675798613072,20.2651524617574,21.3804673046245,21.1409582138457,21.2151690559474,21.6314765735712,20.2455425515248,20.0735276404331,19.8036342433682,20.4931995986364,21.018988736511,21.6177622744923,22.4737219934503,23.0556579946941,23.0706827575816,24.191847187093,24.0303312312609,25.8060186908723,25.8102968824726,24.6853752436586,25.4270366360189,26.2023932143187,26.9623565295904,21.7684167298187,28.1347287606861,30.4586867154365,29.8578998324413,31.7319903751903,31.6471773114076,32.1907214391622,33.0706454167922,33.2712358599136,32.8188138503704,33.6408252776016,32.1505151930022,33.0111907398619,32.3808061431811,32.2486049547337,33.1123603581491,34.2078054989961,33.759776767319,34.4844482958163,33.6539615726834,32.9744780911616,32.0281995758889,31.1557608205407,29.8587730991169,28.7379376770919,28.2102626122451,27.2178545582884,25.1188405679088,25.9082971592332,26.94127176057,26.2433274484386,23.3419069846685,23.3142239474001,23.4464203034505,23.5995512556761,24.8043514335296,22.6633295958524,23.2708380093378,23.5616687380488,20.8172027291688,21.1091961032779,20.3395616142493,20.2764060189715,19.674100844015,20.2227142506854,22.5581462534968,22.7095763229251,22.2964802939291,24.8757284096406,24.7730176784478,25.4977334054817,24.3758710559105,25.0907051356053,25.8743994410416],"CPALM-FDS^FG_PRICE_CHANGE(0,-3AM)":1.28171592989799,"EWQ^FG_PRICE(0)":38.8,"EWL^P_PRICE(0)/P_PRICE_LOW_PR(0,,,,,,\"PRICE\",\"INTRA\",\"52W\")-1":0.22166061,"EWC^FG_TOTAL_RETURNC(0,-12AM)":18.56581,"SPY^FMA_COS_UP(\"EPS\",\"1M\",+1,0,,,\"PORTAGG\",\"MEANR\")":271.0,"REFFFUND-FDS^PROPER_NAME(0,,,\"SECURITY\",\"NAME\")":"US Federal Funds Target Rate","TRYIT10Y-FDS^PCTCHG(FG_YIELD(0,,,,\"YTM\"),FG_YIELD(-1AM,,,,\"YTM\"))":-2.1809394,"TRYIT10Y-FDS^FG_YIELD(0,,,,\"YTM\")":3.633,"GLD^P_PRICE(0)/P_PRICE_HIGH_PR(0,,,USD,,,\"PRICE\",\"INTRA\",\"52W\")":0.9998707,"GLD^FG_TOTAL_RETURNC(0,-6AM)":24.498236,"EWL^FG_FCF_YIELD_NTM(0)":4.75817396710433,"GLD^FG_TOTAL_RETURNC(0,-1AM)":1.6207457,"W-FDS^MAX(FG_PRICE(0,-5AY))":14.2525,"EWI^FG_TOTAL_RETURNC(0,-3AM)":-2.7505338,"EWL^P_PRICE(0)/P_PRICE_HIGH_PR(0,,,,,,\"PRICE\",\"INTRA\",\"52W\")":0.99940926,"QQQ^SIZE(FG_CONSTITUENTS)":102,"EWN^FG_ROE(0)":10.8872004044461,"TRYNZ10Y-FDS^FG_YIELD(0,,,,\"YTM\")":4.1296,"VGK^FG_PE(0)":14.2394767926223,"EWQ^FMA_DIV_YLD(NTMA,NOW,NOW,M,\"PORTAGG\",\"MEANR\")":3.36374699550191,"EWU^JULIAN(FMA_DIV_YLD(NTMA,NOW,NOW,M,\"PORTAGG\",\"MEANR\").DATES)":45504,"EWC^FMA_DIV_YLD(NTMA,NOW,NOW,M,\"PORTAGG\",\"MEANR\")":3.17891549157968,"UUP^FG_TOTAL_RETURNC(0,-3AM)":-0.5252063,"EWQ^FMA_PE(NTMA,0,,,\"PORTAGG\",\"MEANR\")":13.3243137118773,"EWL^FMA_DIV_YLD(NTMA,NOW,NOW,M,\"PORTAGG\",\"MEANR\")":3.13806934766237,"ENZL^FG_ROE(0)":4.96208902768566,"USDGBP^STD(FG_PRICE_CHANGE(0,-3AY,M))":2.35418337899108,"SPY^FG_PRICE_MAVG(0,,,,200)":505.144,"EWL^FG_TOTAL_RETURNC(0,-3AM)":6.154871,"EWC^P_PRICE(0)/P_PRICE_LOW_PR(0,,,,,,\"PRICE\",\"INTRA\",\"52W\")-1":0.25023878,"TRYSE10Y-FDS^PCTCHG(FG_YIELD(0,,,,\"YTM\"),FG_YIELD(-3AM,,,,\"YTM\"))":-13.705801,"VGK^JULIAN(FMA_DIV_YLD(NTMA,NOW,NOW,M,\"PORTAGG\",\"MEANR\").DATES)":45471,"EWC^FMA_PE(NTMA,0,,,\"PORTAGG\",\"MEANR\")":14.2279723835365,"EWA^FMA_EVAL_EBIT(LTMA,NOW,NOW,M,\"PORTAGG\",\"MEANR\")":12.63658742452,"SPY^FMA_PE(NTMA,0,,,\"PORTAGG\",\"MEANR\")":21.0093189191788,"EWD^PERCENT_CHANGE(FMA_EPS(+1,0,,,,\"PORTAGG\",\"MEAN\"),FMA_EPS(+1,-1AM,,,,\"PORTAGG\",\"MEAN\"))":1.5498400959577,"EWD^FMA_PE(LTMA,-10AY,0,AM,\"PORTAGG\",\"MEANR\")":[15.8467368467113,15.9558625735944,14.9543258481942,16.6901899666018,17.048064177246,17.5544061642548,19.8055481475861,20.1576731537497,19.8219474632278,19.1114074178986,18.8199751531896,18.8338914133012,18.3313752336614,17.172437233431,16.7426664253363,16.5761244365088,16.0560396300526,14.3421430706431,14.7432067654417,15.6235376754082,15.6474832747269,15.4429262470632,15.13813574604,15.625956962513,15.998193610726,15.9985532918426,16.991402583098,17.0955159813632,18.3076274568384,18.2725905117401,17.507353131223,17.5219169483573,17.5466888677906,18.1626938427503,17.6291685266696,17.754015336923,16.9057491067252,17.1160699356948,17.5569014970603,18.211301589655,17.9363220514309,18.1579874905449,16.7432305380009,16.9421789863474,16.7668742055576,16.8230965156004,16.5028487680024,16.4610141023495,16.5205923976459,16.6834820016777,15.8200523332528,14.9035903354192,14.3820283354306,15.0298177002092,18.4479125766109,18.0511342966918,17.8420120255882,17.5598975828206,17.1475509181977,17.0705017433031,15.7827561307167,16.3513595172793,16.5616069610031,16.2161605321635,16.2444828735296,16.7986879022776,14.4328542457544,12.352232157742,13.7870634492115,14.7482421051689,16.5510723743453,18.1620016609282,17.545144135662,17.9906984525651,16.3466894408457,16.5654776152272,17.1525465084288,18.5501347110363,17.7347108682397,17.9683776749166,18.4927555106075,17.5620535084894,17.9959496654959,17.7452544360977,17.4910281344679,17.5125185130632,17.4586745368411,16.8363972437051,16.2323494269337,15.885902990212,12.2370708842814,11.9482313316926,12.2079750016278,13.3224931578709,13.0990640303301,13.7600378546787,15.050524539738,14.5486997183062,14.6503522510919,14.0159293067956,15.2740205501084,16.6364783151136,26.3678927819856,24.9134620225227,23.9486430647459,22.5967582312796,21.5562268102151,20.2700255071073,18.5987757926757,17.4346348008194,16.2094178005298,15.7617440423907,18.2413426775017,17.1415565400356,15.4670100612724,15.9356212336064,15.8763614335441,16.1110733764282,15.9635383846393,16.5962640960198,16.1711553167912],"EWI^PERCENT_CHANGE(FMA_EPS(+1,0,,,,\"PORTAGG\",\"MEAN\"),FMA_EPS(+1,-3AM,,,,\"PORTAGG\",\"MEAN\"))":-2.59013553514201,"EWC^FG_TOTAL_RETURNC(0,-1AM)":0.6149173,"QQQ^FMA_COS_DOWN(\"EPS\",\"1M\",+1,0,,,\"PORTAGG\",\"MEANR\")":38.0,"EWQ^FG_ROE(0)":12.1904058253283,"REFGBBANK-FDS^(SUBARRAY(NOT_NA(NO_REPEAT_F(FG_YIELD(NOW,-10AY,D))),0,1)-SUBARRAY(NOT_NA(NO_REPEAT_F(FG_YIELD(NOW,-10AY,D))),1,1))*100":-25.0,"TRYSE10Y-FDS^PCTCHG(FG_YIELD(0,,,,\"YTM\"),FG_YIELD(-1AM,,,,\"YTM\"))":-5.088812,"TRYSE10Y-FDS^FG_YIELD(0,,,,\"YTM\")":1.977,"EWQ^FMA_PE(LTM,0,,,\"PORTAGG\",\"MEANR\")":16.2914922576744,"EWL^FMA_EVAL_EBIT(LTMA,NOW,NOW,M,\"PORTAGG\",\"MEANR\")":16.7687950000665,"EWC^FMA_PE(LTM,0,,,\"PORTAGG\",\"MEANR\")":17.7078884920281,"SPY^P_PRICE(0)/P_PRICE_HIGH_PR(0,,,USD,,,\"PRICE\",\"INTRA\",\"52W\")":0.98080194,"EWJ^FG_PRICE_MAVG(0,,,,200)":66.9138,"W-FDS^FG_PRICE_CHANGE(0,-6AM)":-5.44157002676183,"EWL^FG_TOTAL_RETURNC(0,-1AM)":2.4419785,"EWC^PERCENT_CHANGE(FMA_EPS(+1,0,,,,\"PORTAGG\",\"MEAN\"),FMA_EPS(+1,-3AM,,,,\"PORTAGG\",\"MEAN\"))":-0.34066240442576,"QQQ^FG_ROE(0)":22.4092141065459,"REFGBBANK-FDS^FG_YIELD(NOW,,,0)":5.0,"CC_SE^IMF_IFS_RCPI_Q(0)":3.39215,"EWI^FMA_EVAL_EBIT(LTMA,NOW,NOW,M,\"PORTAGG\",\"MEANR\")":11.028496636399,"EWQ^JULIAN(FMA_DIV_YLD(NTMA,NOW,NOW,M,\"PORTAGG\",\"MEANR\").DATES)":45504,"EWL^FMA_EVAL_EBITDA(NTMA,0,,,\"PORTAGG\",\"MEANR\")":13.16724981748,"EWC^JULIAN(FMA_DIV_YLD(NTMA,NOW,NOW,M,\"PORTAGG\",\"MEANR\").DATES)":45504,"EWI^PERCENT_CHANGE(FMA_EPS(+1,0,,,,\"PORTAGG\",\"MEAN\"),FMA_EPS(+1,-1AM,,,,\"PORTAGG\",\"MEAN\"))":-0.625431304360928,"EWC^PERCENT_CHANGE(FMA_EPS(+1,0,,,,\"PORTAGG\",\"MEAN\"),FMA_EPS(+1,-1AM,,,,\"PORTAGG\",\"MEAN\"))":0.528628050586544,"REFGBBANK-FDS^PROPER_NAME(0,,,\"SECURITY\",\"NAME\")":"UK Bank Rate","TRYNL10Y-FDS^PCTCHG(FG_YIELD(0,,,,\"YTM\"),FG_YIELD(-3AM,,,,\"YTM\"))":-6.7522945,"CC_FR^IMF_IFS_RCPI_Q(0)":2.2093682,"EWI^FMA_PE(NTMA,0,,,\"PORTAGG\",\"MEANR\")":9.35971715863598,"TLT^FG_TOTAL_RETURNC(0,-3AM)":6.9541574,"USDJPY^STD(FG_PRICE_CHANGE(0,-3AY,M))":3.28220732526,"EWN^FMA_PE(LTMA,-10AY,0,AM,\"PORTAGG\",\"MEANR\")":[16.1897218337818,16.6877854928651,15.4668372402144,17.2602401688342,16.9617681812302,18.0903629750486,19.2336068246071,20.1389863282739,19.9170438529173,19.5093799629052,19.0014156233868,19.284163367328,18.3055441095897,17.2440466564245,17.0951651431467,17.7304318431209,17.0663526988765,15.4322461669667,15.2647591222672,16.4217550494175,16.3943449715269,16.1280275462111,15.7097840906727,15.9679326579155,16.147997569841,15.7667852999638,15.8482008666429,15.5562786026509,16.0828483935714,16.4408764074805,16.4231816606853,16.5057542637552,16.5432632357665,16.7734238860261,16.6509615733331,16.6944146245128,16.7276863914699,16.8225910485489,17.2804654711991,17.2307310106858,17.3229362218578,17.5434959977671,16.5216428307624,16.6538081729037,16.6078470923308,16.6249655938397,16.7172467067895,16.6268603676618,16.5394395288418,16.2832623845787,15.7243314020097,15.5141100341062,14.906782510018,14.6524500454614,16.1285688908039,16.2048847857321,16.286156232401,16.2498886527787,16.2267685845179,16.5169025212323,16.228982432431,17.021795047751,17.2313629145876,18.0084996360855,18.6827685760579,18.741232185695,20.0281500792543,16.5397847353607,17.4320097929806,17.8380909301842,19.3195030663622,20.2313082697325,20.8915007357496,21.749540674935,22.6582798999587,24.7309409511559,26.4083753872388,28.2860812933856,30.3046010133506,28.7311273639059,28.4545424100345,27.3622205377843,26.9779107558383,26.2391932366508,25.9323707544535,25.6534828530021,24.5033950102325,24.5335886597532,22.2861852925822,21.8209922576343,19.9863165060518,18.373271671994,18.4235799508094,17.9699318343855,17.6500950681283,18.2656763546865,19.7644095043033,18.0711075356129,16.699435790248,18.4407829938161,18.0166292785971,19.3902702993623,21.6810559958198,20.3595063304116,20.1749445568688,19.5943517263031,19.3670693149027,19.3483048509049,18.1664378965573,17.2868271254716,16.3634336100538,16.474449837969,16.9924762611066,16.3141331060818,17.9061549456554,18.4043879530609,18.2644444457686,18.3554505506873,18.3503537415047,18.5054186486027,17.367002839806],"QQQ^FG_PRICE(0)":475.03,"QQQ^FMA_COS_UP(\"EPS\",\"1M\",+1,0,,,\"PORTAGG\",\"MEANR\")":50.0,"EWL^FG_ROE(0)":19.3474297340195,"TRYSE10Y-FDS^FG_YIELD_NAME":"Sweden Benchmark Bond - 10 Year","SPY^FMA_EVAL_EBIT(LTMA,NOW,NOW,M,\"PORTAGG\",\"MEANR\")":20.7443078832951,"W-FDS^FG_PRICE_CHANGE(0,-3AM)":-20.0904636260837,"EWU^FG_PRICE_MAVG(0,,,,200)":33.9067,"URTH^P_PRICE(0)/P_PRICE_LOW_PR(0,,,,,,\"PRICE\",\"INTRA\",\"52W\")-1":0.31394958,"EWL^PERCENT_CHANGE(FMA_EPS(+1,0,,,,\"PORTAGG\",\"MEAN\"),FMA_EPS(+1,-3AM,,,,\"PORTAGG\",\"MEAN\"))":2.31854196832673,"EWA^FG_TOTAL_RETURNC(0,-12AM)":20.019638,"EWJ^SIZE(FG_CONSTITUENTS)":205,"EWU^SIZE(FG_CONSTITUENTS)":81,"EWJ^FG_ROE(0)":9.34934263092504,"DDR3512M-FDS^MAX(FG_PRICE(0,-5AY))":3.3053632,"EWU^FG_PRICE_MAVG(0,,,,60)":35.586834,"EWI^FMA_PCT_ABOVE_MAVG(200,0,,,,\"PORTAGG\")":56.0,"EWL^PERCENT_CHANGE(FMA_EPS(+1,0,,,,\"PORTAGG\",\"MEAN\"),FMA_EPS(+1,-1AM,,,,\"PORTAGG\",\"MEAN\"))":3.20441180065938,"URTH^FMA_COS_DOWN(\"EPS\",\"1M\",+1,0,,,\"PORTAGG\",\"MEANR\")":580.0,"EWG^FG_ROE(0)":10.763845408683,"REFCHMPR-FDS^(SUBARRAY(NOT_NA(NO_REPEAT_F(FG_YIELD(NOW,-10AY,D))),0,1)-SUBARRAY(NOT_NA(NO_REPEAT_F(FG_YIELD(NOW,-10AY,D))),1,1))*100":-25.0,"TRYNL10Y-FDS^PCTCHG(FG_YIELD(0,,,,\"YTM\"),FG_YIELD(-1AM,,,,\"YTM\"))":-6.4777374,"EWI^FG_FCF_YIELD_NTM(0)":5.76339992315579,"SPY^FMA_EVAL_EBITDA(NTMA,0,,,\"PORTAGG\",\"MEANR\")":14.4361096335549,"GLD^FG_TOTAL_RETURNC(0,-3AM)":5.4356217,"EWA^P_PRICE(0)/P_PRICE_LOW_PR(0,,,,,,\"PRICE\",\"INTRA\",\"52W\")-1":0.21945274,"URTH^FMA_COS_UP(\"EPS\",\"1M\",+1,0,,,\"PORTAGG\",\"MEANR\")":696.0,"USDCAD^STD(FG_PRICE_CHANGE(0,-3AY,M))":1.78482769575188,"EWL^FG_PRICE_MAVG(0,,,,200)":47.3759,"URTH^P_PRICE(0)/P_PRICE_HIGH_PR(0,,,,,,\"PRICE\",\"INTRA\",\"52W\")":0.9823361,"EWD^FG_TOTAL_RETURNC(0,-12AM)":26.034092,"BRENT-FDS^FG_PRICE_CHANGE(0,-3AM)":0.0,"EWL^FMA_PCT_ABOVE_MAVG(200,0,,,,\"PORTAGG\")":58.695652173913,"VWO^SIZE(FG_CONSTITUENTS)":4764,"EWA^FG_ROE(0)":12.3961533148973,"REFCHMPR-FDS^FG_YIELD(NOW,,,0)":1.25,"CC_CH^IMF_IFS_RCPI_Q(0)":1.3619826,"EWI^FMA_DIV_YLD(NTMA,NOW,NOW,M,\"PORTAGG\",\"MEANR\")":5.34259311522257,"SPY^FG_FCF_YIELD_NTM(0)":4.10500027653605,"EWL^FMA_PE(LTM,0,,,\"PORTAGG\",\"MEANR\")":21.4636018977828,"EWA^FG_FCF_YIELD_NTM(0)":4.97869446882147,"TLT^P_PRICE(0)/P_PRICE_HIGH_PR(0,,,USD,,,\"PRICE\",\"INTRA\",\"52W\")":0.96887743,"SPY^FMA_DIV_YLD(NTMA,NOW,NOW,M,\"PORTAGG\",\"MEANR\")":1.40219317536276,"EWL^JULIAN(FMA_DIV_YLD(NTMA,NOW,NOW,M,\"PORTAGG\",\"MEANR\").DATES)":45504,"TLT^FG_TOTAL_RETURNC(0,-6AM)":7.151246,"DDR3512M-FDS^FG_PRICE_CHANGE(0,-6AM)":-9.06693492025554,"COPP-FDS^MAX(FG_PRICE(0,-5AY))":5.119,"URTH^FG_TOTAL_RETURNC(0,-6AM)":10.068071,"EWD^P_PRICE(0)/P_PRICE_LOW_PR(0,,,,,,\"PRICE\",\"INTRA\",\"52W\")-1":0.31204164,"EWA^P_PRICE(0)/P_PRICE_HIGH_PR(0,,,,,,\"PRICE\",\"INTRA\",\"52W\")":0.96818006,"VWO^FMA_COS_UP(\"EPS\",\"1M\",+1,0,,,\"PORTAGG\",\"MEANR\")":818.0,"EWU^FMA_COS_UP(\"EPS\",\"1M\",+1,0,,,\"PORTAGG\",\"MEANR\")":31.0,"REFCHMPR-FDS^PROPER_NAME(0,,,\"SECURITY\",\"NAME\")":"Swiss Policy Rate - Sight Deposit Rate","TRYFR10Y-FDS^FG_YIELD(0,,,,\"YTM\")":2.984,"USDNZD^STD(FG_PRICE_CHANGE(0,-3AY,M))":3.47996847402444,"EWL^FG_PRICE(0)":50.76,"EWA^FG_TOTAL_RETURNC(0,-6AM)":7.1899533,"DDR3512M-FDS^FG_PRICE_CHANGE(0,-3AM)":-8.37347737195206,"URTH^FG_TOTAL_RETURNC(0,-1AM)":-1.6894937,"EWD^PERCENT_CHANGE(FMA_EPS(+1,0,,,,\"PORTAGG\",\"MEAN\"),FMA_EPS(+1,-3AM,,,,\"PORTAGG\",\"MEAN\"))":-1.17770696632146,"VGK^SIZE(FG_CONSTITUENTS)":1283,"REFJPTON-FDS^(SUBARRAY(NOT_NA(NO_REPEAT_F(FG_YIELD(NOW,-10AY,D))),0,1)-SUBARRAY(NOT_NA(NO_REPEAT_F(FG_YIELD(NOW,-10AY,D))),1,1))*100":15.0,"TRYGB10Y-FDS^PCTCHG(FG_YIELD(0,,,,\"YTM\"),FG_YIELD(-3AM,,,,\"YTM\"))":-3.3267617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82371,2.66234515884581,2.58388720632297,2.86470858427176],"COPP-FDS^FG_PRICE_CHANGE(0,-6AM)":7.54299114121939,"USO^P_PRICE(0)/P_PRICE_HIGH_PR(0,,,USD,,,\"PRICE\",\"INTRA\",\"52W\")":0.9149982,"VWO^P_PRICE(0)/P_PRICE_LOW_PR(0,,,,,,\"PRICE\",\"INTRA\",\"52W\")-1":0.19423306,"EWD^FMA_PCT_ABOVE_MAVG(200,0,,,,\"PORTAGG\")":54.5454545454545,"VGK^FMA_COS_DOWN(\"EPS\",\"1M\",+1,0,,,\"PORTAGG\",\"MEANR\")":488.0,"EWG^FMA_COS_DOWN(\"EPS\",\"1M\",+1,0,,,\"PORTAGG\",\"MEANR\")":29.0,"REFJPTON-FDS^FG_YIELD(NOW,,,0)":0.25,"CC_CA^IMF_IFS_RCPI_Q(0)":2.7411842,"EWD^FG_FCF_YIELD_NTM(0)":5.24833127396306,"SPY^FMA_PE(LTM,0,,,\"PORTAGG\",\"MEANR\")":25.8754509108385,"EWJ^FMA_DIV_YLD(NTMA,NOW,NOW,M,\"PORTAGG\",\"MEANR\")":2.27785188763996,"EWA^FMA_PE(LTM,0,,,\"PORTAGG\",\"MEANR\")":19.018126496452,"USO^FG_TOTAL_RETURNC(0,-6AM)":3.9640307,"EWA^JULIAN(FMA_DIV_YLD(NTMA,NOW,NOW,M,\"PORTAGG\",\"MEANR\").DATES)":45504,"QQQ^FMA_EVAL_EBIT(LTMA,NOW,NOW,M,\"PORTAGG\",\"MEANR\")":24.4050700050301,"DUMMY^ECON_DATE(45400,,, 'MM/YYYY')":"04/2024","DUMMY^ECON_DATE(45491,,, 'MM/YYYY')":"07/2024","CC_AU^IMF_IFS_RCPI_Q(-1AM)":null,"DUMMY^ECON_EXPR_DATA('FDS_ECON[NTCPMIMFGSA@NZ]',07/2024,,Q)":45.437874,"DUMMY^ECON_EXPR_DATA('FDS_ECON[NTCPMIMFGSA@NZ]',04/2024,,Q)":47.78823,"DUMMY^ECON_EXPR_DATA('FDS_ECON[NTCPMIMFGSA@AU]',07/2024,,Q)":48.811333,"DUMMY^ECON_EXPR_DATA('FDS_ECON[NTCPMIMFGSA@AU]',04/2024,,Q)":48.39547,"DUMMY^ECON_EXPR_DATA('FDS_ECON[NTCPMIMFGSA@CA]',07/2024,,Q)":49.331886,"DUMMY^ECON_EXPR_DATA('FDS_ECON[NTCPMIMFGSA@CA]',04/2024,,Q)":49.30091,"DUMMY^ECON_EXPR_DATA('FDS_ECON[NTCPMIMFGSA@DE]',07/2024,,Q)":43.782,"DUMMY^ECON_EXPR_DATA('FDS_ECON[NTCPMIMFGSA@DE]',04/2024,,Q)":43.319096,"DUMMY^ECON_EXPR_DATA('FDS_ECON[NTCPMIMFGSA@JP]',07/2024,,Q)":49.991356,"DUMMY^ECON_EXPR_DATA('FDS_ECON[NTCPMIMFGSA@JP]',04/2024,,Q)":47.808857,"DUMMY^ECON_EXPR_DATA('FDS_ECON[NTCPMIMFGSA@CH]',07/2024,,Q)":43.896877,"DUMMY^ECON_EXPR_DATA('FDS_ECON[NTCPMIMFGSA@CH]',04/2024,,Q)":44.08605,"DUMMY^ECON_EXPR_DATA('FDS_ECON[NTCPMIMFGSA@GB]',07/2024,,Q)":50.395269999999996,"DUMMY^ECON_EXPR_DATA('FDS_ECON[NTCPMIMFGSA@GB]',04/2024,,Q)":48.24796,"DUMMY^ECON_EXPR_DATA('FDS_ECON[NTCPMIMFGMESA@US]',07/2024,,Q)":50.939392,"DUMMY^ECON_EXPR_DATA('FDS_ECON[NTCPMIMFGMESA@US]',04/2024,,Q)":51.582687,"DUMMY^ECON_EXPR_DATA('FDS_ECON[NTCPMIMFGSA@FR]',07/2024,,Q)":45.684513,"DUMMY^ECON_EXPR_DATA('FDS_ECON[NTCPMIMFGSA@FR]',04/2024,,Q)":45.498753,"DUMMY^ECON_EXPR_DATA('FDS_ECON[NTCPMIMFGSA@NL]',07/2024,,Q)":51.49388,"DUMMY^ECON_EXPR_DATA('FDS_ECON[NTCPMIMFGSA@NL]',04/2024,,Q)":49.325874,"DUMMY^ECON_EXPR_DATA('FDS_ECON[]',07/2024,,Q)":null,"DUMMY^ECON_EXPR_DATA('FDS_ECON[]',04/2024,,Q)":null,"DUMMY^ECON_EXPR_DATA('FDS_ECON[NTCPMIMFGSA@IT]',07/2024,,Q)":46.215786,"DUMMY^ECON_EXPR_DATA('FDS_ECON[NTCPMIMFGSA@IT]',04/2024,,Q)":49.208153,"DUMMY^ECON_EXPR_DATA('FDS_ECON[PMIDMMANHE]',07/2024,,Q)":49.418633,"DUMMY^ECON_EXPR_DATA('FDS_ECON[PMIDMMANHE]',04/2024,,Q)":49.13539,"DUMMY^ECON_EXPR_DATA('FDS_ECON[NTCPMIMFGSA@EME]',07/2024,,Q)":52.007824,"DUMMY^ECON_EXPR_DATA('FDS_ECON[NTCPMIMFGSA@EME]',04/2024,,Q)":51.519516,"CC_AU^IMF_IFS_RCPI_Q(-2AM)":3.61991}]]></FdsFormulaCache>
</file>

<file path=customXml/itemProps1.xml><?xml version="1.0" encoding="utf-8"?>
<ds:datastoreItem xmlns:ds="http://schemas.openxmlformats.org/officeDocument/2006/customXml" ds:itemID="{7BA53F4D-3EB6-4359-94E5-E1A994C73060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2024-08-18T05:39:28Z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