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AEL\Desktop\"/>
    </mc:Choice>
  </mc:AlternateContent>
  <xr:revisionPtr revIDLastSave="0" documentId="8_{5B9D2A41-0F23-4F66-8509-2600A177DE20}" xr6:coauthVersionLast="47" xr6:coauthVersionMax="47" xr10:uidLastSave="{00000000-0000-0000-0000-000000000000}"/>
  <bookViews>
    <workbookView xWindow="768" yWindow="768" windowWidth="20700" windowHeight="12060" firstSheet="1" activeTab="1" xr2:uid="{00000000-000D-0000-FFFF-FFFF00000000}"/>
  </bookViews>
  <sheets>
    <sheet name="__FDSCACHE__" sheetId="2" state="veryHidden" r:id="rId1"/>
    <sheet name="Aset class Rankings" sheetId="59" r:id="rId2"/>
    <sheet name="Gloval value " sheetId="62" r:id="rId3"/>
    <sheet name="EM value " sheetId="63" r:id="rId4"/>
    <sheet name="Value -2 " sheetId="64" r:id="rId5"/>
    <sheet name="Asset class" sheetId="60" r:id="rId6"/>
    <sheet name="Momnetum ranking" sheetId="12" r:id="rId7"/>
    <sheet name="Risk" sheetId="13" r:id="rId8"/>
    <sheet name="Timing" sheetId="56" r:id="rId9"/>
    <sheet name="Commodities" sheetId="52" r:id="rId10"/>
    <sheet name="Monthly Returns" sheetId="5" r:id="rId11"/>
    <sheet name="Yearly returns" sheetId="15" r:id="rId12"/>
    <sheet name="Factset Price Data" sheetId="61" r:id="rId13"/>
    <sheet name="Index ROE" sheetId="65" r:id="rId14"/>
    <sheet name="LIQIDITY 2" sheetId="66" r:id="rId15"/>
    <sheet name="GDP_GROWTH" sheetId="67" r:id="rId16"/>
    <sheet name="Chart1" sheetId="36" state="hidden" r:id="rId17"/>
  </sheets>
  <externalReferences>
    <externalReference r:id="rId18"/>
    <externalReference r:id="rId19"/>
  </externalReferences>
  <definedNames>
    <definedName name="_xlnm._FilterDatabase" localSheetId="6" hidden="1">'Momnetum ranking'!$A$2:$AI$18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9" i="59" l="1"/>
  <c r="F58" i="59"/>
  <c r="J31" i="63"/>
  <c r="J30" i="63"/>
  <c r="J29" i="63"/>
  <c r="I30" i="63"/>
  <c r="I31" i="63"/>
  <c r="I29" i="63"/>
  <c r="F31" i="63"/>
  <c r="F30" i="63"/>
  <c r="F29" i="63"/>
  <c r="O5" i="63" a="1"/>
  <c r="O5" i="63" l="1"/>
  <c r="L5" i="63" a="1"/>
  <c r="L5" i="63" l="1"/>
  <c r="K5" i="63" a="1"/>
  <c r="K5" i="63" l="1"/>
  <c r="J5" i="63" a="1"/>
  <c r="J5" i="63" l="1"/>
  <c r="I5" i="63" a="1"/>
  <c r="I5" i="63" l="1"/>
  <c r="H5" i="63" a="1"/>
  <c r="H5" i="63" l="1"/>
  <c r="G5" i="63" a="1"/>
  <c r="G5" i="63" l="1"/>
  <c r="F5" i="63" a="1"/>
  <c r="F5" i="63" l="1"/>
  <c r="C5" i="63" a="1"/>
  <c r="M23" i="66" a="1"/>
  <c r="C5" i="63" l="1"/>
  <c r="M23" i="66"/>
  <c r="L23" i="66" a="1"/>
  <c r="L23" i="66" l="1"/>
  <c r="K23" i="66" a="1"/>
  <c r="K23" i="66" l="1"/>
  <c r="M22" i="66" a="1"/>
  <c r="M22" i="66" l="1"/>
  <c r="L22" i="66" a="1"/>
  <c r="L22" i="66" l="1"/>
  <c r="K22" i="66" a="1"/>
  <c r="K22" i="66" l="1"/>
  <c r="M21" i="66" a="1"/>
  <c r="M21" i="66" l="1"/>
  <c r="L21" i="66" a="1"/>
  <c r="L21" i="66" l="1"/>
  <c r="K21" i="66" a="1"/>
  <c r="K21" i="66" l="1"/>
  <c r="M20" i="66" a="1"/>
  <c r="M20" i="66" l="1"/>
  <c r="L20" i="66" a="1"/>
  <c r="L20" i="66" l="1"/>
  <c r="K20" i="66" a="1"/>
  <c r="K20" i="66" l="1"/>
  <c r="M19" i="66" a="1"/>
  <c r="M19" i="66" l="1"/>
  <c r="L19" i="66" a="1"/>
  <c r="L19" i="66" l="1"/>
  <c r="K19" i="66" a="1"/>
  <c r="K19" i="66" l="1"/>
  <c r="M18" i="66" a="1"/>
  <c r="M18" i="66" l="1"/>
  <c r="L18" i="66" a="1"/>
  <c r="L18" i="66" l="1"/>
  <c r="K18" i="66" a="1"/>
  <c r="K18" i="66" l="1"/>
  <c r="M17" i="66" a="1"/>
  <c r="M17" i="66" l="1"/>
  <c r="L17" i="66" a="1"/>
  <c r="L17" i="66" l="1"/>
  <c r="K17" i="66" a="1"/>
  <c r="K17" i="66" l="1"/>
  <c r="M16" i="66" a="1"/>
  <c r="M16" i="66" l="1"/>
  <c r="L16" i="66" a="1"/>
  <c r="L16" i="66" l="1"/>
  <c r="K16" i="66" a="1"/>
  <c r="K16" i="66" l="1"/>
  <c r="M15" i="66" a="1"/>
  <c r="M15" i="66" l="1"/>
  <c r="L15" i="66" a="1"/>
  <c r="L15" i="66" l="1"/>
  <c r="K15" i="66" a="1"/>
  <c r="K15" i="66" l="1"/>
  <c r="M14" i="66" a="1"/>
  <c r="M14" i="66" l="1"/>
  <c r="L14" i="66" a="1"/>
  <c r="L14" i="66" l="1"/>
  <c r="K14" i="66" a="1"/>
  <c r="K14" i="66" l="1"/>
  <c r="M13" i="66" a="1"/>
  <c r="M13" i="66" l="1"/>
  <c r="L13" i="66" a="1"/>
  <c r="L13" i="66" l="1"/>
  <c r="K13" i="66" a="1"/>
  <c r="K13" i="66" l="1"/>
  <c r="M12" i="66" a="1"/>
  <c r="M12" i="66" l="1"/>
  <c r="L12" i="66" a="1"/>
  <c r="L12" i="66" l="1"/>
  <c r="K12" i="66" a="1"/>
  <c r="K12" i="66" l="1"/>
  <c r="M11" i="66" a="1"/>
  <c r="M11" i="66" l="1"/>
  <c r="L11" i="66" a="1"/>
  <c r="L11" i="66" l="1"/>
  <c r="K11" i="66" a="1"/>
  <c r="K11" i="66" l="1"/>
  <c r="M10" i="66" a="1"/>
  <c r="M10" i="66" l="1"/>
  <c r="L10" i="66" a="1"/>
  <c r="L10" i="66" l="1"/>
  <c r="K10" i="66" a="1"/>
  <c r="K10" i="66" l="1"/>
  <c r="M9" i="66" a="1"/>
  <c r="M9" i="66" l="1"/>
  <c r="L9" i="66" a="1"/>
  <c r="L9" i="66" l="1"/>
  <c r="K9" i="66" a="1"/>
  <c r="K9" i="66" l="1"/>
  <c r="M8" i="66" a="1"/>
  <c r="M8" i="66" l="1"/>
  <c r="L8" i="66" a="1"/>
  <c r="L8" i="66" l="1"/>
  <c r="K8" i="66" a="1"/>
  <c r="K8" i="66" l="1"/>
  <c r="M7" i="66" a="1"/>
  <c r="M7" i="66" l="1"/>
  <c r="L7" i="66" a="1"/>
  <c r="L7" i="66" l="1"/>
  <c r="K7" i="66" a="1"/>
  <c r="K7" i="66" l="1"/>
  <c r="M6" i="66" a="1"/>
  <c r="M6" i="66" l="1"/>
  <c r="L6" i="66" a="1"/>
  <c r="L6" i="66" l="1"/>
  <c r="K6" i="66" a="1"/>
  <c r="K6" i="66" l="1"/>
  <c r="M5" i="66" a="1"/>
  <c r="M5" i="66" l="1"/>
  <c r="L5" i="66" a="1"/>
  <c r="L5" i="66" l="1"/>
  <c r="K5" i="66" a="1"/>
  <c r="K5" i="66" l="1"/>
  <c r="M4" i="66" a="1"/>
  <c r="M4" i="66" l="1"/>
  <c r="L4" i="66" a="1"/>
  <c r="L4" i="66" l="1"/>
  <c r="K4" i="66" a="1"/>
  <c r="K4" i="66" l="1"/>
  <c r="M3" i="66" a="1"/>
  <c r="M3" i="66" l="1"/>
  <c r="L3" i="66" a="1"/>
  <c r="L3" i="66" l="1"/>
  <c r="K3" i="66" a="1"/>
  <c r="K3" i="66" l="1"/>
  <c r="H23" i="66" a="1"/>
  <c r="H23" i="66" l="1"/>
  <c r="G23" i="66" a="1"/>
  <c r="G23" i="66" l="1"/>
  <c r="H22" i="66" a="1"/>
  <c r="H22" i="66" l="1"/>
  <c r="G22" i="66" a="1"/>
  <c r="G22" i="66" l="1"/>
  <c r="H21" i="66" a="1"/>
  <c r="H21" i="66" l="1"/>
  <c r="G21" i="66" a="1"/>
  <c r="G21" i="66" l="1"/>
  <c r="H20" i="66" a="1"/>
  <c r="H20" i="66" l="1"/>
  <c r="G20" i="66" a="1"/>
  <c r="G20" i="66" l="1"/>
  <c r="H19" i="66" a="1"/>
  <c r="H19" i="66" l="1"/>
  <c r="G19" i="66" a="1"/>
  <c r="G19" i="66" l="1"/>
  <c r="H18" i="66" a="1"/>
  <c r="H18" i="66" l="1"/>
  <c r="G18" i="66" a="1"/>
  <c r="G18" i="66" l="1"/>
  <c r="H17" i="66" a="1"/>
  <c r="H17" i="66" l="1"/>
  <c r="G17" i="66" a="1"/>
  <c r="G17" i="66" l="1"/>
  <c r="H16" i="66" a="1"/>
  <c r="H16" i="66" l="1"/>
  <c r="G16" i="66" a="1"/>
  <c r="G16" i="66" l="1"/>
  <c r="H15" i="66" a="1"/>
  <c r="H15" i="66" l="1"/>
  <c r="G15" i="66" a="1"/>
  <c r="G15" i="66" l="1"/>
  <c r="H14" i="66" a="1"/>
  <c r="H14" i="66" l="1"/>
  <c r="G14" i="66" a="1"/>
  <c r="G14" i="66" l="1"/>
  <c r="H13" i="66" a="1"/>
  <c r="H13" i="66" l="1"/>
  <c r="G13" i="66" a="1"/>
  <c r="G13" i="66" l="1"/>
  <c r="H12" i="66" a="1"/>
  <c r="H12" i="66" l="1"/>
  <c r="G12" i="66" a="1"/>
  <c r="G12" i="66" l="1"/>
  <c r="H11" i="66" a="1"/>
  <c r="H11" i="66" l="1"/>
  <c r="G11" i="66" a="1"/>
  <c r="G11" i="66" l="1"/>
  <c r="H10" i="66" a="1"/>
  <c r="H10" i="66" l="1"/>
  <c r="G10" i="66" a="1"/>
  <c r="G10" i="66" l="1"/>
  <c r="H9" i="66" a="1"/>
  <c r="H9" i="66" l="1"/>
  <c r="G9" i="66" a="1"/>
  <c r="G9" i="66" l="1"/>
  <c r="H8" i="66" a="1"/>
  <c r="H8" i="66" l="1"/>
  <c r="G8" i="66" a="1"/>
  <c r="G8" i="66" l="1"/>
  <c r="H7" i="66" a="1"/>
  <c r="H7" i="66" l="1"/>
  <c r="G7" i="66" a="1"/>
  <c r="G7" i="66" l="1"/>
  <c r="H6" i="66" a="1"/>
  <c r="H6" i="66" l="1"/>
  <c r="G6" i="66" a="1"/>
  <c r="G6" i="66" l="1"/>
  <c r="H5" i="66" a="1"/>
  <c r="H5" i="66" l="1"/>
  <c r="G5" i="66" a="1"/>
  <c r="G5" i="66" l="1"/>
  <c r="H4" i="66" a="1"/>
  <c r="H4" i="66" l="1"/>
  <c r="G4" i="66" a="1"/>
  <c r="G4" i="66" l="1"/>
  <c r="H3" i="66" a="1"/>
  <c r="H3" i="66" l="1"/>
  <c r="G3" i="66" a="1"/>
  <c r="G3" i="66" l="1"/>
  <c r="E26" i="66" a="1"/>
  <c r="E26" i="66" l="1"/>
  <c r="D26" i="66" a="1"/>
  <c r="D26" i="66" l="1"/>
  <c r="E23" i="66" a="1"/>
  <c r="E23" i="66" l="1"/>
  <c r="D23" i="66" a="1"/>
  <c r="D23" i="66" l="1"/>
  <c r="E22" i="66" a="1"/>
  <c r="E22" i="66" l="1"/>
  <c r="D22" i="66" a="1"/>
  <c r="D22" i="66" l="1"/>
  <c r="E21" i="66" a="1"/>
  <c r="E21" i="66" l="1"/>
  <c r="D21" i="66" a="1"/>
  <c r="D21" i="66" l="1"/>
  <c r="E20" i="66" a="1"/>
  <c r="E20" i="66" l="1"/>
  <c r="D20" i="66" a="1"/>
  <c r="D20" i="66" l="1"/>
  <c r="E19" i="66" a="1"/>
  <c r="E19" i="66" l="1"/>
  <c r="D19" i="66" a="1"/>
  <c r="D19" i="66" l="1"/>
  <c r="E18" i="66" a="1"/>
  <c r="E18" i="66" l="1"/>
  <c r="D18" i="66" a="1"/>
  <c r="D18" i="66" l="1"/>
  <c r="E17" i="66" a="1"/>
  <c r="E17" i="66" l="1"/>
  <c r="D17" i="66" a="1"/>
  <c r="D17" i="66" l="1"/>
  <c r="E16" i="66" a="1"/>
  <c r="E16" i="66" l="1"/>
  <c r="D16" i="66" a="1"/>
  <c r="D16" i="66" l="1"/>
  <c r="E15" i="66" a="1"/>
  <c r="E15" i="66" l="1"/>
  <c r="D15" i="66" a="1"/>
  <c r="D15" i="66" l="1"/>
  <c r="E14" i="66" a="1"/>
  <c r="E14" i="66" l="1"/>
  <c r="D14" i="66" a="1"/>
  <c r="D14" i="66" l="1"/>
  <c r="E13" i="66" a="1"/>
  <c r="E13" i="66" l="1"/>
  <c r="D13" i="66" a="1"/>
  <c r="D13" i="66" l="1"/>
  <c r="E12" i="66" a="1"/>
  <c r="E12" i="66" l="1"/>
  <c r="D12" i="66" a="1"/>
  <c r="D12" i="66" l="1"/>
  <c r="E11" i="66" a="1"/>
  <c r="E11" i="66" l="1"/>
  <c r="D11" i="66" a="1"/>
  <c r="D11" i="66" l="1"/>
  <c r="E10" i="66" a="1"/>
  <c r="E10" i="66" l="1"/>
  <c r="D10" i="66" a="1"/>
  <c r="D10" i="66" l="1"/>
  <c r="E9" i="66" a="1"/>
  <c r="E9" i="66" l="1"/>
  <c r="D9" i="66" a="1"/>
  <c r="D9" i="66" l="1"/>
  <c r="E8" i="66" a="1"/>
  <c r="E8" i="66" l="1"/>
  <c r="D8" i="66" a="1"/>
  <c r="D8" i="66" l="1"/>
  <c r="E7" i="66" a="1"/>
  <c r="E7" i="66" l="1"/>
  <c r="D7" i="66" a="1"/>
  <c r="D7" i="66" l="1"/>
  <c r="E6" i="66" a="1"/>
  <c r="E6" i="66" l="1"/>
  <c r="D6" i="66" a="1"/>
  <c r="D6" i="66" l="1"/>
  <c r="E5" i="66" a="1"/>
  <c r="E5" i="66" l="1"/>
  <c r="D5" i="66" a="1"/>
  <c r="D5" i="66" l="1"/>
  <c r="E4" i="66" a="1"/>
  <c r="E4" i="66" l="1"/>
  <c r="D4" i="66" a="1"/>
  <c r="D4" i="66" l="1"/>
  <c r="E3" i="66" a="1"/>
  <c r="E3" i="66" l="1"/>
  <c r="D3" i="66" a="1"/>
  <c r="D3" i="66" l="1"/>
  <c r="V2" i="65" a="1"/>
  <c r="V2" i="65" l="1"/>
  <c r="U2" i="65" a="1"/>
  <c r="U2" i="65" l="1"/>
  <c r="T2" i="65" a="1"/>
  <c r="T2" i="65" l="1"/>
  <c r="S2" i="65" a="1"/>
  <c r="S2" i="65" l="1"/>
  <c r="R2" i="65" a="1"/>
  <c r="R2" i="65" l="1"/>
  <c r="Q2" i="65" a="1"/>
  <c r="Q2" i="65" l="1"/>
  <c r="P2" i="65" a="1"/>
  <c r="P2" i="65" l="1"/>
  <c r="O2" i="65" a="1"/>
  <c r="O2" i="65" l="1"/>
  <c r="N2" i="65" a="1"/>
  <c r="N2" i="65" l="1"/>
  <c r="M2" i="65" a="1"/>
  <c r="M2" i="65" l="1"/>
  <c r="L2" i="65" a="1"/>
  <c r="L2" i="65" l="1"/>
  <c r="K2" i="65" a="1"/>
  <c r="K2" i="65" l="1"/>
  <c r="J2" i="65" a="1"/>
  <c r="J2" i="65" l="1"/>
  <c r="I2" i="65" a="1"/>
  <c r="I2" i="65" l="1"/>
  <c r="H2" i="65" a="1"/>
  <c r="H2" i="65" l="1"/>
  <c r="G2" i="65" a="1"/>
  <c r="G2" i="65" l="1"/>
  <c r="F2" i="65" a="1"/>
  <c r="F2" i="65" l="1"/>
  <c r="E2" i="65" a="1"/>
  <c r="E2" i="65" l="1"/>
  <c r="D2" i="65" a="1"/>
  <c r="D2" i="65" l="1"/>
  <c r="C2" i="65" a="1"/>
  <c r="C2" i="65" l="1"/>
  <c r="B2" i="65" a="1"/>
  <c r="B2" i="65" l="1"/>
  <c r="A2" i="65" a="1"/>
  <c r="A2" i="65" l="1"/>
  <c r="Q6" i="61" a="1"/>
  <c r="Q6" i="61" l="1"/>
  <c r="P6" i="61" a="1"/>
  <c r="P6" i="61" l="1"/>
  <c r="O6" i="61" a="1"/>
  <c r="O6" i="61" l="1"/>
  <c r="N6" i="61" a="1"/>
  <c r="N6" i="61" l="1"/>
  <c r="M6" i="61" a="1"/>
  <c r="M6" i="61" l="1"/>
  <c r="L6" i="61" a="1"/>
  <c r="L6" i="61" l="1"/>
  <c r="K6" i="61" a="1"/>
  <c r="K6" i="61" l="1"/>
  <c r="J6" i="61" a="1"/>
  <c r="J6" i="61" l="1"/>
  <c r="I6" i="61" a="1"/>
  <c r="I6" i="61" l="1"/>
  <c r="H6" i="61" a="1"/>
  <c r="H6" i="61" l="1"/>
  <c r="G6" i="61" a="1"/>
  <c r="G6" i="61" l="1"/>
  <c r="F6" i="61" a="1"/>
  <c r="F6" i="61" l="1"/>
  <c r="E6" i="61" a="1"/>
  <c r="E6" i="61" l="1"/>
  <c r="D6" i="61" a="1"/>
  <c r="D6" i="61" l="1"/>
  <c r="C6" i="61" a="1"/>
  <c r="C6" i="61" l="1"/>
  <c r="B6" i="61" a="1"/>
  <c r="B6" i="61" l="1"/>
  <c r="O2" i="15" a="1"/>
  <c r="O2" i="15" l="1"/>
  <c r="N2" i="15" a="1"/>
  <c r="N2" i="15" l="1"/>
  <c r="M2" i="15" a="1"/>
  <c r="M2" i="15" l="1"/>
  <c r="L2" i="15" a="1"/>
  <c r="L2" i="15" l="1"/>
  <c r="K2" i="15" a="1"/>
  <c r="K2" i="15" l="1"/>
  <c r="J2" i="15" a="1"/>
  <c r="J2" i="15" l="1"/>
  <c r="I2" i="15" a="1"/>
  <c r="I2" i="15" l="1"/>
  <c r="H2" i="15" a="1"/>
  <c r="H2" i="15" l="1"/>
  <c r="G2" i="15" a="1"/>
  <c r="G2" i="15" l="1"/>
  <c r="F2" i="15" a="1"/>
  <c r="F2" i="15" l="1"/>
  <c r="E2" i="15" a="1"/>
  <c r="E2" i="15" l="1"/>
  <c r="D2" i="15" a="1"/>
  <c r="D2" i="15" l="1"/>
  <c r="C2" i="15" a="1"/>
  <c r="C2" i="15" l="1"/>
  <c r="B2" i="15" a="1"/>
  <c r="B2" i="15" l="1"/>
  <c r="A2" i="15" a="1"/>
  <c r="A2" i="15" l="1"/>
  <c r="O2" i="5" a="1"/>
  <c r="O2" i="5" l="1"/>
  <c r="N2" i="5" a="1"/>
  <c r="N2" i="5" l="1"/>
  <c r="M2" i="5" a="1"/>
  <c r="M2" i="5" l="1"/>
  <c r="L2" i="5" a="1"/>
  <c r="L2" i="5" l="1"/>
  <c r="K2" i="5" a="1"/>
  <c r="K2" i="5" l="1"/>
  <c r="J2" i="5" a="1"/>
  <c r="J2" i="5" l="1"/>
  <c r="I2" i="5" a="1"/>
  <c r="I2" i="5" l="1"/>
  <c r="H2" i="5" a="1"/>
  <c r="H2" i="5" l="1"/>
  <c r="G2" i="5" a="1"/>
  <c r="G2" i="5" l="1"/>
  <c r="F2" i="5" a="1"/>
  <c r="F2" i="5" l="1"/>
  <c r="E2" i="5" a="1"/>
  <c r="E2" i="5" l="1"/>
  <c r="D2" i="5" a="1"/>
  <c r="D2" i="5" l="1"/>
  <c r="C2" i="5" a="1"/>
  <c r="C2" i="5" l="1"/>
  <c r="B2" i="5" a="1"/>
  <c r="B2" i="5" l="1"/>
  <c r="A2" i="5" a="1"/>
  <c r="A2" i="5" l="1"/>
  <c r="J18" i="52" a="1"/>
  <c r="J18" i="52" l="1"/>
  <c r="I18" i="52" a="1"/>
  <c r="I18" i="52" l="1"/>
  <c r="H18" i="52" a="1"/>
  <c r="H18" i="52" l="1"/>
  <c r="G18" i="52" a="1"/>
  <c r="G18" i="52" l="1"/>
  <c r="F18" i="52" a="1"/>
  <c r="F18" i="52" l="1"/>
  <c r="E18" i="52" a="1"/>
  <c r="E18" i="52" l="1"/>
  <c r="D18" i="52" a="1"/>
  <c r="D18" i="52" l="1"/>
  <c r="C18" i="52" a="1"/>
  <c r="C18" i="52" l="1"/>
  <c r="J17" i="52" a="1"/>
  <c r="J17" i="52" l="1"/>
  <c r="I17" i="52" a="1"/>
  <c r="I17" i="52" l="1"/>
  <c r="H17" i="52" a="1"/>
  <c r="H17" i="52" l="1"/>
  <c r="G17" i="52" a="1"/>
  <c r="G17" i="52" l="1"/>
  <c r="F17" i="52" a="1"/>
  <c r="F17" i="52" l="1"/>
  <c r="E17" i="52" a="1"/>
  <c r="E17" i="52" l="1"/>
  <c r="D17" i="52" a="1"/>
  <c r="D17" i="52" l="1"/>
  <c r="C17" i="52" a="1"/>
  <c r="C17" i="52" l="1"/>
  <c r="J8" i="52" a="1"/>
  <c r="J8" i="52" l="1"/>
  <c r="I8" i="52" a="1"/>
  <c r="I8" i="52" l="1"/>
  <c r="H8" i="52" a="1"/>
  <c r="H8" i="52" l="1"/>
  <c r="G8" i="52" a="1"/>
  <c r="G8" i="52" l="1"/>
  <c r="F8" i="52" a="1"/>
  <c r="F8" i="52" l="1"/>
  <c r="E8" i="52" a="1"/>
  <c r="E8" i="52" l="1"/>
  <c r="D8" i="52" a="1"/>
  <c r="D8" i="52" l="1"/>
  <c r="C8" i="52" a="1"/>
  <c r="C8" i="52" l="1"/>
  <c r="J7" i="52" a="1"/>
  <c r="J7" i="52" l="1"/>
  <c r="I7" i="52" a="1"/>
  <c r="I7" i="52" l="1"/>
  <c r="H7" i="52" a="1"/>
  <c r="H7" i="52" l="1"/>
  <c r="G7" i="52" a="1"/>
  <c r="G7" i="52" l="1"/>
  <c r="F7" i="52" a="1"/>
  <c r="F7" i="52" l="1"/>
  <c r="E7" i="52" a="1"/>
  <c r="E7" i="52" l="1"/>
  <c r="D7" i="52" a="1"/>
  <c r="D7" i="52" l="1"/>
  <c r="C7" i="52" a="1"/>
  <c r="C7" i="52" l="1"/>
  <c r="J6" i="52" a="1"/>
  <c r="J6" i="52" l="1"/>
  <c r="I6" i="52" a="1"/>
  <c r="I6" i="52" l="1"/>
  <c r="H6" i="52" a="1"/>
  <c r="H6" i="52" l="1"/>
  <c r="G6" i="52" a="1"/>
  <c r="G6" i="52" l="1"/>
  <c r="F6" i="52" a="1"/>
  <c r="F6" i="52" l="1"/>
  <c r="E6" i="52" a="1"/>
  <c r="E6" i="52" l="1"/>
  <c r="D6" i="52" a="1"/>
  <c r="D6" i="52" l="1"/>
  <c r="C6" i="52" a="1"/>
  <c r="C6" i="52" l="1"/>
  <c r="J5" i="52" a="1"/>
  <c r="J5" i="52" l="1"/>
  <c r="I5" i="52" a="1"/>
  <c r="I5" i="52" l="1"/>
  <c r="H5" i="52" a="1"/>
  <c r="H5" i="52" l="1"/>
  <c r="G5" i="52" a="1"/>
  <c r="G5" i="52" l="1"/>
  <c r="F5" i="52" a="1"/>
  <c r="F5" i="52" l="1"/>
  <c r="E5" i="52" a="1"/>
  <c r="E5" i="52" l="1"/>
  <c r="D5" i="52" a="1"/>
  <c r="D5" i="52" l="1"/>
  <c r="C5" i="52" a="1"/>
  <c r="C5" i="52" l="1"/>
  <c r="J4" i="52" a="1"/>
  <c r="J4" i="52" l="1"/>
  <c r="I4" i="52" a="1"/>
  <c r="I4" i="52" l="1"/>
  <c r="H4" i="52" a="1"/>
  <c r="H4" i="52" l="1"/>
  <c r="G4" i="52" a="1"/>
  <c r="G4" i="52" l="1"/>
  <c r="F4" i="52" a="1"/>
  <c r="F4" i="52" l="1"/>
  <c r="E4" i="52" a="1"/>
  <c r="E4" i="52" l="1"/>
  <c r="D4" i="52" a="1"/>
  <c r="D4" i="52" l="1"/>
  <c r="C4" i="52" a="1"/>
  <c r="C4" i="52" l="1"/>
  <c r="J3" i="52" a="1"/>
  <c r="J3" i="52" l="1"/>
  <c r="I3" i="52" a="1"/>
  <c r="I3" i="52" l="1"/>
  <c r="H3" i="52" a="1"/>
  <c r="H3" i="52" l="1"/>
  <c r="G3" i="52" a="1"/>
  <c r="G3" i="52" l="1"/>
  <c r="F3" i="52" a="1"/>
  <c r="F3" i="52" l="1"/>
  <c r="E3" i="52" a="1"/>
  <c r="E3" i="52" l="1"/>
  <c r="D3" i="52" a="1"/>
  <c r="D3" i="52" l="1"/>
  <c r="C3" i="52" a="1"/>
  <c r="C3" i="52" l="1"/>
  <c r="V17" i="56" a="1"/>
  <c r="V17" i="56" l="1"/>
  <c r="U17" i="56" a="1"/>
  <c r="U17" i="56" l="1"/>
  <c r="T17" i="56" a="1"/>
  <c r="T17" i="56" l="1"/>
  <c r="S17" i="56" a="1"/>
  <c r="S17" i="56" l="1"/>
  <c r="V16" i="56" a="1"/>
  <c r="V16" i="56" l="1"/>
  <c r="U16" i="56" a="1"/>
  <c r="U16" i="56" l="1"/>
  <c r="T16" i="56" a="1"/>
  <c r="T16" i="56" l="1"/>
  <c r="S16" i="56" a="1"/>
  <c r="S16" i="56" l="1"/>
  <c r="V15" i="56" a="1"/>
  <c r="V15" i="56" l="1"/>
  <c r="U15" i="56" a="1"/>
  <c r="U15" i="56" l="1"/>
  <c r="T15" i="56" a="1"/>
  <c r="T15" i="56" l="1"/>
  <c r="S15" i="56" a="1"/>
  <c r="S15" i="56" l="1"/>
  <c r="V14" i="56" a="1"/>
  <c r="V14" i="56" l="1"/>
  <c r="U14" i="56" a="1"/>
  <c r="U14" i="56" l="1"/>
  <c r="T14" i="56" a="1"/>
  <c r="T14" i="56" l="1"/>
  <c r="S14" i="56" a="1"/>
  <c r="S14" i="56" l="1"/>
  <c r="V13" i="56" a="1"/>
  <c r="V13" i="56" l="1"/>
  <c r="U13" i="56" a="1"/>
  <c r="U13" i="56" l="1"/>
  <c r="T13" i="56" a="1"/>
  <c r="T13" i="56" l="1"/>
  <c r="S13" i="56" a="1"/>
  <c r="S13" i="56" l="1"/>
  <c r="V12" i="56" a="1"/>
  <c r="V12" i="56" l="1"/>
  <c r="U12" i="56" a="1"/>
  <c r="U12" i="56" l="1"/>
  <c r="T12" i="56" a="1"/>
  <c r="T12" i="56" l="1"/>
  <c r="S12" i="56" a="1"/>
  <c r="S12" i="56" l="1"/>
  <c r="V11" i="56" a="1"/>
  <c r="V11" i="56" l="1"/>
  <c r="U11" i="56" a="1"/>
  <c r="U11" i="56" l="1"/>
  <c r="T11" i="56" a="1"/>
  <c r="T11" i="56" l="1"/>
  <c r="S11" i="56" a="1"/>
  <c r="S11" i="56" l="1"/>
  <c r="V10" i="56" a="1"/>
  <c r="V10" i="56" l="1"/>
  <c r="U10" i="56" a="1"/>
  <c r="U10" i="56" l="1"/>
  <c r="T10" i="56" a="1"/>
  <c r="T10" i="56" l="1"/>
  <c r="S10" i="56" a="1"/>
  <c r="S10" i="56" l="1"/>
  <c r="V9" i="56" a="1"/>
  <c r="V9" i="56" l="1"/>
  <c r="U9" i="56" a="1"/>
  <c r="U9" i="56" l="1"/>
  <c r="T9" i="56" a="1"/>
  <c r="T9" i="56" l="1"/>
  <c r="S9" i="56" a="1"/>
  <c r="S9" i="56" l="1"/>
  <c r="V8" i="56" a="1"/>
  <c r="V8" i="56" l="1"/>
  <c r="U8" i="56" a="1"/>
  <c r="U8" i="56" l="1"/>
  <c r="T8" i="56" a="1"/>
  <c r="T8" i="56" l="1"/>
  <c r="S8" i="56" a="1"/>
  <c r="S8" i="56" l="1"/>
  <c r="V7" i="56" a="1"/>
  <c r="V7" i="56" l="1"/>
  <c r="U7" i="56" a="1"/>
  <c r="U7" i="56" l="1"/>
  <c r="T7" i="56" a="1"/>
  <c r="T7" i="56" l="1"/>
  <c r="S7" i="56" a="1"/>
  <c r="S7" i="56" l="1"/>
  <c r="V6" i="56" a="1"/>
  <c r="V6" i="56" l="1"/>
  <c r="U6" i="56" a="1"/>
  <c r="U6" i="56" l="1"/>
  <c r="T6" i="56" a="1"/>
  <c r="T6" i="56" l="1"/>
  <c r="S6" i="56" a="1"/>
  <c r="S6" i="56" l="1"/>
  <c r="V5" i="56" a="1"/>
  <c r="V5" i="56" l="1"/>
  <c r="U5" i="56" a="1"/>
  <c r="U5" i="56" l="1"/>
  <c r="T5" i="56" a="1"/>
  <c r="T5" i="56" l="1"/>
  <c r="S5" i="56" a="1"/>
  <c r="S5" i="56" l="1"/>
  <c r="J17" i="56" a="1"/>
  <c r="J17" i="56" l="1"/>
  <c r="I17" i="56" a="1"/>
  <c r="I17" i="56" l="1"/>
  <c r="H17" i="56" a="1"/>
  <c r="H17" i="56" l="1"/>
  <c r="G17" i="56" a="1"/>
  <c r="G17" i="56" l="1"/>
  <c r="J16" i="56" a="1"/>
  <c r="J16" i="56" l="1"/>
  <c r="I16" i="56" a="1"/>
  <c r="I16" i="56" l="1"/>
  <c r="H16" i="56" a="1"/>
  <c r="H16" i="56" l="1"/>
  <c r="G16" i="56" a="1"/>
  <c r="G16" i="56" l="1"/>
  <c r="J15" i="56" a="1"/>
  <c r="J15" i="56" l="1"/>
  <c r="I15" i="56" a="1"/>
  <c r="I15" i="56" l="1"/>
  <c r="H15" i="56" a="1"/>
  <c r="H15" i="56" l="1"/>
  <c r="G15" i="56" a="1"/>
  <c r="G15" i="56" l="1"/>
  <c r="J14" i="56" a="1"/>
  <c r="J14" i="56" l="1"/>
  <c r="I14" i="56" a="1"/>
  <c r="I14" i="56" l="1"/>
  <c r="H14" i="56" a="1"/>
  <c r="H14" i="56" l="1"/>
  <c r="G14" i="56" a="1"/>
  <c r="G14" i="56" l="1"/>
  <c r="J13" i="56" a="1"/>
  <c r="J13" i="56" l="1"/>
  <c r="I13" i="56" a="1"/>
  <c r="I13" i="56" l="1"/>
  <c r="H13" i="56" a="1"/>
  <c r="H13" i="56" l="1"/>
  <c r="G13" i="56" a="1"/>
  <c r="G13" i="56" l="1"/>
  <c r="J12" i="56" a="1"/>
  <c r="J12" i="56" l="1"/>
  <c r="I12" i="56" a="1"/>
  <c r="I12" i="56" l="1"/>
  <c r="H12" i="56" a="1"/>
  <c r="H12" i="56" l="1"/>
  <c r="G12" i="56" a="1"/>
  <c r="G12" i="56" l="1"/>
  <c r="J11" i="56" a="1"/>
  <c r="J11" i="56" l="1"/>
  <c r="I11" i="56" a="1"/>
  <c r="I11" i="56" l="1"/>
  <c r="H11" i="56" a="1"/>
  <c r="H11" i="56" l="1"/>
  <c r="G11" i="56" a="1"/>
  <c r="G11" i="56" l="1"/>
  <c r="J10" i="56" a="1"/>
  <c r="J10" i="56" l="1"/>
  <c r="I10" i="56" a="1"/>
  <c r="I10" i="56" l="1"/>
  <c r="H10" i="56" a="1"/>
  <c r="H10" i="56" l="1"/>
  <c r="G10" i="56" a="1"/>
  <c r="G10" i="56" l="1"/>
  <c r="J9" i="56" a="1"/>
  <c r="J9" i="56" l="1"/>
  <c r="I9" i="56" a="1"/>
  <c r="I9" i="56" l="1"/>
  <c r="H9" i="56" a="1"/>
  <c r="H9" i="56" l="1"/>
  <c r="G9" i="56" a="1"/>
  <c r="G9" i="56" l="1"/>
  <c r="J8" i="56" a="1"/>
  <c r="J8" i="56" l="1"/>
  <c r="I8" i="56" a="1"/>
  <c r="I8" i="56" l="1"/>
  <c r="H8" i="56" a="1"/>
  <c r="H8" i="56" l="1"/>
  <c r="G8" i="56" a="1"/>
  <c r="G8" i="56" l="1"/>
  <c r="J7" i="56" a="1"/>
  <c r="J7" i="56" l="1"/>
  <c r="I7" i="56" a="1"/>
  <c r="I7" i="56" l="1"/>
  <c r="H7" i="56" a="1"/>
  <c r="H7" i="56" l="1"/>
  <c r="G7" i="56" a="1"/>
  <c r="G7" i="56" l="1"/>
  <c r="J6" i="56" a="1"/>
  <c r="J6" i="56" l="1"/>
  <c r="I6" i="56" a="1"/>
  <c r="I6" i="56" l="1"/>
  <c r="H6" i="56" a="1"/>
  <c r="H6" i="56" l="1"/>
  <c r="G6" i="56" a="1"/>
  <c r="G6" i="56" l="1"/>
  <c r="J5" i="56" a="1"/>
  <c r="J5" i="56" l="1"/>
  <c r="I5" i="56" a="1"/>
  <c r="I5" i="56" l="1"/>
  <c r="H5" i="56" a="1"/>
  <c r="H5" i="56" l="1"/>
  <c r="G5" i="56" a="1"/>
  <c r="G5" i="56" l="1"/>
  <c r="C26" i="56" a="1"/>
  <c r="C26" i="56" l="1"/>
  <c r="C25" i="56" a="1"/>
  <c r="C25" i="56" l="1"/>
  <c r="C24" i="56" a="1"/>
  <c r="C24" i="56" l="1"/>
  <c r="C23" i="56" a="1"/>
  <c r="C23" i="56" l="1"/>
  <c r="B17" i="56" a="1"/>
  <c r="B17" i="56" l="1"/>
  <c r="B16" i="56" a="1"/>
  <c r="B16" i="56" l="1"/>
  <c r="B15" i="56" a="1"/>
  <c r="B15" i="56" l="1"/>
  <c r="B14" i="56" a="1"/>
  <c r="B14" i="56" l="1"/>
  <c r="B13" i="56" a="1"/>
  <c r="B13" i="56" l="1"/>
  <c r="B12" i="56" a="1"/>
  <c r="B12" i="56" l="1"/>
  <c r="B11" i="56" a="1"/>
  <c r="B11" i="56" l="1"/>
  <c r="B10" i="56" a="1"/>
  <c r="B10" i="56" l="1"/>
  <c r="B9" i="56" a="1"/>
  <c r="B9" i="56" l="1"/>
  <c r="B8" i="56" a="1"/>
  <c r="B8" i="56" l="1"/>
  <c r="B7" i="56" a="1"/>
  <c r="B7" i="56" l="1"/>
  <c r="B6" i="56" a="1"/>
  <c r="B6" i="56" l="1"/>
  <c r="B5" i="56" a="1"/>
  <c r="B5" i="56" l="1"/>
  <c r="C16" i="13" a="1"/>
  <c r="C16" i="13" l="1"/>
  <c r="C15" i="13" a="1"/>
  <c r="C15" i="13" l="1"/>
  <c r="C14" i="13" a="1"/>
  <c r="C14" i="13" l="1"/>
  <c r="C13" i="13" a="1"/>
  <c r="C13" i="13" l="1"/>
  <c r="C12" i="13" a="1"/>
  <c r="C12" i="13" l="1"/>
  <c r="C11" i="13" a="1"/>
  <c r="C11" i="13" l="1"/>
  <c r="C10" i="13" a="1"/>
  <c r="C10" i="13" l="1"/>
  <c r="C9" i="13" a="1"/>
  <c r="C9" i="13" l="1"/>
  <c r="C8" i="13" a="1"/>
  <c r="C8" i="13" l="1"/>
  <c r="C7" i="13" a="1"/>
  <c r="C7" i="13" l="1"/>
  <c r="C6" i="13" a="1"/>
  <c r="C6" i="13" l="1"/>
  <c r="C5" i="13" a="1"/>
  <c r="C5" i="13" l="1"/>
  <c r="C4" i="13" a="1"/>
  <c r="C4" i="13" l="1"/>
  <c r="R27" i="12" a="1"/>
  <c r="R27" i="12" l="1"/>
  <c r="Q27" i="12" a="1"/>
  <c r="Q27" i="12" l="1"/>
  <c r="P27" i="12" a="1"/>
  <c r="P27" i="12" l="1"/>
  <c r="O27" i="12" a="1"/>
  <c r="O27" i="12" l="1"/>
  <c r="R26" i="12" a="1"/>
  <c r="R26" i="12" l="1"/>
  <c r="Q26" i="12" a="1"/>
  <c r="Q26" i="12" l="1"/>
  <c r="P26" i="12" a="1"/>
  <c r="P26" i="12" l="1"/>
  <c r="O26" i="12" a="1"/>
  <c r="O26" i="12" l="1"/>
  <c r="R25" i="12" a="1"/>
  <c r="R25" i="12" l="1"/>
  <c r="Q25" i="12" a="1"/>
  <c r="Q25" i="12" l="1"/>
  <c r="P25" i="12" a="1"/>
  <c r="P25" i="12" l="1"/>
  <c r="O25" i="12" a="1"/>
  <c r="O25" i="12" l="1"/>
  <c r="R24" i="12" a="1"/>
  <c r="R24" i="12" l="1"/>
  <c r="Q24" i="12" a="1"/>
  <c r="Q24" i="12" l="1"/>
  <c r="P24" i="12" a="1"/>
  <c r="P24" i="12" l="1"/>
  <c r="O24" i="12" a="1"/>
  <c r="O24" i="12" l="1"/>
  <c r="R23" i="12" a="1"/>
  <c r="R23" i="12" l="1"/>
  <c r="Q23" i="12" a="1"/>
  <c r="Q23" i="12" l="1"/>
  <c r="P23" i="12" a="1"/>
  <c r="P23" i="12" l="1"/>
  <c r="O23" i="12" a="1"/>
  <c r="O23" i="12" l="1"/>
  <c r="R22" i="12" a="1"/>
  <c r="R22" i="12" l="1"/>
  <c r="Q22" i="12" a="1"/>
  <c r="Q22" i="12" l="1"/>
  <c r="P22" i="12" a="1"/>
  <c r="P22" i="12" l="1"/>
  <c r="O22" i="12" a="1"/>
  <c r="O22" i="12" l="1"/>
  <c r="R21" i="12" a="1"/>
  <c r="R21" i="12" l="1"/>
  <c r="Q21" i="12" a="1"/>
  <c r="Q21" i="12" l="1"/>
  <c r="P21" i="12" a="1"/>
  <c r="P21" i="12" l="1"/>
  <c r="O21" i="12" a="1"/>
  <c r="O21" i="12" l="1"/>
  <c r="R20" i="12" a="1"/>
  <c r="R20" i="12" l="1"/>
  <c r="Q20" i="12" a="1"/>
  <c r="Q20" i="12" l="1"/>
  <c r="P20" i="12" a="1"/>
  <c r="P20" i="12" l="1"/>
  <c r="O20" i="12" a="1"/>
  <c r="O20" i="12" l="1"/>
  <c r="R19" i="12" a="1"/>
  <c r="R19" i="12" l="1"/>
  <c r="Q19" i="12" a="1"/>
  <c r="Q19" i="12" l="1"/>
  <c r="P19" i="12" a="1"/>
  <c r="P19" i="12" l="1"/>
  <c r="O19" i="12" a="1"/>
  <c r="O19" i="12" l="1"/>
  <c r="R18" i="12" a="1"/>
  <c r="R18" i="12" l="1"/>
  <c r="Q18" i="12" a="1"/>
  <c r="Q18" i="12" l="1"/>
  <c r="P18" i="12" a="1"/>
  <c r="P18" i="12" l="1"/>
  <c r="O18" i="12" a="1"/>
  <c r="O18" i="12" l="1"/>
  <c r="R15" i="12" a="1"/>
  <c r="R15" i="12" l="1"/>
  <c r="Q15" i="12" a="1"/>
  <c r="Q15" i="12" l="1"/>
  <c r="P15" i="12" a="1"/>
  <c r="P15" i="12" l="1"/>
  <c r="O15" i="12" a="1"/>
  <c r="O15" i="12" l="1"/>
  <c r="R14" i="12" a="1"/>
  <c r="R14" i="12" l="1"/>
  <c r="Q14" i="12" a="1"/>
  <c r="Q14" i="12" l="1"/>
  <c r="P14" i="12" a="1"/>
  <c r="P14" i="12" l="1"/>
  <c r="O14" i="12" a="1"/>
  <c r="O14" i="12" l="1"/>
  <c r="R13" i="12" a="1"/>
  <c r="R13" i="12" l="1"/>
  <c r="Q13" i="12" a="1"/>
  <c r="Q13" i="12" l="1"/>
  <c r="P13" i="12" a="1"/>
  <c r="P13" i="12" l="1"/>
  <c r="O13" i="12" a="1"/>
  <c r="O13" i="12" l="1"/>
  <c r="R12" i="12" a="1"/>
  <c r="R12" i="12" l="1"/>
  <c r="Q12" i="12" a="1"/>
  <c r="Q12" i="12" l="1"/>
  <c r="P12" i="12" a="1"/>
  <c r="P12" i="12" l="1"/>
  <c r="O12" i="12" a="1"/>
  <c r="O12" i="12" l="1"/>
  <c r="R11" i="12" a="1"/>
  <c r="R11" i="12" l="1"/>
  <c r="Q11" i="12" a="1"/>
  <c r="Q11" i="12" l="1"/>
  <c r="P11" i="12" a="1"/>
  <c r="P11" i="12" l="1"/>
  <c r="O11" i="12" a="1"/>
  <c r="O11" i="12" l="1"/>
  <c r="R10" i="12" a="1"/>
  <c r="R10" i="12" l="1"/>
  <c r="Q10" i="12" a="1"/>
  <c r="Q10" i="12" l="1"/>
  <c r="P10" i="12" a="1"/>
  <c r="P10" i="12" l="1"/>
  <c r="O10" i="12" a="1"/>
  <c r="O10" i="12" l="1"/>
  <c r="R9" i="12" a="1"/>
  <c r="R9" i="12" l="1"/>
  <c r="Q9" i="12" a="1"/>
  <c r="Q9" i="12" l="1"/>
  <c r="P9" i="12" a="1"/>
  <c r="P9" i="12" l="1"/>
  <c r="O9" i="12" a="1"/>
  <c r="O9" i="12" l="1"/>
  <c r="R8" i="12" a="1"/>
  <c r="R8" i="12" l="1"/>
  <c r="Q8" i="12" a="1"/>
  <c r="Q8" i="12" l="1"/>
  <c r="P8" i="12" a="1"/>
  <c r="P8" i="12" l="1"/>
  <c r="O8" i="12" a="1"/>
  <c r="O8" i="12" l="1"/>
  <c r="R7" i="12" a="1"/>
  <c r="R7" i="12" l="1"/>
  <c r="Q7" i="12" a="1"/>
  <c r="Q7" i="12" l="1"/>
  <c r="P7" i="12" a="1"/>
  <c r="P7" i="12" l="1"/>
  <c r="O7" i="12" a="1"/>
  <c r="O7" i="12" l="1"/>
  <c r="R6" i="12" a="1"/>
  <c r="R6" i="12" l="1"/>
  <c r="Q6" i="12" a="1"/>
  <c r="Q6" i="12" l="1"/>
  <c r="P6" i="12" a="1"/>
  <c r="P6" i="12" l="1"/>
  <c r="O6" i="12" a="1"/>
  <c r="O6" i="12" l="1"/>
  <c r="R5" i="12" a="1"/>
  <c r="R5" i="12" l="1"/>
  <c r="Q5" i="12" a="1"/>
  <c r="Q5" i="12" l="1"/>
  <c r="P5" i="12" a="1"/>
  <c r="P5" i="12" l="1"/>
  <c r="O5" i="12" a="1"/>
  <c r="O5" i="12" l="1"/>
  <c r="R4" i="12" a="1"/>
  <c r="R4" i="12" l="1"/>
  <c r="Q4" i="12" a="1"/>
  <c r="Q4" i="12" l="1"/>
  <c r="P4" i="12" a="1"/>
  <c r="P4" i="12" l="1"/>
  <c r="O4" i="12" a="1"/>
  <c r="O4" i="12" l="1"/>
  <c r="R3" i="12" a="1"/>
  <c r="R3" i="12" l="1"/>
  <c r="Q3" i="12" a="1"/>
  <c r="Q3" i="12" l="1"/>
  <c r="P3" i="12" a="1"/>
  <c r="P3" i="12" l="1"/>
  <c r="O3" i="12" a="1"/>
  <c r="O3" i="12" l="1"/>
  <c r="M27" i="12" a="1"/>
  <c r="M27" i="12" l="1"/>
  <c r="L27" i="12" a="1"/>
  <c r="L27" i="12" l="1"/>
  <c r="K27" i="12" a="1"/>
  <c r="K27" i="12" l="1"/>
  <c r="M26" i="12" a="1"/>
  <c r="M26" i="12" l="1"/>
  <c r="L26" i="12" a="1"/>
  <c r="L26" i="12" l="1"/>
  <c r="K26" i="12" a="1"/>
  <c r="K26" i="12" l="1"/>
  <c r="M25" i="12" a="1"/>
  <c r="M25" i="12" l="1"/>
  <c r="L25" i="12" a="1"/>
  <c r="L25" i="12" l="1"/>
  <c r="K25" i="12" a="1"/>
  <c r="K25" i="12" l="1"/>
  <c r="M24" i="12" a="1"/>
  <c r="M24" i="12" l="1"/>
  <c r="L24" i="12" a="1"/>
  <c r="L24" i="12" l="1"/>
  <c r="K24" i="12" a="1"/>
  <c r="K24" i="12" l="1"/>
  <c r="M23" i="12" a="1"/>
  <c r="M23" i="12" l="1"/>
  <c r="L23" i="12" a="1"/>
  <c r="L23" i="12" l="1"/>
  <c r="K23" i="12" a="1"/>
  <c r="K23" i="12" l="1"/>
  <c r="M22" i="12" a="1"/>
  <c r="M22" i="12" l="1"/>
  <c r="L22" i="12" a="1"/>
  <c r="L22" i="12" l="1"/>
  <c r="K22" i="12" a="1"/>
  <c r="K22" i="12" l="1"/>
  <c r="M21" i="12" a="1"/>
  <c r="M21" i="12" l="1"/>
  <c r="L21" i="12" a="1"/>
  <c r="L21" i="12" l="1"/>
  <c r="K21" i="12" a="1"/>
  <c r="K21" i="12" l="1"/>
  <c r="M20" i="12" a="1"/>
  <c r="M20" i="12" l="1"/>
  <c r="L20" i="12" a="1"/>
  <c r="L20" i="12" l="1"/>
  <c r="K20" i="12" a="1"/>
  <c r="K20" i="12" l="1"/>
  <c r="M19" i="12" a="1"/>
  <c r="M19" i="12" l="1"/>
  <c r="L19" i="12" a="1"/>
  <c r="L19" i="12" l="1"/>
  <c r="K19" i="12" a="1"/>
  <c r="K19" i="12" l="1"/>
  <c r="M18" i="12" a="1"/>
  <c r="M18" i="12" l="1"/>
  <c r="L18" i="12" a="1"/>
  <c r="L18" i="12" l="1"/>
  <c r="K18" i="12" a="1"/>
  <c r="K18" i="12" l="1"/>
  <c r="M15" i="12" a="1"/>
  <c r="M15" i="12" l="1"/>
  <c r="L15" i="12" a="1"/>
  <c r="L15" i="12" l="1"/>
  <c r="K15" i="12" a="1"/>
  <c r="K15" i="12" l="1"/>
  <c r="M14" i="12" a="1"/>
  <c r="M14" i="12" l="1"/>
  <c r="L14" i="12" a="1"/>
  <c r="L14" i="12" l="1"/>
  <c r="K14" i="12" a="1"/>
  <c r="K14" i="12" l="1"/>
  <c r="M13" i="12" a="1"/>
  <c r="M13" i="12" l="1"/>
  <c r="L13" i="12" a="1"/>
  <c r="L13" i="12" l="1"/>
  <c r="K13" i="12" a="1"/>
  <c r="K13" i="12" l="1"/>
  <c r="M12" i="12" a="1"/>
  <c r="M12" i="12" l="1"/>
  <c r="L12" i="12" a="1"/>
  <c r="L12" i="12" l="1"/>
  <c r="K12" i="12" a="1"/>
  <c r="K12" i="12" l="1"/>
  <c r="M11" i="12" a="1"/>
  <c r="M11" i="12" l="1"/>
  <c r="L11" i="12" a="1"/>
  <c r="L11" i="12" l="1"/>
  <c r="K11" i="12" a="1"/>
  <c r="K11" i="12" l="1"/>
  <c r="M10" i="12" a="1"/>
  <c r="M10" i="12" l="1"/>
  <c r="L10" i="12" a="1"/>
  <c r="L10" i="12" l="1"/>
  <c r="K10" i="12" a="1"/>
  <c r="K10" i="12" l="1"/>
  <c r="M9" i="12" a="1"/>
  <c r="M9" i="12" l="1"/>
  <c r="L9" i="12" a="1"/>
  <c r="L9" i="12" l="1"/>
  <c r="K9" i="12" a="1"/>
  <c r="K9" i="12" l="1"/>
  <c r="M8" i="12" a="1"/>
  <c r="M8" i="12" l="1"/>
  <c r="L8" i="12" a="1"/>
  <c r="L8" i="12" l="1"/>
  <c r="K8" i="12" a="1"/>
  <c r="K8" i="12" l="1"/>
  <c r="M7" i="12" a="1"/>
  <c r="M7" i="12" l="1"/>
  <c r="L7" i="12" a="1"/>
  <c r="L7" i="12" l="1"/>
  <c r="K7" i="12" a="1"/>
  <c r="K7" i="12" l="1"/>
  <c r="M6" i="12" a="1"/>
  <c r="M6" i="12" l="1"/>
  <c r="L6" i="12" a="1"/>
  <c r="L6" i="12" l="1"/>
  <c r="K6" i="12" a="1"/>
  <c r="K6" i="12" l="1"/>
  <c r="M5" i="12" a="1"/>
  <c r="M5" i="12" l="1"/>
  <c r="L5" i="12" a="1"/>
  <c r="L5" i="12" l="1"/>
  <c r="K5" i="12" a="1"/>
  <c r="K5" i="12" l="1"/>
  <c r="M4" i="12" a="1"/>
  <c r="M4" i="12" l="1"/>
  <c r="L4" i="12" a="1"/>
  <c r="L4" i="12" l="1"/>
  <c r="K4" i="12" a="1"/>
  <c r="K4" i="12" l="1"/>
  <c r="M3" i="12" a="1"/>
  <c r="M3" i="12" l="1"/>
  <c r="L3" i="12" a="1"/>
  <c r="L3" i="12" l="1"/>
  <c r="K3" i="12" a="1"/>
  <c r="K3" i="12" l="1"/>
  <c r="G27" i="12" a="1"/>
  <c r="G27" i="12" l="1"/>
  <c r="F27" i="12" a="1"/>
  <c r="F27" i="12" l="1"/>
  <c r="E27" i="12" a="1"/>
  <c r="E27" i="12" l="1"/>
  <c r="G26" i="12" a="1"/>
  <c r="G26" i="12" l="1"/>
  <c r="F26" i="12" a="1"/>
  <c r="F26" i="12" l="1"/>
  <c r="E26" i="12" a="1"/>
  <c r="E26" i="12" l="1"/>
  <c r="G25" i="12" a="1"/>
  <c r="G25" i="12" l="1"/>
  <c r="F25" i="12" a="1"/>
  <c r="F25" i="12" l="1"/>
  <c r="E25" i="12" a="1"/>
  <c r="E25" i="12" l="1"/>
  <c r="G24" i="12" a="1"/>
  <c r="G24" i="12" l="1"/>
  <c r="F24" i="12" a="1"/>
  <c r="F24" i="12" l="1"/>
  <c r="E24" i="12" a="1"/>
  <c r="E24" i="12" l="1"/>
  <c r="G23" i="12" a="1"/>
  <c r="G23" i="12" l="1"/>
  <c r="F23" i="12" a="1"/>
  <c r="F23" i="12" l="1"/>
  <c r="E23" i="12" a="1"/>
  <c r="E23" i="12" l="1"/>
  <c r="G22" i="12" a="1"/>
  <c r="G22" i="12" l="1"/>
  <c r="F22" i="12" a="1"/>
  <c r="F22" i="12" l="1"/>
  <c r="E22" i="12" a="1"/>
  <c r="E22" i="12" l="1"/>
  <c r="G21" i="12" a="1"/>
  <c r="G21" i="12" l="1"/>
  <c r="F21" i="12" a="1"/>
  <c r="F21" i="12" l="1"/>
  <c r="E21" i="12" a="1"/>
  <c r="E21" i="12" l="1"/>
  <c r="G20" i="12" a="1"/>
  <c r="G20" i="12" l="1"/>
  <c r="F20" i="12" a="1"/>
  <c r="F20" i="12" l="1"/>
  <c r="E20" i="12" a="1"/>
  <c r="E20" i="12" l="1"/>
  <c r="G19" i="12" a="1"/>
  <c r="G19" i="12" l="1"/>
  <c r="F19" i="12" a="1"/>
  <c r="F19" i="12" l="1"/>
  <c r="E19" i="12" a="1"/>
  <c r="E19" i="12" l="1"/>
  <c r="G18" i="12" a="1"/>
  <c r="G18" i="12" l="1"/>
  <c r="F18" i="12" a="1"/>
  <c r="F18" i="12" l="1"/>
  <c r="E18" i="12" a="1"/>
  <c r="E18" i="12" l="1"/>
  <c r="G15" i="12" a="1"/>
  <c r="G15" i="12" l="1"/>
  <c r="F15" i="12" a="1"/>
  <c r="F15" i="12" l="1"/>
  <c r="E15" i="12" a="1"/>
  <c r="E15" i="12" l="1"/>
  <c r="G14" i="12" a="1"/>
  <c r="G14" i="12" l="1"/>
  <c r="F14" i="12" a="1"/>
  <c r="F14" i="12" l="1"/>
  <c r="E14" i="12" a="1"/>
  <c r="E14" i="12" l="1"/>
  <c r="G13" i="12" a="1"/>
  <c r="G13" i="12" l="1"/>
  <c r="F13" i="12" a="1"/>
  <c r="F13" i="12" l="1"/>
  <c r="E13" i="12" a="1"/>
  <c r="E13" i="12" l="1"/>
  <c r="G12" i="12" a="1"/>
  <c r="G12" i="12" l="1"/>
  <c r="F12" i="12" a="1"/>
  <c r="F12" i="12" l="1"/>
  <c r="E12" i="12" a="1"/>
  <c r="E12" i="12" l="1"/>
  <c r="G11" i="12" a="1"/>
  <c r="G11" i="12" l="1"/>
  <c r="F11" i="12" a="1"/>
  <c r="F11" i="12" l="1"/>
  <c r="E11" i="12" a="1"/>
  <c r="E11" i="12" l="1"/>
  <c r="G10" i="12" a="1"/>
  <c r="G10" i="12" l="1"/>
  <c r="F10" i="12" a="1"/>
  <c r="F10" i="12" l="1"/>
  <c r="E10" i="12" a="1"/>
  <c r="E10" i="12" l="1"/>
  <c r="G9" i="12" a="1"/>
  <c r="G9" i="12" l="1"/>
  <c r="F9" i="12" a="1"/>
  <c r="F9" i="12" l="1"/>
  <c r="E9" i="12" a="1"/>
  <c r="E9" i="12" l="1"/>
  <c r="G8" i="12" a="1"/>
  <c r="G8" i="12" l="1"/>
  <c r="F8" i="12" a="1"/>
  <c r="F8" i="12" l="1"/>
  <c r="E8" i="12" a="1"/>
  <c r="E8" i="12" l="1"/>
  <c r="G7" i="12" a="1"/>
  <c r="G7" i="12" l="1"/>
  <c r="F7" i="12" a="1"/>
  <c r="F7" i="12" l="1"/>
  <c r="E7" i="12" a="1"/>
  <c r="E7" i="12" l="1"/>
  <c r="G6" i="12" a="1"/>
  <c r="G6" i="12" l="1"/>
  <c r="F6" i="12" a="1"/>
  <c r="F6" i="12" l="1"/>
  <c r="E6" i="12" a="1"/>
  <c r="E6" i="12" l="1"/>
  <c r="G5" i="12" a="1"/>
  <c r="G5" i="12" l="1"/>
  <c r="F5" i="12" a="1"/>
  <c r="F5" i="12" l="1"/>
  <c r="E5" i="12" a="1"/>
  <c r="E5" i="12" l="1"/>
  <c r="G4" i="12" a="1"/>
  <c r="G4" i="12" l="1"/>
  <c r="F4" i="12" a="1"/>
  <c r="F4" i="12" l="1"/>
  <c r="E4" i="12" a="1"/>
  <c r="E4" i="12" l="1"/>
  <c r="G3" i="12" a="1"/>
  <c r="G3" i="12" l="1"/>
  <c r="F3" i="12" a="1"/>
  <c r="F3" i="12" l="1"/>
  <c r="E3" i="12" a="1"/>
  <c r="E3" i="12" l="1"/>
  <c r="B15" i="12" a="1"/>
  <c r="B15" i="12" l="1"/>
  <c r="B14" i="12" a="1"/>
  <c r="B14" i="12" l="1"/>
  <c r="B13" i="12" a="1"/>
  <c r="B13" i="12" l="1"/>
  <c r="B12" i="12" a="1"/>
  <c r="B12" i="12" l="1"/>
  <c r="B11" i="12" a="1"/>
  <c r="B11" i="12" l="1"/>
  <c r="B10" i="12" a="1"/>
  <c r="B10" i="12" l="1"/>
  <c r="B9" i="12" a="1"/>
  <c r="B9" i="12" l="1"/>
  <c r="B8" i="12" a="1"/>
  <c r="B8" i="12" l="1"/>
  <c r="B7" i="12" a="1"/>
  <c r="B7" i="12" l="1"/>
  <c r="B6" i="12" a="1"/>
  <c r="B6" i="12" l="1"/>
  <c r="B5" i="12" a="1"/>
  <c r="B5" i="12" l="1"/>
  <c r="B4" i="12" a="1"/>
  <c r="B4" i="12" l="1"/>
  <c r="B3" i="12" a="1"/>
  <c r="B3" i="12" l="1"/>
  <c r="H14" i="60" a="1"/>
  <c r="H14" i="60" l="1"/>
  <c r="G14" i="60" a="1"/>
  <c r="G14" i="60" l="1"/>
  <c r="F14" i="60" a="1"/>
  <c r="F14" i="60" l="1"/>
  <c r="E14" i="60" a="1"/>
  <c r="E14" i="60" l="1"/>
  <c r="H13" i="60" a="1"/>
  <c r="H13" i="60" l="1"/>
  <c r="G13" i="60" a="1"/>
  <c r="G13" i="60" l="1"/>
  <c r="F13" i="60" a="1"/>
  <c r="F13" i="60" l="1"/>
  <c r="E13" i="60" a="1"/>
  <c r="E13" i="60" l="1"/>
  <c r="H12" i="60" a="1"/>
  <c r="H12" i="60" l="1"/>
  <c r="G12" i="60" a="1"/>
  <c r="G12" i="60" l="1"/>
  <c r="F12" i="60" a="1"/>
  <c r="F12" i="60" l="1"/>
  <c r="E12" i="60" a="1"/>
  <c r="E12" i="60" l="1"/>
  <c r="H11" i="60" a="1"/>
  <c r="H11" i="60" l="1"/>
  <c r="G11" i="60" a="1"/>
  <c r="G11" i="60" l="1"/>
  <c r="F11" i="60" a="1"/>
  <c r="F11" i="60" l="1"/>
  <c r="E11" i="60" a="1"/>
  <c r="E11" i="60" l="1"/>
  <c r="H10" i="60" a="1"/>
  <c r="H10" i="60" l="1"/>
  <c r="G10" i="60" a="1"/>
  <c r="G10" i="60" l="1"/>
  <c r="F10" i="60" a="1"/>
  <c r="F10" i="60" l="1"/>
  <c r="E10" i="60" a="1"/>
  <c r="E10" i="60" l="1"/>
  <c r="H9" i="60" a="1"/>
  <c r="H9" i="60" l="1"/>
  <c r="G9" i="60" a="1"/>
  <c r="G9" i="60" l="1"/>
  <c r="F9" i="60" a="1"/>
  <c r="F9" i="60" l="1"/>
  <c r="E9" i="60" a="1"/>
  <c r="E9" i="60" l="1"/>
  <c r="H8" i="60" a="1"/>
  <c r="H8" i="60" l="1"/>
  <c r="G8" i="60" a="1"/>
  <c r="G8" i="60" l="1"/>
  <c r="F8" i="60" a="1"/>
  <c r="F8" i="60" l="1"/>
  <c r="E8" i="60" a="1"/>
  <c r="E8" i="60" l="1"/>
  <c r="H7" i="60" a="1"/>
  <c r="H7" i="60" l="1"/>
  <c r="G7" i="60" a="1"/>
  <c r="G7" i="60" l="1"/>
  <c r="F7" i="60" a="1"/>
  <c r="F7" i="60" l="1"/>
  <c r="E7" i="60" a="1"/>
  <c r="E7" i="60" l="1"/>
  <c r="H6" i="60" a="1"/>
  <c r="H6" i="60" l="1"/>
  <c r="G6" i="60" a="1"/>
  <c r="G6" i="60" l="1"/>
  <c r="F6" i="60" a="1"/>
  <c r="F6" i="60" l="1"/>
  <c r="E6" i="60" a="1"/>
  <c r="E6" i="60" l="1"/>
  <c r="H5" i="60" a="1"/>
  <c r="H5" i="60" l="1"/>
  <c r="G5" i="60" a="1"/>
  <c r="G5" i="60" l="1"/>
  <c r="F5" i="60" a="1"/>
  <c r="F5" i="60" l="1"/>
  <c r="E5" i="60" a="1"/>
  <c r="E5" i="60" l="1"/>
  <c r="H4" i="60" a="1"/>
  <c r="H4" i="60" l="1"/>
  <c r="G4" i="60" a="1"/>
  <c r="G4" i="60" l="1"/>
  <c r="F4" i="60" a="1"/>
  <c r="F4" i="60" l="1"/>
  <c r="E4" i="60" a="1"/>
  <c r="E4" i="60" l="1"/>
  <c r="H3" i="60" a="1"/>
  <c r="H3" i="60" l="1"/>
  <c r="G3" i="60" a="1"/>
  <c r="G3" i="60" l="1"/>
  <c r="F3" i="60" a="1"/>
  <c r="F3" i="60" l="1"/>
  <c r="E3" i="60" a="1"/>
  <c r="E3" i="60" l="1"/>
  <c r="O23" i="64" a="1"/>
  <c r="O23" i="64" l="1"/>
  <c r="O22" i="64" a="1"/>
  <c r="O22" i="64" l="1"/>
  <c r="O20" i="64" a="1"/>
  <c r="O20" i="64" l="1"/>
  <c r="O17" i="64" a="1"/>
  <c r="O17" i="64" l="1"/>
  <c r="O15" i="64" a="1"/>
  <c r="O15" i="64" l="1"/>
  <c r="O14" i="64" a="1"/>
  <c r="O14" i="64" l="1"/>
  <c r="O13" i="64" a="1"/>
  <c r="O13" i="64" l="1"/>
  <c r="O12" i="64" a="1"/>
  <c r="O12" i="64" l="1"/>
  <c r="O11" i="64" a="1"/>
  <c r="O11" i="64" l="1"/>
  <c r="O8" i="64" a="1"/>
  <c r="O8" i="64" l="1"/>
  <c r="O7" i="64" a="1"/>
  <c r="O7" i="64" l="1"/>
  <c r="O5" i="64" a="1"/>
  <c r="O5" i="64" l="1"/>
  <c r="O4" i="64" a="1"/>
  <c r="O4" i="64" l="1"/>
  <c r="O3" i="64" a="1"/>
  <c r="O3" i="64" l="1"/>
  <c r="L28" i="64" a="1"/>
  <c r="L28" i="64" l="1"/>
  <c r="K28" i="64" a="1"/>
  <c r="K28" i="64" l="1"/>
  <c r="J28" i="64" a="1"/>
  <c r="J28" i="64" l="1"/>
  <c r="I28" i="64" a="1"/>
  <c r="I28" i="64" l="1"/>
  <c r="H28" i="64" a="1"/>
  <c r="H28" i="64" l="1"/>
  <c r="G28" i="64" a="1"/>
  <c r="G28" i="64" l="1"/>
  <c r="F28" i="64" a="1"/>
  <c r="F28" i="64" l="1"/>
  <c r="L27" i="64" a="1"/>
  <c r="L27" i="64" l="1"/>
  <c r="K27" i="64" a="1"/>
  <c r="K27" i="64" l="1"/>
  <c r="J27" i="64" a="1"/>
  <c r="J27" i="64" l="1"/>
  <c r="I27" i="64" a="1"/>
  <c r="I27" i="64" l="1"/>
  <c r="H27" i="64" a="1"/>
  <c r="H27" i="64" l="1"/>
  <c r="G27" i="64" a="1"/>
  <c r="G27" i="64" l="1"/>
  <c r="F27" i="64" a="1"/>
  <c r="F27" i="64" l="1"/>
  <c r="L23" i="64" a="1"/>
  <c r="L23" i="64" l="1"/>
  <c r="K23" i="64" a="1"/>
  <c r="K23" i="64" l="1"/>
  <c r="J23" i="64" a="1"/>
  <c r="J23" i="64" l="1"/>
  <c r="I23" i="64" a="1"/>
  <c r="I23" i="64" l="1"/>
  <c r="H23" i="64" a="1"/>
  <c r="H23" i="64" l="1"/>
  <c r="G23" i="64" a="1"/>
  <c r="G23" i="64" l="1"/>
  <c r="F23" i="64" a="1"/>
  <c r="F23" i="64" l="1"/>
  <c r="L22" i="64" a="1"/>
  <c r="L22" i="64" l="1"/>
  <c r="K22" i="64" a="1"/>
  <c r="K22" i="64" l="1"/>
  <c r="J22" i="64" a="1"/>
  <c r="J22" i="64" l="1"/>
  <c r="I22" i="64" a="1"/>
  <c r="I22" i="64" l="1"/>
  <c r="H22" i="64" a="1"/>
  <c r="H22" i="64" l="1"/>
  <c r="G22" i="64" a="1"/>
  <c r="G22" i="64" l="1"/>
  <c r="F22" i="64" a="1"/>
  <c r="F22" i="64" l="1"/>
  <c r="L21" i="64" a="1"/>
  <c r="L21" i="64" l="1"/>
  <c r="K21" i="64" a="1"/>
  <c r="K21" i="64" l="1"/>
  <c r="J21" i="64" a="1"/>
  <c r="J21" i="64" l="1"/>
  <c r="I21" i="64" a="1"/>
  <c r="I21" i="64" l="1"/>
  <c r="H21" i="64" a="1"/>
  <c r="H21" i="64" l="1"/>
  <c r="G21" i="64" a="1"/>
  <c r="G21" i="64" l="1"/>
  <c r="F21" i="64" a="1"/>
  <c r="F21" i="64" l="1"/>
  <c r="L20" i="64" a="1"/>
  <c r="L20" i="64" l="1"/>
  <c r="K20" i="64" a="1"/>
  <c r="K20" i="64" l="1"/>
  <c r="J20" i="64" a="1"/>
  <c r="J20" i="64" l="1"/>
  <c r="I20" i="64" a="1"/>
  <c r="I20" i="64" l="1"/>
  <c r="H20" i="64" a="1"/>
  <c r="H20" i="64" l="1"/>
  <c r="G20" i="64" a="1"/>
  <c r="G20" i="64" l="1"/>
  <c r="F20" i="64" a="1"/>
  <c r="F20" i="64" l="1"/>
  <c r="L19" i="64" a="1"/>
  <c r="L19" i="64" l="1"/>
  <c r="K19" i="64" a="1"/>
  <c r="K19" i="64" l="1"/>
  <c r="J19" i="64" a="1"/>
  <c r="J19" i="64" l="1"/>
  <c r="I19" i="64" a="1"/>
  <c r="I19" i="64" l="1"/>
  <c r="H19" i="64" a="1"/>
  <c r="H19" i="64" l="1"/>
  <c r="G19" i="64" a="1"/>
  <c r="G19" i="64" l="1"/>
  <c r="F19" i="64" a="1"/>
  <c r="F19" i="64" l="1"/>
  <c r="L18" i="64" a="1"/>
  <c r="L18" i="64" l="1"/>
  <c r="K18" i="64" a="1"/>
  <c r="K18" i="64" l="1"/>
  <c r="I18" i="64" a="1"/>
  <c r="I18" i="64" l="1"/>
  <c r="H18" i="64" a="1"/>
  <c r="H18" i="64" l="1"/>
  <c r="G18" i="64" a="1"/>
  <c r="G18" i="64" l="1"/>
  <c r="J18" i="64" a="1"/>
  <c r="F18" i="64" a="1"/>
  <c r="F18" i="64" l="1"/>
  <c r="J18" i="64"/>
  <c r="L17" i="64" a="1"/>
  <c r="L17" i="64" l="1"/>
  <c r="K17" i="64" a="1"/>
  <c r="K17" i="64" l="1"/>
  <c r="J17" i="64" a="1"/>
  <c r="J17" i="64" l="1"/>
  <c r="I17" i="64" a="1"/>
  <c r="I17" i="64" l="1"/>
  <c r="H17" i="64" a="1"/>
  <c r="H17" i="64" l="1"/>
  <c r="G17" i="64" a="1"/>
  <c r="G17" i="64" l="1"/>
  <c r="F17" i="64" a="1"/>
  <c r="F17" i="64" l="1"/>
  <c r="L16" i="64" a="1"/>
  <c r="L16" i="64" l="1"/>
  <c r="K16" i="64" a="1"/>
  <c r="K16" i="64" l="1"/>
  <c r="J16" i="64" a="1"/>
  <c r="J16" i="64" l="1"/>
  <c r="I16" i="64" a="1"/>
  <c r="I16" i="64" l="1"/>
  <c r="H16" i="64" a="1"/>
  <c r="H16" i="64" l="1"/>
  <c r="G16" i="64" a="1"/>
  <c r="G16" i="64" l="1"/>
  <c r="F16" i="64" a="1"/>
  <c r="F16" i="64" l="1"/>
  <c r="L15" i="64" a="1"/>
  <c r="L15" i="64" l="1"/>
  <c r="K15" i="64" a="1"/>
  <c r="K15" i="64" l="1"/>
  <c r="J15" i="64" a="1"/>
  <c r="J15" i="64" l="1"/>
  <c r="I15" i="64" a="1"/>
  <c r="I15" i="64" l="1"/>
  <c r="H15" i="64" a="1"/>
  <c r="H15" i="64" l="1"/>
  <c r="G15" i="64" a="1"/>
  <c r="G15" i="64" l="1"/>
  <c r="F15" i="64" a="1"/>
  <c r="F15" i="64" l="1"/>
  <c r="L14" i="64" a="1"/>
  <c r="L14" i="64" l="1"/>
  <c r="K14" i="64" a="1"/>
  <c r="K14" i="64" l="1"/>
  <c r="J14" i="64" a="1"/>
  <c r="J14" i="64" l="1"/>
  <c r="I14" i="64" a="1"/>
  <c r="I14" i="64" l="1"/>
  <c r="H14" i="64" a="1"/>
  <c r="H14" i="64" l="1"/>
  <c r="G14" i="64" a="1"/>
  <c r="G14" i="64" l="1"/>
  <c r="F14" i="64" a="1"/>
  <c r="F14" i="64" l="1"/>
  <c r="L13" i="64" a="1"/>
  <c r="L13" i="64" l="1"/>
  <c r="K13" i="64" a="1"/>
  <c r="K13" i="64" l="1"/>
  <c r="J13" i="64" a="1"/>
  <c r="J13" i="64" l="1"/>
  <c r="I13" i="64" a="1"/>
  <c r="I13" i="64" l="1"/>
  <c r="H13" i="64" a="1"/>
  <c r="H13" i="64" l="1"/>
  <c r="G13" i="64" a="1"/>
  <c r="G13" i="64" l="1"/>
  <c r="F13" i="64" a="1"/>
  <c r="F13" i="64" l="1"/>
  <c r="L12" i="64" a="1"/>
  <c r="L12" i="64" l="1"/>
  <c r="K12" i="64" a="1"/>
  <c r="K12" i="64" l="1"/>
  <c r="J12" i="64" a="1"/>
  <c r="J12" i="64" l="1"/>
  <c r="I12" i="64" a="1"/>
  <c r="I12" i="64" l="1"/>
  <c r="H12" i="64" a="1"/>
  <c r="H12" i="64" l="1"/>
  <c r="G12" i="64" a="1"/>
  <c r="G12" i="64" l="1"/>
  <c r="F12" i="64" a="1"/>
  <c r="F12" i="64" l="1"/>
  <c r="L11" i="64" a="1"/>
  <c r="L11" i="64" l="1"/>
  <c r="K11" i="64" a="1"/>
  <c r="K11" i="64" l="1"/>
  <c r="J11" i="64" a="1"/>
  <c r="J11" i="64" l="1"/>
  <c r="I11" i="64" a="1"/>
  <c r="I11" i="64" l="1"/>
  <c r="H11" i="64" a="1"/>
  <c r="H11" i="64" l="1"/>
  <c r="G11" i="64" a="1"/>
  <c r="G11" i="64" l="1"/>
  <c r="F11" i="64" a="1"/>
  <c r="F11" i="64" l="1"/>
  <c r="L10" i="64" a="1"/>
  <c r="L10" i="64" l="1"/>
  <c r="K10" i="64" a="1"/>
  <c r="K10" i="64" l="1"/>
  <c r="J10" i="64" a="1"/>
  <c r="J10" i="64" l="1"/>
  <c r="I10" i="64" a="1"/>
  <c r="I10" i="64" l="1"/>
  <c r="H10" i="64" a="1"/>
  <c r="H10" i="64" l="1"/>
  <c r="G10" i="64" a="1"/>
  <c r="G10" i="64" l="1"/>
  <c r="F10" i="64" a="1"/>
  <c r="F10" i="64" l="1"/>
  <c r="L9" i="64" a="1"/>
  <c r="L9" i="64" l="1"/>
  <c r="K9" i="64" a="1"/>
  <c r="K9" i="64" l="1"/>
  <c r="J9" i="64" a="1"/>
  <c r="J9" i="64" l="1"/>
  <c r="I9" i="64" a="1"/>
  <c r="I9" i="64" l="1"/>
  <c r="H9" i="64" a="1"/>
  <c r="H9" i="64" l="1"/>
  <c r="G9" i="64" a="1"/>
  <c r="G9" i="64" l="1"/>
  <c r="F9" i="64" a="1"/>
  <c r="F9" i="64" l="1"/>
  <c r="L8" i="64" a="1"/>
  <c r="L8" i="64" l="1"/>
  <c r="K8" i="64" a="1"/>
  <c r="K8" i="64" l="1"/>
  <c r="J8" i="64" a="1"/>
  <c r="J8" i="64" l="1"/>
  <c r="I8" i="64" a="1"/>
  <c r="I8" i="64" l="1"/>
  <c r="H8" i="64" a="1"/>
  <c r="H8" i="64" l="1"/>
  <c r="G8" i="64" a="1"/>
  <c r="G8" i="64" l="1"/>
  <c r="F8" i="64" a="1"/>
  <c r="F8" i="64" l="1"/>
  <c r="L7" i="64" a="1"/>
  <c r="L7" i="64" l="1"/>
  <c r="K7" i="64" a="1"/>
  <c r="K7" i="64" l="1"/>
  <c r="J7" i="64" a="1"/>
  <c r="J7" i="64" l="1"/>
  <c r="I7" i="64" a="1"/>
  <c r="I7" i="64" l="1"/>
  <c r="H7" i="64" a="1"/>
  <c r="H7" i="64" l="1"/>
  <c r="G7" i="64" a="1"/>
  <c r="G7" i="64" l="1"/>
  <c r="F7" i="64" a="1"/>
  <c r="F7" i="64" l="1"/>
  <c r="L6" i="64" a="1"/>
  <c r="L6" i="64" l="1"/>
  <c r="K6" i="64" a="1"/>
  <c r="K6" i="64" l="1"/>
  <c r="J6" i="64" a="1"/>
  <c r="J6" i="64" l="1"/>
  <c r="I6" i="64" a="1"/>
  <c r="I6" i="64" l="1"/>
  <c r="H6" i="64" a="1"/>
  <c r="H6" i="64" l="1"/>
  <c r="G6" i="64" a="1"/>
  <c r="G6" i="64" l="1"/>
  <c r="F6" i="64" a="1"/>
  <c r="F6" i="64" l="1"/>
  <c r="L5" i="64" a="1"/>
  <c r="L5" i="64" l="1"/>
  <c r="K5" i="64" a="1"/>
  <c r="K5" i="64" l="1"/>
  <c r="J5" i="64" a="1"/>
  <c r="J5" i="64" l="1"/>
  <c r="I5" i="64" a="1"/>
  <c r="I5" i="64" l="1"/>
  <c r="H5" i="64" a="1"/>
  <c r="H5" i="64" l="1"/>
  <c r="G5" i="64" a="1"/>
  <c r="G5" i="64" l="1"/>
  <c r="F5" i="64" a="1"/>
  <c r="F5" i="64" l="1"/>
  <c r="L4" i="64" a="1"/>
  <c r="L4" i="64" l="1"/>
  <c r="K4" i="64" a="1"/>
  <c r="K4" i="64" l="1"/>
  <c r="J4" i="64" a="1"/>
  <c r="J4" i="64" l="1"/>
  <c r="I4" i="64" a="1"/>
  <c r="I4" i="64" l="1"/>
  <c r="H4" i="64" a="1"/>
  <c r="H4" i="64" l="1"/>
  <c r="G4" i="64" a="1"/>
  <c r="G4" i="64" l="1"/>
  <c r="F4" i="64" a="1"/>
  <c r="F4" i="64" l="1"/>
  <c r="L3" i="64" a="1"/>
  <c r="L3" i="64" l="1"/>
  <c r="K3" i="64" a="1"/>
  <c r="K3" i="64" l="1"/>
  <c r="J3" i="64" a="1"/>
  <c r="J3" i="64" l="1"/>
  <c r="I3" i="64" a="1"/>
  <c r="I3" i="64" l="1"/>
  <c r="H3" i="64" a="1"/>
  <c r="H3" i="64" l="1"/>
  <c r="G3" i="64" a="1"/>
  <c r="G3" i="64" l="1"/>
  <c r="F3" i="64" a="1"/>
  <c r="F3" i="64" l="1"/>
  <c r="D31" i="64" a="1"/>
  <c r="D31" i="64" l="1"/>
  <c r="O6" i="64" a="1"/>
  <c r="O9" i="64" a="1"/>
  <c r="O10" i="64" a="1"/>
  <c r="O16" i="64" a="1"/>
  <c r="O18" i="64" a="1"/>
  <c r="O19" i="64" a="1"/>
  <c r="O21" i="64" a="1"/>
  <c r="O21" i="64" l="1"/>
  <c r="O19" i="64"/>
  <c r="O18" i="64"/>
  <c r="O16" i="64"/>
  <c r="O10" i="64"/>
  <c r="O9" i="64"/>
  <c r="O6" i="64"/>
  <c r="O4" i="63" a="1"/>
  <c r="O4" i="63" l="1"/>
  <c r="O3" i="63" a="1"/>
  <c r="O3" i="63" l="1"/>
  <c r="L4" i="63" a="1"/>
  <c r="L4" i="63" l="1"/>
  <c r="K4" i="63" a="1"/>
  <c r="K4" i="63" l="1"/>
  <c r="J4" i="63" a="1"/>
  <c r="J4" i="63" l="1"/>
  <c r="I4" i="63" a="1"/>
  <c r="I4" i="63" l="1"/>
  <c r="H4" i="63" a="1"/>
  <c r="H4" i="63" l="1"/>
  <c r="G4" i="63" a="1"/>
  <c r="G4" i="63" l="1"/>
  <c r="F4" i="63" a="1"/>
  <c r="F4" i="63" l="1"/>
  <c r="L3" i="63" a="1"/>
  <c r="L3" i="63" l="1"/>
  <c r="K3" i="63" a="1"/>
  <c r="K3" i="63" l="1"/>
  <c r="J3" i="63" a="1"/>
  <c r="J3" i="63" l="1"/>
  <c r="I3" i="63" a="1"/>
  <c r="I3" i="63" l="1"/>
  <c r="H3" i="63" a="1"/>
  <c r="H3" i="63" l="1"/>
  <c r="G3" i="63" a="1"/>
  <c r="G3" i="63" l="1"/>
  <c r="F3" i="63" a="1"/>
  <c r="F3" i="63" l="1"/>
  <c r="C4" i="63" a="1"/>
  <c r="C4" i="63" l="1"/>
  <c r="C3" i="63" a="1"/>
  <c r="C3" i="63" l="1"/>
  <c r="O15" i="62" a="1"/>
  <c r="O15" i="62" l="1"/>
  <c r="O14" i="62" a="1"/>
  <c r="O14" i="62" l="1"/>
  <c r="O13" i="62" a="1"/>
  <c r="O13" i="62" l="1"/>
  <c r="O12" i="62" a="1"/>
  <c r="O12" i="62" l="1"/>
  <c r="O11" i="62" a="1"/>
  <c r="O11" i="62" l="1"/>
  <c r="O10" i="62" a="1"/>
  <c r="O10" i="62" l="1"/>
  <c r="O9" i="62" a="1"/>
  <c r="O9" i="62" l="1"/>
  <c r="O8" i="62" a="1"/>
  <c r="O8" i="62" l="1"/>
  <c r="O7" i="62" a="1"/>
  <c r="O7" i="62" l="1"/>
  <c r="O6" i="62" a="1"/>
  <c r="O6" i="62" l="1"/>
  <c r="O5" i="62" a="1"/>
  <c r="O5" i="62" l="1"/>
  <c r="O4" i="62" a="1"/>
  <c r="O4" i="62" l="1"/>
  <c r="O3" i="62" a="1"/>
  <c r="O3" i="62" l="1"/>
  <c r="L20" i="62" a="1"/>
  <c r="L20" i="62" l="1"/>
  <c r="K20" i="62" a="1"/>
  <c r="K20" i="62" l="1"/>
  <c r="J20" i="62" a="1"/>
  <c r="J20" i="62" l="1"/>
  <c r="I20" i="62" a="1"/>
  <c r="I20" i="62" l="1"/>
  <c r="H20" i="62" a="1"/>
  <c r="H20" i="62" l="1"/>
  <c r="G20" i="62" a="1"/>
  <c r="G20" i="62" l="1"/>
  <c r="F20" i="62" a="1"/>
  <c r="F20" i="62" l="1"/>
  <c r="L19" i="62" a="1"/>
  <c r="L19" i="62" l="1"/>
  <c r="K19" i="62" a="1"/>
  <c r="K19" i="62" l="1"/>
  <c r="J19" i="62" a="1"/>
  <c r="J19" i="62" l="1"/>
  <c r="I19" i="62" a="1"/>
  <c r="I19" i="62" l="1"/>
  <c r="H19" i="62" a="1"/>
  <c r="H19" i="62" l="1"/>
  <c r="G19" i="62" a="1"/>
  <c r="G19" i="62" l="1"/>
  <c r="F19" i="62" a="1"/>
  <c r="F19" i="62" l="1"/>
  <c r="L15" i="62" a="1"/>
  <c r="L15" i="62" l="1"/>
  <c r="K15" i="62" a="1"/>
  <c r="K15" i="62" l="1"/>
  <c r="J15" i="62" a="1"/>
  <c r="J15" i="62" l="1"/>
  <c r="I15" i="62" a="1"/>
  <c r="I15" i="62" l="1"/>
  <c r="H15" i="62" a="1"/>
  <c r="H15" i="62" l="1"/>
  <c r="G15" i="62" a="1"/>
  <c r="G15" i="62" l="1"/>
  <c r="F15" i="62" a="1"/>
  <c r="F15" i="62" l="1"/>
  <c r="L14" i="62" a="1"/>
  <c r="L14" i="62" l="1"/>
  <c r="K14" i="62" a="1"/>
  <c r="K14" i="62" l="1"/>
  <c r="J14" i="62" a="1"/>
  <c r="J14" i="62" l="1"/>
  <c r="I14" i="62" a="1"/>
  <c r="I14" i="62" l="1"/>
  <c r="H14" i="62" a="1"/>
  <c r="H14" i="62" l="1"/>
  <c r="G14" i="62" a="1"/>
  <c r="G14" i="62" l="1"/>
  <c r="F14" i="62" a="1"/>
  <c r="F14" i="62" l="1"/>
  <c r="L13" i="62" a="1"/>
  <c r="L13" i="62" l="1"/>
  <c r="K13" i="62" a="1"/>
  <c r="K13" i="62" l="1"/>
  <c r="J13" i="62" a="1"/>
  <c r="J13" i="62" l="1"/>
  <c r="I13" i="62" a="1"/>
  <c r="I13" i="62" l="1"/>
  <c r="H13" i="62" a="1"/>
  <c r="H13" i="62" l="1"/>
  <c r="G13" i="62" a="1"/>
  <c r="G13" i="62" l="1"/>
  <c r="F13" i="62" a="1"/>
  <c r="F13" i="62" l="1"/>
  <c r="L12" i="62" a="1"/>
  <c r="L12" i="62" l="1"/>
  <c r="K12" i="62" a="1"/>
  <c r="K12" i="62" l="1"/>
  <c r="J12" i="62" a="1"/>
  <c r="J12" i="62" l="1"/>
  <c r="I12" i="62" a="1"/>
  <c r="I12" i="62" l="1"/>
  <c r="H12" i="62" a="1"/>
  <c r="H12" i="62" l="1"/>
  <c r="G12" i="62" a="1"/>
  <c r="G12" i="62" l="1"/>
  <c r="F12" i="62" a="1"/>
  <c r="F12" i="62" l="1"/>
  <c r="L11" i="62" a="1"/>
  <c r="L11" i="62" l="1"/>
  <c r="K11" i="62" a="1"/>
  <c r="K11" i="62" l="1"/>
  <c r="J11" i="62" a="1"/>
  <c r="J11" i="62" l="1"/>
  <c r="I11" i="62" a="1"/>
  <c r="I11" i="62" l="1"/>
  <c r="H11" i="62" a="1"/>
  <c r="H11" i="62" l="1"/>
  <c r="G11" i="62" a="1"/>
  <c r="G11" i="62" l="1"/>
  <c r="F11" i="62" a="1"/>
  <c r="F11" i="62" l="1"/>
  <c r="L10" i="62" a="1"/>
  <c r="L10" i="62" l="1"/>
  <c r="K10" i="62" a="1"/>
  <c r="K10" i="62" l="1"/>
  <c r="J10" i="62" a="1"/>
  <c r="J10" i="62" l="1"/>
  <c r="I10" i="62" a="1"/>
  <c r="I10" i="62" l="1"/>
  <c r="H10" i="62" a="1"/>
  <c r="H10" i="62" l="1"/>
  <c r="G10" i="62" a="1"/>
  <c r="G10" i="62" l="1"/>
  <c r="F10" i="62" a="1"/>
  <c r="F10" i="62" l="1"/>
  <c r="L9" i="62" a="1"/>
  <c r="L9" i="62" l="1"/>
  <c r="K9" i="62" a="1"/>
  <c r="K9" i="62" l="1"/>
  <c r="J9" i="62" a="1"/>
  <c r="J9" i="62" l="1"/>
  <c r="I9" i="62" a="1"/>
  <c r="I9" i="62" l="1"/>
  <c r="H9" i="62" a="1"/>
  <c r="H9" i="62" l="1"/>
  <c r="G9" i="62" a="1"/>
  <c r="G9" i="62" l="1"/>
  <c r="F9" i="62" a="1"/>
  <c r="F9" i="62" l="1"/>
  <c r="L8" i="62" a="1"/>
  <c r="L8" i="62" l="1"/>
  <c r="K8" i="62" a="1"/>
  <c r="K8" i="62" l="1"/>
  <c r="J8" i="62" a="1"/>
  <c r="J8" i="62" l="1"/>
  <c r="I8" i="62" a="1"/>
  <c r="I8" i="62" l="1"/>
  <c r="H8" i="62" a="1"/>
  <c r="H8" i="62" l="1"/>
  <c r="G8" i="62" a="1"/>
  <c r="G8" i="62" l="1"/>
  <c r="F8" i="62" a="1"/>
  <c r="F8" i="62" l="1"/>
  <c r="L7" i="62" a="1"/>
  <c r="L7" i="62" l="1"/>
  <c r="K7" i="62" a="1"/>
  <c r="K7" i="62" l="1"/>
  <c r="J7" i="62" a="1"/>
  <c r="J7" i="62" l="1"/>
  <c r="I7" i="62" a="1"/>
  <c r="I7" i="62" l="1"/>
  <c r="H7" i="62" a="1"/>
  <c r="H7" i="62" l="1"/>
  <c r="G7" i="62" a="1"/>
  <c r="G7" i="62" l="1"/>
  <c r="F7" i="62" a="1"/>
  <c r="F7" i="62" l="1"/>
  <c r="L6" i="62" a="1"/>
  <c r="L6" i="62" l="1"/>
  <c r="K6" i="62" a="1"/>
  <c r="K6" i="62" l="1"/>
  <c r="J6" i="62" a="1"/>
  <c r="J6" i="62" l="1"/>
  <c r="I6" i="62" a="1"/>
  <c r="I6" i="62" l="1"/>
  <c r="H6" i="62" a="1"/>
  <c r="H6" i="62" l="1"/>
  <c r="G6" i="62" a="1"/>
  <c r="G6" i="62" l="1"/>
  <c r="F6" i="62" a="1"/>
  <c r="F6" i="62" l="1"/>
  <c r="L5" i="62" a="1"/>
  <c r="L5" i="62" l="1"/>
  <c r="K5" i="62" a="1"/>
  <c r="K5" i="62" l="1"/>
  <c r="J5" i="62" a="1"/>
  <c r="J5" i="62" l="1"/>
  <c r="I5" i="62" a="1"/>
  <c r="I5" i="62" l="1"/>
  <c r="H5" i="62" a="1"/>
  <c r="H5" i="62" l="1"/>
  <c r="G5" i="62" a="1"/>
  <c r="G5" i="62" l="1"/>
  <c r="F5" i="62" a="1"/>
  <c r="F5" i="62" l="1"/>
  <c r="L4" i="62" a="1"/>
  <c r="L4" i="62" l="1"/>
  <c r="K4" i="62" a="1"/>
  <c r="K4" i="62" l="1"/>
  <c r="J4" i="62" a="1"/>
  <c r="J4" i="62" l="1"/>
  <c r="I4" i="62" a="1"/>
  <c r="I4" i="62" l="1"/>
  <c r="H4" i="62" a="1"/>
  <c r="H4" i="62" l="1"/>
  <c r="G4" i="62" a="1"/>
  <c r="G4" i="62" l="1"/>
  <c r="F4" i="62" a="1"/>
  <c r="F4" i="62" l="1"/>
  <c r="L3" i="62" a="1"/>
  <c r="L3" i="62" l="1"/>
  <c r="K3" i="62" a="1"/>
  <c r="K3" i="62" l="1"/>
  <c r="J3" i="62" a="1"/>
  <c r="J3" i="62" l="1"/>
  <c r="I3" i="62" a="1"/>
  <c r="I3" i="62" l="1"/>
  <c r="H3" i="62" a="1"/>
  <c r="H3" i="62" l="1"/>
  <c r="G3" i="62" a="1"/>
  <c r="G3" i="62" l="1"/>
  <c r="F3" i="62" a="1"/>
  <c r="F3" i="62" l="1"/>
  <c r="C15" i="62" a="1"/>
  <c r="C15" i="62" l="1"/>
  <c r="C14" i="62" a="1"/>
  <c r="C14" i="62" l="1"/>
  <c r="C13" i="62" a="1"/>
  <c r="C13" i="62" l="1"/>
  <c r="C12" i="62" a="1"/>
  <c r="C12" i="62" l="1"/>
  <c r="C11" i="62" a="1"/>
  <c r="C11" i="62" l="1"/>
  <c r="C10" i="62" a="1"/>
  <c r="C10" i="62" l="1"/>
  <c r="C9" i="62" a="1"/>
  <c r="C9" i="62" l="1"/>
  <c r="C8" i="62" a="1"/>
  <c r="C8" i="62" l="1"/>
  <c r="C7" i="62" a="1"/>
  <c r="C7" i="62" l="1"/>
  <c r="C6" i="62" a="1"/>
  <c r="C6" i="62" l="1"/>
  <c r="C5" i="62" a="1"/>
  <c r="C5" i="62" l="1"/>
  <c r="C4" i="62" a="1"/>
  <c r="C4" i="62" l="1"/>
  <c r="C3" i="62" a="1"/>
  <c r="C3" i="62" l="1"/>
  <c r="P4" i="64"/>
  <c r="P5" i="64"/>
  <c r="P6" i="64"/>
  <c r="P7" i="64"/>
  <c r="P8" i="64"/>
  <c r="P9" i="64"/>
  <c r="P10" i="64"/>
  <c r="P11" i="64"/>
  <c r="P12" i="64"/>
  <c r="P13" i="64"/>
  <c r="P14" i="64"/>
  <c r="P15" i="64"/>
  <c r="P16" i="64"/>
  <c r="P17" i="64"/>
  <c r="P18" i="64"/>
  <c r="P19" i="64"/>
  <c r="P20" i="64"/>
  <c r="P21" i="64"/>
  <c r="P22" i="64"/>
  <c r="P23" i="64"/>
  <c r="P3" i="64"/>
  <c r="W165" i="67"/>
  <c r="W164" i="67"/>
  <c r="W163" i="67"/>
  <c r="W162" i="67"/>
  <c r="W161" i="67"/>
  <c r="W160" i="67"/>
  <c r="W159" i="67"/>
  <c r="W158" i="67"/>
  <c r="W157" i="67"/>
  <c r="W156" i="67"/>
  <c r="W155" i="67"/>
  <c r="W154" i="67"/>
  <c r="W153" i="67"/>
  <c r="W152" i="67"/>
  <c r="W151" i="67"/>
  <c r="W150" i="67"/>
  <c r="W149" i="67"/>
  <c r="W148" i="67"/>
  <c r="W147" i="67"/>
  <c r="W146" i="67"/>
  <c r="W145" i="67"/>
  <c r="W144" i="67"/>
  <c r="W143" i="67"/>
  <c r="W142" i="67"/>
  <c r="W141" i="67"/>
  <c r="W140" i="67"/>
  <c r="W139" i="67"/>
  <c r="W138" i="67"/>
  <c r="W137" i="67"/>
  <c r="W136" i="67"/>
  <c r="W135" i="67"/>
  <c r="W134" i="67"/>
  <c r="W133" i="67"/>
  <c r="W132" i="67"/>
  <c r="W131" i="67"/>
  <c r="W130" i="67"/>
  <c r="W129" i="67"/>
  <c r="W128" i="67"/>
  <c r="W127" i="67"/>
  <c r="W126" i="67"/>
  <c r="W125" i="67"/>
  <c r="W124" i="67"/>
  <c r="W123" i="67"/>
  <c r="W122" i="67"/>
  <c r="W121" i="67"/>
  <c r="W120" i="67"/>
  <c r="W119" i="67"/>
  <c r="W118" i="67"/>
  <c r="W117" i="67"/>
  <c r="W116" i="67"/>
  <c r="W115" i="67"/>
  <c r="W114" i="67"/>
  <c r="W113" i="67"/>
  <c r="W112" i="67"/>
  <c r="W111" i="67"/>
  <c r="W110" i="67"/>
  <c r="W109" i="67"/>
  <c r="W108" i="67"/>
  <c r="W107" i="67"/>
  <c r="W106" i="67"/>
  <c r="W105" i="67"/>
  <c r="W104" i="67"/>
  <c r="W103" i="67"/>
  <c r="W102" i="67"/>
  <c r="W101" i="67"/>
  <c r="W100" i="67"/>
  <c r="W99" i="67"/>
  <c r="W98" i="67"/>
  <c r="W97" i="67"/>
  <c r="W96" i="67"/>
  <c r="W95" i="67"/>
  <c r="W94" i="67"/>
  <c r="W93" i="67"/>
  <c r="W92" i="67"/>
  <c r="W91" i="67"/>
  <c r="W90" i="67"/>
  <c r="W89" i="67"/>
  <c r="W88" i="67"/>
  <c r="W87" i="67"/>
  <c r="W86" i="67"/>
  <c r="W85" i="67"/>
  <c r="W84" i="67"/>
  <c r="W83" i="67"/>
  <c r="W82" i="67"/>
  <c r="W81" i="67"/>
  <c r="W80" i="67"/>
  <c r="W79" i="67"/>
  <c r="W78" i="67"/>
  <c r="W77" i="67"/>
  <c r="W76" i="67"/>
  <c r="W75" i="67"/>
  <c r="W74" i="67"/>
  <c r="W73" i="67"/>
  <c r="W72" i="67"/>
  <c r="W71" i="67"/>
  <c r="W70" i="67"/>
  <c r="W69" i="67"/>
  <c r="W68" i="67"/>
  <c r="W67" i="67"/>
  <c r="W66" i="67"/>
  <c r="W65" i="67"/>
  <c r="W64" i="67"/>
  <c r="W63" i="67"/>
  <c r="W62" i="67"/>
  <c r="W61" i="67"/>
  <c r="W60" i="67"/>
  <c r="W59" i="67"/>
  <c r="W58" i="67"/>
  <c r="W57" i="67"/>
  <c r="W56" i="67"/>
  <c r="W55" i="67"/>
  <c r="W54" i="67"/>
  <c r="W53" i="67"/>
  <c r="W52" i="67"/>
  <c r="W51" i="67"/>
  <c r="W50" i="67"/>
  <c r="W49" i="67"/>
  <c r="W48" i="67"/>
  <c r="W47" i="67"/>
  <c r="W46" i="67"/>
  <c r="W45" i="67"/>
  <c r="W44" i="67"/>
  <c r="W43" i="67"/>
  <c r="W42" i="67"/>
  <c r="W41" i="67"/>
  <c r="W40" i="67"/>
  <c r="W39" i="67"/>
  <c r="W38" i="67"/>
  <c r="W37" i="67"/>
  <c r="W36" i="67"/>
  <c r="W35" i="67"/>
  <c r="W34" i="67"/>
  <c r="W33" i="67"/>
  <c r="W32" i="67"/>
  <c r="W31" i="67"/>
  <c r="W30" i="67"/>
  <c r="W29" i="67"/>
  <c r="W28" i="67"/>
  <c r="W27" i="67"/>
  <c r="W26" i="67"/>
  <c r="W25" i="67"/>
  <c r="W24" i="67"/>
  <c r="W23" i="67"/>
  <c r="W22" i="67"/>
  <c r="W21" i="67"/>
  <c r="W20" i="67"/>
  <c r="W19" i="67"/>
  <c r="W18" i="67"/>
  <c r="W17" i="67"/>
  <c r="W16" i="67"/>
  <c r="W15" i="67"/>
  <c r="W14" i="67"/>
  <c r="W13" i="67"/>
  <c r="W12" i="67"/>
  <c r="W11" i="67"/>
  <c r="W10" i="67"/>
  <c r="U1" i="66"/>
  <c r="T1" i="66"/>
  <c r="S1" i="66"/>
  <c r="N3" i="64" l="1"/>
  <c r="N9" i="64"/>
  <c r="N15" i="64"/>
  <c r="N4" i="64"/>
  <c r="N16" i="64"/>
  <c r="N22" i="64"/>
  <c r="T13" i="66"/>
  <c r="N5" i="64"/>
  <c r="N11" i="64"/>
  <c r="N17" i="64"/>
  <c r="N23" i="64"/>
  <c r="U7" i="66"/>
  <c r="U20" i="66"/>
  <c r="N6" i="64"/>
  <c r="N12" i="64"/>
  <c r="U15" i="66"/>
  <c r="U22" i="66"/>
  <c r="N7" i="64"/>
  <c r="N13" i="64"/>
  <c r="N19" i="64"/>
  <c r="U9" i="66"/>
  <c r="T4" i="66"/>
  <c r="U16" i="66"/>
  <c r="N8" i="64"/>
  <c r="N14" i="64"/>
  <c r="N20" i="64"/>
  <c r="U4" i="66"/>
  <c r="T11" i="66"/>
  <c r="U17" i="66"/>
  <c r="T15" i="66"/>
  <c r="T3" i="66"/>
  <c r="U6" i="66"/>
  <c r="U3" i="66"/>
  <c r="N15" i="66"/>
  <c r="T17" i="66"/>
  <c r="U23" i="66"/>
  <c r="T18" i="66"/>
  <c r="T8" i="66"/>
  <c r="T9" i="66"/>
  <c r="U11" i="66"/>
  <c r="U5" i="66"/>
  <c r="T14" i="66"/>
  <c r="T22" i="66"/>
  <c r="T19" i="66"/>
  <c r="T16" i="66"/>
  <c r="U12" i="66"/>
  <c r="U19" i="66"/>
  <c r="U21" i="66"/>
  <c r="T21" i="66"/>
  <c r="T5" i="66"/>
  <c r="U14" i="66"/>
  <c r="T20" i="66"/>
  <c r="T7" i="66"/>
  <c r="U18" i="66"/>
  <c r="T12" i="66"/>
  <c r="T6" i="66"/>
  <c r="T23" i="66"/>
  <c r="U8" i="66"/>
  <c r="T10" i="66"/>
  <c r="U13" i="66"/>
  <c r="U10" i="66"/>
  <c r="D28" i="64"/>
  <c r="D27" i="64"/>
  <c r="N10" i="64" l="1"/>
  <c r="N21" i="64"/>
  <c r="N18" i="64"/>
  <c r="V15" i="66"/>
  <c r="S17" i="66"/>
  <c r="V17" i="66" s="1"/>
  <c r="N17" i="66"/>
  <c r="S12" i="66"/>
  <c r="V12" i="66" s="1"/>
  <c r="N12" i="66"/>
  <c r="S3" i="66"/>
  <c r="V3" i="66" s="1"/>
  <c r="N3" i="66"/>
  <c r="N11" i="66"/>
  <c r="S11" i="66"/>
  <c r="V11" i="66" s="1"/>
  <c r="S20" i="66"/>
  <c r="V20" i="66" s="1"/>
  <c r="N20" i="66"/>
  <c r="S8" i="66"/>
  <c r="V8" i="66" s="1"/>
  <c r="N8" i="66"/>
  <c r="S14" i="66"/>
  <c r="V14" i="66" s="1"/>
  <c r="N14" i="66"/>
  <c r="S9" i="66"/>
  <c r="V9" i="66" s="1"/>
  <c r="N9" i="66"/>
  <c r="N7" i="66"/>
  <c r="S7" i="66"/>
  <c r="V7" i="66" s="1"/>
  <c r="S16" i="66"/>
  <c r="V16" i="66" s="1"/>
  <c r="N16" i="66"/>
  <c r="S22" i="66"/>
  <c r="V22" i="66" s="1"/>
  <c r="N22" i="66"/>
  <c r="N19" i="66"/>
  <c r="S19" i="66"/>
  <c r="V19" i="66" s="1"/>
  <c r="S13" i="66"/>
  <c r="V13" i="66" s="1"/>
  <c r="N13" i="66"/>
  <c r="N21" i="66"/>
  <c r="S21" i="66"/>
  <c r="V21" i="66" s="1"/>
  <c r="S5" i="66"/>
  <c r="V5" i="66" s="1"/>
  <c r="N5" i="66"/>
  <c r="S23" i="66"/>
  <c r="V23" i="66" s="1"/>
  <c r="N23" i="66"/>
  <c r="S4" i="66"/>
  <c r="V4" i="66" s="1"/>
  <c r="N4" i="66"/>
  <c r="N6" i="66"/>
  <c r="S6" i="66"/>
  <c r="V6" i="66" s="1"/>
  <c r="N10" i="66"/>
  <c r="S10" i="66"/>
  <c r="V10" i="66" s="1"/>
  <c r="S18" i="66"/>
  <c r="V18" i="66" s="1"/>
  <c r="N18" i="66"/>
  <c r="AA6" i="64" a="1"/>
  <c r="AA6" i="64" s="1"/>
  <c r="AA21" i="64" a="1"/>
  <c r="AA21" i="64" s="1"/>
  <c r="AA12" i="64" a="1"/>
  <c r="AA12" i="64" s="1"/>
  <c r="R25" i="65"/>
  <c r="M19" i="64" s="1"/>
  <c r="F25" i="65"/>
  <c r="M7" i="64" s="1"/>
  <c r="T7" i="64" s="1"/>
  <c r="G25" i="65"/>
  <c r="M8" i="64" s="1"/>
  <c r="T8" i="64" s="1"/>
  <c r="H25" i="65"/>
  <c r="M9" i="64" s="1"/>
  <c r="T9" i="64" s="1"/>
  <c r="I25" i="65"/>
  <c r="M10" i="64" s="1"/>
  <c r="J25" i="65"/>
  <c r="M11" i="64" s="1"/>
  <c r="T11" i="64" s="1"/>
  <c r="K25" i="65"/>
  <c r="M12" i="64" s="1"/>
  <c r="T12" i="64" s="1"/>
  <c r="O25" i="65"/>
  <c r="M16" i="64" s="1"/>
  <c r="T16" i="64" s="1"/>
  <c r="Q25" i="65"/>
  <c r="M18" i="64" s="1"/>
  <c r="T18" i="64" s="1"/>
  <c r="B25" i="65"/>
  <c r="M3" i="64" s="1"/>
  <c r="T3" i="64" s="1"/>
  <c r="E25" i="65"/>
  <c r="M6" i="64" s="1"/>
  <c r="T6" i="64" s="1"/>
  <c r="V25" i="65"/>
  <c r="M23" i="64" s="1"/>
  <c r="L25" i="65"/>
  <c r="M13" i="64" s="1"/>
  <c r="T13" i="64" s="1"/>
  <c r="N25" i="65"/>
  <c r="M15" i="64" s="1"/>
  <c r="T15" i="64" s="1"/>
  <c r="P25" i="65"/>
  <c r="M17" i="64" s="1"/>
  <c r="T17" i="64" s="1"/>
  <c r="U25" i="65"/>
  <c r="M22" i="64" s="1"/>
  <c r="T22" i="64" s="1"/>
  <c r="M25" i="65"/>
  <c r="M14" i="64" s="1"/>
  <c r="T14" i="64" s="1"/>
  <c r="C25" i="65"/>
  <c r="M4" i="64" s="1"/>
  <c r="S25" i="65"/>
  <c r="M20" i="64" s="1"/>
  <c r="T20" i="64" s="1"/>
  <c r="D25" i="65"/>
  <c r="M5" i="64" s="1"/>
  <c r="T5" i="64" s="1"/>
  <c r="T25" i="65"/>
  <c r="M21" i="64" s="1"/>
  <c r="T21" i="64" s="1"/>
  <c r="T10" i="64"/>
  <c r="T4" i="64"/>
  <c r="T19" i="64"/>
  <c r="AA4" i="64" a="1"/>
  <c r="AA4" i="64" s="1"/>
  <c r="AA19" i="64" a="1"/>
  <c r="AA19" i="64" s="1"/>
  <c r="AA11" i="64" a="1"/>
  <c r="AA11" i="64" s="1"/>
  <c r="AA3" i="64" a="1"/>
  <c r="AA3" i="64" s="1"/>
  <c r="AA23" i="64" a="1"/>
  <c r="AA23" i="64" s="1"/>
  <c r="AA7" i="64" a="1"/>
  <c r="AA7" i="64" s="1"/>
  <c r="AA15" i="64" a="1"/>
  <c r="AA15" i="64" s="1"/>
  <c r="AA16" i="64" a="1"/>
  <c r="AA16" i="64" s="1"/>
  <c r="AA18" i="64" a="1"/>
  <c r="AA18" i="64" s="1"/>
  <c r="AA14" i="64" a="1"/>
  <c r="AA14" i="64" s="1"/>
  <c r="AA22" i="64" a="1"/>
  <c r="AA22" i="64" s="1"/>
  <c r="AA8" i="64" a="1"/>
  <c r="AA8" i="64" s="1"/>
  <c r="AA10" i="64" a="1"/>
  <c r="AA10" i="64" s="1"/>
  <c r="T23" i="64"/>
  <c r="AA20" i="64" a="1"/>
  <c r="AA20" i="64" s="1"/>
  <c r="AA5" i="64" a="1"/>
  <c r="AA5" i="64" s="1"/>
  <c r="AA9" i="64" a="1"/>
  <c r="AA9" i="64" s="1"/>
  <c r="AA13" i="64" a="1"/>
  <c r="AA13" i="64" s="1"/>
  <c r="AA17" i="64" a="1"/>
  <c r="AA17" i="64" s="1"/>
  <c r="X9" i="66" l="1"/>
  <c r="X14" i="66"/>
  <c r="X8" i="66"/>
  <c r="X20" i="66"/>
  <c r="X11" i="66"/>
  <c r="X18" i="66"/>
  <c r="X10" i="66"/>
  <c r="X3" i="66"/>
  <c r="X6" i="66"/>
  <c r="X12" i="66"/>
  <c r="X4" i="66"/>
  <c r="X17" i="66"/>
  <c r="X15" i="66"/>
  <c r="X23" i="66"/>
  <c r="X5" i="66"/>
  <c r="X21" i="66"/>
  <c r="X13" i="66"/>
  <c r="X19" i="66"/>
  <c r="X22" i="66"/>
  <c r="X16" i="66"/>
  <c r="X7" i="66"/>
  <c r="C23" i="65"/>
  <c r="C24" i="65"/>
  <c r="R24" i="65"/>
  <c r="R23" i="65"/>
  <c r="M23" i="65"/>
  <c r="M24" i="65"/>
  <c r="U23" i="65"/>
  <c r="U24" i="65"/>
  <c r="P24" i="65"/>
  <c r="P23" i="65"/>
  <c r="N23" i="65"/>
  <c r="N24" i="65"/>
  <c r="L23" i="65"/>
  <c r="L24" i="65"/>
  <c r="V23" i="65"/>
  <c r="V24" i="65"/>
  <c r="E24" i="65"/>
  <c r="E23" i="65"/>
  <c r="B23" i="65"/>
  <c r="B24" i="65"/>
  <c r="Q24" i="65"/>
  <c r="Q23" i="65"/>
  <c r="O23" i="65"/>
  <c r="O24" i="65"/>
  <c r="K24" i="65"/>
  <c r="K23" i="65"/>
  <c r="J24" i="65"/>
  <c r="J23" i="65"/>
  <c r="I24" i="65"/>
  <c r="I23" i="65"/>
  <c r="T24" i="65"/>
  <c r="T23" i="65"/>
  <c r="D24" i="65"/>
  <c r="D23" i="65"/>
  <c r="H24" i="65"/>
  <c r="H23" i="65"/>
  <c r="S24" i="65"/>
  <c r="S23" i="65"/>
  <c r="G24" i="65"/>
  <c r="G23" i="65"/>
  <c r="F24" i="65"/>
  <c r="F23" i="65"/>
  <c r="X20" i="64" a="1"/>
  <c r="X20" i="64" s="1"/>
  <c r="X16" i="64" a="1"/>
  <c r="X16" i="64" s="1"/>
  <c r="X12" i="64" a="1"/>
  <c r="X12" i="64" s="1"/>
  <c r="X8" i="64" a="1"/>
  <c r="X8" i="64" s="1"/>
  <c r="X4" i="64" a="1"/>
  <c r="X4" i="64" s="1"/>
  <c r="X15" i="64" a="1"/>
  <c r="X15" i="64" s="1"/>
  <c r="X13" i="64" a="1"/>
  <c r="X13" i="64" s="1"/>
  <c r="X14" i="64" a="1"/>
  <c r="X14" i="64" s="1"/>
  <c r="X7" i="64" a="1"/>
  <c r="X7" i="64" s="1"/>
  <c r="X5" i="64" a="1"/>
  <c r="X5" i="64" s="1"/>
  <c r="X21" i="64" a="1"/>
  <c r="X21" i="64" s="1"/>
  <c r="X6" i="64" a="1"/>
  <c r="X6" i="64" s="1"/>
  <c r="X23" i="64" a="1"/>
  <c r="X23" i="64" s="1"/>
  <c r="X22" i="64" a="1"/>
  <c r="X22" i="64" s="1"/>
  <c r="X9" i="64" a="1"/>
  <c r="X9" i="64" s="1"/>
  <c r="X17" i="64" a="1"/>
  <c r="X17" i="64" s="1"/>
  <c r="X11" i="64" a="1"/>
  <c r="X11" i="64" s="1"/>
  <c r="X19" i="64" a="1"/>
  <c r="X19" i="64" s="1"/>
  <c r="X18" i="64" a="1"/>
  <c r="X18" i="64" s="1"/>
  <c r="X3" i="64" a="1"/>
  <c r="X3" i="64" s="1"/>
  <c r="X10" i="64" a="1"/>
  <c r="X10" i="64" s="1"/>
  <c r="Y20" i="64" a="1"/>
  <c r="Y20" i="64" s="1"/>
  <c r="Y16" i="64" a="1"/>
  <c r="Y16" i="64" s="1"/>
  <c r="Y12" i="64" a="1"/>
  <c r="Y12" i="64" s="1"/>
  <c r="Y8" i="64" a="1"/>
  <c r="Y8" i="64" s="1"/>
  <c r="Y4" i="64" a="1"/>
  <c r="Y4" i="64" s="1"/>
  <c r="Y15" i="64" a="1"/>
  <c r="Y15" i="64" s="1"/>
  <c r="Y14" i="64" a="1"/>
  <c r="Y14" i="64" s="1"/>
  <c r="Y13" i="64" a="1"/>
  <c r="Y13" i="64" s="1"/>
  <c r="Y7" i="64" a="1"/>
  <c r="Y7" i="64" s="1"/>
  <c r="Y5" i="64" a="1"/>
  <c r="Y5" i="64" s="1"/>
  <c r="Y21" i="64" a="1"/>
  <c r="Y21" i="64" s="1"/>
  <c r="Y6" i="64" a="1"/>
  <c r="Y6" i="64" s="1"/>
  <c r="Y23" i="64" a="1"/>
  <c r="Y23" i="64" s="1"/>
  <c r="Y22" i="64" a="1"/>
  <c r="Y22" i="64" s="1"/>
  <c r="Y9" i="64" a="1"/>
  <c r="Y9" i="64" s="1"/>
  <c r="Y11" i="64" a="1"/>
  <c r="Y11" i="64" s="1"/>
  <c r="Y10" i="64" a="1"/>
  <c r="Y10" i="64" s="1"/>
  <c r="Y19" i="64" a="1"/>
  <c r="Y19" i="64" s="1"/>
  <c r="Y18" i="64" a="1"/>
  <c r="Y18" i="64" s="1"/>
  <c r="Y17" i="64" a="1"/>
  <c r="Y17" i="64" s="1"/>
  <c r="Y3" i="64" a="1"/>
  <c r="Y3" i="64" s="1"/>
  <c r="Z21" i="64" a="1"/>
  <c r="Z21" i="64" s="1"/>
  <c r="Z17" i="64" a="1"/>
  <c r="Z17" i="64" s="1"/>
  <c r="Z13" i="64" a="1"/>
  <c r="Z13" i="64" s="1"/>
  <c r="Z9" i="64" a="1"/>
  <c r="Z9" i="64" s="1"/>
  <c r="Z5" i="64" a="1"/>
  <c r="Z5" i="64" s="1"/>
  <c r="Z12" i="64" a="1"/>
  <c r="Z12" i="64" s="1"/>
  <c r="Z16" i="64" a="1"/>
  <c r="Z16" i="64" s="1"/>
  <c r="Z15" i="64" a="1"/>
  <c r="Z15" i="64" s="1"/>
  <c r="Z14" i="64" a="1"/>
  <c r="Z14" i="64" s="1"/>
  <c r="Z20" i="64" a="1"/>
  <c r="Z20" i="64" s="1"/>
  <c r="Z7" i="64" a="1"/>
  <c r="Z7" i="64" s="1"/>
  <c r="Z4" i="64" a="1"/>
  <c r="Z4" i="64" s="1"/>
  <c r="Z6" i="64" a="1"/>
  <c r="Z6" i="64" s="1"/>
  <c r="Z23" i="64" a="1"/>
  <c r="Z23" i="64" s="1"/>
  <c r="Z22" i="64" a="1"/>
  <c r="Z22" i="64" s="1"/>
  <c r="Z8" i="64" a="1"/>
  <c r="Z8" i="64" s="1"/>
  <c r="Z11" i="64" a="1"/>
  <c r="Z11" i="64" s="1"/>
  <c r="Z10" i="64" a="1"/>
  <c r="Z10" i="64" s="1"/>
  <c r="Z19" i="64" a="1"/>
  <c r="Z19" i="64" s="1"/>
  <c r="Z3" i="64" a="1"/>
  <c r="Z3" i="64" s="1"/>
  <c r="Z18" i="64" a="1"/>
  <c r="Z18" i="64" s="1"/>
  <c r="S18" i="64" l="1"/>
  <c r="R18" i="64"/>
  <c r="Q18" i="64"/>
  <c r="S15" i="64"/>
  <c r="Q15" i="64"/>
  <c r="R15" i="64"/>
  <c r="S16" i="64"/>
  <c r="R16" i="64"/>
  <c r="Q16" i="64"/>
  <c r="S14" i="64" l="1"/>
  <c r="R14" i="64"/>
  <c r="Q14" i="64"/>
  <c r="S11" i="64"/>
  <c r="R11" i="64"/>
  <c r="Q11" i="64"/>
  <c r="S7" i="64"/>
  <c r="Q7" i="64"/>
  <c r="R7" i="64"/>
  <c r="S19" i="64"/>
  <c r="Q19" i="64"/>
  <c r="R19" i="64"/>
  <c r="S20" i="64"/>
  <c r="Q20" i="64"/>
  <c r="R20" i="64"/>
  <c r="S5" i="64"/>
  <c r="R5" i="64"/>
  <c r="Q5" i="64"/>
  <c r="S4" i="64"/>
  <c r="R4" i="64"/>
  <c r="Q4" i="64"/>
  <c r="S21" i="64"/>
  <c r="Q21" i="64"/>
  <c r="R21" i="64"/>
  <c r="S13" i="64" l="1"/>
  <c r="R13" i="64"/>
  <c r="Q13" i="64"/>
  <c r="S10" i="64"/>
  <c r="Q10" i="64"/>
  <c r="R10" i="64"/>
  <c r="S3" i="64"/>
  <c r="R3" i="64"/>
  <c r="Q3" i="64"/>
  <c r="S12" i="64"/>
  <c r="R12" i="64"/>
  <c r="Q12" i="64"/>
  <c r="S23" i="64"/>
  <c r="Q23" i="64"/>
  <c r="R23" i="64"/>
  <c r="S6" i="64"/>
  <c r="R6" i="64"/>
  <c r="Q6" i="64"/>
  <c r="S22" i="64"/>
  <c r="Q22" i="64"/>
  <c r="R22" i="64"/>
  <c r="S8" i="64"/>
  <c r="Q8" i="64"/>
  <c r="R8" i="64"/>
  <c r="S9" i="64"/>
  <c r="R9" i="64"/>
  <c r="Q9" i="64"/>
  <c r="S17" i="64"/>
  <c r="Q17" i="64"/>
  <c r="R17" i="64"/>
  <c r="W16" i="64" l="1" a="1"/>
  <c r="W16" i="64" s="1"/>
  <c r="U13" i="64" a="1"/>
  <c r="U13" i="64" s="1"/>
  <c r="U9" i="64" a="1"/>
  <c r="U9" i="64" s="1"/>
  <c r="U5" i="64" a="1"/>
  <c r="U5" i="64" s="1"/>
  <c r="U10" i="64" a="1"/>
  <c r="U10" i="64" s="1"/>
  <c r="U12" i="64" a="1"/>
  <c r="U12" i="64" s="1"/>
  <c r="U23" i="64" a="1"/>
  <c r="U23" i="64" s="1"/>
  <c r="U11" i="64" a="1"/>
  <c r="U11" i="64" s="1"/>
  <c r="U14" i="64" a="1"/>
  <c r="U14" i="64" s="1"/>
  <c r="U16" i="64" a="1"/>
  <c r="U16" i="64" s="1"/>
  <c r="U22" i="64" a="1"/>
  <c r="U22" i="64" s="1"/>
  <c r="U17" i="64" a="1"/>
  <c r="U17" i="64" s="1"/>
  <c r="U18" i="64" a="1"/>
  <c r="U18" i="64" s="1"/>
  <c r="U19" i="64" a="1"/>
  <c r="U19" i="64" s="1"/>
  <c r="U20" i="64" a="1"/>
  <c r="U20" i="64" s="1"/>
  <c r="U4" i="64" a="1"/>
  <c r="U4" i="64" s="1"/>
  <c r="U3" i="64" a="1"/>
  <c r="U3" i="64" s="1"/>
  <c r="U6" i="64" a="1"/>
  <c r="U6" i="64" s="1"/>
  <c r="U15" i="64" a="1"/>
  <c r="U15" i="64" s="1"/>
  <c r="U8" i="64" a="1"/>
  <c r="U8" i="64" s="1"/>
  <c r="U7" i="64" a="1"/>
  <c r="U7" i="64" s="1"/>
  <c r="U21" i="64" a="1"/>
  <c r="U21" i="64" s="1"/>
  <c r="V11" i="64" a="1"/>
  <c r="V11" i="64" s="1"/>
  <c r="V13" i="64" a="1"/>
  <c r="V13" i="64" s="1"/>
  <c r="V4" i="64" a="1"/>
  <c r="V4" i="64" s="1"/>
  <c r="V3" i="64" a="1"/>
  <c r="V3" i="64" s="1"/>
  <c r="V7" i="64" a="1"/>
  <c r="V7" i="64" s="1"/>
  <c r="V5" i="64" a="1"/>
  <c r="V5" i="64" s="1"/>
  <c r="V16" i="64" a="1"/>
  <c r="V16" i="64" s="1"/>
  <c r="V21" i="64" a="1"/>
  <c r="V21" i="64" s="1"/>
  <c r="V22" i="64" a="1"/>
  <c r="V22" i="64" s="1"/>
  <c r="V18" i="64" a="1"/>
  <c r="V18" i="64" s="1"/>
  <c r="V14" i="64" a="1"/>
  <c r="V14" i="64" s="1"/>
  <c r="V10" i="64" a="1"/>
  <c r="V10" i="64" s="1"/>
  <c r="V6" i="64" a="1"/>
  <c r="V6" i="64" s="1"/>
  <c r="V23" i="64" a="1"/>
  <c r="V23" i="64" s="1"/>
  <c r="V9" i="64" a="1"/>
  <c r="V9" i="64" s="1"/>
  <c r="V12" i="64" a="1"/>
  <c r="V12" i="64" s="1"/>
  <c r="V15" i="64" a="1"/>
  <c r="V15" i="64" s="1"/>
  <c r="V19" i="64" a="1"/>
  <c r="V19" i="64" s="1"/>
  <c r="V20" i="64" a="1"/>
  <c r="V20" i="64" s="1"/>
  <c r="V8" i="64" a="1"/>
  <c r="V8" i="64" s="1"/>
  <c r="V17" i="64" a="1"/>
  <c r="V17" i="64" s="1"/>
  <c r="W5" i="64" a="1"/>
  <c r="W5" i="64" s="1"/>
  <c r="W20" i="64" a="1"/>
  <c r="W20" i="64" s="1"/>
  <c r="W10" i="64" a="1"/>
  <c r="W10" i="64" s="1"/>
  <c r="W4" i="64" a="1"/>
  <c r="W4" i="64" s="1"/>
  <c r="W14" i="64" a="1"/>
  <c r="W14" i="64" s="1"/>
  <c r="W23" i="64" a="1"/>
  <c r="W23" i="64" s="1"/>
  <c r="W18" i="64" a="1"/>
  <c r="W18" i="64" s="1"/>
  <c r="W8" i="64" a="1"/>
  <c r="W8" i="64" s="1"/>
  <c r="W22" i="64" a="1"/>
  <c r="W22" i="64" s="1"/>
  <c r="W17" i="64" a="1"/>
  <c r="W17" i="64" s="1"/>
  <c r="W3" i="64" a="1"/>
  <c r="W3" i="64" s="1"/>
  <c r="W19" i="64" a="1"/>
  <c r="W19" i="64" s="1"/>
  <c r="W21" i="64" a="1"/>
  <c r="W21" i="64" s="1"/>
  <c r="W7" i="64" a="1"/>
  <c r="W7" i="64" s="1"/>
  <c r="W9" i="64" a="1"/>
  <c r="W9" i="64" s="1"/>
  <c r="W11" i="64" a="1"/>
  <c r="W11" i="64" s="1"/>
  <c r="W6" i="64" a="1"/>
  <c r="W6" i="64" s="1"/>
  <c r="W13" i="64" a="1"/>
  <c r="W13" i="64" s="1"/>
  <c r="W15" i="64" a="1"/>
  <c r="W15" i="64" s="1"/>
  <c r="W12" i="64" a="1"/>
  <c r="W12" i="64" s="1"/>
  <c r="AB8" i="64" l="1"/>
  <c r="AB20" i="64"/>
  <c r="AB17" i="64"/>
  <c r="AB4" i="64"/>
  <c r="AB19" i="64"/>
  <c r="AB21" i="64"/>
  <c r="AB7" i="64"/>
  <c r="AB15" i="64"/>
  <c r="AB14" i="64"/>
  <c r="AB3" i="64"/>
  <c r="AB22" i="64"/>
  <c r="AB23" i="64"/>
  <c r="AB10" i="64"/>
  <c r="AB5" i="64"/>
  <c r="AB9" i="64"/>
  <c r="AB6" i="64"/>
  <c r="AB18" i="64"/>
  <c r="AB16" i="64"/>
  <c r="AB11" i="64"/>
  <c r="AB12" i="64"/>
  <c r="AB13" i="64"/>
  <c r="AC17" i="64" l="1" a="1"/>
  <c r="AC17" i="64" s="1"/>
  <c r="AC3" i="64" a="1"/>
  <c r="AC3" i="64" s="1"/>
  <c r="AC20" i="64" a="1"/>
  <c r="AC20" i="64" s="1"/>
  <c r="AC21" i="64" a="1"/>
  <c r="AC21" i="64" s="1"/>
  <c r="AC4" i="64" a="1"/>
  <c r="AC4" i="64" s="1"/>
  <c r="AC23" i="64" a="1"/>
  <c r="AC23" i="64" s="1"/>
  <c r="AC22" i="64" a="1"/>
  <c r="AC22" i="64" s="1"/>
  <c r="AC11" i="64" a="1"/>
  <c r="AC11" i="64" s="1"/>
  <c r="AC19" i="64" a="1"/>
  <c r="AC19" i="64" s="1"/>
  <c r="AC6" i="64" a="1"/>
  <c r="AC6" i="64" s="1"/>
  <c r="AC12" i="64" a="1"/>
  <c r="AC12" i="64" s="1"/>
  <c r="AC18" i="64" a="1"/>
  <c r="AC18" i="64" s="1"/>
  <c r="AC16" i="64" a="1"/>
  <c r="AC16" i="64" s="1"/>
  <c r="AC13" i="64" a="1"/>
  <c r="AC13" i="64" s="1"/>
  <c r="AC15" i="64" a="1"/>
  <c r="AC15" i="64" s="1"/>
  <c r="AC7" i="64" a="1"/>
  <c r="AC7" i="64" s="1"/>
  <c r="AC10" i="64" a="1"/>
  <c r="AC10" i="64" s="1"/>
  <c r="AC14" i="64" a="1"/>
  <c r="AC14" i="64" s="1"/>
  <c r="AC5" i="64" a="1"/>
  <c r="AC5" i="64" s="1"/>
  <c r="AC9" i="64" a="1"/>
  <c r="AC9" i="64" s="1"/>
  <c r="AC8" i="64" a="1"/>
  <c r="AC8" i="64" s="1"/>
  <c r="D20" i="63"/>
  <c r="D19" i="63"/>
  <c r="P5" i="63"/>
  <c r="N5" i="63"/>
  <c r="M5" i="63"/>
  <c r="P4" i="63"/>
  <c r="N4" i="63"/>
  <c r="M4" i="63"/>
  <c r="P3" i="63"/>
  <c r="N3" i="63"/>
  <c r="M3" i="63"/>
  <c r="F20" i="63" a="1"/>
  <c r="G20" i="63" a="1"/>
  <c r="H20" i="63" a="1"/>
  <c r="I20" i="63" a="1"/>
  <c r="J20" i="63" a="1"/>
  <c r="K20" i="63" a="1"/>
  <c r="L20" i="63" a="1"/>
  <c r="F19" i="63" a="1"/>
  <c r="G19" i="63" a="1"/>
  <c r="H19" i="63" a="1"/>
  <c r="I19" i="63" a="1"/>
  <c r="J19" i="63" a="1"/>
  <c r="K19" i="63" a="1"/>
  <c r="L19" i="63" a="1"/>
  <c r="L19" i="63" l="1"/>
  <c r="K19" i="63"/>
  <c r="J19" i="63"/>
  <c r="I19" i="63"/>
  <c r="H19" i="63"/>
  <c r="G19" i="63"/>
  <c r="F19" i="63"/>
  <c r="L20" i="63"/>
  <c r="K20" i="63"/>
  <c r="J20" i="63"/>
  <c r="I20" i="63"/>
  <c r="H20" i="63"/>
  <c r="G20" i="63"/>
  <c r="F20" i="63"/>
  <c r="AA3" i="63" a="1"/>
  <c r="AA3" i="63" s="1"/>
  <c r="AA4" i="63" a="1"/>
  <c r="AA4" i="63" s="1"/>
  <c r="AA5" i="63" a="1"/>
  <c r="AA5" i="63" s="1"/>
  <c r="H22" i="62"/>
  <c r="T5" i="63"/>
  <c r="H23" i="62"/>
  <c r="Q3" i="63"/>
  <c r="Q5" i="63"/>
  <c r="Q4" i="63"/>
  <c r="H22" i="63"/>
  <c r="T3" i="63"/>
  <c r="T4" i="63"/>
  <c r="S3" i="63"/>
  <c r="S5" i="63"/>
  <c r="S4" i="63"/>
  <c r="W5" i="63" l="1" a="1"/>
  <c r="W5" i="63" s="1"/>
  <c r="W3" i="63" a="1"/>
  <c r="W3" i="63" s="1"/>
  <c r="W4" i="63" a="1"/>
  <c r="W4" i="63" s="1"/>
  <c r="E30" i="63"/>
  <c r="L30" i="63" s="1"/>
  <c r="R4" i="63"/>
  <c r="E31" i="63"/>
  <c r="L31" i="63" s="1"/>
  <c r="R5" i="63"/>
  <c r="X3" i="63" a="1"/>
  <c r="X3" i="63" s="1"/>
  <c r="X4" i="63" a="1"/>
  <c r="X4" i="63" s="1"/>
  <c r="X5" i="63" a="1"/>
  <c r="X5" i="63" s="1"/>
  <c r="Z4" i="63" a="1"/>
  <c r="Z4" i="63" s="1"/>
  <c r="Z5" i="63" a="1"/>
  <c r="Z5" i="63" s="1"/>
  <c r="Z3" i="63" a="1"/>
  <c r="Z3" i="63" s="1"/>
  <c r="H23" i="63"/>
  <c r="O21" i="63"/>
  <c r="Y4" i="63" a="1"/>
  <c r="Y4" i="63" s="1"/>
  <c r="Y5" i="63" a="1"/>
  <c r="Y5" i="63" s="1"/>
  <c r="Y3" i="63" a="1"/>
  <c r="Y3" i="63" s="1"/>
  <c r="E29" i="63"/>
  <c r="L29" i="63" s="1"/>
  <c r="R3" i="63"/>
  <c r="U4" i="63" a="1"/>
  <c r="U4" i="63" s="1"/>
  <c r="U5" i="63" a="1"/>
  <c r="U5" i="63" s="1"/>
  <c r="U3" i="63" a="1"/>
  <c r="U3" i="63" s="1"/>
  <c r="V5" i="63" l="1" a="1"/>
  <c r="V5" i="63" s="1"/>
  <c r="AB5" i="63" s="1"/>
  <c r="V3" i="63" a="1"/>
  <c r="V3" i="63" s="1"/>
  <c r="AB3" i="63" s="1"/>
  <c r="V4" i="63" a="1"/>
  <c r="V4" i="63" s="1"/>
  <c r="AB4" i="63" s="1"/>
  <c r="AC5" i="63" l="1" a="1"/>
  <c r="AC5" i="63" s="1"/>
  <c r="AC4" i="63" a="1"/>
  <c r="AC4" i="63" s="1"/>
  <c r="AC3" i="63" a="1"/>
  <c r="AC3" i="63" s="1"/>
  <c r="I51" i="62" l="1"/>
  <c r="D20" i="62"/>
  <c r="D19" i="62"/>
  <c r="P15" i="62"/>
  <c r="N15" i="62"/>
  <c r="I41" i="62" s="1"/>
  <c r="M15" i="62"/>
  <c r="P14" i="62"/>
  <c r="N14" i="62"/>
  <c r="I40" i="62" s="1"/>
  <c r="M14" i="62"/>
  <c r="S14" i="62" s="1"/>
  <c r="P13" i="62"/>
  <c r="N13" i="62"/>
  <c r="I39" i="62" s="1"/>
  <c r="M13" i="62"/>
  <c r="P12" i="62"/>
  <c r="N12" i="62"/>
  <c r="I38" i="62" s="1"/>
  <c r="M12" i="62"/>
  <c r="S12" i="62" s="1"/>
  <c r="P11" i="62"/>
  <c r="N11" i="62"/>
  <c r="I37" i="62" s="1"/>
  <c r="M11" i="62"/>
  <c r="P10" i="62"/>
  <c r="N10" i="62"/>
  <c r="I36" i="62" s="1"/>
  <c r="M10" i="62"/>
  <c r="S10" i="62" s="1"/>
  <c r="P9" i="62"/>
  <c r="N9" i="62"/>
  <c r="I35" i="62" s="1"/>
  <c r="M9" i="62"/>
  <c r="P8" i="62"/>
  <c r="N8" i="62"/>
  <c r="I34" i="62" s="1"/>
  <c r="M8" i="62"/>
  <c r="S8" i="62" s="1"/>
  <c r="P7" i="62"/>
  <c r="N7" i="62"/>
  <c r="I33" i="62" s="1"/>
  <c r="M7" i="62"/>
  <c r="P6" i="62"/>
  <c r="N6" i="62"/>
  <c r="I32" i="62" s="1"/>
  <c r="M6" i="62"/>
  <c r="P5" i="62"/>
  <c r="N5" i="62"/>
  <c r="I31" i="62" s="1"/>
  <c r="M5" i="62"/>
  <c r="P4" i="62"/>
  <c r="N4" i="62"/>
  <c r="I30" i="62" s="1"/>
  <c r="M4" i="62"/>
  <c r="P3" i="62"/>
  <c r="N3" i="62"/>
  <c r="I29" i="62" s="1"/>
  <c r="M3" i="62"/>
  <c r="Q9" i="62" l="1"/>
  <c r="Q7" i="62"/>
  <c r="T9" i="62"/>
  <c r="Q14" i="62"/>
  <c r="T13" i="62"/>
  <c r="O21" i="62"/>
  <c r="Q8" i="62"/>
  <c r="Q15" i="62"/>
  <c r="Q4" i="62"/>
  <c r="S4" i="62"/>
  <c r="S6" i="62"/>
  <c r="AA15" i="62" a="1"/>
  <c r="AA15" i="62" s="1"/>
  <c r="T5" i="62"/>
  <c r="T15" i="62"/>
  <c r="T3" i="62"/>
  <c r="T11" i="62"/>
  <c r="Q11" i="62"/>
  <c r="Q13" i="62"/>
  <c r="Q5" i="62"/>
  <c r="Q3" i="62"/>
  <c r="T4" i="62"/>
  <c r="T6" i="62"/>
  <c r="T8" i="62"/>
  <c r="T10" i="62"/>
  <c r="T12" i="62"/>
  <c r="T14" i="62"/>
  <c r="T7" i="62"/>
  <c r="Q6" i="62"/>
  <c r="Q10" i="62"/>
  <c r="Q12" i="62"/>
  <c r="AA4" i="62" a="1"/>
  <c r="AA4" i="62" s="1"/>
  <c r="AA6" i="62" a="1"/>
  <c r="AA6" i="62" s="1"/>
  <c r="AA8" i="62" a="1"/>
  <c r="AA8" i="62" s="1"/>
  <c r="AA10" i="62" a="1"/>
  <c r="AA10" i="62" s="1"/>
  <c r="AA12" i="62" a="1"/>
  <c r="AA12" i="62" s="1"/>
  <c r="AA14" i="62" a="1"/>
  <c r="AA14" i="62" s="1"/>
  <c r="S3" i="62"/>
  <c r="S5" i="62"/>
  <c r="S7" i="62"/>
  <c r="S9" i="62"/>
  <c r="S11" i="62"/>
  <c r="S13" i="62"/>
  <c r="S15" i="62"/>
  <c r="AA3" i="62" a="1"/>
  <c r="AA3" i="62" s="1"/>
  <c r="AA5" i="62" a="1"/>
  <c r="AA5" i="62" s="1"/>
  <c r="AA7" i="62" a="1"/>
  <c r="AA7" i="62" s="1"/>
  <c r="AA9" i="62" a="1"/>
  <c r="AA9" i="62" s="1"/>
  <c r="AA11" i="62" a="1"/>
  <c r="AA11" i="62" s="1"/>
  <c r="AA13" i="62" a="1"/>
  <c r="AA13" i="62" s="1"/>
  <c r="Z14" i="62" l="1" a="1"/>
  <c r="Z14" i="62" s="1"/>
  <c r="Z12" i="62" a="1"/>
  <c r="Z12" i="62" s="1"/>
  <c r="Z6" i="62" a="1"/>
  <c r="Z6" i="62" s="1"/>
  <c r="Z15" i="62" a="1"/>
  <c r="Z15" i="62" s="1"/>
  <c r="Z13" i="62" a="1"/>
  <c r="Z13" i="62" s="1"/>
  <c r="Z11" i="62" a="1"/>
  <c r="Z11" i="62" s="1"/>
  <c r="Z9" i="62" a="1"/>
  <c r="Z9" i="62" s="1"/>
  <c r="Z7" i="62" a="1"/>
  <c r="Z7" i="62" s="1"/>
  <c r="Z5" i="62" a="1"/>
  <c r="Z5" i="62" s="1"/>
  <c r="Z3" i="62" a="1"/>
  <c r="Z3" i="62" s="1"/>
  <c r="Z8" i="62" a="1"/>
  <c r="Z8" i="62" s="1"/>
  <c r="Z10" i="62" a="1"/>
  <c r="Z10" i="62" s="1"/>
  <c r="Z4" i="62" a="1"/>
  <c r="Z4" i="62" s="1"/>
  <c r="E41" i="62"/>
  <c r="R15" i="62"/>
  <c r="E29" i="62"/>
  <c r="R3" i="62"/>
  <c r="E39" i="62"/>
  <c r="R13" i="62"/>
  <c r="E32" i="62"/>
  <c r="R6" i="62"/>
  <c r="R4" i="62"/>
  <c r="E30" i="62"/>
  <c r="R11" i="62"/>
  <c r="E37" i="62"/>
  <c r="E40" i="62"/>
  <c r="R14" i="62"/>
  <c r="U15" i="62" a="1"/>
  <c r="U15" i="62" s="1"/>
  <c r="U13" i="62" a="1"/>
  <c r="U13" i="62" s="1"/>
  <c r="U11" i="62" a="1"/>
  <c r="U11" i="62" s="1"/>
  <c r="U9" i="62" a="1"/>
  <c r="U9" i="62" s="1"/>
  <c r="U7" i="62" a="1"/>
  <c r="U7" i="62" s="1"/>
  <c r="U5" i="62" a="1"/>
  <c r="U5" i="62" s="1"/>
  <c r="U3" i="62" a="1"/>
  <c r="U3" i="62" s="1"/>
  <c r="U14" i="62" a="1"/>
  <c r="U14" i="62" s="1"/>
  <c r="U12" i="62" a="1"/>
  <c r="U12" i="62" s="1"/>
  <c r="U10" i="62" a="1"/>
  <c r="U10" i="62" s="1"/>
  <c r="U8" i="62" a="1"/>
  <c r="U8" i="62" s="1"/>
  <c r="U6" i="62" a="1"/>
  <c r="U6" i="62" s="1"/>
  <c r="U4" i="62" a="1"/>
  <c r="U4" i="62" s="1"/>
  <c r="E35" i="62"/>
  <c r="R9" i="62"/>
  <c r="E38" i="62"/>
  <c r="R12" i="62"/>
  <c r="E36" i="62"/>
  <c r="R10" i="62"/>
  <c r="R8" i="62"/>
  <c r="E34" i="62"/>
  <c r="E33" i="62"/>
  <c r="R7" i="62"/>
  <c r="Y14" i="62" a="1"/>
  <c r="Y14" i="62" s="1"/>
  <c r="Y12" i="62" a="1"/>
  <c r="Y12" i="62" s="1"/>
  <c r="Y10" i="62" a="1"/>
  <c r="Y10" i="62" s="1"/>
  <c r="Y8" i="62" a="1"/>
  <c r="Y8" i="62" s="1"/>
  <c r="Y6" i="62" a="1"/>
  <c r="Y6" i="62" s="1"/>
  <c r="Y4" i="62" a="1"/>
  <c r="Y4" i="62" s="1"/>
  <c r="Y15" i="62" a="1"/>
  <c r="Y15" i="62" s="1"/>
  <c r="Y13" i="62" a="1"/>
  <c r="Y13" i="62" s="1"/>
  <c r="Y11" i="62" a="1"/>
  <c r="Y11" i="62" s="1"/>
  <c r="Y9" i="62" a="1"/>
  <c r="Y9" i="62" s="1"/>
  <c r="Y7" i="62" a="1"/>
  <c r="Y7" i="62" s="1"/>
  <c r="Y5" i="62" a="1"/>
  <c r="Y5" i="62" s="1"/>
  <c r="Y3" i="62" a="1"/>
  <c r="Y3" i="62" s="1"/>
  <c r="W9" i="62" a="1"/>
  <c r="W9" i="62" s="1"/>
  <c r="W11" i="62" a="1"/>
  <c r="W11" i="62" s="1"/>
  <c r="W7" i="62" a="1"/>
  <c r="W7" i="62" s="1"/>
  <c r="W14" i="62" a="1"/>
  <c r="W14" i="62" s="1"/>
  <c r="W12" i="62" a="1"/>
  <c r="W12" i="62" s="1"/>
  <c r="W10" i="62" a="1"/>
  <c r="W10" i="62" s="1"/>
  <c r="W8" i="62" a="1"/>
  <c r="W8" i="62" s="1"/>
  <c r="W6" i="62" a="1"/>
  <c r="W6" i="62" s="1"/>
  <c r="W4" i="62" a="1"/>
  <c r="W4" i="62" s="1"/>
  <c r="W15" i="62" a="1"/>
  <c r="W15" i="62" s="1"/>
  <c r="W3" i="62" a="1"/>
  <c r="W3" i="62" s="1"/>
  <c r="W5" i="62" a="1"/>
  <c r="W5" i="62" s="1"/>
  <c r="W13" i="62" a="1"/>
  <c r="W13" i="62" s="1"/>
  <c r="R5" i="62"/>
  <c r="E31" i="62"/>
  <c r="X14" i="62" a="1"/>
  <c r="X14" i="62" s="1"/>
  <c r="X12" i="62" a="1"/>
  <c r="X12" i="62" s="1"/>
  <c r="X10" i="62" a="1"/>
  <c r="X10" i="62" s="1"/>
  <c r="X8" i="62" a="1"/>
  <c r="X8" i="62" s="1"/>
  <c r="X6" i="62" a="1"/>
  <c r="X6" i="62" s="1"/>
  <c r="X4" i="62" a="1"/>
  <c r="X4" i="62" s="1"/>
  <c r="X15" i="62" a="1"/>
  <c r="X15" i="62" s="1"/>
  <c r="X13" i="62" a="1"/>
  <c r="X13" i="62" s="1"/>
  <c r="X11" i="62" a="1"/>
  <c r="X11" i="62" s="1"/>
  <c r="X9" i="62" a="1"/>
  <c r="X9" i="62" s="1"/>
  <c r="X7" i="62" a="1"/>
  <c r="X7" i="62" s="1"/>
  <c r="X5" i="62" a="1"/>
  <c r="X5" i="62" s="1"/>
  <c r="X3" i="62" a="1"/>
  <c r="X3" i="62" s="1"/>
  <c r="C14" i="60"/>
  <c r="H37" i="62" l="1"/>
  <c r="K37" i="62" s="1"/>
  <c r="F54" i="59" s="1"/>
  <c r="H34" i="62"/>
  <c r="K34" i="62" s="1"/>
  <c r="H30" i="62"/>
  <c r="K30" i="62" s="1"/>
  <c r="H31" i="62"/>
  <c r="K31" i="62" s="1"/>
  <c r="H36" i="62"/>
  <c r="K36" i="62" s="1"/>
  <c r="F55" i="59" s="1"/>
  <c r="H32" i="62"/>
  <c r="K32" i="62" s="1"/>
  <c r="H38" i="62"/>
  <c r="K38" i="62" s="1"/>
  <c r="H39" i="62"/>
  <c r="K39" i="62" s="1"/>
  <c r="H35" i="62"/>
  <c r="K35" i="62" s="1"/>
  <c r="H29" i="62"/>
  <c r="K29" i="62" s="1"/>
  <c r="H40" i="62"/>
  <c r="K40" i="62" s="1"/>
  <c r="H41" i="62"/>
  <c r="K41" i="62" s="1"/>
  <c r="H33" i="62"/>
  <c r="K33" i="62" s="1"/>
  <c r="F56" i="59" s="1"/>
  <c r="V15" i="62" a="1"/>
  <c r="V15" i="62" s="1"/>
  <c r="AB15" i="62" s="1"/>
  <c r="V13" i="62" a="1"/>
  <c r="V13" i="62" s="1"/>
  <c r="AB13" i="62" s="1"/>
  <c r="V11" i="62" a="1"/>
  <c r="V11" i="62" s="1"/>
  <c r="AB11" i="62" s="1"/>
  <c r="V9" i="62" a="1"/>
  <c r="V9" i="62" s="1"/>
  <c r="AB9" i="62" s="1"/>
  <c r="V7" i="62" a="1"/>
  <c r="V7" i="62" s="1"/>
  <c r="AB7" i="62" s="1"/>
  <c r="V5" i="62" a="1"/>
  <c r="V5" i="62" s="1"/>
  <c r="AB5" i="62" s="1"/>
  <c r="V3" i="62" a="1"/>
  <c r="V3" i="62" s="1"/>
  <c r="AB3" i="62" s="1"/>
  <c r="V14" i="62" a="1"/>
  <c r="V14" i="62" s="1"/>
  <c r="AB14" i="62" s="1"/>
  <c r="V12" i="62" a="1"/>
  <c r="V12" i="62" s="1"/>
  <c r="AB12" i="62" s="1"/>
  <c r="V10" i="62" a="1"/>
  <c r="V10" i="62" s="1"/>
  <c r="AB10" i="62" s="1"/>
  <c r="V8" i="62" a="1"/>
  <c r="V8" i="62" s="1"/>
  <c r="AB8" i="62" s="1"/>
  <c r="V6" i="62" a="1"/>
  <c r="V6" i="62" s="1"/>
  <c r="AB6" i="62" s="1"/>
  <c r="V4" i="62" a="1"/>
  <c r="V4" i="62" s="1"/>
  <c r="AB4" i="62" s="1"/>
  <c r="K13" i="60"/>
  <c r="M7" i="60"/>
  <c r="L9" i="60"/>
  <c r="C25" i="12"/>
  <c r="C26" i="12"/>
  <c r="C27" i="12"/>
  <c r="AC7" i="62" l="1" a="1"/>
  <c r="AC7" i="62" s="1"/>
  <c r="AC15" i="62" a="1"/>
  <c r="AC15" i="62" s="1"/>
  <c r="AC3" i="62" a="1"/>
  <c r="AC3" i="62" s="1"/>
  <c r="AC11" i="62" a="1"/>
  <c r="AC11" i="62" s="1"/>
  <c r="AC9" i="62" a="1"/>
  <c r="AC9" i="62" s="1"/>
  <c r="AC14" i="62" a="1"/>
  <c r="AC14" i="62" s="1"/>
  <c r="AC12" i="62" a="1"/>
  <c r="AC12" i="62" s="1"/>
  <c r="AC10" i="62" a="1"/>
  <c r="AC10" i="62" s="1"/>
  <c r="AC8" i="62" a="1"/>
  <c r="AC8" i="62" s="1"/>
  <c r="AC6" i="62" a="1"/>
  <c r="AC6" i="62" s="1"/>
  <c r="AC4" i="62" a="1"/>
  <c r="AC4" i="62" s="1"/>
  <c r="AC13" i="62" a="1"/>
  <c r="AC13" i="62" s="1"/>
  <c r="AC5" i="62" a="1"/>
  <c r="AC5" i="62" s="1"/>
  <c r="K4" i="60"/>
  <c r="M12" i="60"/>
  <c r="M13" i="60"/>
  <c r="L7" i="60"/>
  <c r="K11" i="60"/>
  <c r="L11" i="60"/>
  <c r="M3" i="60"/>
  <c r="L13" i="60"/>
  <c r="K9" i="60"/>
  <c r="K7" i="60"/>
  <c r="M10" i="60"/>
  <c r="M8" i="60"/>
  <c r="L6" i="60"/>
  <c r="K3" i="60"/>
  <c r="M5" i="60"/>
  <c r="M11" i="60"/>
  <c r="L3" i="60"/>
  <c r="L4" i="60"/>
  <c r="L8" i="60"/>
  <c r="K8" i="60"/>
  <c r="K6" i="60"/>
  <c r="K14" i="60"/>
  <c r="K10" i="60"/>
  <c r="L12" i="60"/>
  <c r="M9" i="60"/>
  <c r="K12" i="60"/>
  <c r="L14" i="60"/>
  <c r="L10" i="60"/>
  <c r="L5" i="60"/>
  <c r="M4" i="60"/>
  <c r="M6" i="60"/>
  <c r="K5" i="60"/>
  <c r="M14" i="60"/>
  <c r="I35" i="59"/>
  <c r="I38" i="59"/>
  <c r="G37" i="59"/>
  <c r="H35" i="59"/>
  <c r="H38" i="59"/>
  <c r="I36" i="59"/>
  <c r="I27" i="12"/>
  <c r="M51" i="59" s="1"/>
  <c r="G38" i="59"/>
  <c r="G35" i="59"/>
  <c r="H36" i="59"/>
  <c r="H37" i="59"/>
  <c r="I37" i="59"/>
  <c r="G36" i="59"/>
  <c r="I26" i="12"/>
  <c r="M50" i="59" s="1"/>
  <c r="H26" i="12"/>
  <c r="L50" i="59" s="1"/>
  <c r="H27" i="12"/>
  <c r="L51" i="59" s="1"/>
  <c r="I25" i="12"/>
  <c r="M49" i="59" s="1"/>
  <c r="J27" i="12" l="1"/>
  <c r="J26" i="12"/>
  <c r="F38" i="59" s="1"/>
  <c r="H25" i="12"/>
  <c r="J25" i="12" l="1"/>
  <c r="F37" i="59" s="1"/>
  <c r="L49" i="59"/>
  <c r="E34" i="59"/>
  <c r="E33" i="59"/>
  <c r="E32" i="59"/>
  <c r="E31" i="59"/>
  <c r="E30" i="59"/>
  <c r="Q208" i="61" l="1"/>
  <c r="P208" i="6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Q211" i="61"/>
  <c r="Q212" i="61"/>
  <c r="Q209" i="61"/>
  <c r="Q210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P214" i="61" l="1"/>
  <c r="H50" i="59" s="1"/>
  <c r="Q214" i="61"/>
  <c r="O215" i="61"/>
  <c r="I47" i="59" s="1"/>
  <c r="C214" i="61"/>
  <c r="I15" i="59" s="1"/>
  <c r="K214" i="61"/>
  <c r="M215" i="61"/>
  <c r="G215" i="61"/>
  <c r="J19" i="59" s="1"/>
  <c r="L214" i="61"/>
  <c r="K213" i="61"/>
  <c r="J213" i="61"/>
  <c r="H22" i="59" s="1"/>
  <c r="C213" i="61"/>
  <c r="G43" i="59" s="1"/>
  <c r="J215" i="61"/>
  <c r="H5" i="59" s="1"/>
  <c r="G213" i="61"/>
  <c r="H19" i="59" s="1"/>
  <c r="E215" i="61"/>
  <c r="H6" i="59" s="1"/>
  <c r="G214" i="61"/>
  <c r="I19" i="59" s="1"/>
  <c r="F214" i="61"/>
  <c r="I18" i="59" s="1"/>
  <c r="P213" i="61"/>
  <c r="G50" i="59" s="1"/>
  <c r="I215" i="61"/>
  <c r="J21" i="59" s="1"/>
  <c r="N215" i="61"/>
  <c r="I44" i="59" s="1"/>
  <c r="H213" i="61"/>
  <c r="H20" i="59" s="1"/>
  <c r="D213" i="61"/>
  <c r="G46" i="59" s="1"/>
  <c r="N213" i="61"/>
  <c r="G44" i="59" s="1"/>
  <c r="H215" i="61"/>
  <c r="H7" i="59" s="1"/>
  <c r="D214" i="61"/>
  <c r="H46" i="59" s="1"/>
  <c r="I214" i="61"/>
  <c r="I21" i="59" s="1"/>
  <c r="I213" i="61"/>
  <c r="H21" i="59" s="1"/>
  <c r="I49" i="59"/>
  <c r="O214" i="61"/>
  <c r="H47" i="59" s="1"/>
  <c r="O213" i="61"/>
  <c r="G47" i="59" s="1"/>
  <c r="I45" i="59"/>
  <c r="J25" i="59"/>
  <c r="M214" i="61"/>
  <c r="P215" i="61"/>
  <c r="I50" i="59" s="1"/>
  <c r="M213" i="61"/>
  <c r="H43" i="59"/>
  <c r="C215" i="61"/>
  <c r="N214" i="61"/>
  <c r="L213" i="61"/>
  <c r="H23" i="59"/>
  <c r="G42" i="59"/>
  <c r="H42" i="59"/>
  <c r="I23" i="59"/>
  <c r="L215" i="61"/>
  <c r="F215" i="61"/>
  <c r="F213" i="61"/>
  <c r="Q213" i="61"/>
  <c r="H214" i="61"/>
  <c r="Q215" i="61"/>
  <c r="E213" i="61"/>
  <c r="J214" i="61"/>
  <c r="I24" i="59"/>
  <c r="H48" i="59"/>
  <c r="K215" i="61"/>
  <c r="H16" i="59"/>
  <c r="D215" i="61"/>
  <c r="F5" i="59"/>
  <c r="E214" i="61"/>
  <c r="J22" i="59" l="1"/>
  <c r="I16" i="59"/>
  <c r="G8" i="59"/>
  <c r="F7" i="59"/>
  <c r="H4" i="59"/>
  <c r="G49" i="59"/>
  <c r="H49" i="59"/>
  <c r="J17" i="59"/>
  <c r="J20" i="59"/>
  <c r="F4" i="59"/>
  <c r="H15" i="59"/>
  <c r="I48" i="59"/>
  <c r="J24" i="59"/>
  <c r="G6" i="59"/>
  <c r="I17" i="59"/>
  <c r="G48" i="59"/>
  <c r="H24" i="59"/>
  <c r="H44" i="59"/>
  <c r="G4" i="59"/>
  <c r="J16" i="59"/>
  <c r="I46" i="59"/>
  <c r="I43" i="59"/>
  <c r="J15" i="59"/>
  <c r="J23" i="59"/>
  <c r="I42" i="59"/>
  <c r="G5" i="59"/>
  <c r="I22" i="59"/>
  <c r="F6" i="59"/>
  <c r="H17" i="59"/>
  <c r="H25" i="59"/>
  <c r="G45" i="59"/>
  <c r="I25" i="59"/>
  <c r="H45" i="59"/>
  <c r="G7" i="59"/>
  <c r="I20" i="59"/>
  <c r="H18" i="59"/>
  <c r="F8" i="59"/>
  <c r="J18" i="59"/>
  <c r="H8" i="59"/>
  <c r="O126" i="15" l="1" a="1"/>
  <c r="O126" i="15" s="1"/>
  <c r="O127" i="15" a="1"/>
  <c r="O127" i="15" s="1"/>
  <c r="O128" i="15" a="1"/>
  <c r="O128" i="15" s="1"/>
  <c r="O130" i="15"/>
  <c r="O136" i="15" a="1"/>
  <c r="O136" i="15" s="1"/>
  <c r="O131" i="15"/>
  <c r="O137" i="15" a="1"/>
  <c r="O137" i="15" s="1"/>
  <c r="O138" i="15" a="1"/>
  <c r="O138" i="15" s="1"/>
  <c r="O133" i="15" l="1"/>
  <c r="O140" i="15"/>
  <c r="O138" i="5" l="1"/>
  <c r="O139" i="5" s="1"/>
  <c r="O136" i="5" a="1"/>
  <c r="O136" i="5" s="1"/>
  <c r="O127" i="5" l="1" a="1"/>
  <c r="O127" i="5" s="1"/>
  <c r="O126" i="5" a="1"/>
  <c r="O126" i="5" s="1"/>
  <c r="O130" i="5"/>
  <c r="O129" i="5"/>
  <c r="O134" i="5" a="1"/>
  <c r="O134" i="5" s="1"/>
  <c r="O132" i="5" l="1"/>
  <c r="K4" i="52"/>
  <c r="K5" i="52"/>
  <c r="K6" i="52"/>
  <c r="K7" i="52"/>
  <c r="K8" i="52"/>
  <c r="K3" i="52"/>
  <c r="M2" i="60"/>
  <c r="L2" i="60"/>
  <c r="K2" i="60"/>
  <c r="C24" i="12" l="1"/>
  <c r="H24" i="12" l="1"/>
  <c r="L48" i="59" s="1"/>
  <c r="I24" i="12"/>
  <c r="M48" i="59" s="1"/>
  <c r="J24" i="12" l="1"/>
  <c r="F36" i="59" s="1"/>
  <c r="C12" i="60"/>
  <c r="C23" i="12" l="1"/>
  <c r="I23" i="12" l="1"/>
  <c r="M47" i="59" s="1"/>
  <c r="G30" i="59"/>
  <c r="H30" i="59"/>
  <c r="G31" i="59"/>
  <c r="I32" i="59"/>
  <c r="H32" i="59"/>
  <c r="H23" i="12"/>
  <c r="L47" i="59" s="1"/>
  <c r="H31" i="59"/>
  <c r="I31" i="59"/>
  <c r="G32" i="59"/>
  <c r="L32" i="59" s="1"/>
  <c r="G33" i="59"/>
  <c r="H33" i="59"/>
  <c r="I33" i="59"/>
  <c r="G34" i="59"/>
  <c r="H34" i="59"/>
  <c r="I34" i="59"/>
  <c r="I30" i="59"/>
  <c r="N31" i="59" l="1"/>
  <c r="M32" i="59"/>
  <c r="L33" i="59"/>
  <c r="N32" i="59"/>
  <c r="L31" i="59"/>
  <c r="M31" i="59"/>
  <c r="N30" i="59"/>
  <c r="N37" i="59"/>
  <c r="N38" i="59"/>
  <c r="N35" i="59"/>
  <c r="N36" i="59"/>
  <c r="M30" i="59"/>
  <c r="M36" i="59"/>
  <c r="M38" i="59"/>
  <c r="M35" i="59"/>
  <c r="M37" i="59"/>
  <c r="M34" i="59"/>
  <c r="L30" i="59"/>
  <c r="L37" i="59"/>
  <c r="L35" i="59"/>
  <c r="L38" i="59"/>
  <c r="L36" i="59"/>
  <c r="M33" i="59"/>
  <c r="N34" i="59"/>
  <c r="L34" i="59"/>
  <c r="N33" i="59"/>
  <c r="N6" i="56"/>
  <c r="M6" i="56"/>
  <c r="L6" i="56"/>
  <c r="N16" i="56"/>
  <c r="L16" i="56"/>
  <c r="M16" i="56"/>
  <c r="N5" i="56"/>
  <c r="M5" i="56"/>
  <c r="L5" i="56"/>
  <c r="M11" i="56"/>
  <c r="L11" i="56"/>
  <c r="N11" i="56"/>
  <c r="L13" i="56"/>
  <c r="M13" i="56"/>
  <c r="N13" i="56"/>
  <c r="L14" i="56"/>
  <c r="M14" i="56"/>
  <c r="N14" i="56"/>
  <c r="M17" i="56"/>
  <c r="L17" i="56"/>
  <c r="N17" i="56"/>
  <c r="L8" i="56"/>
  <c r="M8" i="56"/>
  <c r="N8" i="56"/>
  <c r="M12" i="56"/>
  <c r="N12" i="56"/>
  <c r="L12" i="56"/>
  <c r="L10" i="56"/>
  <c r="N10" i="56"/>
  <c r="M10" i="56"/>
  <c r="M9" i="56"/>
  <c r="N9" i="56"/>
  <c r="L9" i="56"/>
  <c r="L15" i="56"/>
  <c r="N15" i="56"/>
  <c r="M15" i="56"/>
  <c r="N7" i="56"/>
  <c r="L7" i="56"/>
  <c r="M7" i="56"/>
  <c r="J23" i="12"/>
  <c r="F35" i="59" s="1"/>
  <c r="P6" i="56" l="1"/>
  <c r="P12" i="56"/>
  <c r="P9" i="56"/>
  <c r="P10" i="56"/>
  <c r="P15" i="56"/>
  <c r="P11" i="56"/>
  <c r="P14" i="56"/>
  <c r="P17" i="56"/>
  <c r="M19" i="56"/>
  <c r="M20" i="56"/>
  <c r="N19" i="56"/>
  <c r="N20" i="56"/>
  <c r="P16" i="56"/>
  <c r="P8" i="56"/>
  <c r="P5" i="56"/>
  <c r="L20" i="56"/>
  <c r="L19" i="56"/>
  <c r="P7" i="56"/>
  <c r="P13" i="56"/>
  <c r="N22" i="56" l="1"/>
  <c r="M22" i="56"/>
  <c r="L22" i="56"/>
  <c r="C13" i="60"/>
  <c r="C11" i="60"/>
  <c r="C10" i="60"/>
  <c r="C9" i="60"/>
  <c r="C8" i="60"/>
  <c r="C7" i="60"/>
  <c r="C6" i="60"/>
  <c r="C5" i="60"/>
  <c r="C4" i="60"/>
  <c r="C3" i="60"/>
  <c r="P5" i="60" l="1"/>
  <c r="Q10" i="60"/>
  <c r="P9" i="60"/>
  <c r="P6" i="60"/>
  <c r="Q6" i="60"/>
  <c r="Q8" i="60"/>
  <c r="P8" i="60"/>
  <c r="Q5" i="60" l="1"/>
  <c r="Q14" i="60"/>
  <c r="P14" i="60"/>
  <c r="Q12" i="60"/>
  <c r="P12" i="60"/>
  <c r="Q9" i="60"/>
  <c r="P10" i="60"/>
  <c r="Q11" i="60"/>
  <c r="P11" i="60"/>
  <c r="Q13" i="60"/>
  <c r="P13" i="60"/>
  <c r="Q7" i="60"/>
  <c r="P7" i="60"/>
  <c r="Q4" i="60"/>
  <c r="P4" i="60"/>
  <c r="Q3" i="60"/>
  <c r="P3" i="60"/>
  <c r="S6" i="60" l="1"/>
  <c r="F18" i="59" s="1"/>
  <c r="S10" i="60"/>
  <c r="F22" i="59" s="1"/>
  <c r="S4" i="60"/>
  <c r="F16" i="59" s="1"/>
  <c r="S14" i="60"/>
  <c r="S7" i="60"/>
  <c r="F19" i="59" s="1"/>
  <c r="S5" i="60"/>
  <c r="F17" i="59" s="1"/>
  <c r="S13" i="60"/>
  <c r="F25" i="59" s="1"/>
  <c r="S9" i="60"/>
  <c r="F21" i="59" s="1"/>
  <c r="S12" i="60"/>
  <c r="F24" i="59" s="1"/>
  <c r="G24" i="59" s="1"/>
  <c r="S3" i="60"/>
  <c r="F15" i="59" s="1"/>
  <c r="S11" i="60"/>
  <c r="F23" i="59" s="1"/>
  <c r="S8" i="60"/>
  <c r="F20" i="59" s="1"/>
  <c r="K126" i="15" l="1" a="1"/>
  <c r="K126" i="15" s="1"/>
  <c r="L126" i="15" a="1"/>
  <c r="L126" i="15" s="1"/>
  <c r="M126" i="15" a="1"/>
  <c r="M126" i="15" s="1"/>
  <c r="N126" i="15" a="1"/>
  <c r="N126" i="15" s="1"/>
  <c r="K127" i="15" a="1"/>
  <c r="K127" i="15" s="1"/>
  <c r="L127" i="15" a="1"/>
  <c r="L127" i="15" s="1"/>
  <c r="M127" i="15" a="1"/>
  <c r="M127" i="15" s="1"/>
  <c r="N127" i="15" a="1"/>
  <c r="N127" i="15" s="1"/>
  <c r="K128" i="15" a="1"/>
  <c r="K128" i="15" s="1"/>
  <c r="L128" i="15" a="1"/>
  <c r="L128" i="15" s="1"/>
  <c r="M128" i="15" a="1"/>
  <c r="M128" i="15" s="1"/>
  <c r="N128" i="15" a="1"/>
  <c r="N128" i="15" s="1"/>
  <c r="K130" i="15"/>
  <c r="L130" i="15"/>
  <c r="M130" i="15"/>
  <c r="N130" i="15"/>
  <c r="K131" i="15"/>
  <c r="L131" i="15"/>
  <c r="M131" i="15"/>
  <c r="N131" i="15"/>
  <c r="K136" i="15" a="1"/>
  <c r="K136" i="15" s="1"/>
  <c r="L136" i="15" a="1"/>
  <c r="L136" i="15" s="1"/>
  <c r="M136" i="15" a="1"/>
  <c r="M136" i="15" s="1"/>
  <c r="N136" i="15" a="1"/>
  <c r="N136" i="15" s="1"/>
  <c r="K137" i="15" a="1"/>
  <c r="K137" i="15" s="1"/>
  <c r="L137" i="15" a="1"/>
  <c r="L137" i="15" s="1"/>
  <c r="M137" i="15" a="1"/>
  <c r="M137" i="15" s="1"/>
  <c r="N137" i="15" a="1"/>
  <c r="N137" i="15" s="1"/>
  <c r="K138" i="15" a="1"/>
  <c r="K138" i="15" s="1"/>
  <c r="L138" i="15" a="1"/>
  <c r="L138" i="15" s="1"/>
  <c r="M138" i="15" a="1"/>
  <c r="M138" i="15" s="1"/>
  <c r="N138" i="15" a="1"/>
  <c r="N138" i="15" s="1"/>
  <c r="L133" i="15" l="1"/>
  <c r="K133" i="15"/>
  <c r="L140" i="15"/>
  <c r="N140" i="15"/>
  <c r="M133" i="15"/>
  <c r="N133" i="15"/>
  <c r="M140" i="15"/>
  <c r="K140" i="15"/>
  <c r="AD4" i="12" l="1"/>
  <c r="AD5" i="12"/>
  <c r="AD6" i="12"/>
  <c r="AD7" i="12"/>
  <c r="AD8" i="12"/>
  <c r="AD9" i="12"/>
  <c r="AD10" i="12"/>
  <c r="AD11" i="12"/>
  <c r="AD12" i="12"/>
  <c r="AD13" i="12"/>
  <c r="AD14" i="12"/>
  <c r="AD15" i="12"/>
  <c r="AD3" i="12"/>
  <c r="AC4" i="12"/>
  <c r="AC5" i="12"/>
  <c r="AC6" i="12"/>
  <c r="AC7" i="12"/>
  <c r="AC8" i="12"/>
  <c r="AC9" i="12"/>
  <c r="AC10" i="12"/>
  <c r="AC11" i="12"/>
  <c r="AC12" i="12"/>
  <c r="AC13" i="12"/>
  <c r="AC14" i="12"/>
  <c r="AC15" i="12"/>
  <c r="AC3" i="12"/>
  <c r="Z4" i="12" a="1"/>
  <c r="Z4" i="12" s="1"/>
  <c r="Z5" i="12" a="1"/>
  <c r="Z5" i="12" s="1"/>
  <c r="Z6" i="12" a="1"/>
  <c r="Z6" i="12" s="1"/>
  <c r="Z7" i="12" a="1"/>
  <c r="Z7" i="12" s="1"/>
  <c r="Z8" i="12" a="1"/>
  <c r="Z8" i="12" s="1"/>
  <c r="Z9" i="12" a="1"/>
  <c r="Z9" i="12" s="1"/>
  <c r="Z10" i="12" a="1"/>
  <c r="Z10" i="12" s="1"/>
  <c r="Z11" i="12" a="1"/>
  <c r="Z11" i="12" s="1"/>
  <c r="Z12" i="12" a="1"/>
  <c r="Z12" i="12" s="1"/>
  <c r="Z13" i="12" a="1"/>
  <c r="Z13" i="12" s="1"/>
  <c r="Z14" i="12" a="1"/>
  <c r="Z14" i="12" s="1"/>
  <c r="Z15" i="12" a="1"/>
  <c r="Z15" i="12" s="1"/>
  <c r="Z3" i="12" a="1"/>
  <c r="Z3" i="12" s="1"/>
  <c r="X4" i="12" a="1"/>
  <c r="X4" i="12" s="1"/>
  <c r="X5" i="12" a="1"/>
  <c r="X5" i="12" s="1"/>
  <c r="X6" i="12" a="1"/>
  <c r="X6" i="12" s="1"/>
  <c r="X7" i="12" a="1"/>
  <c r="X7" i="12" s="1"/>
  <c r="X8" i="12" a="1"/>
  <c r="X8" i="12" s="1"/>
  <c r="X9" i="12" a="1"/>
  <c r="X9" i="12" s="1"/>
  <c r="X10" i="12" a="1"/>
  <c r="X10" i="12" s="1"/>
  <c r="X11" i="12" a="1"/>
  <c r="X11" i="12" s="1"/>
  <c r="X12" i="12" a="1"/>
  <c r="X12" i="12" s="1"/>
  <c r="X13" i="12" a="1"/>
  <c r="X13" i="12" s="1"/>
  <c r="X14" i="12" a="1"/>
  <c r="X14" i="12" s="1"/>
  <c r="X15" i="12" a="1"/>
  <c r="X15" i="12" s="1"/>
  <c r="X3" i="12" a="1"/>
  <c r="X3" i="12" s="1"/>
  <c r="W4" i="12" a="1"/>
  <c r="W4" i="12" s="1"/>
  <c r="W5" i="12" a="1"/>
  <c r="W5" i="12" s="1"/>
  <c r="W6" i="12" a="1"/>
  <c r="W6" i="12" s="1"/>
  <c r="W7" i="12" a="1"/>
  <c r="W7" i="12" s="1"/>
  <c r="W8" i="12" a="1"/>
  <c r="W8" i="12" s="1"/>
  <c r="W9" i="12" a="1"/>
  <c r="W9" i="12" s="1"/>
  <c r="W10" i="12" a="1"/>
  <c r="W10" i="12" s="1"/>
  <c r="W11" i="12" a="1"/>
  <c r="W11" i="12" s="1"/>
  <c r="W12" i="12" a="1"/>
  <c r="W12" i="12" s="1"/>
  <c r="W13" i="12" a="1"/>
  <c r="W13" i="12" s="1"/>
  <c r="W14" i="12" a="1"/>
  <c r="W14" i="12" s="1"/>
  <c r="W15" i="12" a="1"/>
  <c r="W15" i="12" s="1"/>
  <c r="W3" i="12" a="1"/>
  <c r="W3" i="12" s="1"/>
  <c r="V4" i="12" a="1"/>
  <c r="V4" i="12" s="1"/>
  <c r="V5" i="12" a="1"/>
  <c r="V5" i="12" s="1"/>
  <c r="V6" i="12" a="1"/>
  <c r="V6" i="12" s="1"/>
  <c r="V7" i="12" a="1"/>
  <c r="V7" i="12" s="1"/>
  <c r="V8" i="12" a="1"/>
  <c r="V8" i="12" s="1"/>
  <c r="V9" i="12" a="1"/>
  <c r="V9" i="12" s="1"/>
  <c r="V10" i="12" a="1"/>
  <c r="V10" i="12" s="1"/>
  <c r="V11" i="12" a="1"/>
  <c r="V11" i="12" s="1"/>
  <c r="V12" i="12" a="1"/>
  <c r="V12" i="12" s="1"/>
  <c r="V13" i="12" a="1"/>
  <c r="V13" i="12" s="1"/>
  <c r="V14" i="12" a="1"/>
  <c r="V14" i="12" s="1"/>
  <c r="V15" i="12" a="1"/>
  <c r="V15" i="12" s="1"/>
  <c r="V3" i="12" a="1"/>
  <c r="V3" i="12" s="1"/>
  <c r="T4" i="12" a="1"/>
  <c r="T4" i="12" s="1"/>
  <c r="T5" i="12" a="1"/>
  <c r="T5" i="12" s="1"/>
  <c r="T6" i="12" a="1"/>
  <c r="T6" i="12" s="1"/>
  <c r="T7" i="12" a="1"/>
  <c r="T7" i="12" s="1"/>
  <c r="T8" i="12" a="1"/>
  <c r="T8" i="12" s="1"/>
  <c r="T9" i="12" a="1"/>
  <c r="T9" i="12" s="1"/>
  <c r="T10" i="12" a="1"/>
  <c r="T10" i="12" s="1"/>
  <c r="T11" i="12" a="1"/>
  <c r="T11" i="12" s="1"/>
  <c r="T12" i="12" a="1"/>
  <c r="T12" i="12" s="1"/>
  <c r="T13" i="12" a="1"/>
  <c r="T13" i="12" s="1"/>
  <c r="T14" i="12" a="1"/>
  <c r="T14" i="12" s="1"/>
  <c r="T15" i="12" a="1"/>
  <c r="T15" i="12" s="1"/>
  <c r="T3" i="12" a="1"/>
  <c r="T3" i="12" s="1"/>
  <c r="D4" i="12"/>
  <c r="D5" i="12"/>
  <c r="D6" i="12"/>
  <c r="D7" i="12"/>
  <c r="D8" i="12"/>
  <c r="D9" i="12"/>
  <c r="D10" i="12"/>
  <c r="D11" i="12"/>
  <c r="D12" i="12"/>
  <c r="D13" i="12"/>
  <c r="D14" i="12"/>
  <c r="D15" i="12"/>
  <c r="D3" i="12"/>
  <c r="AE9" i="12" l="1"/>
  <c r="AE13" i="12"/>
  <c r="AE12" i="12"/>
  <c r="AE15" i="12"/>
  <c r="AE11" i="12"/>
  <c r="AE7" i="12"/>
  <c r="AE8" i="12"/>
  <c r="AE14" i="12"/>
  <c r="AE10" i="12"/>
  <c r="AE6" i="12"/>
  <c r="AE5" i="12"/>
  <c r="AE3" i="12"/>
  <c r="AE4" i="12"/>
  <c r="H14" i="12" l="1"/>
  <c r="U13" i="12"/>
  <c r="I15" i="12"/>
  <c r="H13" i="12"/>
  <c r="U12" i="12"/>
  <c r="U14" i="12"/>
  <c r="U15" i="12"/>
  <c r="I14" i="12"/>
  <c r="K126" i="5" a="1"/>
  <c r="K126" i="5" s="1"/>
  <c r="L126" i="5" a="1"/>
  <c r="L126" i="5" s="1"/>
  <c r="M126" i="5" a="1"/>
  <c r="M126" i="5" s="1"/>
  <c r="N126" i="5" a="1"/>
  <c r="N126" i="5" s="1"/>
  <c r="K127" i="5" a="1"/>
  <c r="K127" i="5" s="1"/>
  <c r="D13" i="13" s="1"/>
  <c r="L127" i="5" a="1"/>
  <c r="L127" i="5" s="1"/>
  <c r="D14" i="13" s="1"/>
  <c r="M127" i="5" a="1"/>
  <c r="M127" i="5" s="1"/>
  <c r="D15" i="13" s="1"/>
  <c r="N127" i="5" a="1"/>
  <c r="N127" i="5" s="1"/>
  <c r="D16" i="13" s="1"/>
  <c r="K129" i="5"/>
  <c r="L129" i="5"/>
  <c r="M129" i="5"/>
  <c r="N129" i="5"/>
  <c r="K130" i="5"/>
  <c r="L130" i="5"/>
  <c r="M130" i="5"/>
  <c r="N130" i="5"/>
  <c r="K134" i="5" a="1"/>
  <c r="K134" i="5" s="1"/>
  <c r="F14" i="56" s="1"/>
  <c r="L134" i="5" a="1"/>
  <c r="L134" i="5" s="1"/>
  <c r="F15" i="56" s="1"/>
  <c r="M134" i="5" a="1"/>
  <c r="M134" i="5" s="1"/>
  <c r="F16" i="56" s="1"/>
  <c r="N134" i="5" a="1"/>
  <c r="N134" i="5" s="1"/>
  <c r="F17" i="56" s="1"/>
  <c r="K136" i="5" a="1"/>
  <c r="K136" i="5" s="1"/>
  <c r="L136" i="5" a="1"/>
  <c r="L136" i="5" s="1"/>
  <c r="M136" i="5" a="1"/>
  <c r="M136" i="5" s="1"/>
  <c r="N136" i="5" a="1"/>
  <c r="N136" i="5" s="1"/>
  <c r="K138" i="5"/>
  <c r="K139" i="5" s="1"/>
  <c r="L138" i="5"/>
  <c r="L139" i="5" s="1"/>
  <c r="M138" i="5"/>
  <c r="M139" i="5" s="1"/>
  <c r="N138" i="5"/>
  <c r="N139" i="5" s="1"/>
  <c r="K132" i="5" l="1"/>
  <c r="E13" i="13" s="1"/>
  <c r="L132" i="5"/>
  <c r="E14" i="13" s="1"/>
  <c r="N132" i="5"/>
  <c r="E16" i="13" s="1"/>
  <c r="M132" i="5"/>
  <c r="E15" i="13" s="1"/>
  <c r="H12" i="12"/>
  <c r="I12" i="12"/>
  <c r="J14" i="12"/>
  <c r="I13" i="12"/>
  <c r="J13" i="12" s="1"/>
  <c r="H15" i="12"/>
  <c r="J12" i="12" l="1"/>
  <c r="J15" i="12"/>
  <c r="I13" i="13" l="1"/>
  <c r="I14" i="13"/>
  <c r="I15" i="13"/>
  <c r="I16" i="13"/>
  <c r="H15" i="13"/>
  <c r="H14" i="13"/>
  <c r="H13" i="13" l="1"/>
  <c r="H16" i="13"/>
  <c r="AE2" i="12" l="1"/>
  <c r="B138" i="5" l="1"/>
  <c r="B139" i="5" s="1"/>
  <c r="C138" i="5"/>
  <c r="C139" i="5" s="1"/>
  <c r="D138" i="5"/>
  <c r="D139" i="5" s="1"/>
  <c r="E138" i="5"/>
  <c r="E139" i="5" s="1"/>
  <c r="F138" i="5"/>
  <c r="F139" i="5" s="1"/>
  <c r="G138" i="5"/>
  <c r="G139" i="5" s="1"/>
  <c r="H138" i="5"/>
  <c r="H139" i="5" s="1"/>
  <c r="I138" i="5"/>
  <c r="I139" i="5" s="1"/>
  <c r="J138" i="5"/>
  <c r="J139" i="5" s="1"/>
  <c r="C21" i="12" l="1"/>
  <c r="C22" i="12"/>
  <c r="H22" i="12" l="1"/>
  <c r="L46" i="59" s="1"/>
  <c r="H21" i="12"/>
  <c r="L45" i="59" s="1"/>
  <c r="I21" i="12" l="1"/>
  <c r="I22" i="12"/>
  <c r="M46" i="59" s="1"/>
  <c r="J21" i="12" l="1"/>
  <c r="F33" i="59" s="1"/>
  <c r="M45" i="59"/>
  <c r="J22" i="12"/>
  <c r="F34" i="59" s="1"/>
  <c r="B131" i="15" l="1"/>
  <c r="C131" i="15"/>
  <c r="D131" i="15"/>
  <c r="E131" i="15"/>
  <c r="F131" i="15"/>
  <c r="G131" i="15"/>
  <c r="H131" i="15"/>
  <c r="I131" i="15"/>
  <c r="J131" i="15"/>
  <c r="B130" i="15"/>
  <c r="C130" i="15"/>
  <c r="D130" i="15"/>
  <c r="E130" i="15"/>
  <c r="F130" i="15"/>
  <c r="G130" i="15"/>
  <c r="H130" i="15"/>
  <c r="I130" i="15"/>
  <c r="J130" i="15"/>
  <c r="B128" i="15" a="1"/>
  <c r="B128" i="15" s="1"/>
  <c r="C128" i="15" a="1"/>
  <c r="C128" i="15" s="1"/>
  <c r="D128" i="15" a="1"/>
  <c r="D128" i="15" s="1"/>
  <c r="E128" i="15" a="1"/>
  <c r="E128" i="15" s="1"/>
  <c r="F128" i="15" a="1"/>
  <c r="F128" i="15" s="1"/>
  <c r="G128" i="15" a="1"/>
  <c r="G128" i="15" s="1"/>
  <c r="H128" i="15" a="1"/>
  <c r="H128" i="15" s="1"/>
  <c r="I128" i="15" a="1"/>
  <c r="I128" i="15" s="1"/>
  <c r="J128" i="15" a="1"/>
  <c r="J128" i="15" s="1"/>
  <c r="B127" i="15" a="1"/>
  <c r="B127" i="15" s="1"/>
  <c r="C127" i="15" a="1"/>
  <c r="C127" i="15" s="1"/>
  <c r="D127" i="15" a="1"/>
  <c r="D127" i="15" s="1"/>
  <c r="E127" i="15" a="1"/>
  <c r="E127" i="15" s="1"/>
  <c r="F127" i="15" a="1"/>
  <c r="F127" i="15" s="1"/>
  <c r="G127" i="15" a="1"/>
  <c r="G127" i="15" s="1"/>
  <c r="H127" i="15" a="1"/>
  <c r="H127" i="15" s="1"/>
  <c r="I127" i="15" a="1"/>
  <c r="I127" i="15" s="1"/>
  <c r="J127" i="15" a="1"/>
  <c r="J127" i="15" s="1"/>
  <c r="B126" i="15" a="1"/>
  <c r="B126" i="15" s="1"/>
  <c r="C126" i="15" a="1"/>
  <c r="C126" i="15" s="1"/>
  <c r="D126" i="15" a="1"/>
  <c r="D126" i="15" s="1"/>
  <c r="E126" i="15" a="1"/>
  <c r="E126" i="15" s="1"/>
  <c r="F126" i="15" a="1"/>
  <c r="F126" i="15" s="1"/>
  <c r="G126" i="15" a="1"/>
  <c r="G126" i="15" s="1"/>
  <c r="H126" i="15" a="1"/>
  <c r="H126" i="15" s="1"/>
  <c r="I126" i="15" a="1"/>
  <c r="I126" i="15" s="1"/>
  <c r="J126" i="15" a="1"/>
  <c r="J126" i="15" s="1"/>
  <c r="B134" i="5" l="1" a="1"/>
  <c r="B134" i="5" s="1"/>
  <c r="F5" i="56" s="1"/>
  <c r="C134" i="5" a="1"/>
  <c r="C134" i="5" s="1"/>
  <c r="F6" i="56" s="1"/>
  <c r="D134" i="5" a="1"/>
  <c r="D134" i="5" s="1"/>
  <c r="F7" i="56" s="1"/>
  <c r="E134" i="5" a="1"/>
  <c r="E134" i="5" s="1"/>
  <c r="F8" i="56" s="1"/>
  <c r="F134" i="5" a="1"/>
  <c r="F134" i="5" s="1"/>
  <c r="F9" i="56" s="1"/>
  <c r="G134" i="5" a="1"/>
  <c r="G134" i="5" s="1"/>
  <c r="F10" i="56" s="1"/>
  <c r="H134" i="5" a="1"/>
  <c r="H134" i="5" s="1"/>
  <c r="F11" i="56" s="1"/>
  <c r="I134" i="5" a="1"/>
  <c r="I134" i="5" s="1"/>
  <c r="J134" i="5" a="1"/>
  <c r="J134" i="5" s="1"/>
  <c r="F13" i="56" s="1"/>
  <c r="B130" i="5"/>
  <c r="C130" i="5"/>
  <c r="D130" i="5"/>
  <c r="E130" i="5"/>
  <c r="F130" i="5"/>
  <c r="G130" i="5"/>
  <c r="H130" i="5"/>
  <c r="I130" i="5"/>
  <c r="J130" i="5"/>
  <c r="B129" i="5"/>
  <c r="C129" i="5"/>
  <c r="D129" i="5"/>
  <c r="E129" i="5"/>
  <c r="F129" i="5"/>
  <c r="G129" i="5"/>
  <c r="H129" i="5"/>
  <c r="I129" i="5"/>
  <c r="J129" i="5"/>
  <c r="B127" i="5" a="1"/>
  <c r="B127" i="5" s="1"/>
  <c r="D4" i="13" s="1"/>
  <c r="C127" i="5" a="1"/>
  <c r="C127" i="5" s="1"/>
  <c r="D5" i="13" s="1"/>
  <c r="D127" i="5" a="1"/>
  <c r="D127" i="5" s="1"/>
  <c r="D6" i="13" s="1"/>
  <c r="E127" i="5" a="1"/>
  <c r="E127" i="5" s="1"/>
  <c r="D7" i="13" s="1"/>
  <c r="F127" i="5" a="1"/>
  <c r="F127" i="5" s="1"/>
  <c r="D8" i="13" s="1"/>
  <c r="G127" i="5" a="1"/>
  <c r="G127" i="5" s="1"/>
  <c r="D9" i="13" s="1"/>
  <c r="H127" i="5" a="1"/>
  <c r="H127" i="5" s="1"/>
  <c r="D10" i="13" s="1"/>
  <c r="I127" i="5" a="1"/>
  <c r="I127" i="5" s="1"/>
  <c r="J127" i="5" a="1"/>
  <c r="J127" i="5" s="1"/>
  <c r="B126" i="5" a="1"/>
  <c r="B126" i="5" s="1"/>
  <c r="C126" i="5" a="1"/>
  <c r="C126" i="5" s="1"/>
  <c r="D126" i="5" a="1"/>
  <c r="D126" i="5" s="1"/>
  <c r="E126" i="5" a="1"/>
  <c r="E126" i="5" s="1"/>
  <c r="F126" i="5" a="1"/>
  <c r="F126" i="5" s="1"/>
  <c r="G126" i="5" a="1"/>
  <c r="G126" i="5" s="1"/>
  <c r="H126" i="5" a="1"/>
  <c r="H126" i="5" s="1"/>
  <c r="I126" i="5" a="1"/>
  <c r="I126" i="5" s="1"/>
  <c r="J126" i="5" a="1"/>
  <c r="J126" i="5" s="1"/>
  <c r="D12" i="13" l="1"/>
  <c r="D11" i="13"/>
  <c r="F12" i="56"/>
  <c r="C20" i="12"/>
  <c r="I20" i="12" l="1"/>
  <c r="M44" i="59" s="1"/>
  <c r="H20" i="12" l="1"/>
  <c r="J20" i="12" l="1"/>
  <c r="F32" i="59" s="1"/>
  <c r="L44" i="59"/>
  <c r="C19" i="12"/>
  <c r="I19" i="12" l="1"/>
  <c r="M43" i="59" s="1"/>
  <c r="H19" i="12"/>
  <c r="L43" i="59" s="1"/>
  <c r="J19" i="12" l="1"/>
  <c r="F31" i="59" s="1"/>
  <c r="H136" i="5" l="1" a="1"/>
  <c r="H136" i="5" s="1"/>
  <c r="B136" i="5" a="1"/>
  <c r="B136" i="5" s="1"/>
  <c r="J136" i="5" a="1"/>
  <c r="J136" i="5" s="1"/>
  <c r="E136" i="5" a="1"/>
  <c r="E136" i="5" s="1"/>
  <c r="C136" i="5" a="1"/>
  <c r="C136" i="5" s="1"/>
  <c r="D136" i="5" a="1"/>
  <c r="D136" i="5" s="1"/>
  <c r="I136" i="5" a="1"/>
  <c r="I136" i="5" s="1"/>
  <c r="G136" i="5" a="1"/>
  <c r="G136" i="5" s="1"/>
  <c r="F136" i="5" a="1"/>
  <c r="F136" i="5" s="1"/>
  <c r="B138" i="15" l="1" a="1"/>
  <c r="B138" i="15" s="1"/>
  <c r="I4" i="13" s="1"/>
  <c r="C138" i="15" a="1"/>
  <c r="C138" i="15" s="1"/>
  <c r="I5" i="13" s="1"/>
  <c r="D138" i="15" a="1"/>
  <c r="D138" i="15" s="1"/>
  <c r="I6" i="13" s="1"/>
  <c r="E138" i="15" a="1"/>
  <c r="E138" i="15" s="1"/>
  <c r="I7" i="13" s="1"/>
  <c r="F138" i="15" a="1"/>
  <c r="F138" i="15" s="1"/>
  <c r="I8" i="13" s="1"/>
  <c r="G138" i="15" a="1"/>
  <c r="G138" i="15" s="1"/>
  <c r="I9" i="13" s="1"/>
  <c r="H138" i="15" a="1"/>
  <c r="H138" i="15" s="1"/>
  <c r="I10" i="13" s="1"/>
  <c r="I138" i="15" a="1"/>
  <c r="I138" i="15" s="1"/>
  <c r="I11" i="13" s="1"/>
  <c r="J138" i="15" a="1"/>
  <c r="J138" i="15" s="1"/>
  <c r="B137" i="15" a="1"/>
  <c r="B137" i="15" s="1"/>
  <c r="C137" i="15" a="1"/>
  <c r="C137" i="15" s="1"/>
  <c r="D137" i="15" a="1"/>
  <c r="D137" i="15" s="1"/>
  <c r="E137" i="15" a="1"/>
  <c r="E137" i="15" s="1"/>
  <c r="F137" i="15" a="1"/>
  <c r="F137" i="15" s="1"/>
  <c r="G137" i="15" a="1"/>
  <c r="G137" i="15" s="1"/>
  <c r="H137" i="15" a="1"/>
  <c r="H137" i="15" s="1"/>
  <c r="I137" i="15" a="1"/>
  <c r="I137" i="15" s="1"/>
  <c r="J137" i="15" a="1"/>
  <c r="J137" i="15" s="1"/>
  <c r="J136" i="15" a="1"/>
  <c r="J136" i="15" s="1"/>
  <c r="I136" i="15" a="1"/>
  <c r="I136" i="15" s="1"/>
  <c r="H136" i="15" a="1"/>
  <c r="H136" i="15" s="1"/>
  <c r="G136" i="15" a="1"/>
  <c r="G136" i="15" s="1"/>
  <c r="F136" i="15" a="1"/>
  <c r="F136" i="15" s="1"/>
  <c r="E136" i="15" a="1"/>
  <c r="E136" i="15" s="1"/>
  <c r="D136" i="15" a="1"/>
  <c r="D136" i="15" s="1"/>
  <c r="C136" i="15" a="1"/>
  <c r="C136" i="15" s="1"/>
  <c r="B136" i="15" a="1"/>
  <c r="B136" i="15" s="1"/>
  <c r="I12" i="13" l="1"/>
  <c r="N12" i="13" s="1"/>
  <c r="N11" i="13"/>
  <c r="N7" i="13"/>
  <c r="N10" i="13"/>
  <c r="N6" i="13"/>
  <c r="N9" i="13"/>
  <c r="N5" i="13"/>
  <c r="N8" i="13"/>
  <c r="N4" i="13"/>
  <c r="N14" i="13"/>
  <c r="N15" i="13"/>
  <c r="N13" i="13"/>
  <c r="N16" i="13"/>
  <c r="C18" i="12" l="1"/>
  <c r="I18" i="12" l="1"/>
  <c r="M42" i="59" s="1"/>
  <c r="H18" i="12" l="1"/>
  <c r="L42" i="59" s="1"/>
  <c r="J18" i="12" l="1"/>
  <c r="F30" i="59" s="1"/>
  <c r="K30" i="59" l="1"/>
  <c r="K38" i="59"/>
  <c r="O38" i="59" s="1"/>
  <c r="K37" i="59"/>
  <c r="O37" i="59" s="1"/>
  <c r="K36" i="59"/>
  <c r="O36" i="59" s="1"/>
  <c r="K35" i="59"/>
  <c r="O35" i="59" s="1"/>
  <c r="K34" i="59"/>
  <c r="K33" i="59"/>
  <c r="K32" i="59"/>
  <c r="K31" i="59"/>
  <c r="M2" i="13"/>
  <c r="N2" i="13"/>
  <c r="L2" i="13"/>
  <c r="U2" i="12" l="1"/>
  <c r="U11" i="12" l="1"/>
  <c r="U7" i="12"/>
  <c r="U3" i="12"/>
  <c r="U10" i="12"/>
  <c r="U9" i="12"/>
  <c r="U8" i="12"/>
  <c r="U6" i="12"/>
  <c r="U5" i="12"/>
  <c r="U4" i="12"/>
  <c r="I140" i="15" l="1"/>
  <c r="J140" i="15"/>
  <c r="H140" i="15"/>
  <c r="B140" i="15"/>
  <c r="G140" i="15"/>
  <c r="F140" i="15"/>
  <c r="E140" i="15"/>
  <c r="C140" i="15"/>
  <c r="D140" i="15"/>
  <c r="AC2" i="12" l="1"/>
  <c r="AD2" i="12"/>
  <c r="B133" i="15" l="1"/>
  <c r="H4" i="13" s="1"/>
  <c r="D133" i="15" l="1"/>
  <c r="H6" i="13" s="1"/>
  <c r="J133" i="15"/>
  <c r="I133" i="15"/>
  <c r="G133" i="15"/>
  <c r="H9" i="13" s="1"/>
  <c r="F133" i="15"/>
  <c r="H8" i="13" s="1"/>
  <c r="H133" i="15"/>
  <c r="H10" i="13" s="1"/>
  <c r="E133" i="15"/>
  <c r="H7" i="13" s="1"/>
  <c r="C133" i="15"/>
  <c r="H5" i="13" s="1"/>
  <c r="H11" i="13" l="1"/>
  <c r="H12" i="13"/>
  <c r="M12" i="13" s="1"/>
  <c r="M5" i="13"/>
  <c r="M9" i="13"/>
  <c r="M7" i="13"/>
  <c r="M11" i="13"/>
  <c r="M13" i="13"/>
  <c r="M15" i="13"/>
  <c r="M10" i="13"/>
  <c r="M8" i="13"/>
  <c r="M6" i="13"/>
  <c r="M14" i="13"/>
  <c r="M16" i="13"/>
  <c r="M4" i="13"/>
  <c r="E132" i="5" l="1"/>
  <c r="E7" i="13" s="1"/>
  <c r="F132" i="5"/>
  <c r="E8" i="13" s="1"/>
  <c r="G132" i="5"/>
  <c r="E9" i="13" s="1"/>
  <c r="H132" i="5"/>
  <c r="E10" i="13" s="1"/>
  <c r="I132" i="5"/>
  <c r="E11" i="13" s="1"/>
  <c r="J132" i="5"/>
  <c r="D132" i="5" l="1"/>
  <c r="E6" i="13" s="1"/>
  <c r="C132" i="5"/>
  <c r="E5" i="13" s="1"/>
  <c r="B132" i="5"/>
  <c r="E4" i="13" s="1"/>
  <c r="E12" i="13" l="1"/>
  <c r="L12" i="13" s="1"/>
  <c r="L5" i="13"/>
  <c r="L9" i="13"/>
  <c r="L6" i="13"/>
  <c r="L8" i="13"/>
  <c r="L7" i="13"/>
  <c r="L4" i="13"/>
  <c r="L13" i="13"/>
  <c r="P13" i="13" s="1"/>
  <c r="L14" i="13"/>
  <c r="P14" i="13" s="1"/>
  <c r="L15" i="13"/>
  <c r="P15" i="13" s="1"/>
  <c r="L16" i="13"/>
  <c r="P16" i="13" s="1"/>
  <c r="L11" i="13"/>
  <c r="L10" i="13"/>
  <c r="Z2" i="12"/>
  <c r="AB2" i="12"/>
  <c r="AA2" i="12"/>
  <c r="W2" i="12"/>
  <c r="X2" i="12"/>
  <c r="V2" i="12"/>
  <c r="P5" i="13" l="1"/>
  <c r="P11" i="13"/>
  <c r="P7" i="13"/>
  <c r="P10" i="13"/>
  <c r="P4" i="13"/>
  <c r="P9" i="13"/>
  <c r="P6" i="13"/>
  <c r="P8" i="13"/>
  <c r="P12" i="13"/>
  <c r="AF2" i="12"/>
  <c r="R5" i="13" l="1" a="1"/>
  <c r="R5" i="13" s="1"/>
  <c r="R8" i="13" a="1"/>
  <c r="R8" i="13" s="1"/>
  <c r="R13" i="13" a="1"/>
  <c r="R13" i="13" s="1"/>
  <c r="R16" i="13" a="1"/>
  <c r="R16" i="13" s="1"/>
  <c r="R6" i="13" a="1"/>
  <c r="R6" i="13" s="1"/>
  <c r="R11" i="13" a="1"/>
  <c r="R11" i="13" s="1"/>
  <c r="R14" i="13" a="1"/>
  <c r="R14" i="13" s="1"/>
  <c r="R9" i="13" a="1"/>
  <c r="R9" i="13" s="1"/>
  <c r="R12" i="13" a="1"/>
  <c r="R12" i="13" s="1"/>
  <c r="R4" i="13" a="1"/>
  <c r="R4" i="13" s="1"/>
  <c r="R7" i="13" a="1"/>
  <c r="R7" i="13" s="1"/>
  <c r="R10" i="13" a="1"/>
  <c r="R10" i="13" s="1"/>
  <c r="R15" i="13" a="1"/>
  <c r="R15" i="13" s="1"/>
  <c r="I4" i="12"/>
  <c r="H3" i="12"/>
  <c r="I8" i="12"/>
  <c r="H4" i="12"/>
  <c r="H10" i="12"/>
  <c r="J4" i="12" l="1"/>
  <c r="I10" i="12"/>
  <c r="I11" i="12"/>
  <c r="H5" i="12"/>
  <c r="I9" i="12"/>
  <c r="I7" i="12"/>
  <c r="I5" i="12"/>
  <c r="H11" i="12"/>
  <c r="I3" i="12"/>
  <c r="J3" i="12" s="1"/>
  <c r="H6" i="12"/>
  <c r="H8" i="12"/>
  <c r="I6" i="12"/>
  <c r="H7" i="12"/>
  <c r="H9" i="12"/>
  <c r="J10" i="12" l="1"/>
  <c r="AA12" i="12" a="1"/>
  <c r="AA12" i="12" s="1"/>
  <c r="AA9" i="12" a="1"/>
  <c r="AA9" i="12" s="1"/>
  <c r="AA8" i="12" a="1"/>
  <c r="AA8" i="12" s="1"/>
  <c r="AA7" i="12" a="1"/>
  <c r="AA7" i="12" s="1"/>
  <c r="AA6" i="12" a="1"/>
  <c r="AA6" i="12" s="1"/>
  <c r="AA13" i="12" a="1"/>
  <c r="AA13" i="12" s="1"/>
  <c r="AA4" i="12" a="1"/>
  <c r="AA4" i="12" s="1"/>
  <c r="AA3" i="12" a="1"/>
  <c r="AA3" i="12" s="1"/>
  <c r="AA10" i="12" a="1"/>
  <c r="AA10" i="12" s="1"/>
  <c r="AA15" i="12" a="1"/>
  <c r="AA15" i="12" s="1"/>
  <c r="AA14" i="12" a="1"/>
  <c r="AA14" i="12" s="1"/>
  <c r="AA11" i="12" a="1"/>
  <c r="AA11" i="12" s="1"/>
  <c r="AA5" i="12" a="1"/>
  <c r="AA5" i="12" s="1"/>
  <c r="J9" i="12"/>
  <c r="J8" i="12"/>
  <c r="J7" i="12"/>
  <c r="J6" i="12"/>
  <c r="J11" i="12"/>
  <c r="J5" i="12"/>
  <c r="AB7" i="12" l="1" a="1"/>
  <c r="AB7" i="12" s="1"/>
  <c r="AB14" i="12" a="1"/>
  <c r="AB14" i="12" s="1"/>
  <c r="AF14" i="12" s="1"/>
  <c r="AB11" i="12" a="1"/>
  <c r="AB11" i="12" s="1"/>
  <c r="AB5" i="12" a="1"/>
  <c r="AB5" i="12" s="1"/>
  <c r="AF5" i="12" s="1"/>
  <c r="AB4" i="12" a="1"/>
  <c r="AB4" i="12" s="1"/>
  <c r="AF4" i="12" s="1"/>
  <c r="AB9" i="12" a="1"/>
  <c r="AB9" i="12" s="1"/>
  <c r="AF9" i="12" s="1"/>
  <c r="AB8" i="12" a="1"/>
  <c r="AB8" i="12" s="1"/>
  <c r="AF8" i="12" s="1"/>
  <c r="AB15" i="12" a="1"/>
  <c r="AB15" i="12" s="1"/>
  <c r="AF15" i="12" s="1"/>
  <c r="AB6" i="12" a="1"/>
  <c r="AB6" i="12" s="1"/>
  <c r="AF6" i="12" s="1"/>
  <c r="AB13" i="12" a="1"/>
  <c r="AB13" i="12" s="1"/>
  <c r="AI13" i="12" s="1"/>
  <c r="AB12" i="12" a="1"/>
  <c r="AB12" i="12" s="1"/>
  <c r="AF12" i="12" s="1"/>
  <c r="AB3" i="12" a="1"/>
  <c r="AB3" i="12" s="1"/>
  <c r="AI3" i="12" s="1"/>
  <c r="AB10" i="12" a="1"/>
  <c r="AB10" i="12" s="1"/>
  <c r="AI10" i="12" s="1"/>
  <c r="AF7" i="12"/>
  <c r="AF11" i="12"/>
  <c r="AI7" i="12"/>
  <c r="AI8" i="12" l="1"/>
  <c r="AI12" i="12"/>
  <c r="AF10" i="12"/>
  <c r="AF3" i="12"/>
  <c r="AI15" i="12"/>
  <c r="AI14" i="12"/>
  <c r="AF13" i="12"/>
  <c r="AI11" i="12"/>
  <c r="AI4" i="12"/>
  <c r="AI6" i="12"/>
  <c r="AI9" i="12"/>
  <c r="AI5" i="12"/>
  <c r="AH6" i="12" l="1" a="1"/>
  <c r="AH6" i="12" s="1"/>
  <c r="AH9" i="12" a="1"/>
  <c r="AH9" i="12" s="1"/>
  <c r="AH15" i="12" a="1"/>
  <c r="AH15" i="12" s="1"/>
  <c r="AH5" i="12" a="1"/>
  <c r="AH5" i="12" s="1"/>
  <c r="AH13" i="12" a="1"/>
  <c r="AH13" i="12" s="1"/>
  <c r="AH7" i="12" a="1"/>
  <c r="AH7" i="12" s="1"/>
  <c r="AH11" i="12" a="1"/>
  <c r="AH11" i="12" s="1"/>
  <c r="AH12" i="12" a="1"/>
  <c r="AH12" i="12" s="1"/>
  <c r="AH14" i="12" a="1"/>
  <c r="AH14" i="12" s="1"/>
  <c r="AH4" i="12" a="1"/>
  <c r="AH4" i="12" s="1"/>
  <c r="AH10" i="12" a="1"/>
  <c r="AH10" i="12" s="1"/>
  <c r="AH3" i="12" a="1"/>
  <c r="AH3" i="12" s="1"/>
  <c r="AH8" i="12" a="1"/>
  <c r="AH8" i="12" s="1"/>
  <c r="G20" i="59" l="1"/>
  <c r="G19" i="59"/>
  <c r="G22" i="59"/>
  <c r="G23" i="59"/>
  <c r="G15" i="59"/>
  <c r="G16" i="59"/>
  <c r="G18" i="59"/>
  <c r="G17" i="59"/>
  <c r="G25" i="59"/>
  <c r="G21" i="59"/>
  <c r="O30" i="59" l="1"/>
  <c r="O34" i="59"/>
  <c r="O33" i="59"/>
  <c r="O32" i="59"/>
  <c r="O31" i="59"/>
  <c r="P31" i="59" l="1"/>
  <c r="P33" i="59"/>
  <c r="P34" i="59"/>
  <c r="P30" i="59"/>
  <c r="P32" i="59"/>
  <c r="P37" i="59"/>
  <c r="P38" i="59"/>
  <c r="P35" i="59"/>
  <c r="P36" i="5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Bhartia DL</author>
  </authors>
  <commentList>
    <comment ref="A1" authorId="0" shapeId="0" xr:uid="{3E814477-F189-4E80-AEAA-4E6C47AB99F7}">
      <text>
        <r>
          <rPr>
            <b/>
            <sz val="9"/>
            <color indexed="81"/>
            <rFont val="Tahoma"/>
            <family val="2"/>
          </rPr>
          <t>&lt;?xml version="1.0" encoding="utf-8"?&gt;&lt;Schema xmlns:xsd="http://www.w3.org/2001/XMLSchema" xmlns:xsi="http://www.w3.org/2001/XMLSchema-instance" Version="2" Timestamp="1707874564"&gt;&lt;FQL&gt;&lt;Q&gt;REFSAREPO-FDS^(SUBARRAY(NOT_NA(NO_REPEAT_F(FG_YIELD(NOW,-10AY,D))),0,1)-SUBARRAY(NOT_NA(NO_REPEAT_F(FG_YIELD(NOW,-10AY,D))),1,1))*100&lt;/Q&gt;&lt;R&gt;1&lt;/R&gt;&lt;C&gt;1&lt;/C&gt;&lt;D xsi:type="xsd:double"&gt;25&lt;/D&gt;&lt;/FQL&gt;&lt;FQL&gt;&lt;Q&gt;REFSAREPO-FDS^FG_YIELD(NOW,,,0)&lt;/Q&gt;&lt;R&gt;1&lt;/R&gt;&lt;C&gt;1&lt;/C&gt;&lt;D xsi:type="xsd:double"&gt;6&lt;/D&gt;&lt;/FQL&gt;&lt;FQL&gt;&lt;Q&gt;REFSAREPO-FDS^PROPER_NAME(0,,,"SECURITY","NAME")&lt;/Q&gt;&lt;R&gt;1&lt;/R&gt;&lt;C&gt;1&lt;/C&gt;&lt;D xsi:type="xsd:string"&gt;Saudi Arabia Repo Rate&lt;/D&gt;&lt;/FQL&gt;&lt;FQL&gt;&lt;Q&gt;REFVNDISC-FDS^(SUBARRAY(NOT_NA(NO_REPEAT_F(FG_YIELD(NOW,-10AY,D))),0,1)-SUBARRAY(NOT_NA(NO_REPEAT_F(FG_YIELD(NOW,-10AY,D))),1,1))*100&lt;/Q&gt;&lt;R&gt;1&lt;/R&gt;&lt;C&gt;1&lt;/C&gt;&lt;D xsi:type="xsd:double"&gt;-50&lt;/D&gt;&lt;/FQL&gt;&lt;FQL&gt;&lt;Q&gt;REFVNDISC-FDS^FG_YIELD(NOW,,,0)&lt;/Q&gt;&lt;R&gt;1&lt;/R&gt;&lt;C&gt;1&lt;/C&gt;&lt;D xsi:type="xsd:double"&gt;3&lt;/D&gt;&lt;/FQL&gt;&lt;FQL&gt;&lt;Q&gt;REFVNDISC-FDS^PROPER_NAME(0,,,"SECURITY","NAME")&lt;/Q&gt;&lt;R&gt;1&lt;/R&gt;&lt;C&gt;1&lt;/C&gt;&lt;D xsi:type="xsd:string"&gt;Vietnam Discount Rate&lt;/D&gt;&lt;/FQL&gt;&lt;FQL&gt;&lt;Q&gt;REFAEREPO-FDS^(SUBARRAY(NOT_NA(NO_REPEAT_F(FG_YIELD(NOW,-10AY,D))),0,1)-SUBARRAY(NOT_NA(NO_REPEAT_F(FG_YIELD(NOW,-10AY,D))),1,1))*100&lt;/Q&gt;&lt;R&gt;1&lt;/R&gt;&lt;C&gt;1&lt;/C&gt;&lt;D xsi:type="xsd:double"&gt;25&lt;/D&gt;&lt;/FQL&gt;&lt;FQL&gt;&lt;Q&gt;REFAEREPO-FDS^FG_YIELD(NOW,,,0)&lt;/Q&gt;&lt;R&gt;1&lt;/R&gt;&lt;C&gt;1&lt;/C&gt;&lt;D xsi:type="xsd:double"&gt;5.4&lt;/D&gt;&lt;/FQL&gt;&lt;FQL&gt;&lt;Q&gt;REFAEREPO-FDS^PROPER_NAME(0,,,"SECURITY","NAME")&lt;/Q&gt;&lt;R&gt;1&lt;/R&gt;&lt;C&gt;1&lt;/C&gt;&lt;D xsi:type="xsd:string"&gt;United Arab Emirates Repo Rate&lt;/D&gt;&lt;/FQL&gt;&lt;FQL&gt;&lt;Q&gt;REFTR1WREPO-FDS^(SUBARRAY(NOT_NA(NO_REPEAT_F(FG_YIELD(NOW,-10AY,D))),0,1)-SUBARRAY(NOT_NA(NO_REPEAT_F(FG_YIELD(NOW,-10AY,D))),1,1))*100&lt;/Q&gt;&lt;R&gt;1&lt;/R&gt;&lt;C&gt;1&lt;/C&gt;&lt;D xsi:type="xsd:double"&gt;250&lt;/D&gt;&lt;/FQL&gt;&lt;FQL&gt;&lt;Q&gt;REFTR1WREPO-FDS^FG_YIELD(NOW,,,0)&lt;/Q&gt;&lt;R&gt;1&lt;/R&gt;&lt;C&gt;1&lt;/C&gt;&lt;D xsi:type="xsd:double"&gt;45&lt;/D&gt;&lt;/FQL&gt;&lt;FQL&gt;&lt;Q&gt;REFTR1WREPO-FDS^PROPER_NAME(0,,,"SECURITY","NAME")&lt;/Q&gt;&lt;R&gt;1&lt;/R&gt;&lt;C&gt;1&lt;/C&gt;&lt;D xsi:type="xsd:string"&gt;Turkey Repo Rate - 1 Week&lt;/D&gt;&lt;/FQL&gt;&lt;FQL&gt;&lt;Q&gt;REFTHREPO-FDS^(SUBARRAY(NOT_NA(NO_REPEAT_F(FG_YIELD(NOW,-10AY,D))),0,1)-SUBARRAY(NOT_NA(NO_REPEAT_F(FG_YIELD(NOW,-10AY,D))),1,1))*100&lt;/Q&gt;&lt;R&gt;1&lt;/R&gt;&lt;C&gt;1&lt;/C&gt;&lt;D xsi:type="xsd:double"&gt;25&lt;/D&gt;&lt;/FQL&gt;&lt;FQL&gt;&lt;Q&gt;REFTHREPO-FDS^FG_YIELD(NOW,,,0)&lt;/Q&gt;&lt;R&gt;1&lt;/R&gt;&lt;C&gt;1&lt;/C&gt;&lt;D xsi:type="xsd:double"&gt;2.5&lt;/D&gt;&lt;/FQL&gt;&lt;FQL&gt;&lt;Q&gt;REFTHREPO-FDS^PROPER_NAME(0,,,"SECURITY","NAME")&lt;/Q&gt;&lt;R&gt;1&lt;/R&gt;&lt;C&gt;1&lt;/C&gt;&lt;D xsi:type="xsd:string"&gt;Thailand Repo Rate - 1 Day&lt;/D&gt;&lt;/FQL&gt;&lt;FQL&gt;&lt;Q&gt;REFQALEND-FDS^(SUBARRAY(NOT_NA(NO_REPEAT_F(FG_YIELD(NOW,-10AY,D))),0,1)-SUBARRAY(NOT_NA(NO_REPEAT_F(FG_YIELD(NOW,-10AY,D))),1,1))*100&lt;/Q&gt;&lt;R&gt;1&lt;/R&gt;&lt;C&gt;1&lt;/C&gt;&lt;D xsi:type="xsd:double"&gt;25&lt;/D&gt;&lt;/FQL&gt;&lt;FQL&gt;&lt;Q&gt;REFQALEND-FDS^FG_YIELD(NOW,,,0)&lt;/Q&gt;&lt;R&gt;1&lt;/R&gt;&lt;C&gt;1&lt;/C&gt;&lt;D xsi:type="xsd:double"&gt;6.25&lt;/D&gt;&lt;/FQL&gt;&lt;FQL&gt;&lt;Q&gt;REFQALEND-FDS^PROPER_NAME(0,,,"SECURITY","NAME")&lt;/Q&gt;&lt;R&gt;1&lt;/R&gt;&lt;C&gt;1&lt;/C&gt;&lt;D xsi:type="xsd:string"&gt;Qatar Lending Rate - Overnight&lt;/D&gt;&lt;/FQL&gt;&lt;FQL&gt;&lt;Q&gt;REFCNRMB-FDS^(SUBARRAY(NOT_NA(NO_REPEAT_F(FG_YIELD(NOW,-10AY,D))),0,1)-SUBARRAY(NOT_NA(NO_REPEAT_F(FG_YIELD(NOW,-10AY,D))),1,1))*100&lt;/Q&gt;&lt;R&gt;1&lt;/R&gt;&lt;C&gt;1&lt;/C&gt;&lt;D xsi:type="xsd:double"&gt;-9.99999999999996&lt;/D&gt;&lt;/FQL&gt;&lt;FQL&gt;&lt;Q&gt;REFCNRMB-FDS^FG_YIELD(NOW,,,0)&lt;/Q&gt;&lt;R&gt;1&lt;/R&gt;&lt;C&gt;1&lt;/C&gt;&lt;D xsi:type="xsd:double"&gt;3.45&lt;/D&gt;&lt;/FQL&gt;&lt;FQL&gt;&lt;Q&gt;REFCNRMB-FDS^PROPER_NAME(0,,,"SECURITY","NAME")&lt;/Q&gt;&lt;R&gt;1&lt;/R&gt;&lt;C&gt;1&lt;/C&gt;&lt;D xsi:type="xsd:string"&gt;China Loan Prime Rate (LPR) - 1 Year&lt;/D&gt;&lt;/FQL&gt;&lt;FQL&gt;&lt;Q&gt;REFINREPO-FDS^(SUBARRAY(NOT_NA(NO_REPEAT_F(FG_YIELD(NOW,-10AY,D))),0,1)-SUBARRAY(NOT_NA(NO_REPEAT_F(FG_YIELD(NOW,-10AY,D))),1,1))*100&lt;/Q&gt;&lt;R&gt;1&lt;/R&gt;&lt;C&gt;1&lt;/C&gt;&lt;D xsi:type="xsd:double"&gt;25&lt;/D&gt;&lt;/FQL&gt;&lt;FQL&gt;&lt;Q&gt;REFINREPO-FDS^FG_YIELD(NOW,,,0)&lt;/Q&gt;&lt;R&gt;1&lt;/R&gt;&lt;C&gt;1&lt;/C&gt;&lt;D xsi:type="xsd:double"&gt;6.5&lt;/D&gt;&lt;/FQL&gt;&lt;FQL&gt;&lt;Q&gt;REFINREPO-FDS^PROPER_NAME(0,,,"SECURITY","NAME")&lt;/Q&gt;&lt;R&gt;1&lt;/R&gt;&lt;C&gt;1&lt;/C&gt;&lt;D xsi:type="xsd:string"&gt;India Repo Rate&lt;/D&gt;&lt;/FQL&gt;&lt;FQL&gt;&lt;Q&gt;REFEUREFI-FDS^(SUBARRAY(NOT_NA(NO_REPEAT_F(FG_YIELD(NOW,-10AY,D))),0,1)-SUBARRAY(NOT_NA(NO_REPEAT_F(FG_YIELD(NOW,-10AY,D))),1,1))*100&lt;/Q&gt;&lt;R&gt;1&lt;/R&gt;&lt;C&gt;1&lt;/C&gt;&lt;D xsi:type="xsd:double"&gt;25&lt;/D&gt;&lt;/FQL&gt;&lt;FQL&gt;&lt;Q&gt;REFEUREFI-FDS^FG_YIELD(NOW,,,0)&lt;/Q&gt;&lt;R&gt;1&lt;/R&gt;&lt;C&gt;1&lt;/C&gt;&lt;D xsi:type="xsd:double"&gt;4.5&lt;/D&gt;&lt;/FQL&gt;&lt;FQL&gt;&lt;Q&gt;REFEUREFI-FDS^PROPER_NAME(0,,,"SECURITY","NAME")&lt;/Q&gt;&lt;R&gt;1&lt;/R&gt;&lt;C&gt;1&lt;/C&gt;&lt;D xsi:type="xsd:string"&gt;Eurozone Main Refinancing Operations Minimum Bid Rate&lt;/D&gt;&lt;/FQL&gt;&lt;FQL&gt;&lt;Q&gt;REFZAREPO-FDS^(SUBARRAY(NOT_NA(NO_REPEAT_F(FG_YIELD(NOW,-10AY,D))),0,1)-SUBARRAY(NOT_NA(NO_REPEAT_F(FG_YIELD(NOW,-10AY,D))),1,1))*100&lt;/Q&gt;&lt;R&gt;1&lt;/R&gt;&lt;C&gt;1&lt;/C&gt;&lt;D xsi:type="xsd:double"&gt;50&lt;/D&gt;&lt;/FQL&gt;&lt;FQL&gt;&lt;Q&gt;REFZAREPO-FDS^FG_YIELD(NOW,,,0)&lt;/Q&gt;&lt;R&gt;1&lt;/R&gt;&lt;C&gt;1&lt;/C&gt;&lt;D xsi:type="xsd:double"&gt;8.25&lt;/D&gt;&lt;/FQL&gt;&lt;FQL&gt;&lt;Q&gt;REFZAREPO-FDS^PROPER_NAME(0,,,"SECURITY","NAME")&lt;/Q&gt;&lt;R&gt;1&lt;/R&gt;&lt;C&gt;1&lt;/C&gt;&lt;D xsi:type="xsd:string"&gt;South Africa Repo Rate&lt;/D&gt;&lt;/FQL&gt;&lt;FQL&gt;&lt;Q&gt;REFBRSELIC-FDS^(SUBARRAY(NOT_NA(NO_REPEAT_F(FG_YIELD(NOW,-10AY,D))),0,1)-SUBARRAY(NOT_NA(NO_REPEAT_F(FG_YIELD(NOW,-10AY,D))),1,1))*100&lt;/Q&gt;&lt;R&gt;1&lt;/R&gt;&lt;C&gt;1&lt;/C&gt;&lt;D xsi:type="xsd:double"&gt;-50&lt;/D&gt;&lt;/FQL&gt;&lt;FQL&gt;&lt;Q&gt;REFBRSELIC-FDS^FG_YIELD(NOW,,,0)&lt;/Q&gt;&lt;R&gt;1&lt;/R&gt;&lt;C&gt;1&lt;/C&gt;&lt;D xsi:type="xsd:double"&gt;11.25&lt;/D&gt;&lt;/FQL&gt;&lt;FQL&gt;&lt;Q&gt;REFBRSELIC-FDS^PROPER_NAME(0,,,"SECURITY","NAME")&lt;/Q&gt;&lt;R&gt;1&lt;/R&gt;&lt;C&gt;1&lt;/C&gt;&lt;D xsi:type="xsd:string"&gt;Brazil Target Selic Rate&lt;/D&gt;&lt;/FQL&gt;&lt;FQL&gt;&lt;Q&gt;REFKRBASE-FDS^(SUBARRAY(NOT_NA(NO_REPEAT_F(FG_YIELD(NOW,-10AY,D))),0,1)-SUBARRAY(NOT_NA(NO_REPEAT_F(FG_YIELD(NOW,-10AY,D))),1,1))*100&lt;/Q&gt;&lt;R&gt;1&lt;/R&gt;&lt;C&gt;1&lt;/C&gt;&lt;D xsi:type="xsd:double"&gt;25&lt;/D&gt;&lt;/FQL&gt;&lt;FQL&gt;&lt;Q&gt;REFKRBASE-FDS^FG_YIELD(NOW,,,0)&lt;/Q&gt;&lt;R&gt;1&lt;/R&gt;&lt;C&gt;1&lt;/C&gt;&lt;D xsi:type="xsd:double"&gt;3.5&lt;/D&gt;&lt;/FQL&gt;&lt;FQL&gt;&lt;Q&gt;REFKRBASE-FDS^PROPER_NAME(0,,,"SECURITY","NAME")&lt;/Q&gt;&lt;R&gt;1&lt;/R&gt;&lt;C&gt;1&lt;/C&gt;&lt;D xsi:type="xsd:string"&gt;South Korea Base Rate&lt;/D&gt;&lt;/FQL&gt;&lt;FQL&gt;&lt;Q&gt;REFMXTON-FDS^(SUBARRAY(NOT_NA(NO_REPEAT_F(FG_YIELD(NOW,-10AY,D))),0,1)-SUBARRAY(NOT_NA(NO_REPEAT_F(FG_YIELD(NOW,-10AY,D))),1,1))*100&lt;/Q&gt;&lt;R&gt;1&lt;/R&gt;&lt;C&gt;1&lt;/C&gt;&lt;D xsi:type="xsd:double"&gt;25&lt;/D&gt;&lt;/FQL&gt;&lt;FQL&gt;&lt;Q&gt;REFMXTON-FDS^FG_YIELD(NOW,,,0)&lt;/Q&gt;&lt;R&gt;1&lt;/R&gt;&lt;C&gt;1&lt;/C&gt;&lt;D xsi:type="xsd:double"&gt;11.25&lt;/D&gt;&lt;/FQL&gt;&lt;FQL&gt;&lt;Q&gt;REFMXTON-FDS^PROPER_NAME(0,,,"SECURITY","NAME")&lt;/Q&gt;&lt;R&gt;1&lt;/R&gt;&lt;C&gt;1&lt;/C&gt;&lt;D xsi:type="xsd:string"&gt;Mexico Target Rate - Overnight&lt;/D&gt;&lt;/FQL&gt;&lt;FQL&gt;&lt;Q&gt;REFTWDISC-FDS^(SUBARRAY(NOT_NA(NO_REPEAT_F(FG_YIELD(NOW,-10AY,D))),0,1)-SUBARRAY(NOT_NA(NO_REPEAT_F(FG_YIELD(NOW,-10AY,D))),1,1))*100&lt;/Q&gt;&lt;R&gt;1&lt;/R&gt;&lt;C&gt;1&lt;/C&gt;&lt;D xsi:type="xsd:double"&gt;12.5&lt;/D&gt;&lt;/FQL&gt;&lt;FQL&gt;&lt;Q&gt;REFTWDISC-FDS^FG_YIELD(NOW,,,0)&lt;/Q&gt;&lt;R&gt;1&lt;/R&gt;&lt;C&gt;1&lt;/C&gt;&lt;D xsi:type="xsd:double"&gt;1.875&lt;/D&gt;&lt;/FQL&gt;&lt;FQL&gt;&lt;Q&gt;REFTWDISC-FDS^PROPER_NAME(0,,,"SECURITY","NAME")&lt;/Q&gt;&lt;R&gt;1&lt;/R&gt;&lt;C&gt;1&lt;/C&gt;&lt;D xsi:type="xsd:string"&gt;Taiwan China Discount Rate&lt;/D&gt;&lt;/FQL&gt;&lt;FQL&gt;&lt;Q&gt;REFMYON-FDS^(SUBARRAY(NOT_NA(NO_REPEAT_F(FG_YIELD(NOW,-10AY,D))),0,1)-SUBARRAY(NOT_NA(NO_REPEAT_F(FG_YIELD(NOW,-10AY,D))),1,1))*100&lt;/Q&gt;&lt;R&gt;1&lt;/R&gt;&lt;C&gt;1&lt;/C&gt;&lt;D xsi:type="xsd:double"&gt;25&lt;/D&gt;&lt;/FQL&gt;&lt;FQL&gt;&lt;Q&gt;REFMYON-FDS^FG_YIELD(NOW,,,0)&lt;/Q&gt;&lt;R&gt;1&lt;/R&gt;&lt;C&gt;1&lt;/C&gt;&lt;D xsi:type="xsd:double"&gt;3&lt;/D&gt;&lt;/FQL&gt;&lt;FQL&gt;&lt;Q&gt;REFMYON-FDS^PROPER_NAME(0,,,"SECURITY","NAME")&lt;/Q&gt;&lt;R&gt;1&lt;/R&gt;&lt;C&gt;1&lt;/C&gt;&lt;D xsi:type="xsd:string"&gt;Malaysia Policy Rate - Overnight&lt;/D&gt;&lt;/FQL&gt;&lt;FQL&gt;&lt;Q&gt;REFPEMPR-FDS^(SUBARRAY(NOT_NA(NO_REPEAT_F(FG_YIELD(NOW,-10AY,D))),0,1)-SUBARRAY(NOT_NA(NO_REPEAT_F(FG_YIELD(NOW,-10AY,D))),1,1))*100&lt;/Q&gt;&lt;R&gt;1&lt;/R&gt;&lt;C&gt;1&lt;/C&gt;&lt;D xsi:type="xsd:double"&gt;-25&lt;/D&gt;&lt;/FQL&gt;&lt;FQL&gt;&lt;Q&gt;REFPEMPR-FDS^FG_YIELD(NOW,,,0)&lt;/Q&gt;&lt;R&gt;1&lt;/R&gt;&lt;C&gt;1&lt;/C&gt;&lt;D xsi:type="xsd:double"&gt;6.25&lt;/D&gt;&lt;/FQL&gt;&lt;FQL&gt;&lt;Q&gt;REFPEMPR-FDS^PROPER_NAME(0,,,"SECURITY","NAME")&lt;/Q&gt;&lt;R&gt;1&lt;/R&gt;&lt;C&gt;1&lt;/C&gt;&lt;D xsi:type="xsd:string"&gt;Peru Policy Rate&lt;/D&gt;&lt;/FQL&gt;&lt;FQL&gt;&lt;Q&gt;REFPL7D-FDS^(SUBARRAY(NOT_NA(NO_REPEAT_F(FG_YIELD(NOW,-10AY,D))),0,1)-SUBARRAY(NOT_NA(NO_REPEAT_F(FG_YIELD(NOW,-10AY,D))),1,1))*100&lt;/Q&gt;&lt;R&gt;1&lt;/R&gt;&lt;C&gt;1&lt;/C&gt;&lt;D xsi:type="xsd:double"&gt;-25&lt;/D&gt;&lt;/FQL&gt;&lt;FQL&gt;&lt;Q&gt;REFPL7D-FDS^FG_YIELD(NOW,,,0)&lt;/Q&gt;&lt;R&gt;1&lt;/R&gt;&lt;C&gt;1&lt;/C&gt;&lt;D xsi:type="xsd:double"&gt;5.75&lt;/D&gt;&lt;/FQL&gt;&lt;FQL&gt;&lt;Q&gt;REFPL7D-FDS^PROPER_NAME(0,,,"SECURITY","NAME")&lt;/Q&gt;&lt;R&gt;1&lt;/R&gt;&lt;C&gt;1&lt;/C&gt;&lt;D xsi:type="xsd:string"&gt;Poland Reference Rate - 7 Day&lt;/D&gt;&lt;/FQL&gt;&lt;FQL&gt;&lt;Q&gt;REFPHRREPO-FDS^(SUBARRAY(NOT_NA(NO_REPEAT_F(FG_YIELD(NOW,-10AY,D))),0,1)-SUBARRAY(NOT_NA(NO_REPEAT_F(FG_YIELD(NOW,-10AY,D))),1,1))*100&lt;/Q&gt;&lt;R&gt;1&lt;/R&gt;&lt;C&gt;1&lt;/C&gt;&lt;D xsi:type="xsd:double"&gt;25&lt;/D&gt;&lt;/FQL&gt;&lt;FQL&gt;&lt;Q&gt;REFPHRREPO-FDS^FG_YIELD(NOW,,,0)&lt;/Q&gt;&lt;R&gt;1&lt;/R&gt;&lt;C&gt;1&lt;/C&gt;&lt;D xsi:type="xsd:double"&gt;6.5&lt;/D&gt;&lt;/FQL&gt;&lt;FQL&gt;&lt;Q&gt;REFPHRREPO-FDS^PROPER_NAME(0,,,"SECURITY","NAME")&lt;/Q&gt;&lt;R&gt;1&lt;/R&gt;&lt;C&gt;1&lt;/C&gt;&lt;D xsi:type="xsd:string"&gt;Philippines Reverse Repo Rate - Overnight&lt;/D&gt;&lt;/FQL&gt;&lt;FQL&gt;&lt;Q&gt;REFIDRREPO-FDS^(SUBARRAY(NOT_NA(NO_REPEAT_F(FG_YIELD(NOW,-10AY,D))),0,1)-SUBARRAY(NOT_NA(NO_REPEAT_F(FG_YIELD(NOW,-10AY,D))),1,1))*100&lt;/Q&gt;&lt;R&gt;1&lt;/R&gt;&lt;C&gt;1&lt;/C&gt;&lt;D xsi:type="xsd:double"&gt;25&lt;/D&gt;&lt;/FQL&gt;&lt;FQL&gt;&lt;Q&gt;REFIDRREPO-FDS^FG_YIELD(NOW,,,0)&lt;/Q&gt;&lt;R&gt;1&lt;/R&gt;&lt;C&gt;1&lt;/C&gt;&lt;D xsi:type="xsd:double"&gt;6&lt;/D&gt;&lt;/FQL&gt;&lt;FQL&gt;&lt;Q&gt;REFIDRREPO-FDS^PROPER_NAME(0,,,"SECURITY","NAME")&lt;/Q&gt;&lt;R&gt;1&lt;/R&gt;&lt;C&gt;1&lt;/C&gt;&lt;D xsi:type="xsd:string"&gt;Indonesia BI (Reverse) Repo Rate - 7 Day&lt;/D&gt;&lt;/FQL&gt;&lt;FQL&gt;&lt;Q&gt;REFCLMPR-FDS^(SUBARRAY(NOT_NA(NO_REPEAT_F(FG_YIELD(NOW,-10AY,D))),0,1)-SUBARRAY(NOT_NA(NO_REPEAT_F(FG_YIELD(NOW,-10AY,D))),1,1))*100&lt;/Q&gt;&lt;R&gt;1&lt;/R&gt;&lt;C&gt;1&lt;/C&gt;&lt;D xsi:type="xsd:double"&gt;-100&lt;/D&gt;&lt;/FQL&gt;&lt;FQL&gt;&lt;Q&gt;REFCLMPR-FDS^FG_YIELD(NOW,,,0)&lt;/Q&gt;&lt;R&gt;1&lt;/R&gt;&lt;C&gt;1&lt;/C&gt;&lt;D xsi:type="xsd:double"&gt;7.25&lt;/D&gt;&lt;/FQL&gt;&lt;FQL&gt;&lt;Q&gt;REFCLMPR-FDS^PROPER_NAME(0,,,"SECURITY","NAME")&lt;/Q&gt;&lt;R&gt;1&lt;/R&gt;&lt;C&gt;1&lt;/C&gt;&lt;D xsi:type="xsd:string"&gt;Chile Monetary Policy Rate&lt;/D&gt;&lt;/FQL&gt;&lt;FQL&gt;&lt;Q&gt;TRYSA10Y-FDS^PCTCHG(FG_YIELD(0,,,,"YTM"),FG_YIELD(-3AM,,,,"YTM"))&lt;/Q&gt;&lt;R&gt;1&lt;/R&gt;&lt;C&gt;1&lt;/C&gt;&lt;D xsi:type="xsd:double"&gt;-4.7904687&lt;/D&gt;&lt;/FQL&gt;&lt;FQL&gt;&lt;Q&gt;TRYSA10Y-FDS^PCTCHG(FG_YIELD(0,,,,"YTM"),FG_YIELD(-1AM,,,,"YTM"))&lt;/Q&gt;&lt;R&gt;1&lt;/R&gt;&lt;C&gt;1&lt;/C&gt;&lt;D xsi:type="xsd:double"&gt;7.626021&lt;/D&gt;&lt;/FQL&gt;&lt;FQL&gt;&lt;Q&gt;TRYVN10Y-FDS^PCTCHG(FG_YIELD(0,,,,"YTM"),FG_YIELD(-3AM,,,,"YTM"))&lt;/Q&gt;&lt;R&gt;1&lt;/R&gt;&lt;C&gt;1&lt;/C&gt;&lt;D xsi:type="xsd:double"&gt;-14.608071&lt;/D&gt;&lt;/FQL&gt;&lt;FQL&gt;&lt;Q&gt;TRYVN10Y-FDS^PCTCHG(FG_YIELD(0,,,,"YTM"),FG_YIELD(-1AM,,,,"YTM"))&lt;/Q&gt;&lt;R&gt;1&lt;/R&gt;&lt;C&gt;1&lt;/C&gt;&lt;D xsi:type="xsd:double"&gt;-23.215668&lt;/D&gt;&lt;/FQL&gt;&lt;FQL&gt;&lt;Q&gt;TRYAE10Y-FDS^PCTCHG(FG_YIELD(0,,,,"YTM"),FG_YIELD(-3AM,,,,"YTM"))&lt;/Q&gt;&lt;R&gt;0&lt;/R&gt;&lt;C&gt;0&lt;/C&gt;&lt;/FQL&gt;&lt;FQL&gt;&lt;Q&gt;TRYAE10Y-FDS^PCTCHG(FG_YIELD(0,,,,"YTM"),FG_YIELD(-1AM,,,,"YTM"))&lt;/Q&gt;&lt;R&gt;0&lt;/R&gt;&lt;C&gt;0&lt;/C&gt;&lt;/FQL&gt;&lt;FQL&gt;&lt;Q&gt;TRYTR7Y-FDS^PCTCHG(FG_YIELD(0,,,,"YTM"),FG_YIELD(-3AM,,,,"YTM"))&lt;/Q&gt;&lt;R&gt;1&lt;/R&gt;&lt;C&gt;1&lt;/C&gt;&lt;D xsi:type="xsd:double"&gt;-10.576262&lt;/D&gt;&lt;/FQL&gt;&lt;FQL&gt;&lt;Q&gt;TRYTR7Y-FDS^PCTCHG(FG_YIELD(0,,,,"YTM"),FG_YIELD(-1AM,,,,"YTM"))&lt;/Q&gt;&lt;R&gt;1&lt;/R&gt;&lt;C&gt;1&lt;/C&gt;&lt;D xsi:type="xsd:double"&gt;0.6032993&lt;/D&gt;&lt;/FQL&gt;&lt;FQL&gt;&lt;Q&gt;TRYTH10Y-FDS^PCTCHG(FG_YIELD(0,,,,"YTM"),FG_YIELD(-3AM,,,,"YTM"))&lt;/Q&gt;&lt;R&gt;1&lt;/R&gt;&lt;C&gt;1&lt;/C&gt;&lt;D xsi:type="xsd:double"&gt;-18.73784&lt;/D&gt;&lt;/FQL&gt;&lt;FQL&gt;&lt;Q&gt;TRYTH10Y-FDS^PCTCHG(FG_YIELD(0,,,,"YTM"),FG_YIELD(-1AM,,,,"YTM"))&lt;/Q&gt;&lt;R&gt;1&lt;/R&gt;&lt;C&gt;1&lt;/C&gt;&lt;D xsi:type="xsd:double"&gt;-5.17616&lt;/D&gt;&lt;/FQL&gt;&lt;FQL&gt;&lt;Q&gt;TRYQA10Y-FDS^PCTCHG(FG_YIELD(0,,,,"YTM"),FG_YIELD(-3AM,,,,"YTM"))&lt;/Q&gt;&lt;R&gt;0&lt;/R&gt;&lt;C&gt;0&lt;/C&gt;&lt;/FQL&gt;&lt;FQL&gt;&lt;Q&gt;TRYQA10Y-FDS^PCTCHG(FG_YIELD(0,,,,"YTM"),FG_YIELD(-1AM,,,,"YTM"))&lt;/Q&gt;&lt;R&gt;0&lt;/R&gt;&lt;C&gt;0&lt;/C&gt;&lt;/FQL&gt;&lt;FQL&gt;&lt;Q&gt;TRYCN10Y-FDS^PCTCHG(FG_YIELD(0,,,,"YTM"),FG_YIELD(-3AM,,,,"YTM"))&lt;/Q&gt;&lt;R&gt;1&lt;/R&gt;&lt;C&gt;1&lt;/C&gt;&lt;D xsi:type="xsd:double"&gt;-8.289882&lt;/D&gt;&lt;/FQL&gt;&lt;FQL&gt;&lt;Q&gt;TRYCN10Y-FDS^PCTCHG(FG_YIELD(0,,,,"YTM"),FG_YIELD(-1AM,,,,"YTM"))&lt;/Q&gt;&lt;R&gt;1&lt;/R&gt;&lt;C&gt;1&lt;/C&gt;&lt;D xsi:type="xsd:double"&gt;-3.8236072&lt;/D&gt;&lt;/FQL&gt;&lt;FQL&gt;&lt;Q&gt;TRYIN10Y-FDS^PCTCHG(FG_YIELD(0,,,,"YTM"),FG_YIELD(-3AM,,,,"YTM"))&lt;/Q&gt;&lt;R&gt;0&lt;/R&gt;&lt;C&gt;0&lt;/C&gt;&lt;/FQL&gt;&lt;FQL&gt;&lt;Q&gt;TRYIN10Y-FDS^PCTCHG(FG_YIELD(0,,,,"YTM"),FG_YIELD(-1AM,,,,"YTM"))&lt;/Q&gt;&lt;R&gt;1&lt;/R&gt;&lt;C&gt;1&lt;/C&gt;&lt;D xsi:type="xsd:double"&gt;-1.1006618&lt;/D&gt;&lt;/FQL&gt;&lt;FQL&gt;&lt;Q&gt;TRYGR10Y-FDS^PCTCHG(FG_YIELD(0,,,,"YTM"),FG_YIELD(-3AM,,,,"YTM"))&lt;/Q&gt;&lt;R&gt;1&lt;/R&gt;&lt;C&gt;1&lt;/C&gt;&lt;D xsi:type="xsd:double"&gt;-12.009064&lt;/D&gt;&lt;/FQL&gt;&lt;FQL&gt;&lt;Q&gt;TRYGR10Y-FDS^PCTCHG(FG_YIELD(0,,,,"YTM"),FG_YIELD(-1AM,,,,"YTM"))&lt;/Q&gt;&lt;R&gt;1&lt;/R&gt;&lt;C&gt;1&lt;/C&gt;&lt;D xsi:type="xsd:double"&gt;8.20433&lt;/D&gt;&lt;/FQL&gt;&lt;FQL&gt;&lt;Q&gt;TRYZA10Y-FDS^PCTCHG(FG_YIELD(0,,,,"YTM"),FG_YIELD(-3AM,,,,"YTM"))&lt;/Q&gt;&lt;R&gt;1&lt;/R&gt;&lt;C&gt;1&lt;/C&gt;&lt;D xsi:type="xsd:double"&gt;-2.4078095&lt;/D&gt;&lt;/FQL&gt;&lt;FQL&gt;&lt;Q&gt;TRYZA10Y-FDS^PCTCHG(FG_YIELD(0,,,,"YTM"),FG_YIELD(-1AM,,,,"YTM"))&lt;/Q&gt;&lt;R&gt;1&lt;/R&gt;&lt;C&gt;1&lt;/C&gt;&lt;D xsi:type="xsd:double"&gt;3.609663&lt;/D&gt;&lt;/FQL&gt;&lt;FQL&gt;&lt;Q&gt;TRYBR10Y-FDS^PCTCHG(FG_YIELD(0,,,,"YTM"),FG_YIELD(-3AM,,,,"YTM"))&lt;/Q&gt;&lt;R&gt;1&lt;/R&gt;&lt;C&gt;1&lt;/C&gt;&lt;D xsi:type="xsd:double"&gt;-4.833213&lt;/D&gt;&lt;/FQL&gt;&lt;FQL&gt;&lt;Q&gt;TRYBR10Y-FDS^PCTCHG(FG_YIELD(0,,,,"YTM"),FG_YIELD(-1AM,,,,"YTM"))&lt;/Q&gt;&lt;R&gt;1&lt;/R&gt;&lt;C&gt;1&lt;/C&gt;&lt;D xsi:type="xsd:double"&gt;2.792157&lt;/D&gt;&lt;/FQL&gt;&lt;FQL&gt;&lt;Q&gt;TRYKR10Y-FDS^PCTCHG(FG_YIELD(0,,,,"YTM"),FG_YIELD(-3AM,,,,"YTM"))&lt;/Q&gt;&lt;R&gt;1&lt;/R&gt;&lt;C&gt;1&lt;/C&gt;&lt;D xsi:type="xsd:double"&gt;-14.026162&lt;/D&gt;&lt;/FQL&gt;&lt;FQL&gt;&lt;Q&gt;TRYKR10Y-FDS^PCTCHG(FG_YIELD(0,,,,"YTM"),FG_YIELD(-1AM,,,,"YTM"))&lt;/Q&gt;&lt;R&gt;1&lt;/R&gt;&lt;C&gt;1&lt;/C&gt;&lt;D xsi:type="xsd:double"&gt;4.1480193&lt;/D&gt;&lt;/FQL&gt;&lt;FQL&gt;&lt;Q&gt;TRYMX10Y-FDS^PCTCHG(FG_YIELD(0,,,,"YTM"),FG_YIELD(-3AM,,,,"YTM"))&lt;/Q&gt;&lt;R&gt;1&lt;/R&gt;&lt;C&gt;1&lt;/C&gt;&lt;D xsi:type="xsd:double"&gt;-3.6085315&lt;/D&gt;&lt;/FQL&gt;&lt;FQL&gt;&lt;Q&gt;TRYMX10Y-FDS^PCTCHG(FG_YIELD(0,,,,"YTM"),FG_YIELD(-1AM,,,,"YTM"))&lt;/Q&gt;&lt;R&gt;1&lt;/R&gt;&lt;C&gt;1&lt;/C&gt;&lt;D xsi:type="xsd:double"&gt;3.3854427&lt;/D&gt;&lt;/FQL&gt;&lt;FQL&gt;&lt;Q&gt;TRYTW10Y-FDS^PCTCHG(FG_YIELD(0,,,,"YTM"),FG_YIELD(-3AM,,,,"YTM"))&lt;/Q&gt;&lt;R&gt;0&lt;/R&gt;&lt;C&gt;0&lt;/C&gt;&lt;/FQL&gt;&lt;FQL&gt;&lt;Q&gt;TRYTW10Y-FDS^PCTCHG(FG_YIELD(0,,,,"YTM"),FG_YIELD(-1AM,,,,"YTM"))&lt;/Q&gt;&lt;R&gt;0&lt;/R&gt;&lt;C&gt;0&lt;/C&gt;&lt;/FQL&gt;&lt;FQL&gt;&lt;Q&gt;TRYMY10Y-FDS^PCTCHG(FG_YIELD(0,,,,"YTM"),FG_YIELD(-3AM,,,,"YTM"))&lt;/Q&gt;&lt;R&gt;1&lt;/R&gt;&lt;C&gt;1&lt;/C&gt;&lt;D xsi:type="xsd:double"&gt;-2.1127372&lt;/D&gt;&lt;/FQL&gt;&lt;FQL&gt;&lt;Q&gt;TRYMY10Y-FDS^PCTCHG(FG_YIELD(0,,,,"YTM"),FG_YIELD(-1AM,,,,"YTM"))&lt;/Q&gt;&lt;R&gt;1&lt;/R&gt;&lt;C&gt;1&lt;/C&gt;&lt;D xsi:type="xsd:double"&gt;0.0048602135&lt;/D&gt;&lt;/FQL&gt;&lt;FQL&gt;&lt;Q&gt;TRYPE10Y-FDS^PCTCHG(FG_YIELD(0,,,,"YTM"),FG_YIELD(-3AM,,,,"YTM"))&lt;/Q&gt;&lt;R&gt;1&lt;/R&gt;&lt;C&gt;1&lt;/C&gt;&lt;D xsi:type="xsd:double"&gt;-5.2570777&lt;/D&gt;&lt;/FQL&gt;&lt;FQL&gt;&lt;Q&gt;TRYPE10Y-FDS^PCTCHG(FG_YIELD(0,,,,"YTM"),FG_YIELD(-1AM,,,,"YTM"))&lt;/Q&gt;&lt;R&gt;1&lt;/R&gt;&lt;C&gt;1&lt;/C&gt;&lt;D xsi:type="xsd:double"&gt;4.1748524&lt;/D&gt;&lt;/FQL&gt;&lt;FQL&gt;&lt;Q&gt;TRYPL10Y-FDS^PCTCHG(FG_YIELD(0,,,,"YTM"),FG_YIELD(-3AM,,,,"YTM"))&lt;/Q&gt;&lt;R&gt;1&lt;/R&gt;&lt;C&gt;1&lt;/C&gt;&lt;D xsi:type="xsd:double"&gt;-3.9496737&lt;/D&gt;&lt;/FQL&gt;&lt;FQL&gt;&lt;Q&gt;TRYPL10Y-FDS^PCTCHG(FG_YIELD(0,,,,"YTM"),FG_YIELD(-1AM,,,,"YTM"))&lt;/Q&gt;&lt;R&gt;1&lt;/R&gt;&lt;C&gt;1&lt;/C&gt;&lt;D xsi:type="xsd:double"&gt;7.9605823&lt;/D&gt;&lt;/FQL&gt;&lt;FQL&gt;&lt;Q&gt;TRYPH10Y-FDS^PCTCHG(FG_YIELD(0,,,,"YTM"),FG_YIELD(-3AM,,,,"YTM"))&lt;/Q&gt;&lt;R&gt;1&lt;/R&gt;&lt;C&gt;1&lt;/C&gt;&lt;D xsi:type="xsd:double"&gt;-5.5449033&lt;/D&gt;&lt;/FQL&gt;&lt;FQL&gt;&lt;Q&gt;TRYPH10Y-FDS^PCTCHG(FG_YIELD(0,,,,"YTM"),FG_YIELD(-1AM,,,,"YTM"))&lt;/Q&gt;&lt;R&gt;1&lt;/R&gt;&lt;C&gt;1&lt;/C&gt;&lt;D xsi:type="xsd:double"&gt;-0.05052296&lt;/D&gt;&lt;/FQL&gt;&lt;FQL&gt;&lt;Q&gt;TRYID10Y-FDS^PCTCHG(FG_YIELD(0,,,,"YTM"),FG_YIELD(-3AM,,,,"YTM"))&lt;/Q&gt;&lt;R&gt;1&lt;/R&gt;&lt;C&gt;1&lt;/C&gt;&lt;D xsi:type="xsd:double"&gt;-2.1781194&lt;/D&gt;&lt;/FQL&gt;&lt;FQL&gt;&lt;Q&gt;TRYID10Y-FDS^PCTCHG(FG_YIELD(0,,,,"YTM"),FG_YIELD(-1AM,,,,"YTM"))&lt;/Q&gt;&lt;R&gt;1&lt;/R&gt;&lt;C&gt;1&lt;/C&gt;&lt;D xsi:type="xsd:double"&gt;-0.19331366&lt;/D&gt;&lt;/FQL&gt;&lt;FQL&gt;&lt;Q&gt;TIPSCL10Y-FDS^PCTCHG(FG_YIELD(0,,,,"YTM"),FG_YIELD(-3AM,,,,"YTM"))&lt;/Q&gt;&lt;R&gt;1&lt;/R&gt;&lt;C&gt;1&lt;/C&gt;&lt;D xsi:type="xsd:double"&gt;-20.817242&lt;/D&gt;&lt;/FQL&gt;&lt;FQL&gt;&lt;Q&gt;TIPSCL10Y-FDS^PCTCHG(FG_YIELD(0,,,,"YTM"),FG_YIELD(-1AM,,,,"YTM"))&lt;/Q&gt;&lt;R&gt;1&lt;/R&gt;&lt;C&gt;1&lt;/C&gt;&lt;D xsi:type="xsd:double"&gt;-10.866184&lt;/D&gt;&lt;/FQL&gt;&lt;FQL&gt;&lt;Q&gt;TRYUS10Y-FDS^FG_YIELD(-4D,,,,"YTM")&lt;/Q&gt;&lt;R&gt;1&lt;/R&gt;&lt;C&gt;1&lt;/C&gt;&lt;D xsi:type="xsd:double"&gt;4.1153&lt;/D&gt;&lt;/FQL&gt;&lt;FQL&gt;&lt;Q&gt;TRYUS10Y-FDS^FG_YIELD_NAME&lt;/Q&gt;&lt;R&gt;1&lt;/R&gt;&lt;C&gt;1&lt;/C&gt;&lt;D xsi:type="xsd:string"&gt;US Benchmark Bond - 10 Year&lt;/D&gt;&lt;/FQL&gt;&lt;FQL&gt;&lt;Q&gt;TRYSA10Y-FDS^FG_YIELD(0,,,,"YTM")&lt;/Q&gt;&lt;R&gt;1&lt;/R&gt;&lt;C&gt;1&lt;/C&gt;&lt;D xsi:type="xsd:double"&gt;5.281116&lt;/D&gt;&lt;/FQL&gt;&lt;FQL&gt;&lt;Q&gt;TRYSA10Y-FDS^FG_YIELD_NAME&lt;/Q&gt;&lt;R&gt;1&lt;/R&gt;&lt;C&gt;1&lt;/C&gt;&lt;D xsi:type="xsd:string"&gt;Treasury - SAUDI ARABIA Benchmark Bond 10Y&lt;/D&gt;&lt;/FQL&gt;&lt;FQL&gt;&lt;Q&gt;TRYVN10Y-FDS^FG_YIELD(0,,,,"YTM")&lt;/Q&gt;&lt;R&gt;1&lt;/R&gt;&lt;C&gt;1&lt;/C&gt;&lt;D xsi:type="xsd:double"&gt;2.2365296&lt;/D&gt;&lt;/FQL&gt;&lt;FQL&gt;&lt;Q&gt;TRYVN10Y-FDS^FG_YIELD_NAME&lt;/Q&gt;&lt;R&gt;1&lt;/R&gt;&lt;C&gt;1&lt;/C&gt;&lt;D xsi:type="xsd:string"&gt;Treasury - Vietnam Benchmark Bond 10Y&lt;/D&gt;&lt;/FQL&gt;&lt;FQL&gt;&lt;Q&gt;TRYAE10Y-FDS^FG_YIELD(0,,,,"YTM")&lt;/Q&gt;&lt;R&gt;0&lt;/R&gt;&lt;C&gt;0&lt;/C&gt;&lt;/FQL&gt;&lt;FQL&gt;&lt;Q&gt;TRYAE10Y-FDS^FG_YIELD_NAME&lt;/Q&gt;&lt;R&gt;1&lt;/R&gt;&lt;C&gt;1&lt;/C&gt;&lt;D xsi:type="xsd:string"&gt;Treasury - United Arab Emirates USD Benchmark Bond 10Y&lt;/D&gt;&lt;/FQL&gt;&lt;FQL&gt;&lt;Q&gt;TRYTR7Y-FDS^FG_YIELD(0,,,,"YTM")&lt;/Q&gt;&lt;R&gt;1&lt;/R&gt;&lt;C&gt;1&lt;/C&gt;&lt;D xsi:type="xsd:double"&gt;22.446152&lt;/D&gt;&lt;/FQL&gt;&lt;FQL&gt;&lt;Q&gt;TRYTR7Y-FDS^FG_YIELD_NAME&lt;/Q&gt;&lt;R&gt;1&lt;/R&gt;&lt;C&gt;1&lt;/C&gt;&lt;D xsi:type="xsd:string"&gt;Treasury - Turkey Benchmark Bond 7Y&lt;/D&gt;&lt;/FQL&gt;&lt;FQL&gt;&lt;Q&gt;TRYTH10Y-FDS^FG_YIELD(0,,,,"YTM")&lt;/Q&gt;&lt;R&gt;1&lt;/R&gt;&lt;C&gt;1&lt;/C&gt;&lt;D xsi:type="xsd:double"&gt;2.565605&lt;/D&gt;&lt;/FQL&gt;&lt;FQL&gt;&lt;Q&gt;TRYTH10Y-FDS^FG_YIELD_NAME&lt;/Q&gt;&lt;R&gt;1&lt;/R&gt;&lt;C&gt;1&lt;/C&gt;&lt;D xsi:type="xsd:string"&gt;Thailand Benchmark Bond - 10 Year&lt;/D&gt;&lt;/FQL&gt;&lt;FQL&gt;&lt;Q&gt;TRYQA10Y-FDS^FG_YIELD(0,,,,"YTM")&lt;/Q&gt;&lt;R&gt;0&lt;/R&gt;&lt;C&gt;0&lt;/C&gt;&lt;/FQL&gt;&lt;FQL&gt;&lt;Q&gt;TRYQA10Y-FDS^FG_YIELD_NAME&lt;/Q&gt;&lt;R&gt;1&lt;/R&gt;&lt;C&gt;1&lt;/C&gt;&lt;D xsi:type="xsd:string"&gt;Treasury - Qatar Benchmark Bond 10Y&lt;/D&gt;&lt;/FQL&gt;&lt;FQL&gt;&lt;Q&gt;TRYCN10Y-FDS^FG_YIELD(0,,,,"YTM")&lt;/Q&gt;&lt;R&gt;1&lt;/R&gt;&lt;C&gt;1&lt;/C&gt;&lt;D xsi:type="xsd:double"&gt;2.4449&lt;/D&gt;&lt;/FQL&gt;&lt;FQL&gt;&lt;Q&gt;TRYCN10Y-FDS^FG_YIELD_NAME&lt;/Q&gt;&lt;R&gt;1&lt;/R&gt;&lt;C&gt;1&lt;/C&gt;&lt;D xsi:type="xsd:string"&gt;Treasury - China Benchmark Bond 10Y&lt;/D&gt;&lt;/FQL&gt;&lt;FQL&gt;&lt;Q&gt;TRYIN10Y-FDS^FG_YIELD(0,,,,"YTM")&lt;/Q&gt;&lt;R&gt;1&lt;/R&gt;&lt;C&gt;1&lt;/C&gt;&lt;D xsi:type="xsd:double"&gt;7.0985&lt;/D&gt;&lt;/FQL&gt;&lt;FQL&gt;&lt;Q&gt;TRYIN10Y-FDS^FG_YIELD_NAME&lt;/Q&gt;&lt;R&gt;1&lt;/R&gt;&lt;C&gt;1&lt;/C&gt;&lt;D xsi:type="xsd:string"&gt;India Benchmark Bond - 10 Year&lt;/D&gt;&lt;/FQL&gt;&lt;FQL&gt;&lt;Q&gt;TRYGR10Y-FDS^FG_YIELD(0,,,,"YTM")&lt;/Q&gt;&lt;R&gt;1&lt;/R&gt;&lt;C&gt;1&lt;/C&gt;&lt;D xsi:type="xsd:double"&gt;3.495&lt;/D&gt;&lt;/FQL&gt;&lt;FQL&gt;&lt;Q&gt;TRYGR10Y-FDS^FG_YIELD_NAME&lt;/Q&gt;&lt;R&gt;1&lt;/R&gt;&lt;C&gt;1&lt;/C&gt;&lt;D xsi:type="xsd:string"&gt;Greece Benchmark Bond - 10 Year&lt;/D&gt;&lt;/FQL&gt;&lt;FQL&gt;&lt;Q&gt;TRYZA10Y-FDS^FG_YIELD(0,,,,"YTM")&lt;/Q&gt;&lt;R&gt;1&lt;/R&gt;&lt;C&gt;1&lt;/C&gt;&lt;D xsi:type="xsd:double"&gt;11.71135&lt;/D&gt;&lt;/FQL&gt;&lt;FQL&gt;&lt;Q&gt;TRYZA10Y-FDS^FG_YIELD_NAME&lt;/Q&gt;&lt;R&gt;1&lt;/R&gt;&lt;C&gt;1&lt;/C&gt;&lt;D xsi:type="xsd:string"&gt;South Africa Benchmark Bond - 10 Year&lt;/D&gt;&lt;/FQL&gt;&lt;FQL&gt;&lt;Q&gt;TRYBR10Y-FDS^FG_YIELD(0,,,,"YTM")&lt;/Q&gt;&lt;R&gt;1&lt;/R&gt;&lt;C&gt;1&lt;/C&gt;&lt;D xsi:type="xsd:double"&gt;10.94022&lt;/D&gt;&lt;/FQL&gt;&lt;FQL&gt;&lt;Q&gt;TRYBR10Y-FDS^FG_YIELD_NAME&lt;/Q&gt;&lt;R&gt;1&lt;/R&gt;&lt;C&gt;1&lt;/C&gt;&lt;D xsi:type="xsd:string"&gt;Treasury - Brazil Benchmark Bond 10Y&lt;/D&gt;&lt;/FQL&gt;&lt;FQL&gt;&lt;Q&gt;TRYKR10Y-FDS^FG_YIELD(0,,,,"YTM")&lt;/Q&gt;&lt;R&gt;1&lt;/R&gt;&lt;C&gt;1&lt;/C&gt;&lt;D xsi:type="xsd:double"&gt;3.4448&lt;/D&gt;&lt;/FQL&gt;&lt;FQL&gt;&lt;Q&gt;TRYKR10Y-FDS^FG_YIELD_NAME&lt;/Q&gt;&lt;R&gt;1&lt;/R&gt;&lt;C&gt;1&lt;/C&gt;&lt;D xsi:type="xsd:string"&gt;South Korea Benchmark Bond - 10 Year&lt;/D&gt;&lt;/FQL&gt;&lt;FQL&gt;&lt;Q&gt;TRYMX10Y-FDS^FG_YIELD(0,,,,"YTM")&lt;/Q&gt;&lt;R&gt;1&lt;/R&gt;&lt;C&gt;1&lt;/C&gt;&lt;D xsi:type="xsd:double"&gt;9.3172&lt;/D&gt;&lt;/FQL&gt;&lt;FQL&gt;&lt;Q&gt;TRYMX10Y-FDS^FG_YIELD_NAME&lt;/Q&gt;&lt;R&gt;1&lt;/R&gt;&lt;C&gt;1&lt;/C&gt;&lt;D xsi:type="xsd:string"&gt;Treasury - Mexico Benchmark Bond 10Y&lt;/D&gt;&lt;/FQL&gt;&lt;FQL&gt;&lt;Q&gt;TRYTW10Y-FDS^FG_YIELD(0,,,,"YTM")&lt;/Q&gt;&lt;R&gt;0&lt;/R&gt;&lt;C&gt;0&lt;/C&gt;&lt;/FQL&gt;&lt;FQL&gt;&lt;Q&gt;TRYTW10Y-FDS^FG_YIELD_NAME&lt;/Q&gt;&lt;R&gt;1&lt;/R&gt;&lt;C&gt;1&lt;/C&gt;&lt;D xsi:type="xsd:string"&gt;"Taiwan, China Benchmark Bond - 10 Year"&lt;/D&gt;&lt;/FQL&gt;&lt;FQL&gt;&lt;Q&gt;TRYMY10Y-FDS^FG_YIELD(0,,,,"YTM")&lt;/Q&gt;&lt;R&gt;1&lt;/R&gt;&lt;C&gt;1&lt;/C&gt;&lt;D xsi:type="xsd:double"&gt;3.806866&lt;/D&gt;&lt;/FQL&gt;&lt;FQL&gt;&lt;Q&gt;TRYMY10Y-FDS^FG_YIELD_NAME&lt;/Q&gt;&lt;R&gt;1&lt;/R&gt;&lt;C&gt;1&lt;/C&gt;&lt;D xsi:type="xsd:string"&gt;Treasury - Malaysia Benchmark Bond 10Y&lt;/D&gt;&lt;/FQL&gt;&lt;FQL&gt;&lt;Q&gt;TRYPE10Y-FDS^FG_YIELD(0,,,,"YTM")&lt;/Q&gt;&lt;R&gt;1&lt;/R&gt;&lt;C&gt;1&lt;/C&gt;&lt;D xsi:type="xsd:double"&gt;6.730905&lt;/D&gt;&lt;/FQL&gt;&lt;FQL&gt;&lt;Q&gt;TRYPE10Y-FDS^FG_YIELD_NAME&lt;/Q&gt;&lt;R&gt;1&lt;/R&gt;&lt;C&gt;1&lt;/C&gt;&lt;D xsi:type="xsd:string"&gt;Treasury - Peru Benchmark Bond 10Y&lt;/D&gt;&lt;/FQL&gt;&lt;FQL&gt;&lt;Q&gt;TRYPL10Y-FDS^FG_YIELD(0,,,,"YTM")&lt;/Q&gt;&lt;R&gt;1&lt;/R&gt;&lt;C&gt;1&lt;/C&gt;&lt;D xsi:type="xsd:double"&gt;5.4668&lt;/D&gt;&lt;/FQL&gt;&lt;FQL&gt;&lt;Q&gt;TRYPL10Y-FDS^FG_YIELD_NAME&lt;/Q&gt;&lt;R&gt;1&lt;/R&gt;&lt;C&gt;1&lt;/C&gt;&lt;D xsi:type="xsd:string"&gt;Treasury - Poland Benchmark Bond 10Y&lt;/D&gt;&lt;/FQL&gt;&lt;FQL&gt;&lt;Q&gt;TRYPH10Y-FDS^FG_YIELD(0,,,,"YTM")&lt;/Q&gt;&lt;R&gt;1&lt;/R&gt;&lt;C&gt;1&lt;/C&gt;&lt;D xsi:type="xsd:double"&gt;6.183502&lt;/D&gt;&lt;/FQL&gt;&lt;FQL&gt;&lt;Q&gt;TRYPH10Y-FDS^FG_YIELD_NAME&lt;/Q&gt;&lt;R&gt;1&lt;/R&gt;&lt;C&gt;1&lt;/C&gt;&lt;D xsi:type="xsd:string"&gt;Philippines Benchmark Bond - 10 Year&lt;/D&gt;&lt;/FQL&gt;&lt;FQL&gt;&lt;Q&gt;TRYID10Y-FDS^FG_YIELD(0,,,,"YTM")&lt;/Q&gt;&lt;R&gt;1&lt;/R&gt;&lt;C&gt;1&lt;/C&gt;&lt;D xsi:type="xsd:double"&gt;6.625662&lt;/D&gt;&lt;/FQL&gt;&lt;FQL&gt;&lt;Q&gt;TRYID10Y-FDS^FG_YIELD_NAME&lt;/Q&gt;&lt;R&gt;1&lt;/R&gt;&lt;C&gt;1&lt;/C&gt;&lt;D xsi:type="xsd:string"&gt;Treasury - Indonesia Benchmark Bond 10Y&lt;/D&gt;&lt;/FQL&gt;&lt;FQL&gt;&lt;Q&gt;TIPSCL10Y-FDS^FG_YIELD(0,,,,"YTM")&lt;/Q&gt;&lt;R&gt;1&lt;/R&gt;&lt;C&gt;1&lt;/C&gt;&lt;D xsi:type="xsd:double"&gt;2.3009455&lt;/D&gt;&lt;/FQL&gt;&lt;FQL&gt;&lt;Q&gt;TIPSCL10Y-FDS^FG_YIELD_NAME&lt;/Q&gt;&lt;R&gt;1&lt;/R&gt;&lt;C&gt;1&lt;/C&gt;&lt;D xsi:type="xsd:string"&gt;Treasury - Chile Inflation-Indexed (TIPS) Bond 10Y&lt;/D&gt;&lt;/FQL&gt;&lt;FQL&gt;&lt;Q&gt;KSA^FMA_ROE(NTMA,-20AY,NOW,FY,"PORTAGG","MEANR")&lt;/Q&gt;&lt;R&gt;20&lt;/R&gt;&lt;C&gt;1&lt;/C&gt;&lt;D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xsi:type="xsd:double"&gt;12.9007124779981&lt;/D&gt;&lt;D xsi:type="xsd:double"&gt;11.3294751772354&lt;/D&gt;&lt;D xsi:type="xsd:double"&gt;11.9967853551854&lt;/D&gt;&lt;D xsi:type="xsd:double"&gt;12.1701096511068&lt;/D&gt;&lt;D xsi:type="xsd:double"&gt;11.2305559814687&lt;/D&gt;&lt;D xsi:type="xsd:double"&gt;10.146987054615&lt;/D&gt;&lt;D xsi:type="xsd:double"&gt;12.7997878012912&lt;/D&gt;&lt;D xsi:type="xsd:double"&gt;13.7729696546777&lt;/D&gt;&lt;D xsi:type="xsd:double"&gt;11.7570018859186&lt;/D&gt;&lt;/FQL&gt;&lt;FQL&gt;&lt;Q&gt;VNM^FMA_ROE(NTMA,-20AY,NOW,FY,"PORTAGG","MEANR")&lt;/Q&gt;&lt;R&gt;20&lt;/R&gt;&lt;C&gt;1&lt;/C&gt;&lt;D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xsi:type="xsd:double"&gt;12.2007678582522&lt;/D&gt;&lt;D xsi:type="xsd:double"&gt;16.4162915324944&lt;/D&gt;&lt;D xsi:type="xsd:double"&gt;16.394053839446&lt;/D&gt;&lt;D xsi:type="xsd:double"&gt;15.4303491131499&lt;/D&gt;&lt;D xsi:type="xsd:double"&gt;15.2759317822094&lt;/D&gt;&lt;D xsi:type="xsd:double"&gt;10.9403666714676&lt;/D&gt;&lt;D xsi:type="xsd:double"&gt;8.5756546844961&lt;/D&gt;&lt;D xsi:type="xsd:double"&gt;13.4991404349356&lt;/D&gt;&lt;D xsi:type="xsd:double"&gt;12.1231419211942&lt;/D&gt;&lt;D xsi:type="xsd:double"&gt;15.1097267855615&lt;/D&gt;&lt;D xsi:type="xsd:double"&gt;15.4807939433741&lt;/D&gt;&lt;D xsi:type="xsd:double"&gt;17.0889112010564&lt;/D&gt;&lt;D xsi:type="xsd:double"&gt;18.3844906020794&lt;/D&gt;&lt;D xsi:type="xsd:double"&gt;14.7334622550631&lt;/D&gt;&lt;D xsi:type="xsd:double"&gt;10.7481226516778&lt;/D&gt;&lt;/FQL&gt;&lt;FQL&gt;&lt;Q&gt;UAE^FMA_ROE(NTMA,-20AY,NOW,FY,"PORTAGG","MEANR")&lt;/Q&gt;&lt;R&gt;20&lt;/R&gt;&lt;C&gt;1&lt;/C&gt;&lt;D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xsi:type="xsd:double"&gt;11.0777984350957&lt;/D&gt;&lt;D xsi:type="xsd:double"&gt;12.3046871114493&lt;/D&gt;&lt;D xsi:type="xsd:double"&gt;11.0383578639711&lt;/D&gt;&lt;D xsi:type="xsd:double"&gt;12.0257898837902&lt;/D&gt;&lt;D xsi:type="xsd:double"&gt;10.3907544258318&lt;/D&gt;&lt;D xsi:type="xsd:double"&gt;8.12845515854192&lt;/D&gt;&lt;D xsi:type="xsd:double"&gt;6.7620176250091&lt;/D&gt;&lt;D xsi:type="xsd:double"&gt;11.2349425542518&lt;/D&gt;&lt;D xsi:type="xsd:double"&gt;12.9338493780006&lt;/D&gt;&lt;D xsi:type="xsd:double"&gt;13.2251182283574&lt;/D&gt;&lt;/FQL&gt;&lt;FQL&gt;&lt;Q&gt;TUR^FMA_ROE(NTMA,-20AY,NOW,FY,"PORTAGG","MEANR")&lt;/Q&gt;&lt;R&gt;20&lt;/R&gt;&lt;C&gt;1&lt;/C&gt;&lt;D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xsi:type="xsd:double"&gt;14.5323662756041&lt;/D&gt;&lt;D xsi:type="xsd:double"&gt;15.0832531129689&lt;/D&gt;&lt;D xsi:type="xsd:double"&gt;15.8676026141806&lt;/D&gt;&lt;D xsi:type="xsd:double"&gt;14.4769185864537&lt;/D&gt;&lt;D xsi:type="xsd:double"&gt;15.0590425800443&lt;/D&gt;&lt;D xsi:type="xsd:double"&gt;13.6524897976729&lt;/D&gt;&lt;D xsi:type="xsd:double"&gt;12.866544620472&lt;/D&gt;&lt;D xsi:type="xsd:double"&gt;12.7726870869254&lt;/D&gt;&lt;D xsi:type="xsd:double"&gt;12.8458107179109&lt;/D&gt;&lt;D xsi:type="xsd:double"&gt;15.2051271731034&lt;/D&gt;&lt;D xsi:type="xsd:double"&gt;14.7086929252537&lt;/D&gt;&lt;D xsi:type="xsd:double"&gt;14.8395465769289&lt;/D&gt;&lt;D xsi:type="xsd:double"&gt;12.8830287056985&lt;/D&gt;&lt;D xsi:type="xsd:double"&gt;18.5724935361686&lt;/D&gt;&lt;D xsi:type="xsd:double"&gt;24.1409632075388&lt;/D&gt;&lt;D xsi:type="xsd:double"&gt;25.9292660335172&lt;/D&gt;&lt;/FQL&gt;&lt;FQL&gt;&lt;Q&gt;SET-BKK^FMA_ROE(NTMA,-20AY,NOW,FY,"PORTAGG","MEANR")&lt;/Q&gt;&lt;R&gt;20&lt;/R&gt;&lt;C&gt;1&lt;/C&gt;&lt;D xsi:type="xsd:double"&gt;19.4775253074283&lt;/D&gt;&lt;D xsi:type="xsd:double"&gt;16.7129326073384&lt;/D&gt;&lt;D xsi:type="xsd:double"&gt;14.8656028990892&lt;/D&gt;&lt;D xsi:type="xsd:double"&gt;14.4266077076695&lt;/D&gt;&lt;D xsi:type="xsd:double"&gt;11.0560385715565&lt;/D&gt;&lt;D xsi:type="xsd:double"&gt;13.1789961604636&lt;/D&gt;&lt;D xsi:type="xsd:double"&gt;14.9486867959632&lt;/D&gt;&lt;D xsi:type="xsd:double"&gt;14.3192952203821&lt;/D&gt;&lt;D xsi:type="xsd:double"&gt;15.3579090829836&lt;/D&gt;&lt;D xsi:type="xsd:double"&gt;14.4834347566328&lt;/D&gt;&lt;D xsi:type="xsd:double"&gt;13.1977119976914&lt;/D&gt;&lt;D xsi:type="xsd:double"&gt;12.8261347373446&lt;/D&gt;&lt;D xsi:type="xsd:double"&gt;12.4445057567564&lt;/D&gt;&lt;D xsi:type="xsd:double"&gt;12.4919200136172&lt;/D&gt;&lt;D xsi:type="xsd:double"&gt;12.5523899281401&lt;/D&gt;&lt;D xsi:type="xsd:double"&gt;10.9395949228139&lt;/D&gt;&lt;D xsi:type="xsd:double"&gt;8.38849750011356&lt;/D&gt;&lt;D xsi:type="xsd:double"&gt;9.94747027119922&lt;/D&gt;&lt;D xsi:type="xsd:double"&gt;10.1243577085674&lt;/D&gt;&lt;D xsi:type="xsd:double"&gt;9.34939552368522&lt;/D&gt;&lt;/FQL&gt;&lt;FQL&gt;&lt;Q&gt;QAT^FMA_ROE(NTMA,-20AY,NOW,FY,"PORTAGG","MEANR")&lt;/Q&gt;&lt;R&gt;20&lt;/R&gt;&lt;C&gt;1&lt;/C&gt;&lt;D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xsi:type="xsd:double"&gt;16.7779984816015&lt;/D&gt;&lt;D xsi:type="xsd:double"&gt;14.8814458142908&lt;/D&gt;&lt;D xsi:type="xsd:double"&gt;12.1435908718223&lt;/D&gt;&lt;D xsi:type="xsd:double"&gt;12.1306553272553&lt;/D&gt;&lt;D xsi:type="xsd:double"&gt;12.3947412104099&lt;/D&gt;&lt;D xsi:type="xsd:double"&gt;11.6446378155882&lt;/D&gt;&lt;D xsi:type="xsd:double"&gt;11.2380998666164&lt;/D&gt;&lt;D xsi:type="xsd:double"&gt;12.7317850147387&lt;/D&gt;&lt;D xsi:type="xsd:double"&gt;13.2901313577645&lt;/D&gt;&lt;D xsi:type="xsd:double"&gt;12.1192289718939&lt;/D&gt;&lt;/FQL&gt;&lt;FQL&gt;&lt;Q&gt;MCHI^FMA_ROE(NTMA,-20AY,NOW,FY,"PORTAGG","MEANR")&lt;/Q&gt;&lt;R&gt;20&lt;/R&gt;&lt;C&gt;1&lt;/C&gt;&lt;D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xsi:type="xsd:double"&gt;16.2489448712134&lt;/D&gt;&lt;D xsi:type="xsd:double"&gt;14.7844836511748&lt;/D&gt;&lt;D xsi:type="xsd:double"&gt;14.7477410048543&lt;/D&gt;&lt;D xsi:type="xsd:double"&gt;13.8220324417748&lt;/D&gt;&lt;D xsi:type="xsd:double"&gt;12.2640889399399&lt;/D&gt;&lt;D xsi:type="xsd:double"&gt;12.007707790005&lt;/D&gt;&lt;D xsi:type="xsd:double"&gt;13.3821124977803&lt;/D&gt;&lt;D xsi:type="xsd:double"&gt;13.2137488528733&lt;/D&gt;&lt;D xsi:type="xsd:double"&gt;12.8853123189466&lt;/D&gt;&lt;D xsi:type="xsd:double"&gt;12.3572005897253&lt;/D&gt;&lt;D xsi:type="xsd:double"&gt;11.9738066536331&lt;/D&gt;&lt;D xsi:type="xsd:double"&gt;11.5503940493997&lt;/D&gt;&lt;D xsi:type="xsd:double"&gt;11.5623515851697&lt;/D&gt;&lt;/FQL&gt;&lt;FQL&gt;&lt;Q&gt;INDA^FMA_ROE(NTMA,-20AY,NOW,FY,"PORTAGG","MEANR")&lt;/Q&gt;&lt;R&gt;20&lt;/R&gt;&lt;C&gt;1&lt;/C&gt;&lt;D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xsi:type="xsd:double"&gt;15.6108197056138&lt;/D&gt;&lt;D xsi:type="xsd:double"&gt;16.0962597956391&lt;/D&gt;&lt;D xsi:type="xsd:double"&gt;15.7612771435553&lt;/D&gt;&lt;D xsi:type="xsd:double"&gt;15.9055421047158&lt;/D&gt;&lt;D xsi:type="xsd:double"&gt;15.6930916584344&lt;/D&gt;&lt;D xsi:type="xsd:double"&gt;15.3154529754558&lt;/D&gt;&lt;D xsi:type="xsd:double"&gt;14.6122050459717&lt;/D&gt;&lt;D xsi:type="xsd:double"&gt;14.5354845941958&lt;/D&gt;&lt;D xsi:type="xsd:double"&gt;12.8423838581616&lt;/D&gt;&lt;D xsi:type="xsd:double"&gt;15.1612835327609&lt;/D&gt;&lt;D xsi:type="xsd:double"&gt;14.9254916699691&lt;/D&gt;&lt;D xsi:type="xsd:double"&gt;16.0763665032879&lt;/D&gt;&lt;/FQL&gt;&lt;FQL&gt;&lt;Q&gt;GREK^FMA_ROE(NTMA,-20AY,NOW,FY,"PORTAGG","MEANR")&lt;/Q&gt;&lt;R&gt;20&lt;/R&gt;&lt;C&gt;1&lt;/C&gt;&lt;D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xsi:type="xsd:double"&gt;5.18059570882845&lt;/D&gt;&lt;D xsi:type="xsd:double"&gt;5.02924580688049&lt;/D&gt;&lt;D xsi:type="xsd:double"&gt;6.28451178662672&lt;/D&gt;&lt;D xsi:type="xsd:double"&gt;5.47133635917723&lt;/D&gt;&lt;D xsi:type="xsd:double"&gt;4.56601797799517&lt;/D&gt;&lt;D xsi:type="xsd:double"&gt;3.94646034419328&lt;/D&gt;&lt;D xsi:type="xsd:double"&gt;4.24726660688599&lt;/D&gt;&lt;D xsi:type="xsd:double"&gt;5.810021541725&lt;/D&gt;&lt;D xsi:type="xsd:double"&gt;5.36711218261452&lt;/D&gt;&lt;D xsi:type="xsd:double"&gt;8.82576684666533&lt;/D&gt;&lt;D xsi:type="xsd:double"&gt;11.0341923380188&lt;/D&gt;&lt;D xsi:type="xsd:double"&gt;13.1253657894167&lt;/D&gt;&lt;/FQL&gt;&lt;FQL&gt;&lt;Q&gt;EZA^FMA_ROE(NTMA,-20AY,NOW,FY,"PORTAGG","MEANR")&lt;/Q&gt;&lt;R&gt;20&lt;/R&gt;&lt;C&gt;1&lt;/C&gt;&lt;D xsi:type="xsd:double"&gt;17.9443072677306&lt;/D&gt;&lt;D xsi:type="xsd:double"&gt;20.5348928156755&lt;/D&gt;&lt;D xsi:type="xsd:double"&gt;23.3962979706047&lt;/D&gt;&lt;D xsi:type="xsd:double"&gt;22.9309412159492&lt;/D&gt;&lt;D xsi:type="xsd:double"&gt;18.5257233943907&lt;/D&gt;&lt;D xsi:type="xsd:double"&gt;16.4229233067431&lt;/D&gt;&lt;D xsi:type="xsd:double"&gt;17.9081210683932&lt;/D&gt;&lt;D xsi:type="xsd:double"&gt;18.7154492714901&lt;/D&gt;&lt;D xsi:type="xsd:double"&gt;17.1811698307319&lt;/D&gt;&lt;D xsi:type="xsd:double"&gt;15.8177225487006&lt;/D&gt;&lt;D xsi:type="xsd:double"&gt;15.0179384562795&lt;/D&gt;&lt;D xsi:type="xsd:double"&gt;14.1296467541483&lt;/D&gt;&lt;D xsi:type="xsd:double"&gt;12.9857675631351&lt;/D&gt;&lt;D xsi:type="xsd:double"&gt;13.3471903111701&lt;/D&gt;&lt;D xsi:type="xsd:double"&gt;14.1097872522301&lt;/D&gt;&lt;D xsi:type="xsd:double"&gt;13.6185226454453&lt;/D&gt;&lt;D xsi:type="xsd:double"&gt;16.7115371927188&lt;/D&gt;&lt;D xsi:type="xsd:double"&gt;16.932589581546&lt;/D&gt;&lt;D xsi:type="xsd:double"&gt;16.8118349535848&lt;/D&gt;&lt;D xsi:type="xsd:double"&gt;14.5722752976358&lt;/D&gt;&lt;/FQL&gt;&lt;FQL&gt;&lt;Q&gt;EWZ^FMA_ROE(NTMA,-20AY,NOW,FY,"PORTAGG","MEANR")&lt;/Q&gt;&lt;R&gt;20&lt;/R&gt;&lt;C&gt;1&lt;/C&gt;&lt;D xsi:type="xsd:double"&gt;10.902459324937&lt;/D&gt;&lt;D xsi:type="xsd:double"&gt;15.1330068419745&lt;/D&gt;&lt;D xsi:type="xsd:double"&gt;12.2637569805604&lt;/D&gt;&lt;D xsi:type="xsd:double"&gt;16.9213337132468&lt;/D&gt;&lt;D xsi:type="xsd:double"&gt;15.0739650750282&lt;/D&gt;&lt;D xsi:type="xsd:double"&gt;15.0554926171621&lt;/D&gt;&lt;D xsi:type="xsd:double"&gt;15.5613461627174&lt;/D&gt;&lt;D xsi:type="xsd:double"&gt;13.5280238194533&lt;/D&gt;&lt;D xsi:type="xsd:double"&gt;11.6623907171401&lt;/D&gt;&lt;D xsi:type="xsd:double"&gt;12.921670812909&lt;/D&gt;&lt;D xsi:type="xsd:double"&gt;10.9002435918115&lt;/D&gt;&lt;D xsi:type="xsd:double"&gt;10.6345360348741&lt;/D&gt;&lt;D xsi:type="xsd:double"&gt;11.2231596394428&lt;/D&gt;&lt;D xsi:type="xsd:double"&gt;13.1487202255739&lt;/D&gt;&lt;D xsi:type="xsd:double"&gt;15.1975351275066&lt;/D&gt;&lt;D xsi:type="xsd:double"&gt;14.5230256357744&lt;/D&gt;&lt;D xsi:type="xsd:double"&gt;16.6004077805652&lt;/D&gt;&lt;D xsi:type="xsd:double"&gt;20.3585186127796&lt;/D&gt;&lt;D xsi:type="xsd:double"&gt;19.4095239083521&lt;/D&gt;&lt;D xsi:type="xsd:double"&gt;18.6294532976694&lt;/D&gt;&lt;/FQL&gt;&lt;FQL&gt;&lt;Q&gt;EWY^FMA_ROE(NTMA,-20AY,NOW,FY,"PORTAGG","MEANR")&lt;/Q&gt;&lt;R&gt;20&lt;/R&gt;&lt;C&gt;1&lt;/C&gt;&lt;D xsi:type="xsd:double"&gt;15.9616854074036&lt;/D&gt;&lt;D xsi:type="xsd:double"&gt;15.4849098528827&lt;/D&gt;&lt;D xsi:type="xsd:double"&gt;13.8927001282369&lt;/D&gt;&lt;D xsi:type="xsd:double"&gt;14.4039664402004&lt;/D&gt;&lt;D xsi:type="xsd:double"&gt;9.92456164609465&lt;/D&gt;&lt;D xsi:type="xsd:double"&gt;13.4147036931661&lt;/D&gt;&lt;D xsi:type="xsd:double"&gt;14.0364525270903&lt;/D&gt;&lt;D xsi:type="xsd:double"&gt;12.8930845102886&lt;/D&gt;&lt;D xsi:type="xsd:double"&gt;12.4745249796659&lt;/D&gt;&lt;D xsi:type="xsd:double"&gt;11.4149566191569&lt;/D&gt;&lt;D xsi:type="xsd:double"&gt;9.77047682396504&lt;/D&gt;&lt;D xsi:type="xsd:double"&gt;8.83276683126284&lt;/D&gt;&lt;D xsi:type="xsd:double"&gt;9.34985338936219&lt;/D&gt;&lt;D xsi:type="xsd:double"&gt;11.1969769851489&lt;/D&gt;&lt;D xsi:type="xsd:double"&gt;9.7866294798229&lt;/D&gt;&lt;D xsi:type="xsd:double"&gt;7.67648123982945&lt;/D&gt;&lt;D xsi:type="xsd:double"&gt;8.30770313390175&lt;/D&gt;&lt;D xsi:type="xsd:double"&gt;10.1458776210508&lt;/D&gt;&lt;D xsi:type="xsd:double"&gt;7.50979386649047&lt;/D&gt;&lt;D xsi:type="xsd:double"&gt;8.9018523713911&lt;/D&gt;&lt;/FQL&gt;&lt;FQL&gt;&lt;Q&gt;EWW^FMA_ROE(NTMA,-20AY,NOW,FY,"PORTAGG","MEANR")&lt;/Q&gt;&lt;R&gt;20&lt;/R&gt;&lt;C&gt;1&lt;/C&gt;&lt;D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xsi:type="xsd:double"&gt;12.2361967072767&lt;/D&gt;&lt;D xsi:type="xsd:double"&gt;12.6640790394995&lt;/D&gt;&lt;D xsi:type="xsd:double"&gt;12.8972143418882&lt;/D&gt;&lt;D xsi:type="xsd:double"&gt;12.0869262436821&lt;/D&gt;&lt;D xsi:type="xsd:double"&gt;11.7827107614497&lt;/D&gt;&lt;D xsi:type="xsd:double"&gt;13.6871625425579&lt;/D&gt;&lt;D xsi:type="xsd:double"&gt;13.3394699375391&lt;/D&gt;&lt;D xsi:type="xsd:double"&gt;13.6990100990521&lt;/D&gt;&lt;/FQL&gt;&lt;FQL&gt;&lt;Q&gt;EWT^FMA_ROE(NTMA,-20AY,NOW,FY,"PORTAGG","MEANR")&lt;/Q&gt;&lt;R&gt;20&lt;/R&gt;&lt;C&gt;1&lt;/C&gt;&lt;D xsi:type="xsd:double"&gt;14.2091388164968&lt;/D&gt;&lt;D xsi:type="xsd:double"&gt;14.0985457137066&lt;/D&gt;&lt;D xsi:type="xsd:double"&gt;14.4590710347444&lt;/D&gt;&lt;D xsi:type="xsd:double"&gt;16.4807805647515&lt;/D&gt;&lt;D xsi:type="xsd:double"&gt;6.19596421132224&lt;/D&gt;&lt;D xsi:type="xsd:double"&gt;11.6376050166428&lt;/D&gt;&lt;D xsi:type="xsd:double"&gt;14.2189185035578&lt;/D&gt;&lt;D xsi:type="xsd:double"&gt;11.6486429529888&lt;/D&gt;&lt;D xsi:type="xsd:double"&gt;11.5182166875632&lt;/D&gt;&lt;D xsi:type="xsd:double"&gt;11.7877597873521&lt;/D&gt;&lt;D xsi:type="xsd:double"&gt;13.127345554296&lt;/D&gt;&lt;D xsi:type="xsd:double"&gt;12.3828245738855&lt;/D&gt;&lt;D xsi:type="xsd:double"&gt;11.7924660472797&lt;/D&gt;&lt;D xsi:type="xsd:double"&gt;12.5855614416921&lt;/D&gt;&lt;D xsi:type="xsd:double"&gt;11.5125837952604&lt;/D&gt;&lt;D xsi:type="xsd:double"&gt;10.8983134823894&lt;/D&gt;&lt;D xsi:type="xsd:double"&gt;11.6209108675926&lt;/D&gt;&lt;D xsi:type="xsd:double"&gt;14.724411980088&lt;/D&gt;&lt;D xsi:type="xsd:double"&gt;12.9407920839873&lt;/D&gt;&lt;D xsi:type="xsd:double"&gt;11.9152161134332&lt;/D&gt;&lt;/FQL&gt;&lt;FQL&gt;&lt;Q&gt;EWM^FMA_ROE(NTMA,-20AY,NOW,FY,"PORTAGG","MEANR")&lt;/Q&gt;&lt;R&gt;20&lt;/R&gt;&lt;C&gt;1&lt;/C&gt;&lt;D xsi:type="xsd:double"&gt;13.3764235591454&lt;/D&gt;&lt;D xsi:type="xsd:double"&gt;13.2591008782889&lt;/D&gt;&lt;D xsi:type="xsd:double"&gt;13.5343642097079&lt;/D&gt;&lt;D xsi:type="xsd:double"&gt;14.6672633006441&lt;/D&gt;&lt;D xsi:type="xsd:double"&gt;11.7899739556718&lt;/D&gt;&lt;D xsi:type="xsd:double"&gt;12.6973987236168&lt;/D&gt;&lt;D xsi:type="xsd:double"&gt;14.629974764894&lt;/D&gt;&lt;D xsi:type="xsd:double"&gt;13.8590428625605&lt;/D&gt;&lt;D xsi:type="xsd:double"&gt;13.2332711485965&lt;/D&gt;&lt;D xsi:type="xsd:double"&gt;13.0689929250701&lt;/D&gt;&lt;D xsi:type="xsd:double"&gt;12.0884430441681&lt;/D&gt;&lt;D xsi:type="xsd:double"&gt;10.6772868053956&lt;/D&gt;&lt;D xsi:type="xsd:double"&gt;9.6001106335988&lt;/D&gt;&lt;D xsi:type="xsd:double"&gt;9.81766059257374&lt;/D&gt;&lt;D xsi:type="xsd:double"&gt;9.62847705365634&lt;/D&gt;&lt;D xsi:type="xsd:double"&gt;9.33280715475934&lt;/D&gt;&lt;D xsi:type="xsd:double"&gt;10.6153952262209&lt;/D&gt;&lt;D xsi:type="xsd:double"&gt;9.47363114651143&lt;/D&gt;&lt;D xsi:type="xsd:double"&gt;10.1683466984571&lt;/D&gt;&lt;D xsi:type="xsd:double"&gt;9.55728383141077&lt;/D&gt;&lt;/FQL&gt;&lt;FQL&gt;&lt;Q&gt;EPU^FMA_ROE(NTMA,-20AY,NOW,FY,"PORTAGG","MEANR")&lt;/Q&gt;&lt;R&gt;20&lt;/R&gt;&lt;C&gt;1&lt;/C&gt;&lt;D xsi:type="xsd:string"&gt;@NA&lt;/D&gt;&lt;D xsi:type="xsd:string"&gt;@NA&lt;/D&gt;&lt;D xsi:type="xsd:string"&gt;@NA&lt;/D&gt;&lt;D xsi:ty</t>
        </r>
      </text>
    </comment>
    <comment ref="A2" authorId="0" shapeId="0" xr:uid="{BD7E0BAB-4677-4ED3-85B4-6B812E0777EF}">
      <text>
        <r>
          <rPr>
            <b/>
            <sz val="9"/>
            <color indexed="81"/>
            <rFont val="Tahoma"/>
            <family val="2"/>
          </rPr>
          <t>pe="xsd:string"&gt;@NA&lt;/D&gt;&lt;D xsi:type="xsd:string"&gt;@NA&lt;/D&gt;&lt;D xsi:type="xsd:double"&gt;21.6487924933022&lt;/D&gt;&lt;D xsi:type="xsd:double"&gt;26.674075406927&lt;/D&gt;&lt;D xsi:type="xsd:double"&gt;23.3940784657959&lt;/D&gt;&lt;D xsi:type="xsd:double"&gt;19.9442083003203&lt;/D&gt;&lt;D xsi:type="xsd:double"&gt;14.2295976118279&lt;/D&gt;&lt;D xsi:type="xsd:double"&gt;12.7121203643147&lt;/D&gt;&lt;D xsi:type="xsd:double"&gt;8.83035011509517&lt;/D&gt;&lt;D xsi:type="xsd:double"&gt;12.5824807721625&lt;/D&gt;&lt;D xsi:type="xsd:double"&gt;12.1461987185301&lt;/D&gt;&lt;D xsi:type="xsd:double"&gt;10.92253300719&lt;/D&gt;&lt;D xsi:type="xsd:double"&gt;11.9146021102361&lt;/D&gt;&lt;D xsi:type="xsd:double"&gt;12.086026376397&lt;/D&gt;&lt;D xsi:type="xsd:double"&gt;15.0555655388878&lt;/D&gt;&lt;D xsi:type="xsd:double"&gt;13.6225814185959&lt;/D&gt;&lt;D xsi:type="xsd:double"&gt;12.9324473673683&lt;/D&gt;&lt;/FQL&gt;&lt;FQL&gt;&lt;Q&gt;EPOL^FMA_ROE(NTMA,-20AY,NOW,FY,"PORTAGG","MEANR")&lt;/Q&gt;&lt;R&gt;20&lt;/R&gt;&lt;C&gt;1&lt;/C&gt;&lt;D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xsi:type="xsd:double"&gt;12.9136409385463&lt;/D&gt;&lt;D xsi:type="xsd:double"&gt;11.6682069956937&lt;/D&gt;&lt;D xsi:type="xsd:double"&gt;9.88095297355163&lt;/D&gt;&lt;D xsi:type="xsd:double"&gt;9.32819662687838&lt;/D&gt;&lt;D xsi:type="xsd:double"&gt;9.08400416739547&lt;/D&gt;&lt;D xsi:type="xsd:double"&gt;8.19593899535384&lt;/D&gt;&lt;D xsi:type="xsd:double"&gt;8.81992527720217&lt;/D&gt;&lt;D xsi:type="xsd:double"&gt;10.5838129179285&lt;/D&gt;&lt;D xsi:type="xsd:double"&gt;10.2657999868947&lt;/D&gt;&lt;D xsi:type="xsd:double"&gt;9.4389843194853&lt;/D&gt;&lt;D xsi:type="xsd:double"&gt;7.20768650788903&lt;/D&gt;&lt;D xsi:type="xsd:double"&gt;10.1460102201106&lt;/D&gt;&lt;D xsi:type="xsd:double"&gt;10.9641857238333&lt;/D&gt;&lt;D xsi:type="xsd:double"&gt;12.3945793275799&lt;/D&gt;&lt;/FQL&gt;&lt;FQL&gt;&lt;Q&gt;EPHE^FMA_ROE(NTMA,-20AY,NOW,FY,"PORTAGG","MEANR")&lt;/Q&gt;&lt;R&gt;20&lt;/R&gt;&lt;C&gt;1&lt;/C&gt;&lt;D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xsi:type="xsd:double"&gt;14.7602970828313&lt;/D&gt;&lt;D xsi:type="xsd:double"&gt;15.1929773886247&lt;/D&gt;&lt;D xsi:type="xsd:double"&gt;13.700399154582&lt;/D&gt;&lt;D xsi:type="xsd:double"&gt;13.6976116734629&lt;/D&gt;&lt;D xsi:type="xsd:double"&gt;14.2196145027033&lt;/D&gt;&lt;D xsi:type="xsd:double"&gt;13.3322794237975&lt;/D&gt;&lt;D xsi:type="xsd:double"&gt;12.7182053290138&lt;/D&gt;&lt;D xsi:type="xsd:double"&gt;12.3434443766015&lt;/D&gt;&lt;D xsi:type="xsd:double"&gt;11.7069295115669&lt;/D&gt;&lt;D xsi:type="xsd:double"&gt;12.0539318289059&lt;/D&gt;&lt;D xsi:type="xsd:double"&gt;8.91575729825207&lt;/D&gt;&lt;D xsi:type="xsd:double"&gt;9.59945410192868&lt;/D&gt;&lt;D xsi:type="xsd:double"&gt;10.6731246353468&lt;/D&gt;&lt;D xsi:type="xsd:double"&gt;11.9407094450334&lt;/D&gt;&lt;/FQL&gt;&lt;FQL&gt;&lt;Q&gt;EIDO^FMA_ROE(NTMA,-20AY,NOW,FY,"PORTAGG","MEANR")&lt;/Q&gt;&lt;R&gt;20&lt;/R&gt;&lt;C&gt;1&lt;/C&gt;&lt;D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xsi:type="xsd:double"&gt;18.9279585586526&lt;/D&gt;&lt;D xsi:type="xsd:double"&gt;18.0738292901709&lt;/D&gt;&lt;D xsi:type="xsd:double"&gt;16.8092892463225&lt;/D&gt;&lt;D xsi:type="xsd:double"&gt;19.1020740705792&lt;/D&gt;&lt;D xsi:type="xsd:double"&gt;18.4086750507428&lt;/D&gt;&lt;D xsi:type="xsd:double"&gt;15.6625909554988&lt;/D&gt;&lt;D xsi:type="xsd:double"&gt;15.054606398618&lt;/D&gt;&lt;D xsi:type="xsd:double"&gt;15.7733994434049&lt;/D&gt;&lt;D xsi:type="xsd:double"&gt;15.5352440090718&lt;/D&gt;&lt;D xsi:type="xsd:double"&gt;14.4300103266056&lt;/D&gt;&lt;D xsi:type="xsd:double"&gt;11.4814604290421&lt;/D&gt;&lt;D xsi:type="xsd:double"&gt;13.6928560240483&lt;/D&gt;&lt;D xsi:type="xsd:double"&gt;15.6524440836665&lt;/D&gt;&lt;D xsi:type="xsd:double"&gt;14.0315214518572&lt;/D&gt;&lt;/FQL&gt;&lt;FQL&gt;&lt;Q&gt;ECH^FMA_ROE(NTMA,-20AY,NOW,FY,"PORTAGG","MEANR")&lt;/Q&gt;&lt;R&gt;20&lt;/R&gt;&lt;C&gt;1&lt;/C&gt;&lt;D xsi:type="xsd:string"&gt;@NA&lt;/D&gt;&lt;D xsi:type="xsd:string"&gt;@NA&lt;/D&gt;&lt;D xsi:type="xsd:string"&gt;@NA&lt;/D&gt;&lt;D xsi:type="xsd:double"&gt;14.1776881603624&lt;/D&gt;&lt;D xsi:type="xsd:double"&gt;11.2798802315493&lt;/D&gt;&lt;D xsi:type="xsd:double"&gt;14.2628883913247&lt;/D&gt;&lt;D xsi:type="xsd:double"&gt;14.4661394368492&lt;/D&gt;&lt;D xsi:type="xsd:double"&gt;14.0754868016221&lt;/D&gt;&lt;D xsi:type="xsd:double"&gt;12.4952890187187&lt;/D&gt;&lt;D xsi:type="xsd:double"&gt;10.8480668279512&lt;/D&gt;&lt;D xsi:type="xsd:double"&gt;9.37758339699264&lt;/D&gt;&lt;D xsi:type="xsd:double"&gt;9.57060991333475&lt;/D&gt;&lt;D xsi:type="xsd:double"&gt;8.68386650455443&lt;/D&gt;&lt;D xsi:type="xsd:double"&gt;9.38392046774864&lt;/D&gt;&lt;D xsi:type="xsd:double"&gt;11.2778516938703&lt;/D&gt;&lt;D xsi:type="xsd:double"&gt;9.83590954451217&lt;/D&gt;&lt;D xsi:type="xsd:double"&gt;8.75463942854793&lt;/D&gt;&lt;D xsi:type="xsd:double"&gt;10.6038911838351&lt;/D&gt;&lt;D xsi:type="xsd:double"&gt;12.7874449833902&lt;/D&gt;&lt;D xsi:type="xsd:double"&gt;13.8055066340606&lt;/D&gt;&lt;/FQL&gt;&lt;FQL&gt;&lt;Q&gt;CNYA^FMA_ROE(NTMA,-20AY,NOW,FY,"PORTAGG","MEANR")&lt;/Q&gt;&lt;R&gt;20&lt;/R&gt;&lt;C&gt;1&lt;/C&gt;&lt;D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xsi:type="xsd:double"&gt;12.0357109832906&lt;/D&gt;&lt;D xsi:type="xsd:double"&gt;13.2280587166858&lt;/D&gt;&lt;D xsi:type="xsd:double"&gt;12.9587909941324&lt;/D&gt;&lt;D xsi:type="xsd:double"&gt;13.4756717156392&lt;/D&gt;&lt;D xsi:type="xsd:double"&gt;12.9923016394021&lt;/D&gt;&lt;D xsi:type="xsd:double"&gt;13.7666448363476&lt;/D&gt;&lt;D xsi:type="xsd:double"&gt;13.371191955749&lt;/D&gt;&lt;D xsi:type="xsd:double"&gt;12.0461204621416&lt;/D&gt;&lt;/FQL&gt;&lt;FQL&gt;&lt;Q&gt;EWM^JULIAN(FMA_ROE(NTMA,-20AY,NOW,FY,"PORTAGG","MEANR").DATES)&lt;/Q&gt;&lt;R&gt;20&lt;/R&gt;&lt;C&gt;1&lt;/C&gt;&lt;D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xsi:type="xsd:long"&gt;45289&lt;/D&gt;&lt;/FQL&gt;&lt;FQL&gt;&lt;Q&gt;FXI^P_PRICE(0,-200D)&lt;/Q&gt;&lt;R&gt;201&lt;/R&gt;&lt;C&gt;1&lt;/C&gt;&lt;D xsi:type="xsd:double"&gt;22.2&lt;/D&gt;&lt;D xsi:type="xsd:double"&gt;22.72&lt;/D&gt;&lt;D xsi:type="xsd:double"&gt;22.36&lt;/D&gt;&lt;D xsi:type="xsd:double"&gt;22.1&lt;/D&gt;&lt;D xsi:type="xsd:double"&gt;22.62&lt;/D&gt;&lt;D xsi:type="xsd:double"&gt;23.13&lt;/D&gt;&lt;D xsi:type="xsd:double"&gt;21.88&lt;/D&gt;&lt;D xsi:type="xsd:double"&gt;21.41&lt;/D&gt;&lt;D xsi:type="xsd:double"&gt;21.86&lt;/D&gt;&lt;D xsi:type="xsd:double"&gt;21.76&lt;/D&gt;&lt;D xsi:type="xsd:double"&gt;21.93&lt;/D&gt;&lt;D xsi:type="xsd:double"&gt;22.29&lt;/D&gt;&lt;D xsi:type="xsd:double"&gt;22.6&lt;/D&gt;&lt;D xsi:type="xsd:double"&gt;22.75&lt;/D&gt;&lt;D xsi:type="xsd:double"&gt;22.77&lt;/D&gt;&lt;D xsi:type="xsd:double"&gt;22.11&lt;/D&gt;&lt;D xsi:type="xsd:double"&gt;21.14&lt;/D&gt;&lt;D xsi:type="xsd:double"&gt;21.68&lt;/D&gt;&lt;D xsi:type="xsd:double"&gt;21.53&lt;/D&gt;&lt;D xsi:type="xsd:double"&gt;21.45&lt;/D&gt;&lt;D xsi:type="xsd:double"&gt;22.02&lt;/D&gt;&lt;D xsi:type="xsd:double"&gt;22.73&lt;/D&gt;&lt;D xsi:type="xsd:double"&gt;22.83&lt;/D&gt;&lt;D xsi:type="xsd:double"&gt;22.49&lt;/D&gt;&lt;D xsi:type="xsd:double"&gt;22.48&lt;/D&gt;&lt;D xsi:type="xsd:double"&gt;22.94&lt;/D&gt;&lt;D xsi:type="xsd:double"&gt;23.23&lt;/D&gt;&lt;D xsi:type="xsd:double"&gt;23.36&lt;/D&gt;&lt;D xsi:type="xsd:double"&gt;23.67&lt;/D&gt;&lt;D xsi:type="xsd:double"&gt;23.24&lt;/D&gt;&lt;D xsi:type="xsd:double"&gt;24.03&lt;/D&gt;&lt;D xsi:type="xsd:double"&gt;23.88&lt;/D&gt;&lt;D xsi:type="xsd:double"&gt;23.25&lt;/D&gt;&lt;D xsi:type="xsd:double"&gt;23.22&lt;/D&gt;&lt;D xsi:type="xsd:double"&gt;23.05&lt;/D&gt;&lt;D xsi:type="xsd:double"&gt;23.71&lt;/D&gt;&lt;D xsi:type="xsd:double"&gt;22.91&lt;/D&gt;&lt;D xsi:type="xsd:double"&gt;24.2&lt;/D&gt;&lt;D xsi:type="xsd:double"&gt;23.88&lt;/D&gt;&lt;D xsi:type="xsd:double"&gt;24.13&lt;/D&gt;&lt;D xsi:type="xsd:double"&gt;24.18&lt;/D&gt;&lt;D xsi:type="xsd:double"&gt;23.87&lt;/D&gt;&lt;D xsi:type="xsd:double"&gt;23.95&lt;/D&gt;&lt;D xsi:type="xsd:double"&gt;23.79&lt;/D&gt;&lt;D xsi:type="xsd:double"&gt;23.7&lt;/D&gt;&lt;D xsi:type="xsd:double"&gt;24.03&lt;/D&gt;&lt;D xsi:type="xsd:double"&gt;23.95&lt;/D&gt;&lt;D xsi:type="xsd:double"&gt;23.94&lt;/D&gt;&lt;D xsi:type="xsd:double"&gt;24.31&lt;/D&gt;&lt;D xsi:type="xsd:double"&gt;24.89&lt;/D&gt;&lt;D xsi:type="xsd:double"&gt;25.16&lt;/D&gt;&lt;D xsi:type="xsd:double"&gt;25.06&lt;/D&gt;&lt;D xsi:type="xsd:double"&gt;25.71&lt;/D&gt;&lt;D xsi:type="xsd:double"&gt;26.02&lt;/D&gt;&lt;D xsi:type="xsd:double"&gt;26.36&lt;/D&gt;&lt;D xsi:type="xsd:double"&gt;26.29&lt;/D&gt;&lt;D xsi:type="xsd:double"&gt;26.16&lt;/D&gt;&lt;D xsi:type="xsd:double"&gt;26.69&lt;/D&gt;&lt;D xsi:type="xsd:double"&gt;26.12&lt;/D&gt;&lt;D xsi:type="xsd:double"&gt;26.1&lt;/D&gt;&lt;D xsi:type="xsd:double"&gt;27.21&lt;/D&gt;&lt;D xsi:type="xsd:double"&gt;26.58&lt;/D&gt;&lt;D xsi:type="xsd:double"&gt;26.02&lt;/D&gt;&lt;D xsi:type="xsd:double"&gt;25.68&lt;/D&gt;&lt;D xsi:type="xsd:double"&gt;25.76&lt;/D&gt;&lt;D xsi:type="xsd:double"&gt;26.12&lt;/D&gt;&lt;D xsi:type="xsd:double"&gt;26.31&lt;/D&gt;&lt;D xsi:type="xsd:double"&gt;26.43&lt;/D&gt;&lt;D xsi:type="xsd:double"&gt;26.35&lt;/D&gt;&lt;D xsi:type="xsd:double"&gt;25.75&lt;/D&gt;&lt;D xsi:type="xsd:double"&gt;25.48&lt;/D&gt;&lt;D xsi:type="xsd:double"&gt;25.52&lt;/D&gt;&lt;D xsi:type="xsd:double"&gt;25.94&lt;/D&gt;&lt;D xsi:type="xsd:double"&gt;25.67&lt;/D&gt;&lt;D xsi:type="xsd:double"&gt;25.58&lt;/D&gt;&lt;D xsi:type="xsd:double"&gt;25.53&lt;/D&gt;&lt;D xsi:type="xsd:double"&gt;26.06&lt;/D&gt;&lt;D xsi:type="xsd:double"&gt;25.25&lt;/D&gt;&lt;D xsi:type="xsd:double"&gt;25.03&lt;/D&gt;&lt;D xsi:type="xsd:double"&gt;25.56&lt;/D&gt;&lt;D xsi:type="xsd:double"&gt;26.01&lt;/D&gt;&lt;D xsi:type="xsd:double"&gt;26.45&lt;/D&gt;&lt;D xsi:type="xsd:double"&gt;26.65&lt;/D&gt;&lt;D xsi:type="xsd:double"&gt;26.48&lt;/D&gt;&lt;D xsi:type="xsd:double"&gt;26.68&lt;/D&gt;&lt;D xsi:type="xsd:double"&gt;27.15&lt;/D&gt;&lt;D xsi:type="xsd:double"&gt;26.89&lt;/D&gt;&lt;D xsi:type="xsd:double"&gt;26.22&lt;/D&gt;&lt;D xsi:type="xsd:double"&gt;26.23&lt;/D&gt;&lt;D xsi:type="xsd:double"&gt;25.69&lt;/D&gt;&lt;D xsi:type="xsd:double"&gt;25.53&lt;/D&gt;&lt;D xsi:type="xsd:double"&gt;25.75&lt;/D&gt;&lt;D xsi:type="xsd:double"&gt;26.37&lt;/D&gt;&lt;D xsi:type="xsd:double"&gt;26.53&lt;/D&gt;&lt;D xsi:type="xsd:double"&gt;26.26&lt;/D&gt;&lt;D xsi:type="xsd:double"&gt;26.41&lt;/D&gt;&lt;D xsi:type="xsd:double"&gt;26.35&lt;/D&gt;&lt;D xsi:type="xsd:double"&gt;26.72&lt;/D&gt;&lt;D xsi:type="xsd:double"&gt;27.14&lt;/D&gt;&lt;D xsi:type="xsd:double"&gt;26.21&lt;/D&gt;&lt;D xsi:type="xsd:double"&gt;26.79&lt;/D&gt;&lt;D xsi:type="xsd:double"&gt;26.98&lt;/D&gt;&lt;D xsi:type="xsd:double"&gt;27.05&lt;/D&gt;&lt;D xsi:type="xsd:double"&gt;27.18&lt;/D&gt;&lt;D xsi:type="xsd:double"&gt;27.3&lt;/D&gt;&lt;D xsi:type="xsd:double"&gt;27.07&lt;/D&gt;&lt;D xsi:type="xsd:double"&gt;27.3&lt;/D&gt;&lt;D xsi:type="xsd:double"&gt;27.24&lt;/D&gt;&lt;D xsi:type="xsd:double"&gt;26.88&lt;/D&gt;&lt;D xsi:type="xsd:double"&gt;26.92&lt;/D&gt;&lt;D xsi:type="xsd:double"&gt;27.71&lt;/D&gt;&lt;D xsi:type="xsd:double"&gt;27.63&lt;/D&gt;&lt;D xsi:type="xsd:double"&gt;28.04&lt;/D&gt;&lt;D xsi:type="xsd:double"&gt;27.4&lt;/D&gt;&lt;D xsi:type="xsd:double"&gt;27.76&lt;/D&gt;&lt;D xsi:type="xsd:double"&gt;27.95&lt;/D&gt;&lt;D xsi:type="xsd:double"&gt;27.41&lt;/D&gt;&lt;D xsi:type="xsd:double"&gt;26.77&lt;/D&gt;&lt;D xsi:type="xsd:double"&gt;26.82&lt;/D&gt;&lt;D xsi:type="xsd:double"&gt;26.7&lt;/D&gt;&lt;D xsi:type="xsd:double"&gt;26.14&lt;/D&gt;&lt;D xsi:type="xsd:double"&gt;26.15&lt;/D&gt;&lt;D xsi:type="xsd:double"&gt;26.19&lt;/D&gt;&lt;D xsi:type="xsd:double"&gt;26.85&lt;/D&gt;&lt;D xsi:type="xsd:double"&gt;26.65&lt;/D&gt;&lt;D xsi:type="xsd:double"&gt;27.21&lt;/D&gt;&lt;D xsi:type="xsd:double"&gt;27.66&lt;/D&gt;&lt;D xsi:type="xsd:double"&gt;27.92&lt;/D&gt;&lt;D xsi:type="xsd:double"&gt;28.83&lt;/D&gt;&lt;D xsi:type="xsd:double"&gt;28.6&lt;/D&gt;&lt;D xsi:type="xsd:double"&gt;28.48&lt;/D&gt;&lt;D xsi:type="xsd:double"&gt;29.02&lt;/D&gt;&lt;D xsi:type="xsd:double"&gt;29.13&lt;/D&gt;&lt;D xsi:type="xsd:double"&gt;29.55&lt;/D&gt;&lt;D xsi:type="xsd:double"&gt;28.77&lt;/D&gt;&lt;D xsi:type="xsd:double"&gt;29.68&lt;/D&gt;&lt;D xsi:type="xsd:double"&gt;30.42&lt;/D&gt;&lt;D xsi:type="xsd:double"&gt;30.08&lt;/D&gt;&lt;D xsi:type="xsd:double"&gt;28.5&lt;/D&gt;&lt;D xsi:type="xsd:double"&gt;28.97&lt;/D&gt;&lt;D xsi:type="xsd:double"&gt;28.56&lt;/D&gt;&lt;D xsi:type="xsd:double"&gt;28.21&lt;/D&gt;&lt;D xsi:type="xsd:double"&gt;27.62&lt;/D&gt;&lt;D xsi:type="xsd:double"&gt;27.6&lt;/D&gt;&lt;D xsi:type="xsd:double"&gt;27.7&lt;/D&gt;&lt;D xsi:type="xsd:double"&gt;27.52&lt;/D&gt;&lt;D xsi:type="xsd:double"&gt;28.15&lt;/D&gt;&lt;D xsi:type="xsd:double"&gt;28.29&lt;/D&gt;&lt;D xsi:type="xsd:double"&gt;28.8&lt;/D&gt;&lt;D xsi:type="xsd:double"&gt;28.16&lt;/D&gt;&lt;D xsi:type="xsd:double"&gt;27.34&lt;/D&gt;&lt;D xsi:type="xsd:double"&gt;27.16&lt;/D&gt;&lt;D xsi:type="xsd:double"&gt;27.18&lt;/D&gt;&lt;D xsi:type="xsd:double"&gt;26.6&lt;/D&gt;&lt;D xsi:type="xsd:double"&gt;27.39&lt;/D&gt;&lt;D xsi:type="xsd:double"&gt;27.71&lt;/D&gt;&lt;D xsi:type="xsd:double"&gt;27.19&lt;/D&gt;&lt;D xsi:type="xsd:double"&gt;26.94&lt;/D&gt;&lt;D xsi:type="xsd:double"&gt;27.37&lt;/D&gt;&lt;D xsi:type="xsd:double"&gt;27.6&lt;/D&gt;&lt;D xsi:type="xsd:double"&gt;27.01&lt;/D&gt;&lt;D xsi:type="xsd:double"&gt;26.87&lt;/D&gt;&lt;D xsi:type="xsd:double"&gt;27.44&lt;/D&gt;&lt;D xsi:type="xsd:double"&gt;27.5&lt;/D&gt;&lt;D xsi:type="xsd:double"&gt;27.67&lt;/D&gt;&lt;D xsi:type="xsd:double"&gt;28.91&lt;/D&gt;&lt;D xsi:type="xsd:double"&gt;29.08&lt;/D&gt;&lt;D xsi:type="xsd:double"&gt;28.45&lt;/D&gt;&lt;D xsi:type="xsd:double"&gt;28.07&lt;/D&gt;&lt;D xsi:type="xsd:double"&gt;27.75&lt;/D&gt;&lt;D xsi:type="xsd:double"&gt;27.82&lt;/D&gt;&lt;D xsi:type="xsd:double"&gt;27.79&lt;/D&gt;&lt;D xsi:type="xsd:double"&gt;27.5&lt;/D&gt;&lt;D xsi:type="xsd:double"&gt;27.99&lt;/D&gt;&lt;D xsi:type="xsd:double"&gt;27.39&lt;/D&gt;&lt;D xsi:type="xsd:double"&gt;27.43&lt;/D&gt;&lt;D xsi:type="xsd:double"&gt;26.63&lt;/D&gt;&lt;D xsi:type="xsd:double"&gt;25.97&lt;/D&gt;&lt;D xsi:type="xsd:double"&gt;26.04&lt;/D&gt;&lt;D xsi:type="xsd:double"&gt;26.83&lt;/D&gt;&lt;D xsi:type="xsd:double"&gt;26.39&lt;/D&gt;&lt;D xsi:type="xsd:double"&gt;26.94&lt;/D&gt;&lt;D xsi:type="xsd:double"&gt;27.49&lt;/D&gt;&lt;D xsi:type="xsd:double"&gt;28.35&lt;/D&gt;&lt;D xsi:type="xsd:double"&gt;27.9&lt;/D&gt;&lt;D xsi:type="xsd:double"&gt;28.05&lt;/D&gt;&lt;D xsi:type="xsd:double"&gt;28.44&lt;/D&gt;&lt;D xsi:type="xsd:double"&gt;28.74&lt;/D&gt;&lt;D xsi:type="xsd:double"&gt;29.04&lt;/D&gt;&lt;D xsi:type="xsd:double"&gt;27.79&lt;/D&gt;&lt;D xsi:type="xsd:double"&gt;28.54&lt;/D&gt;&lt;D xsi:type="xsd:double"&gt;28.24&lt;/D&gt;&lt;D xsi:type="xsd:double"&gt;28.44&lt;/D&gt;&lt;D xsi:type="xsd:double"&gt;28.89&lt;/D&gt;&lt;D xsi:type="xsd:double"&gt;28.67&lt;/D&gt;&lt;D xsi:type="xsd:double"&gt;28.3&lt;/D&gt;&lt;D xsi:type="xsd:double"&gt;27.56&lt;/D&gt;&lt;D xsi:type="xsd:double"&gt;27.69&lt;/D&gt;&lt;D xsi:type="xsd:double"&gt;28.22&lt;/D&gt;&lt;D xsi:type="xsd:double"&gt;28.33&lt;/D&gt;&lt;D xsi:type="xsd:double"&gt;28.19&lt;/D&gt;&lt;/FQL&gt;&lt;FQL&gt;&lt;Q&gt;IWM^P_PRICE(0,-200D)&lt;/Q&gt;&lt;R&gt;201&lt;/R&gt;&lt;C&gt;1&lt;/C&gt;&lt;D xsi:type="xsd:double"&gt;194.61&lt;/D&gt;&lt;D xsi:type="xsd:double"&gt;202.96&lt;/D&gt;&lt;D xsi:type="xsd:double"&gt;199.34&lt;/D&gt;&lt;D xsi:type="xsd:double"&gt;196.15&lt;/D&gt;&lt;D xsi:type="xsd:double"&gt;193.22&lt;/D&gt;&lt;D xsi:type="xsd:double"&gt;193.67&lt;/D&gt;&lt;D xsi:type="xsd:double"&gt;191.94&lt;/D&gt;&lt;D xsi:type="xsd:double"&gt;194.41&lt;/D&gt;&lt;D xsi:type="xsd:double"&gt;195.44&lt;/D&gt;&lt;D xsi:type="xsd:double"&gt;192.88&lt;/D&gt;&lt;D xsi:type="xsd:double"&gt;197.71&lt;/D&gt;&lt;D xsi:type="xsd:double"&gt;199.41&lt;/D&gt;&lt;D xsi:type="xsd:double"&gt;195.98&lt;/D&gt;&lt;D xsi:type="xsd:double"&gt;195.97&lt;/D&gt;&lt;D xsi:type="xsd:double"&gt;194.36&lt;/D&gt;&lt;D xsi:type="xsd:double"&gt;195.97&lt;/D&gt;&lt;D xsi:type="xsd:double"&gt;196.54&lt;/D&gt;&lt;D xsi:type="xsd:double"&gt;192.43&lt;/D&gt;&lt;D xsi:type="xsd:double"&gt;190.6&lt;/D&gt;&lt;D xsi:type="xsd:double"&gt;189.48&lt;/D&gt;&lt;D xsi:type="xsd:double"&gt;190.84&lt;/D&gt;&lt;D xsi:type="xsd:double"&gt;193.23&lt;/D&gt;&lt;D xsi:type="xsd:double"&gt;193.55&lt;/D&gt;&lt;D xsi:type="xsd:double"&gt;195.08&lt;/D&gt;&lt;D xsi:type="xsd:double"&gt;194.97&lt;/D&gt;&lt;D xsi:type="xsd:double"&gt;196.73&lt;/D&gt;&lt;D xsi:type="xsd:double"&gt;193.25&lt;/D&gt;&lt;D xsi:type="xsd:double"&gt;193.82&lt;/D&gt;&lt;D xsi:type="xsd:double"&gt;194.2&lt;/D&gt;&lt;D xsi:type="xsd:double"&gt;199.52&lt;/D&gt;&lt;D xsi:type="xsd:double"&gt;200.71&lt;/D&gt;&lt;D xsi:type="xsd:double"&gt;204.04&lt;/D&gt;&lt;D xsi:type="xsd:double"&gt;204.82&lt;/D&gt;&lt;D xsi:type="xsd:double"&gt;204.1&lt;/D&gt;&lt;D xsi:type="xsd:double"&gt;201.48&lt;/D&gt;&lt;D xsi:type="xsd:double"&gt;199.62&lt;/D&gt;&lt;D xsi:type="xsd:double"&gt;196.28&lt;/D&gt;&lt;D xsi:type="xsd:double"&gt;200.93&lt;/D&gt;&lt;D xsi:type="xsd:double"&gt;197.11&lt;/D&gt;&lt;D xsi:type="xsd:double"&gt;197.04&lt;/D&gt;&lt;D xsi:type="xsd:double"&gt;198.71&lt;/D&gt;&lt;D xsi:type="xsd:double"&gt;193.33&lt;/D&gt;&lt;D xsi:type="xsd:double"&gt;187&lt;/D&gt;&lt;D xsi:type="xsd:double"&gt;187.19&lt;/D&gt;&lt;D xsi:type="xsd:double"&gt;186.8&lt;/D&gt;&lt;D xsi:type="xsd:double"&gt;185.39&lt;/D&gt;&lt;D xsi:type="xsd:double"&gt;184.06&lt;/D&gt;&lt;D xsi:type="xsd:double"&gt;184.39&lt;/D&gt;&lt;D xsi:type="xsd:double"&gt;186.89&lt;/D&gt;&lt;D xsi:type="xsd:double"&gt;184.91&lt;/D&gt;&lt;D xsi:type="xsd:double"&gt;179.66&lt;/D&gt;&lt;D xsi:type="xsd:double"&gt;178.98&lt;/D&gt;&lt;D xsi:type="xsd:double"&gt;178.04&lt;/D&gt;&lt;D xsi:type="xsd:double"&gt;178.73&lt;/D&gt;&lt;D xsi:type="xsd:double"&gt;179.33&lt;/D&gt;&lt;D xsi:type="xsd:double"&gt;178.13&lt;/D&gt;&lt;D xsi:type="xsd:double"&gt;177.02&lt;/D&gt;&lt;D xsi:type="xsd:double"&gt;179.33&lt;/D&gt;&lt;D xsi:type="xsd:double"&gt;178.29&lt;/D&gt;&lt;D xsi:type="xsd:double"&gt;175.88&lt;/D&gt;&lt;D xsi:type="xsd:double"&gt;178.77&lt;/D&gt;&lt;D xsi:type="xsd:double"&gt;178.46&lt;/D&gt;&lt;D xsi:type="xsd:double"&gt;169.17&lt;/D&gt;&lt;D xsi:type="xsd:double"&gt;169.11&lt;/D&gt;&lt;D xsi:type="xsd:double"&gt;167.24&lt;/D&gt;&lt;D xsi:type="xsd:double"&gt;169.87&lt;/D&gt;&lt;D xsi:type="xsd:double"&gt;171.7&lt;/D&gt;&lt;D xsi:type="xsd:double"&gt;172.31&lt;/D&gt;&lt;D xsi:type="xsd:double"&gt;174.49&lt;/D&gt;&lt;D xsi:type="xsd:double"&gt;169.87&lt;/D&gt;&lt;D xsi:type="xsd:double"&gt;165.46&lt;/D&gt;&lt;D xsi:type="xsd:double"&gt;164.52&lt;/D&gt;&lt;D xsi:type="xsd:double"&gt;163.11&lt;/D&gt;&lt;D xsi:type="xsd:double"&gt;162.21&lt;/D&gt;&lt;D xsi:type="xsd:double"&gt;164.14&lt;/D&gt;&lt;D xsi:type="xsd:double"&gt;163.72&lt;/D&gt;&lt;D xsi:type="xsd:double"&gt;166.47&lt;/D&gt;&lt;D xsi:type="xsd:double"&gt;165.03&lt;/D&gt;&lt;D xsi:type="xsd:double"&gt;166.44&lt;/D&gt;&lt;D xsi:type="xsd:double"&gt;168.62&lt;/D&gt;&lt;D xsi:type="xsd:double"&gt;171.35&lt;/D&gt;&lt;D xsi:type="xsd:double"&gt;174.95&lt;/D&gt;&lt;D xsi:type="xsd:double"&gt;173.02&lt;/D&gt;&lt;D xsi:type="xsd:double"&gt;170.27&lt;/D&gt;&lt;D xsi:type="xsd:double"&gt;171.7&lt;/D&gt;&lt;D xsi:type="xsd:double"&gt;175.67&lt;/D&gt;&lt;D xsi:type="xsd:double"&gt;175.97&lt;/D&gt;&lt;D xsi:type="xsd:double"&gt;174&lt;/D&gt;&lt;D xsi:type="xsd:double"&gt;173&lt;/D&gt;&lt;D xsi:type="xsd:double"&gt;171.35&lt;/D&gt;&lt;D xsi:type="xsd:double"&gt;171.22&lt;/D&gt;&lt;D xsi:type="xsd:double"&gt;171.14&lt;/D&gt;&lt;D xsi:type="xsd:double"&gt;174.07&lt;/D&gt;&lt;D xsi:type="xsd:double"&gt;176.74&lt;/D&gt;&lt;D xsi:type="xsd:double"&gt;177.58&lt;/D&gt;&lt;D xsi:type="xsd:double"&gt;175.99&lt;/D&gt;&lt;D xsi:type="xsd:double"&gt;174.36&lt;/D&gt;&lt;D xsi:type="xsd:double"&gt;177.46&lt;/D&gt;&lt;D xsi:type="xsd:double"&gt;176.67&lt;/D&gt;&lt;D xsi:type="xsd:double"&gt;177.07&lt;/D&gt;&lt;D xsi:type="xsd:double"&gt;179.86&lt;/D&gt;&lt;D xsi:type="xsd:double"&gt;181.68&lt;/D&gt;&lt;D xsi:type="xsd:double"&gt;182.39&lt;/D&gt;&lt;D xsi:type="xsd:double"&gt;183.61&lt;/D&gt;&lt;D xsi:type="xsd:double"&gt;185.55&lt;/D&gt;&lt;D xsi:type="xsd:double"&gt;182.97&lt;/D&gt;&lt;D xsi:type="xsd:double"&gt;184.18&lt;/D&gt;&lt;D xsi:type="xsd:double"&gt;184.36&lt;/D&gt;&lt;D xsi:type="xsd:double"&gt;183.92&lt;/D&gt;&lt;D xsi:type="xsd:double"&gt;184.33&lt;/D&gt;&lt;D xsi:type="xsd:double"&gt;186.13&lt;/D&gt;&lt;D xsi:type="xsd:double"&gt;186.83&lt;/D&gt;&lt;D xsi:type="xsd:double"&gt;190.85&lt;/D&gt;&lt;D xsi:type="xsd:double"&gt;188.61&lt;/D&gt;&lt;D xsi:type="xsd:double"&gt;188.94&lt;/D&gt;&lt;D xsi:type="xsd:double"&gt;188.23&lt;/D&gt;&lt;D xsi:type="xsd:double"&gt;185.64&lt;/D&gt;&lt;D xsi:type="xsd:double"&gt;184&lt;/D&gt;&lt;D xsi:type="xsd:double"&gt;183.22&lt;/D&gt;&lt;D xsi:type="xsd:double"&gt;185.79&lt;/D&gt;&lt;D xsi:type="xsd:double"&gt;183.83&lt;/D&gt;&lt;D xsi:type="xsd:double"&gt;184.38&lt;/D&gt;&lt;D xsi:type="xsd:double"&gt;184.65&lt;/D&gt;&lt;D xsi:type="xsd:double"&gt;183.65&lt;/D&gt;&lt;D xsi:type="xsd:double"&gt;185.84&lt;/D&gt;&lt;D xsi:type="xsd:double"&gt;188.14&lt;/D&gt;&lt;D xsi:type="xsd:double"&gt;190.66&lt;/D&gt;&lt;D xsi:type="xsd:double"&gt;190.99&lt;/D&gt;&lt;D xsi:type="xsd:double"&gt;190.72&lt;/D&gt;&lt;D xsi:type="xsd:double"&gt;191.57&lt;/D&gt;&lt;D xsi:type="xsd:double"&gt;193.08&lt;/D&gt;&lt;D xsi:type="xsd:double"&gt;194.3&lt;/D&gt;&lt;D xsi:type="xsd:double"&gt;194.17&lt;/D&gt;&lt;D xsi:type="xsd:double"&gt;194.56&lt;/D&gt;&lt;D xsi:type="xsd:double"&gt;195.11&lt;/D&gt;&lt;D xsi:type="xsd:double"&gt;197.8&lt;/D&gt;&lt;D xsi:type="xsd:double"&gt;198.71&lt;/D&gt;&lt;D xsi:type="xsd:double"&gt;196.43&lt;/D&gt;&lt;D xsi:type="xsd:double"&gt;193.92&lt;/D&gt;&lt;D xsi:type="xsd:double"&gt;196.46&lt;/D&gt;&lt;D xsi:type="xsd:double"&gt;194.92&lt;/D&gt;&lt;D xsi:type="xsd:double"&gt;194.94&lt;/D&gt;&lt;D xsi:type="xsd:double"&gt;194.46&lt;/D&gt;&lt;D xsi:type="xsd:double"&gt;195.08&lt;/D&gt;&lt;D xsi:type="xsd:double"&gt;196.8&lt;/D&gt;&lt;D xsi:type="xsd:double"&gt;195.97&lt;/D&gt;&lt;D xsi:type="xsd:double"&gt;193.58&lt;/D&gt;&lt;D xsi:type="xsd:double"&gt;191.53&lt;/D&gt;&lt;D xsi:type="xsd:double"&gt;193.42&lt;/D&gt;&lt;D xsi:type="xsd:double"&gt;191.87&lt;/D&gt;&lt;D xsi:type="xsd:double"&gt;189.8&lt;/D&gt;&lt;D xsi:type="xsd:double"&gt;187.87&lt;/D&gt;&lt;D xsi:type="xsd:double"&gt;184.71&lt;/D&gt;&lt;D xsi:type="xsd:double"&gt;182.78&lt;/D&gt;&lt;D xsi:type="xsd:double"&gt;185.78&lt;/D&gt;&lt;D xsi:type="xsd:double"&gt;187.65&lt;/D&gt;&lt;D xsi:type="xsd:double"&gt;187.27&lt;/D&gt;&lt;D xsi:type="xsd:double"&gt;186.38&lt;/D&gt;&lt;D xsi:type="xsd:double"&gt;184.26&lt;/D&gt;&lt;D xsi:type="xsd:double"&gt;183.36&lt;/D&gt;&lt;D xsi:type="xsd:double"&gt;180.75&lt;/D&gt;&lt;D xsi:type="xsd:double"&gt;180.57&lt;/D&gt;&lt;D xsi:type="xsd:double"&gt;183.33&lt;/D&gt;&lt;D xsi:type="xsd:double"&gt;184.7&lt;/D&gt;&lt;D xsi:type="xsd:double"&gt;185.13&lt;/D&gt;&lt;D xsi:type="xsd:double"&gt;185.94&lt;/D&gt;&lt;D xsi:type="xsd:double"&gt;187.44&lt;/D&gt;&lt;D xsi:type="xsd:double"&gt;185.91&lt;/D&gt;&lt;D xsi:type="xsd:double"&gt;187.93&lt;/D&gt;&lt;D xsi:type="xsd:double"&gt;185.8&lt;/D&gt;&lt;D xsi:type="xsd:double"&gt;185.03&lt;/D&gt;&lt;D xsi:type="xsd:double"&gt;186.54&lt;/D&gt;&lt;D xsi:type="xsd:double"&gt;187.24&lt;/D&gt;&lt;D xsi:type="xsd:double"&gt;184.31&lt;/D&gt;&lt;D xsi:type="xsd:double"&gt;179.58&lt;/D&gt;&lt;D xsi:type="xsd:double"&gt;182.02&lt;/D&gt;&lt;D xsi:type="xsd:double"&gt;175.65&lt;/D&gt;&lt;D xsi:type="xsd:double"&gt;173.77&lt;/D&gt;&lt;D xsi:type="xsd:double"&gt;175.5&lt;/D&gt;&lt;D xsi:type="xsd:double"&gt;176.15&lt;/D&gt;&lt;D xsi:type="xsd:double"&gt;174.17&lt;/D&gt;&lt;D xsi:type="xsd:double"&gt;175.54&lt;/D&gt;&lt;D xsi:type="xsd:double"&gt;177.42&lt;/D&gt;&lt;D xsi:type="xsd:double"&gt;178.26&lt;/D&gt;&lt;D xsi:type="xsd:double"&gt;176.11&lt;/D&gt;&lt;D xsi:type="xsd:double"&gt;177.19&lt;/D&gt;&lt;D xsi:type="xsd:double"&gt;176.12&lt;/D&gt;&lt;D xsi:type="xsd:double"&gt;172.28&lt;/D&gt;&lt;D xsi:type="xsd:double"&gt;174.83&lt;/D&gt;&lt;D xsi:type="xsd:double"&gt;172.72&lt;/D&gt;&lt;D xsi:type="xsd:double"&gt;173.07&lt;/D&gt;&lt;D xsi:type="xsd:double"&gt;174.41&lt;/D&gt;&lt;D xsi:type="xsd:double"&gt;173.53&lt;/D&gt;&lt;D xsi:type="xsd:double"&gt;174.05&lt;/D&gt;&lt;D xsi:type="xsd:double"&gt;174.45&lt;/D&gt;&lt;D xsi:type="xsd:double"&gt;170.4&lt;/D&gt;&lt;D xsi:type="xsd:double"&gt;172.33&lt;/D&gt;&lt;D xsi:type="xsd:double"&gt;171.7&lt;/D&gt;&lt;D xsi:type="xsd:double"&gt;175.3&lt;/D&gt;&lt;D xsi:type="xsd:double"&gt;175.2&lt;/D&gt;&lt;D xsi:type="xsd:double"&gt;173.68&lt;/D&gt;&lt;/FQL&gt;&lt;FQL&gt;&lt;Q&gt;INDA^P_PRICE(0,-200D)&lt;/Q&gt;&lt;R&gt;201&lt;/R&gt;&lt;C&gt;1&lt;/C&gt;&lt;D xsi:type="xsd:double"&gt;49.97&lt;/D&gt;&lt;D xsi:type="xsd:double"&gt;50.28&lt;/D&gt;&lt;D xsi:type="xsd:double"&gt;50.72&lt;/D&gt;&lt;D xsi:type="xsd:double"&gt;50.5&lt;/D&gt;&lt;D xsi:type="xsd:double"&gt;50.89&lt;/D&gt;&lt;D xsi:type="xsd:double"&gt;50.78&lt;/D&gt;&lt;D xsi:type="xsd:double"&gt;50.11&lt;/D&gt;&lt;D xsi:type="xsd:double"&gt;50.375&lt;/D&gt;&lt;D xsi:type="xsd:double"&gt;50.23&lt;/D&gt;&lt;D xsi:type="xsd:double"&gt;49.89&lt;/D&gt;&lt;D xsi:type="xsd:double"&gt;49.52&lt;/D&gt;&lt;D xsi:type="xsd:double"&gt;49.98&lt;/D&gt;&lt;D xsi:type="xsd:double"&gt;49.19&lt;/D&gt;&lt;D xsi:type="xsd:double"&gt;49.11&lt;/D&gt;&lt;D xsi:type="xsd:double"&gt;49.2&lt;/D&gt;&lt;D xsi:type="xsd:double"&gt;48.68&lt;/D&gt;&lt;D xsi:type="xsd:double"&gt;49.77&lt;/D&gt;&lt;D xsi:type="xsd:double"&gt;49.59&lt;/D&gt;&lt;D xsi:type="xsd:double"&gt;49.08&lt;/D&gt;&lt;D xsi:type="xsd:double"&gt;48.83&lt;/D&gt;&lt;D xsi:type="xsd:double"&gt;49.4&lt;/D&gt;&lt;D xsi:type="xsd:double"&gt;49.96&lt;/D&gt;&lt;D xsi:type="xsd:double"&gt;49.19&lt;/D&gt;&lt;D xsi:type="xsd:double"&gt;49.15&lt;/D&gt;&lt;D xsi:type="xsd:double"&gt;48.85&lt;/D&gt;&lt;D xsi:type="xsd:double"&gt;49.09&lt;/D&gt;&lt;D xsi:type="xsd:double"&gt;49.09&lt;/D&gt;&lt;D xsi:type="xsd:double"&gt;49.01&lt;/D&gt;&lt;D xsi:type="xsd:double"&gt;48.59&lt;/D&gt;&lt;D xsi:type="xsd:double"&gt;48.67&lt;/D&gt;&lt;D xsi:type="xsd:double"&gt;48.81&lt;/D&gt;&lt;D xsi:type="xsd:double"&gt;49.02&lt;/D&gt;&lt;D xsi:type="xsd:double"&gt;48.84&lt;/D&gt;&lt;D xsi:type="xsd:double"&gt;48.53&lt;/D&gt;&lt;D xsi:type="xsd:double"&gt;48.36&lt;/D&gt;&lt;D xsi:type="xsd:double"&gt;48.16&lt;/D&gt;&lt;D xsi:type="xsd:double"&gt;47.4&lt;/D&gt;&lt;D xsi:type="xsd:double"&gt;48.72&lt;/D&gt;&lt;D xsi:type="xsd:double"&gt;48.455&lt;/D&gt;&lt;D xsi:type="xsd:double"&gt;48.3&lt;/D&gt;&lt;D xsi:type="xsd:double"&gt;48.35&lt;/D&gt;&lt;D xsi:type="xsd:double"&gt;47.96&lt;/D&gt;&lt;D xsi:type="xsd:double"&gt;47.38&lt;/D&gt;&lt;D xsi:type="xsd:double"&gt;47.56&lt;/D&gt;&lt;D xsi:type="xsd:double"&gt;47.31&lt;/D&gt;&lt;D xsi:type="xsd:double"&gt;47.46&lt;/D&gt;&lt;D xsi:type="xsd:double"&gt;47.34&lt;/D&gt;&lt;D xsi:type="xsd:double"&gt;47.27&lt;/D&gt;&lt;D xsi:type="xsd:double"&gt;46.84&lt;/D&gt;&lt;D xsi:type="xsd:double"&gt;46.4&lt;/D&gt;&lt;D xsi:type="xsd:double"&gt;46.02&lt;/D&gt;&lt;D xsi:type="xsd:double"&gt;45.63&lt;/D&gt;&lt;D xsi:type="xsd:double"&gt;45.49&lt;/D&gt;&lt;D xsi:type="xsd:double"&gt;45.09&lt;/D&gt;&lt;D xsi:type="xsd:double"&gt;45.19&lt;/D&gt;&lt;D xsi:type="xsd:double"&gt;45.21&lt;/D&gt;&lt;D xsi:type="xsd:double"&gt;45.06&lt;/D&gt;&lt;D xsi:type="xsd:double"&gt;45.05&lt;/D&gt;&lt;D xsi:type="xsd:double"&gt;45.045&lt;/D&gt;&lt;D xsi:type="xsd:double"&gt;44.98&lt;/D&gt;&lt;D xsi:type="xsd:double"&gt;44.94&lt;/D&gt;&lt;D xsi:type="xsd:double"&gt;45.08&lt;/D&gt;&lt;D xsi:type="xsd:double"&gt;44.42&lt;/D&gt;&lt;D xsi:type="xsd:double"&gt;44.49&lt;/D&gt;&lt;D xsi:type="xsd:double"&gt;44.04&lt;/D&gt;&lt;D xsi:type="xsd:double"&gt;44.33&lt;/D&gt;&lt;D xsi:type="xsd:double"&gt;44.21&lt;/D&gt;&lt;D xsi:type="xsd:double"&gt;44.19&lt;/D&gt;&lt;D xsi:type="xsd:double"&gt;44.15&lt;/D&gt;&lt;D xsi:type="xsd:double"&gt;43.83&lt;/D&gt;&lt;D xsi:type="xsd:double"&gt;43.4&lt;/D&gt;&lt;D xsi:type="xsd:double"&gt;43.24&lt;/D&gt;&lt;D xsi:type="xsd:double"&gt;43.33&lt;/D&gt;&lt;D xsi:type="xsd:double"&gt;42.96&lt;/D&gt;&lt;D xsi:type="xsd:double"&gt;42.73&lt;/D&gt;&lt;D xsi:type="xsd:double"&gt;43.25&lt;/D&gt;&lt;D xsi:type="xsd:double"&gt;43.75&lt;/D&gt;&lt;D xsi:type="xsd:double"&gt;43.62&lt;/D&gt;&lt;D xsi:type="xsd:double"&gt;43.98&lt;/D&gt;&lt;D xsi:type="xsd:double"&gt;44.33&lt;/D&gt;&lt;D xsi:type="xsd:double"&gt;44.22&lt;/D&gt;&lt;D xsi:type="xsd:double"&gt;44.77&lt;/D&gt;&lt;D xsi:type="xsd:double"&gt;44.76&lt;/D&gt;&lt;D xsi:type="xsd:double"&gt;44.46&lt;/D&gt;&lt;D xsi:type="xsd:double"&gt;44.32&lt;/D&gt;&lt;D xsi:type="xsd:double"&gt;44.68&lt;/D&gt;&lt;D xsi:type="xsd:double"&gt;44.59&lt;/D&gt;&lt;D xsi:type="xsd:double"&gt;44.09&lt;/D&gt;&lt;D xsi:type="xsd:double"&gt;44.58&lt;/D&gt;&lt;D xsi:type="xsd:double"&gt;44.16&lt;/D&gt;&lt;D xsi:type="xsd:double"&gt;43.87&lt;/D&gt;&lt;D xsi:type="xsd:double"&gt;43.95&lt;/D&gt;&lt;D xsi:type="xsd:double"&gt;44.21&lt;/D&gt;&lt;D xsi:type="xsd:double"&gt;44.22&lt;/D&gt;&lt;D xsi:type="xsd:double"&gt;44.25&lt;/D&gt;&lt;D xsi:type="xsd:double"&gt;44.59&lt;/D&gt;&lt;D xsi:type="xsd:double"&gt;44.32&lt;/D&gt;&lt;D xsi:type="xsd:double"&gt;44.63&lt;/D&gt;&lt;D xsi:type="xsd:double"&gt;44.48&lt;/D&gt;&lt;D xsi:type="xsd:double"&gt;44.45&lt;/D&gt;&lt;D xsi:type="xsd:double"&gt;44.88&lt;/D&gt;&lt;D xsi:type="xsd:double"&gt;45&lt;/D&gt;&lt;D xsi:type="xsd:double"&gt;45.17&lt;/D&gt;&lt;D xsi:type="xsd:double"&gt;45.12&lt;/D&gt;&lt;D xsi:type="xsd:double"&gt;45.245&lt;/D&gt;&lt;D xsi:type="xsd:double"&gt;45.11&lt;/D&gt;&lt;D xsi:type="xsd:double"&gt;45.06&lt;/D&gt;&lt;D xsi:type="xsd:double"&gt;45.46&lt;/D&gt;&lt;D xsi:type="xsd:double"&gt;45.02&lt;/D&gt;&lt;D xsi:type="xsd:double"&gt;44.55&lt;/D&gt;&lt;D xsi:type="xsd:double"&gt;44.17&lt;/D&gt;&lt;D xsi:type="xsd:double"&gt;44.35&lt;/D&gt;&lt;D xsi:type="xsd:double"&gt;44.24&lt;/D&gt;&lt;D xsi:type="xsd:double"&gt;43.97&lt;/D&gt;&lt;D xsi:type="xsd:double"&gt;44.13&lt;/D&gt;&lt;D xsi:type="xsd:double"&gt;44.19&lt;/D&gt;&lt;D xsi:type="xsd:double"&gt;43.88&lt;/D&gt;&lt;D xsi:type="xsd:double"&gt;43.76&lt;/D&gt;&lt;D xsi:type="xsd:double"&gt;43.77&lt;/D&gt;&lt;D xsi:type="xsd:double"&gt;44.19&lt;/D&gt;&lt;D xsi:type="xsd:double"&gt;43.51&lt;/D&gt;&lt;D xsi:type="xsd:double"&gt;43.6&lt;/D&gt;&lt;D xsi:type="xsd:double"&gt;43.33&lt;/D&gt;&lt;D xsi:type="xsd:double"&gt;43.2&lt;/D&gt;&lt;D xsi:type="xsd:double"&gt;43.36&lt;/D&gt;&lt;D xsi:type="xsd:double"&gt;43.23&lt;/D&gt;&lt;D xsi:type="xsd:double"&gt;43.47&lt;/D&gt;&lt;D xsi:type="xsd:double"&gt;43.62&lt;/D&gt;&lt;D xsi:type="xsd:double"&gt;43.87&lt;/D&gt;&lt;D xsi:type="xsd:double"&gt;43.94&lt;/D&gt;&lt;D xsi:type="xsd:double"&gt;43.93&lt;/D&gt;&lt;D xsi:type="xsd:double"&gt;44.19&lt;/D&gt;&lt;D xsi:type="xsd:double"&gt;44.03&lt;/D&gt;&lt;D xsi:type="xsd:double"&gt;43.6&lt;/D&gt;&lt;D xsi:type="xsd:double"&gt;43.71&lt;/D&gt;&lt;D xsi:type="xsd:double"&gt;44.48&lt;/D&gt;&lt;D xsi:type="xsd:double"&gt;44.76&lt;/D&gt;&lt;D xsi:type="xsd:double"&gt;44.5&lt;/D&gt;&lt;D xsi:type="xsd:double"&gt;44.23&lt;/D&gt;&lt;D xsi:type="xsd:double"&gt;44.68&lt;/D&gt;&lt;D xsi:type="xsd:double"&gt;44.51&lt;/D&gt;&lt;D xsi:type="xsd:double"&gt;44.53&lt;/D&gt;&lt;D xsi:type="xsd:double"&gt;44.36&lt;/D&gt;&lt;D xsi:type="xsd:double"&gt;44.55&lt;/D&gt;&lt;D xsi:type="xsd:double"&gt;44.65&lt;/D&gt;&lt;D xsi:type="xsd:double"&gt;44.53&lt;/D&gt;&lt;D xsi:type="xsd:double"&gt;44.56&lt;/D&gt;&lt;D xsi:type="xsd:double"&gt;44.26&lt;/D&gt;&lt;D xsi:type="xsd:double"&gt;44.17&lt;/D&gt;&lt;D xsi:type="xsd:double"&gt;44.26&lt;/D&gt;&lt;D xsi:type="xsd:double"&gt;43.97&lt;/D&gt;&lt;D xsi:type="xsd:double"&gt;43.66&lt;/D&gt;&lt;D xsi:type="xsd:double"&gt;43.6&lt;/D&gt;&lt;D xsi:type="xsd:double"&gt;43.58&lt;/D&gt;&lt;D xsi:type="xsd:double"&gt;43.77&lt;/D&gt;&lt;D xsi:type="xsd:double"&gt;43.79&lt;/D&gt;&lt;D xsi:type="xsd:double"&gt;43.7&lt;/D&gt;&lt;D xsi:type="xsd:double"&gt;43.34&lt;/D&gt;&lt;D xsi:type="xsd:double"&gt;43.35&lt;/D&gt;&lt;D xsi:type="xsd:double"&gt;43.02&lt;/D&gt;&lt;D xsi:type="xsd:double"&gt;42.77&lt;/D&gt;&lt;D xsi:type="xsd:double"&gt;42.58&lt;/D&gt;&lt;D xsi:type="xsd:double"&gt;42.96&lt;/D&gt;&lt;D xsi:type="xsd:double"&gt;43.075&lt;/D&gt;&lt;D xsi:type="xsd:double"&gt;43.01&lt;/D&gt;&lt;D xsi:type="xsd:double"&gt;43.13&lt;/D&gt;&lt;D xsi:type="xsd:double"&gt;43.01&lt;/D&gt;&lt;D xsi:type="xsd:double"&gt;42.78&lt;/D&gt;&lt;D xsi:type="xsd:double"&gt;42.64&lt;/D&gt;&lt;D xsi:type="xsd:double"&gt;42.28&lt;/D&gt;&lt;D xsi:type="xsd:double"&gt;42.11&lt;/D&gt;&lt;D xsi:type="xsd:double"&gt;42.23&lt;/D&gt;&lt;D xsi:type="xsd:double"&gt;42.33&lt;/D&gt;&lt;D xsi:type="xsd:double"&gt;42.26&lt;/D&gt;&lt;D xsi:type="xsd:double"&gt;42.16&lt;/D&gt;&lt;D xsi:type="xsd:double"&gt;42.28&lt;/D&gt;&lt;D xsi:type="xsd:double"&gt;42.125&lt;/D&gt;&lt;D xsi:type="xsd:double"&gt;41.7&lt;/D&gt;&lt;D xsi:type="xsd:double"&gt;41.81&lt;/D&gt;&lt;D xsi:type="xsd:double"&gt;42.02&lt;/D&gt;&lt;D xsi:type="xsd:double"&gt;41.41&lt;/D&gt;&lt;D xsi:type="xsd:double"&gt;41.19&lt;/D&gt;&lt;D xsi:type="xsd:double"&gt;41.13&lt;/D&gt;&lt;D xsi:type="xsd:double"&gt;41.26&lt;/D&gt;&lt;D xsi:type="xsd:double"&gt;40.88&lt;/D&gt;&lt;D xsi:type="xsd:double"&gt;40.93&lt;/D&gt;&lt;D xsi:type="xsd:double"&gt;41.23&lt;/D&gt;&lt;D xsi:type="xsd:double"&gt;41.29&lt;/D&gt;&lt;D xsi:type="xsd:double"&gt;41.66&lt;/D&gt;&lt;D xsi:type="xsd:double"&gt;41.32&lt;/D&gt;&lt;D xsi:type="xsd:double"&gt;41.46&lt;/D&gt;&lt;D xsi:type="xsd:double"&gt;41.71&lt;/D&gt;&lt;D xsi:type="xsd:double"&gt;41.47&lt;/D&gt;&lt;D xsi:type="xsd:double"&gt;41.53&lt;/D&gt;&lt;D xsi:type="xsd:double"&gt;41.4&lt;/D&gt;&lt;D xsi:type="xsd:double"&gt;41.26&lt;/D&gt;&lt;D xsi:type="xsd:double"&gt;40.92&lt;/D&gt;&lt;D xsi:type="xsd:double"&gt;41.06&lt;/D&gt;&lt;D xsi:type="xsd:double"&gt;41.12&lt;/D&gt;&lt;D xsi:type="xsd:double"&gt;41.12&lt;/D&gt;&lt;D xsi:type="xsd:double"&gt;40.75&lt;/D&gt;&lt;/FQL&gt;&lt;FQL&gt;&lt;Q&gt;URTH^P_PRICE(0,-200D)&lt;/Q&gt;&lt;R&gt;201&lt;/R&gt;&lt;C&gt;1&lt;/C&gt;&lt;D xsi:type="xsd:double"&gt;135.93&lt;/D&gt;&lt;D xsi:type="xsd:double"&gt;138&lt;/D&gt;&lt;D xsi:type="xsd:double"&gt;137.9&lt;/D&gt;&lt;D xsi:type="xsd:double"&gt;137.23&lt;/D&gt;&lt;D xsi:type="xsd:double"&gt;137.15&lt;/D&gt;&lt;D xsi:type="xsd:double"&gt;136.37&lt;/D&gt;&lt;D xsi:type="xsd:double"&gt;135.84&lt;/D&gt;&lt;D xsi:type="xsd:double"&gt;136.45&lt;/D&gt;&lt;D xsi:type="xsd:double"&gt;135.75&lt;/D&gt;&lt;D xsi:type="xsd:double"&gt;134.2&lt;/D&gt;&lt;D xsi:type="xsd:double"&gt;135.99&lt;/D&gt;&lt;D xsi:type="xsd:double"&gt;136.11&lt;/D&gt;&lt;D xsi:type="xsd:double"&gt;135.07&lt;/D&gt;&lt;D xsi:type="xsd:double"&gt;134.95&lt;/D&gt;&lt;D xsi:type="xsd:double"&gt;134.42&lt;/D&gt;&lt;D xsi:type="xsd:double"&gt;134.11&lt;/D&gt;&lt;D xsi:type="xsd:double"&gt;133.94&lt;/D&gt;&lt;D xsi:type="xsd:double"&gt;133.63&lt;/D&gt;&lt;D xsi:type="xsd:double"&gt;132.25&lt;/D&gt;&lt;D xsi:type="xsd:double"&gt;131.15&lt;/D&gt;&lt;D xsi:type="xsd:double"&gt;132.01&lt;/D&gt;&lt;D xsi:type="xsd:double"&gt;132.93&lt;/D&gt;&lt;D xsi:type="xsd:double"&gt;132.82&lt;/D&gt;&lt;D xsi:type="xsd:double"&gt;132.83&lt;/D&gt;&lt;D xsi:type="xsd:double"&gt;132.06&lt;/D&gt;&lt;D xsi:type="xsd:double"&gt;132.59&lt;/D&gt;&lt;D xsi:type="xsd:double"&gt;130.86&lt;/D&gt;&lt;D xsi:type="xsd:double"&gt;130.7&lt;/D&gt;&lt;D xsi:type="xsd:double"&gt;130.85&lt;/D&gt;&lt;D xsi:type="xsd:double"&gt;131.91&lt;/D&gt;&lt;D xsi:type="xsd:double"&gt;133.02&lt;/D&gt;&lt;D xsi:type="xsd:double"&gt;133.28&lt;/D&gt;&lt;D xsi:type="xsd:double"&gt;133.36&lt;/D&gt;&lt;D xsi:type="xsd:double"&gt;132.98&lt;/D&gt;&lt;D xsi:type="xsd:double"&gt;132.43&lt;/D&gt;&lt;D xsi:type="xsd:double"&gt;132.16&lt;/D&gt;&lt;D xsi:type="xsd:double"&gt;130.63&lt;/D&gt;&lt;D xsi:type="xsd:double"&gt;133.48&lt;/D&gt;&lt;D xsi:type="xsd:double"&gt;132.56&lt;/D&gt;&lt;D xsi:type="xsd:double"&gt;131.95&lt;/D&gt;&lt;D xsi:type="xsd:double"&gt;132.36&lt;/D&gt;&lt;D xsi:type="xsd:double"&gt;131.67&lt;/D&gt;&lt;D xsi:type="xsd:double"&gt;129.75&lt;/D&gt;&lt;D xsi:type="xsd:double"&gt;129.41&lt;/D&gt;&lt;D xsi:type="xsd:double"&gt;128.92&lt;/D&gt;&lt;D xsi:type="xsd:double"&gt;128.46&lt;/D&gt;&lt;D xsi:type="xsd:double"&gt;127.54&lt;/D&gt;&lt;D xsi:type="xsd:double"&gt;127.84&lt;/D&gt;&lt;D xsi:type="xsd:double"&gt;128.04&lt;/D&gt;&lt;D xsi:type="xsd:double"&gt;128.76&lt;/D&gt;&lt;D xsi:type="xsd:double"&gt;127.78&lt;/D&gt;&lt;D xsi:type="xsd:double"&gt;127.43&lt;/D&gt;&lt;D xsi:type="xsd:double"&gt;127.41&lt;/D&gt;&lt;D xsi:type="xsd:double"&gt;127.31&lt;/D&gt;&lt;D xsi:type="xsd:double"&gt;127.52&lt;/D&gt;&lt;D xsi:type="xsd:double"&gt;127.23&lt;/D&gt;&lt;D xsi:type="xsd:double"&gt;126.8&lt;/D&gt;&lt;D xsi:type="xsd:double"&gt;127.07&lt;/D&gt;&lt;D xsi:type="xsd:double"&gt;126.3&lt;/D&gt;&lt;D xsi:type="xsd:double"&gt;125.66&lt;/D&gt;&lt;D xsi:type="xsd:double"&gt;125.66&lt;/D&gt;&lt;D xsi:type="xsd:double"&gt;125.46&lt;/D&gt;&lt;D xsi:type="xsd:double"&gt;122.88&lt;/D&gt;&lt;D xsi:type="xsd:double"&gt;122.84&lt;/D&gt;&lt;D xsi:type="xsd:double"&gt;121.31&lt;/D&gt;&lt;D xsi:type="xsd:double"&gt;122.02&lt;/D&gt;&lt;D xsi:type="xsd:double"&gt;121.99&lt;/D&gt;&lt;D xsi:type="xsd:double"&gt;121.89&lt;/D&gt;&lt;D xsi:type="xsd:double"&gt;121.93&lt;/D&gt;&lt;D xsi:type="xsd:double"&gt;120.72&lt;/D&gt;&lt;D xsi:type="xsd:double"&gt;118.32&lt;/D&gt;&lt;D xsi:type="xsd:double"&gt;117.11&lt;/D&gt;&lt;D xsi:type="xsd:double"&gt;116.43&lt;/D&gt;&lt;D xsi:type="xsd:double"&gt;115.01&lt;/D&gt;&lt;D xsi:type="xsd:double"&gt;115.58&lt;/D&gt;&lt;D xsi:type="xsd:double"&gt;116.77&lt;/D&gt;&lt;D xsi:type="xsd:double"&gt;118.3&lt;/D&gt;&lt;D xsi:type="xsd:double"&gt;117.5&lt;/D&gt;&lt;D xsi:type="xsd:double"&gt;117.65&lt;/D&gt;&lt;D xsi:type="xsd:double"&gt;118.98&lt;/D&gt;&lt;D xsi:type="xsd:double"&gt;120.06&lt;/D&gt;&lt;D xsi:type="xsd:double"&gt;121.84&lt;/D&gt;&lt;D xsi:type="xsd:double"&gt;121.85&lt;/D&gt;&lt;D xsi:type="xsd:double"&gt;120.68&lt;/D&gt;&lt;D xsi:type="xsd:double"&gt;121.38&lt;/D&gt;&lt;D xsi:type="xsd:double"&gt;122.32&lt;/D&gt;&lt;D xsi:type="xsd:double"&gt;121.78&lt;/D&gt;&lt;D xsi:type="xsd:double"&gt;120.79&lt;/D&gt;&lt;D xsi:type="xsd:double"&gt;120.25&lt;/D&gt;&lt;D xsi:type="xsd:double"&gt;118.88&lt;/D&gt;&lt;D xsi:type="xsd:double"&gt;118.63&lt;/D&gt;&lt;D xsi:type="xsd:double"&gt;117.94&lt;/D&gt;&lt;D xsi:type="xsd:double"&gt;119.51&lt;/D&gt;&lt;D xsi:type="xsd:double"&gt;120.17&lt;/D&gt;&lt;D xsi:type="xsd:double"&gt;120.52&lt;/D&gt;&lt;D xsi:type="xsd:double"&gt;119.58&lt;/D&gt;&lt;D xsi:type="xsd:double"&gt;119.67&lt;/D&gt;&lt;D xsi:type="xsd:double"&gt;121.39&lt;/D&gt;&lt;D xsi:type="xsd:double"&gt;121.17&lt;/D&gt;&lt;D xsi:type="xsd:double"&gt;121.36&lt;/D&gt;&lt;D xsi:type="xsd:double"&gt;123.43&lt;/D&gt;&lt;D xsi:type="xsd:double"&gt;124.34&lt;/D&gt;&lt;D xsi:type="xsd:double"&gt;124.52&lt;/D&gt;&lt;D xsi:type="xsd:double"&gt;124.62&lt;/D&gt;&lt;D xsi:type="xsd:double"&gt;125.72&lt;/D&gt;&lt;D xsi:type="xsd:double"&gt;124.52&lt;/D&gt;&lt;D xsi:type="xsd:double"&gt;124.48&lt;/D&gt;&lt;D xsi:type="xsd:double"&gt;125.09&lt;/D&gt;&lt;D xsi:type="xsd:double"&gt;124.12&lt;/D&gt;&lt;D xsi:type="xsd:double"&gt;124.09&lt;/D&gt;&lt;D xsi:type="xsd:double"&gt;124.45&lt;/D&gt;&lt;D xsi:type="xsd:double"&gt;125.21&lt;/D&gt;&lt;D xsi:type="xsd:double"&gt;125.91&lt;/D&gt;&lt;D xsi:type="xsd:double"&gt;125.7&lt;/D&gt;&lt;D xsi:type="xsd:double"&gt;125.89&lt;/D&gt;&lt;D xsi:type="xsd:double"&gt;125.4&lt;/D&gt;&lt;D xsi:type="xsd:double"&gt;123.64&lt;/D&gt;&lt;D xsi:type="xsd:double"&gt;122.7&lt;/D&gt;&lt;D xsi:type="xsd:double"&gt;121.87&lt;/D&gt;&lt;D xsi:type="xsd:double"&gt;123.51&lt;/D&gt;&lt;D xsi:type="xsd:double"&gt;122.21&lt;/D&gt;&lt;D xsi:type="xsd:double"&gt;122.57&lt;/D&gt;&lt;D xsi:type="xsd:double"&gt;121.82&lt;/D&gt;&lt;D xsi:type="xsd:double"&gt;121.85&lt;/D&gt;&lt;D xsi:type="xsd:double"&gt;122.7&lt;/D&gt;&lt;D xsi:type="xsd:double"&gt;123.68&lt;/D&gt;&lt;D xsi:type="xsd:double"&gt;125.17&lt;/D&gt;&lt;D xsi:type="xsd:double"&gt;124.87&lt;/D&gt;&lt;D xsi:type="xsd:double"&gt;125.17&lt;/D&gt;&lt;D xsi:type="xsd:double"&gt;125.01&lt;/D&gt;&lt;D xsi:type="xsd:double"&gt;125.65&lt;/D&gt;&lt;D xsi:type="xsd:double"&gt;126.29&lt;/D&gt;&lt;D xsi:type="xsd:double"&gt;125.22&lt;/D&gt;&lt;D xsi:type="xsd:double"&gt;125.52&lt;/D&gt;&lt;D xsi:type="xsd:double"&gt;125.9&lt;/D&gt;&lt;D xsi:type="xsd:double"&gt;127.91&lt;/D&gt;&lt;D xsi:type="xsd:double"&gt;128.54&lt;/D&gt;&lt;D xsi:type="xsd:double"&gt;128.44&lt;/D&gt;&lt;D xsi:type="xsd:double"&gt;127.22&lt;/D&gt;&lt;D xsi:type="xsd:double"&gt;128.01&lt;/D&gt;&lt;D xsi:type="xsd:double"&gt;127.92&lt;/D&gt;&lt;D xsi:type="xsd:double"&gt;127.59&lt;/D&gt;&lt;D xsi:type="xsd:double"&gt;127.4&lt;/D&gt;&lt;D xsi:type="xsd:double"&gt;127.33&lt;/D&gt;&lt;D xsi:type="xsd:double"&gt;128.1&lt;/D&gt;&lt;D xsi:type="xsd:double"&gt;127.93&lt;/D&gt;&lt;D xsi:type="xsd:double"&gt;126.92&lt;/D&gt;&lt;D xsi:type="xsd:double"&gt;126.64&lt;/D&gt;&lt;D xsi:type="xsd:double"&gt;126.98&lt;/D&gt;&lt;D xsi:type="xsd:double"&gt;125.53&lt;/D&gt;&lt;D xsi:type="xsd:double"&gt;124.18&lt;/D&gt;&lt;D xsi:type="xsd:double"&gt;123.25&lt;/D&gt;&lt;D xsi:type="xsd:double"&gt;122.87&lt;/D&gt;&lt;D xsi:type="xsd:double"&gt;122.77&lt;/D&gt;&lt;D xsi:type="xsd:double"&gt;124.16&lt;/D&gt;&lt;D xsi:type="xsd:double"&gt;124.8&lt;/D&gt;&lt;D xsi:type="xsd:double"&gt;124.52&lt;/D&gt;&lt;D xsi:type="xsd:double"&gt;123.18&lt;/D&gt;&lt;D xsi:type="xsd:double"&gt;122.82&lt;/D&gt;&lt;D xsi:type="xsd:double"&gt;122.8&lt;/D&gt;&lt;D xsi:type="xsd:double"&gt;121.54&lt;/D&gt;&lt;D xsi:type="xsd:double"&gt;121.79&lt;/D&gt;&lt;D xsi:type="xsd:double"&gt;122.89&lt;/D&gt;&lt;D xsi:type="xsd:double"&gt;122.91&lt;/D&gt;&lt;D xsi:type="xsd:double"&gt;123.24&lt;/D&gt;&lt;D xsi:type="xsd:double"&gt;124.29&lt;/D&gt;&lt;D xsi:type="xsd:double"&gt;124.7&lt;/D&gt;&lt;D xsi:type="xsd:double"&gt;123.18&lt;/D&gt;&lt;D xsi:type="xsd:double"&gt;122.95&lt;/D&gt;&lt;D xsi:type="xsd:double"&gt;122.03&lt;/D&gt;&lt;D xsi:type="xsd:dou</t>
        </r>
      </text>
    </comment>
    <comment ref="A3" authorId="0" shapeId="0" xr:uid="{E25392CB-B337-4E08-A356-E5A5888F1510}">
      <text>
        <r>
          <rPr>
            <b/>
            <sz val="9"/>
            <color indexed="81"/>
            <rFont val="Tahoma"/>
            <family val="2"/>
          </rPr>
          <t>ble"&gt;121.09&lt;/D&gt;&lt;D xsi:type="xsd:double"&gt;120.95&lt;/D&gt;&lt;D xsi:type="xsd:double"&gt;120.16&lt;/D&gt;&lt;D xsi:type="xsd:double"&gt;121.98&lt;/D&gt;&lt;D xsi:type="xsd:double"&gt;121.46&lt;/D&gt;&lt;D xsi:type="xsd:double"&gt;121.83&lt;/D&gt;&lt;D xsi:type="xsd:double"&gt;120.03&lt;/D&gt;&lt;D xsi:type="xsd:double"&gt;118.6&lt;/D&gt;&lt;D xsi:type="xsd:double"&gt;119.52&lt;/D&gt;&lt;D xsi:type="xsd:double"&gt;119.91&lt;/D&gt;&lt;D xsi:type="xsd:double"&gt;118.41&lt;/D&gt;&lt;D xsi:type="xsd:double"&gt;117.91&lt;/D&gt;&lt;D xsi:type="xsd:double"&gt;119.03&lt;/D&gt;&lt;D xsi:type="xsd:double"&gt;120.47&lt;/D&gt;&lt;D xsi:type="xsd:double"&gt;120.39&lt;/D&gt;&lt;D xsi:type="xsd:double"&gt;120.33&lt;/D&gt;&lt;D xsi:type="xsd:double"&gt;119.56&lt;/D&gt;&lt;D xsi:type="xsd:double"&gt;118.43&lt;/D&gt;&lt;D xsi:type="xsd:double"&gt;119.46&lt;/D&gt;&lt;D xsi:type="xsd:double"&gt;118.75&lt;/D&gt;&lt;D xsi:type="xsd:double"&gt;118.92&lt;/D&gt;&lt;D xsi:type="xsd:double"&gt;119.2&lt;/D&gt;&lt;D xsi:type="xsd:double"&gt;118.91&lt;/D&gt;&lt;D xsi:type="xsd:double"&gt;119.4&lt;/D&gt;&lt;D xsi:type="xsd:double"&gt;119.35&lt;/D&gt;&lt;D xsi:type="xsd:double"&gt;117.29&lt;/D&gt;&lt;D xsi:type="xsd:double"&gt;117.86&lt;/D&gt;&lt;D xsi:type="xsd:double"&gt;118.37&lt;/D&gt;&lt;D xsi:type="xsd:double"&gt;119.67&lt;/D&gt;&lt;D xsi:type="xsd:double"&gt;119.79&lt;/D&gt;&lt;D xsi:type="xsd:double"&gt;119.18&lt;/D&gt;&lt;/FQL&gt;&lt;FQL&gt;&lt;Q&gt;EWJ^P_PRICE(0,-200D)&lt;/Q&gt;&lt;R&gt;201&lt;/R&gt;&lt;C&gt;1&lt;/C&gt;&lt;D xsi:type="xsd:double"&gt;66.74&lt;/D&gt;&lt;D xsi:type="xsd:double"&gt;66.97&lt;/D&gt;&lt;D xsi:type="xsd:double"&gt;66.63&lt;/D&gt;&lt;D xsi:type="xsd:double"&gt;66.39&lt;/D&gt;&lt;D xsi:type="xsd:double"&gt;66.56&lt;/D&gt;&lt;D xsi:type="xsd:double"&gt;66.18&lt;/D&gt;&lt;D xsi:type="xsd:double"&gt;66.19&lt;/D&gt;&lt;D xsi:type="xsd:double"&gt;66.51&lt;/D&gt;&lt;D xsi:type="xsd:double"&gt;66.92&lt;/D&gt;&lt;D xsi:type="xsd:double"&gt;66.21&lt;/D&gt;&lt;D xsi:type="xsd:double"&gt;65.93&lt;/D&gt;&lt;D xsi:type="xsd:double"&gt;66.17&lt;/D&gt;&lt;D xsi:type="xsd:double"&gt;65.39&lt;/D&gt;&lt;D xsi:type="xsd:double"&gt;65.92&lt;/D&gt;&lt;D xsi:type="xsd:double"&gt;66.17&lt;/D&gt;&lt;D xsi:type="xsd:double"&gt;66.09&lt;/D&gt;&lt;D xsi:type="xsd:double"&gt;66.68&lt;/D&gt;&lt;D xsi:type="xsd:double"&gt;65.9&lt;/D&gt;&lt;D xsi:type="xsd:double"&gt;65.73&lt;/D&gt;&lt;D xsi:type="xsd:double"&gt;65.12&lt;/D&gt;&lt;D xsi:type="xsd:double"&gt;65.94&lt;/D&gt;&lt;D xsi:type="xsd:double"&gt;66.43&lt;/D&gt;&lt;D xsi:type="xsd:double"&gt;65.8&lt;/D&gt;&lt;D xsi:type="xsd:double"&gt;65.22&lt;/D&gt;&lt;D xsi:type="xsd:double"&gt;64.07&lt;/D&gt;&lt;D xsi:type="xsd:double"&gt;64.46&lt;/D&gt;&lt;D xsi:type="xsd:double"&gt;63.53&lt;/D&gt;&lt;D xsi:type="xsd:double"&gt;63.06&lt;/D&gt;&lt;D xsi:type="xsd:double"&gt;63.21&lt;/D&gt;&lt;D xsi:type="xsd:double"&gt;63.56&lt;/D&gt;&lt;D xsi:type="xsd:double"&gt;64.14&lt;/D&gt;&lt;D xsi:type="xsd:double"&gt;64.04&lt;/D&gt;&lt;D xsi:type="xsd:double"&gt;63.66&lt;/D&gt;&lt;D xsi:type="xsd:double"&gt;63.31&lt;/D&gt;&lt;D xsi:type="xsd:double"&gt;63.33&lt;/D&gt;&lt;D xsi:type="xsd:double"&gt;63.13&lt;/D&gt;&lt;D xsi:type="xsd:double"&gt;62.05&lt;/D&gt;&lt;D xsi:type="xsd:double"&gt;63.24&lt;/D&gt;&lt;D xsi:type="xsd:double"&gt;63.05&lt;/D&gt;&lt;D xsi:type="xsd:double"&gt;63.17&lt;/D&gt;&lt;D xsi:type="xsd:double"&gt;63.72&lt;/D&gt;&lt;D xsi:type="xsd:double"&gt;64.01&lt;/D&gt;&lt;D xsi:type="xsd:double"&gt;63.05&lt;/D&gt;&lt;D xsi:type="xsd:double"&gt;63.14&lt;/D&gt;&lt;D xsi:type="xsd:double"&gt;62.78&lt;/D&gt;&lt;D xsi:type="xsd:double"&gt;63.15&lt;/D&gt;&lt;D xsi:type="xsd:double"&gt;62.67&lt;/D&gt;&lt;D xsi:type="xsd:double"&gt;62.02&lt;/D&gt;&lt;D xsi:type="xsd:double"&gt;62.25&lt;/D&gt;&lt;D xsi:type="xsd:double"&gt;63.21&lt;/D&gt;&lt;D xsi:type="xsd:double"&gt;62.61&lt;/D&gt;&lt;D xsi:type="xsd:double"&gt;62.49&lt;/D&gt;&lt;D xsi:type="xsd:double"&gt;62.55&lt;/D&gt;&lt;D xsi:type="xsd:double"&gt;62.56&lt;/D&gt;&lt;D xsi:type="xsd:double"&gt;62.61&lt;/D&gt;&lt;D xsi:type="xsd:double"&gt;62.49&lt;/D&gt;&lt;D xsi:type="xsd:double"&gt;62.1&lt;/D&gt;&lt;D xsi:type="xsd:double"&gt;62.36&lt;/D&gt;&lt;D xsi:type="xsd:double"&gt;62.35&lt;/D&gt;&lt;D xsi:type="xsd:double"&gt;61.39&lt;/D&gt;&lt;D xsi:type="xsd:double"&gt;61.18&lt;/D&gt;&lt;D xsi:type="xsd:double"&gt;61.64&lt;/D&gt;&lt;D xsi:type="xsd:double"&gt;60.44&lt;/D&gt;&lt;D xsi:type="xsd:double"&gt;60.47&lt;/D&gt;&lt;D xsi:type="xsd:double"&gt;59.89&lt;/D&gt;&lt;D xsi:type="xsd:double"&gt;59.64&lt;/D&gt;&lt;D xsi:type="xsd:double"&gt;60.64&lt;/D&gt;&lt;D xsi:type="xsd:double"&gt;61.2&lt;/D&gt;&lt;D xsi:type="xsd:double"&gt;62&lt;/D&gt;&lt;D xsi:type="xsd:double"&gt;60.95&lt;/D&gt;&lt;D xsi:type="xsd:double"&gt;59.97&lt;/D&gt;&lt;D xsi:type="xsd:double"&gt;58.96&lt;/D&gt;&lt;D xsi:type="xsd:double"&gt;58.25&lt;/D&gt;&lt;D xsi:type="xsd:double"&gt;57.82&lt;/D&gt;&lt;D xsi:type="xsd:double"&gt;57.34&lt;/D&gt;&lt;D xsi:type="xsd:double"&gt;58.13&lt;/D&gt;&lt;D xsi:type="xsd:double"&gt;58.36&lt;/D&gt;&lt;D xsi:type="xsd:double"&gt;57.99&lt;/D&gt;&lt;D xsi:type="xsd:double"&gt;58.13&lt;/D&gt;&lt;D xsi:type="xsd:double"&gt;58.52&lt;/D&gt;&lt;D xsi:type="xsd:double"&gt;58.95&lt;/D&gt;&lt;D xsi:type="xsd:double"&gt;59.89&lt;/D&gt;&lt;D xsi:type="xsd:double"&gt;59.77&lt;/D&gt;&lt;D xsi:type="xsd:double"&gt;59.58&lt;/D&gt;&lt;D xsi:type="xsd:double"&gt;60.33&lt;/D&gt;&lt;D xsi:type="xsd:double"&gt;60.18&lt;/D&gt;&lt;D xsi:type="xsd:double"&gt;60.33&lt;/D&gt;&lt;D xsi:type="xsd:double"&gt;59.55&lt;/D&gt;&lt;D xsi:type="xsd:double"&gt;59.38&lt;/D&gt;&lt;D xsi:type="xsd:double"&gt;59.23&lt;/D&gt;&lt;D xsi:type="xsd:double"&gt;58.09&lt;/D&gt;&lt;D xsi:type="xsd:double"&gt;58.73&lt;/D&gt;&lt;D xsi:type="xsd:double"&gt;59.77&lt;/D&gt;&lt;D xsi:type="xsd:double"&gt;60.29&lt;/D&gt;&lt;D xsi:type="xsd:double"&gt;61.15&lt;/D&gt;&lt;D xsi:type="xsd:double"&gt;61.03&lt;/D&gt;&lt;D xsi:type="xsd:double"&gt;60.77&lt;/D&gt;&lt;D xsi:type="xsd:double"&gt;61.72&lt;/D&gt;&lt;D xsi:type="xsd:double"&gt;61.8&lt;/D&gt;&lt;D xsi:type="xsd:double"&gt;61.63&lt;/D&gt;&lt;D xsi:type="xsd:double"&gt;62.6&lt;/D&gt;&lt;D xsi:type="xsd:double"&gt;63.45&lt;/D&gt;&lt;D xsi:type="xsd:double"&gt;63.14&lt;/D&gt;&lt;D xsi:type="xsd:double"&gt;62.99&lt;/D&gt;&lt;D xsi:type="xsd:double"&gt;63.34&lt;/D&gt;&lt;D xsi:type="xsd:double"&gt;62.28&lt;/D&gt;&lt;D xsi:type="xsd:double"&gt;62.31&lt;/D&gt;&lt;D xsi:type="xsd:double"&gt;62.32&lt;/D&gt;&lt;D xsi:type="xsd:double"&gt;61.61&lt;/D&gt;&lt;D xsi:type="xsd:double"&gt;62.23&lt;/D&gt;&lt;D xsi:type="xsd:double"&gt;62.23&lt;/D&gt;&lt;D xsi:type="xsd:double"&gt;62.07&lt;/D&gt;&lt;D xsi:type="xsd:double"&gt;62.04&lt;/D&gt;&lt;D xsi:type="xsd:double"&gt;61.64&lt;/D&gt;&lt;D xsi:type="xsd:double"&gt;60.99&lt;/D&gt;&lt;D xsi:type="xsd:double"&gt;61.1&lt;/D&gt;&lt;D xsi:type="xsd:double"&gt;60.68&lt;/D&gt;&lt;D xsi:type="xsd:double"&gt;59.97&lt;/D&gt;&lt;D xsi:type="xsd:double"&gt;59.66&lt;/D&gt;&lt;D xsi:type="xsd:double"&gt;60.45&lt;/D&gt;&lt;D xsi:type="xsd:double"&gt;59.66&lt;/D&gt;&lt;D xsi:type="xsd:double"&gt;59.37&lt;/D&gt;&lt;D xsi:type="xsd:double"&gt;59.32&lt;/D&gt;&lt;D xsi:type="xsd:double"&gt;59.17&lt;/D&gt;&lt;D xsi:type="xsd:double"&gt;59.42&lt;/D&gt;&lt;D xsi:type="xsd:double"&gt;60.17&lt;/D&gt;&lt;D xsi:type="xsd:double"&gt;60.82&lt;/D&gt;&lt;D xsi:type="xsd:double"&gt;61.37&lt;/D&gt;&lt;D xsi:type="xsd:double"&gt;61.47&lt;/D&gt;&lt;D xsi:type="xsd:double"&gt;61.21&lt;/D&gt;&lt;D xsi:type="xsd:double"&gt;61.75&lt;/D&gt;&lt;D xsi:type="xsd:double"&gt;62.3&lt;/D&gt;&lt;D xsi:type="xsd:double"&gt;61.78&lt;/D&gt;&lt;D xsi:type="xsd:double"&gt;61.19&lt;/D&gt;&lt;D xsi:type="xsd:double"&gt;61.49&lt;/D&gt;&lt;D xsi:type="xsd:double"&gt;62.67&lt;/D&gt;&lt;D xsi:type="xsd:double"&gt;63.42&lt;/D&gt;&lt;D xsi:type="xsd:double"&gt;63.7&lt;/D&gt;&lt;D xsi:type="xsd:double"&gt;63.34&lt;/D&gt;&lt;D xsi:type="xsd:double"&gt;62.83&lt;/D&gt;&lt;D xsi:type="xsd:double"&gt;62.58&lt;/D&gt;&lt;D xsi:type="xsd:double"&gt;62.5&lt;/D&gt;&lt;D xsi:type="xsd:double"&gt;62.41&lt;/D&gt;&lt;D xsi:type="xsd:double"&gt;62.48&lt;/D&gt;&lt;D xsi:type="xsd:double"&gt;63.32&lt;/D&gt;&lt;D xsi:type="xsd:double"&gt;63.31&lt;/D&gt;&lt;D xsi:type="xsd:double"&gt;62.45&lt;/D&gt;&lt;D xsi:type="xsd:double"&gt;62.42&lt;/D&gt;&lt;D xsi:type="xsd:double"&gt;63.18&lt;/D&gt;&lt;D xsi:type="xsd:double"&gt;62.25&lt;/D&gt;&lt;D xsi:type="xsd:double"&gt;61.82&lt;/D&gt;&lt;D xsi:type="xsd:double"&gt;61.55&lt;/D&gt;&lt;D xsi:type="xsd:double"&gt;61.64&lt;/D&gt;&lt;D xsi:type="xsd:double"&gt;60.77&lt;/D&gt;&lt;D xsi:type="xsd:double"&gt;61.58&lt;/D&gt;&lt;D xsi:type="xsd:double"&gt;62.09&lt;/D&gt;&lt;D xsi:type="xsd:double"&gt;61.9&lt;/D&gt;&lt;D xsi:type="xsd:double"&gt;61.51&lt;/D&gt;&lt;D xsi:type="xsd:double"&gt;61.82&lt;/D&gt;&lt;D xsi:type="xsd:double"&gt;61.14&lt;/D&gt;&lt;D xsi:type="xsd:double"&gt;60.91&lt;/D&gt;&lt;D xsi:type="xsd:double"&gt;60.91&lt;/D&gt;&lt;D xsi:type="xsd:double"&gt;62.45&lt;/D&gt;&lt;D xsi:type="xsd:double"&gt;62.97&lt;/D&gt;&lt;D xsi:type="xsd:double"&gt;62.23&lt;/D&gt;&lt;D xsi:type="xsd:double"&gt;63.1&lt;/D&gt;&lt;D xsi:type="xsd:double"&gt;63.71&lt;/D&gt;&lt;D xsi:type="xsd:double"&gt;63.8&lt;/D&gt;&lt;D xsi:type="xsd:double"&gt;63.51&lt;/D&gt;&lt;D xsi:type="xsd:double"&gt;62.61&lt;/D&gt;&lt;D xsi:type="xsd:double"&gt;62.22&lt;/D&gt;&lt;D xsi:type="xsd:double"&gt;61.52&lt;/D&gt;&lt;D xsi:type="xsd:double"&gt;61&lt;/D&gt;&lt;D xsi:type="xsd:double"&gt;63.04&lt;/D&gt;&lt;D xsi:type="xsd:double"&gt;61.78&lt;/D&gt;&lt;D xsi:type="xsd:double"&gt;62&lt;/D&gt;&lt;D xsi:type="xsd:double"&gt;60.83&lt;/D&gt;&lt;D xsi:type="xsd:double"&gt;59.34&lt;/D&gt;&lt;D xsi:type="xsd:double"&gt;59.86&lt;/D&gt;&lt;D xsi:type="xsd:double"&gt;60.25&lt;/D&gt;&lt;D xsi:type="xsd:double"&gt;60.05&lt;/D&gt;&lt;D xsi:type="xsd:double"&gt;59.71&lt;/D&gt;&lt;D xsi:type="xsd:double"&gt;60.35&lt;/D&gt;&lt;D xsi:type="xsd:double"&gt;61.23&lt;/D&gt;&lt;D xsi:type="xsd:double"&gt;60.96&lt;/D&gt;&lt;D xsi:type="xsd:double"&gt;60.86&lt;/D&gt;&lt;D xsi:type="xsd:double"&gt;60.85&lt;/D&gt;&lt;D xsi:type="xsd:double"&gt;60.44&lt;/D&gt;&lt;D xsi:type="xsd:double"&gt;60.56&lt;/D&gt;&lt;D xsi:type="xsd:double"&gt;60.2&lt;/D&gt;&lt;D xsi:type="xsd:double"&gt;59.91&lt;/D&gt;&lt;D xsi:type="xsd:double"&gt;59.74&lt;/D&gt;&lt;D xsi:type="xsd:double"&gt;60.04&lt;/D&gt;&lt;D xsi:type="xsd:double"&gt;59.4&lt;/D&gt;&lt;D xsi:type="xsd:double"&gt;59.53&lt;/D&gt;&lt;D xsi:type="xsd:double"&gt;58.74&lt;/D&gt;&lt;D xsi:type="xsd:double"&gt;58.63&lt;/D&gt;&lt;D xsi:type="xsd:double"&gt;58.28&lt;/D&gt;&lt;D xsi:type="xsd:double"&gt;58.77&lt;/D&gt;&lt;D xsi:type="xsd:double"&gt;58.84&lt;/D&gt;&lt;D xsi:type="xsd:double"&gt;59.31&lt;/D&gt;&lt;/FQL&gt;&lt;FQL&gt;&lt;Q&gt;EMXC^P_PRICE(0,-200D)&lt;/Q&gt;&lt;R&gt;201&lt;/R&gt;&lt;C&gt;1&lt;/C&gt;&lt;D xsi:type="xsd:double"&gt;54.93&lt;/D&gt;&lt;D xsi:type="xsd:double"&gt;55.98&lt;/D&gt;&lt;D xsi:type="xsd:double"&gt;55.79&lt;/D&gt;&lt;D xsi:type="xsd:double"&gt;55.52&lt;/D&gt;&lt;D xsi:type="xsd:double"&gt;55.68&lt;/D&gt;&lt;D xsi:type="xsd:double"&gt;55.36&lt;/D&gt;&lt;D xsi:type="xsd:double"&gt;54.69&lt;/D&gt;&lt;D xsi:type="xsd:double"&gt;54.8&lt;/D&gt;&lt;D xsi:type="xsd:double"&gt;54.68&lt;/D&gt;&lt;D xsi:type="xsd:double"&gt;54.06&lt;/D&gt;&lt;D xsi:type="xsd:double"&gt;54.38&lt;/D&gt;&lt;D xsi:type="xsd:double"&gt;54.68&lt;/D&gt;&lt;D xsi:type="xsd:double"&gt;54.27&lt;/D&gt;&lt;D xsi:type="xsd:double"&gt;54.06&lt;/D&gt;&lt;D xsi:type="xsd:double"&gt;54.04&lt;/D&gt;&lt;D xsi:type="xsd:double"&gt;53.74&lt;/D&gt;&lt;D xsi:type="xsd:double"&gt;53.74&lt;/D&gt;&lt;D xsi:type="xsd:double"&gt;53.95&lt;/D&gt;&lt;D xsi:type="xsd:double"&gt;53.29&lt;/D&gt;&lt;D xsi:type="xsd:double"&gt;52.7&lt;/D&gt;&lt;D xsi:type="xsd:double"&gt;53.34&lt;/D&gt;&lt;D xsi:type="xsd:double"&gt;54.55&lt;/D&gt;&lt;D xsi:type="xsd:double"&gt;54.24&lt;/D&gt;&lt;D xsi:type="xsd:double"&gt;54.12&lt;/D&gt;&lt;D xsi:type="xsd:double"&gt;54.23&lt;/D&gt;&lt;D xsi:type="xsd:double"&gt;54.99&lt;/D&gt;&lt;D xsi:type="xsd:double"&gt;54.54&lt;/D&gt;&lt;D xsi:type="xsd:double"&gt;54.34&lt;/D&gt;&lt;D xsi:type="xsd:double"&gt;54.3&lt;/D&gt;&lt;D xsi:type="xsd:double"&gt;54.92&lt;/D&gt;&lt;D xsi:type="xsd:double"&gt;55.41&lt;/D&gt;&lt;D xsi:type="xsd:double"&gt;55.5&lt;/D&gt;&lt;D xsi:type="xsd:double"&gt;55.35&lt;/D&gt;&lt;D xsi:type="xsd:double"&gt;54.93&lt;/D&gt;&lt;D xsi:type="xsd:double"&gt;54.45&lt;/D&gt;&lt;D xsi:type="xsd:double"&gt;54.31&lt;/D&gt;&lt;D xsi:type="xsd:double"&gt;53.42&lt;/D&gt;&lt;D xsi:type="xsd:double"&gt;54.89&lt;/D&gt;&lt;D xsi:type="xsd:double"&gt;54.52&lt;/D&gt;&lt;D xsi:type="xsd:double"&gt;54.37&lt;/D&gt;&lt;D xsi:type="xsd:double"&gt;54.69&lt;/D&gt;&lt;D xsi:type="xsd:double"&gt;53.93&lt;/D&gt;&lt;D xsi:type="xsd:double"&gt;53.14&lt;/D&gt;&lt;D xsi:type="xsd:double"&gt;53.21&lt;/D&gt;&lt;D xsi:type="xsd:double"&gt;52.99&lt;/D&gt;&lt;D xsi:type="xsd:double"&gt;53.01&lt;/D&gt;&lt;D xsi:type="xsd:double"&gt;52.72&lt;/D&gt;&lt;D xsi:type="xsd:double"&gt;52.78&lt;/D&gt;&lt;D xsi:type="xsd:double"&gt;52.88&lt;/D&gt;&lt;D xsi:type="xsd:double"&gt;53.35&lt;/D&gt;&lt;D xsi:type="xsd:double"&gt;52.88&lt;/D&gt;&lt;D xsi:type="xsd:double"&gt;52.84&lt;/D&gt;&lt;D xsi:type="xsd:double"&gt;52.91&lt;/D&gt;&lt;D xsi:type="xsd:double"&gt;52.33&lt;/D&gt;&lt;D xsi:type="xsd:double"&gt;52.38&lt;/D&gt;&lt;D xsi:type="xsd:double"&gt;52.45&lt;/D&gt;&lt;D xsi:type="xsd:double"&gt;52.57&lt;/D&gt;&lt;D xsi:type="xsd:double"&gt;52.76&lt;/D&gt;&lt;D xsi:type="xsd:double"&gt;52.31&lt;/D&gt;&lt;D xsi:type="xsd:double"&gt;52.24&lt;/D&gt;&lt;D xsi:type="xsd:double"&gt;52.18&lt;/D&gt;&lt;D xsi:type="xsd:double"&gt;51.98&lt;/D&gt;&lt;D xsi:type="xsd:double"&gt;50.64&lt;/D&gt;&lt;D xsi:type="xsd:double"&gt;50.84&lt;/D&gt;&lt;D xsi:type="xsd:double"&gt;50.32&lt;/D&gt;&lt;D xsi:type="xsd:double"&gt;50.69&lt;/D&gt;&lt;D xsi:type="xsd:double"&gt;51.02&lt;/D&gt;&lt;D xsi:type="xsd:double"&gt;51.16&lt;/D&gt;&lt;D xsi:type="xsd:double"&gt;50.68&lt;/D&gt;&lt;D xsi:type="xsd:double"&gt;49.89&lt;/D&gt;&lt;D xsi:type="xsd:double"&gt;48.87&lt;/D&gt;&lt;D xsi:type="xsd:double"&gt;48.21&lt;/D&gt;&lt;D xsi:type="xsd:double"&gt;48.37&lt;/D&gt;&lt;D xsi:type="xsd:double"&gt;47.86&lt;/D&gt;&lt;D xsi:type="xsd:double"&gt;48.02&lt;/D&gt;&lt;D xsi:type="xsd:double"&gt;48.41&lt;/D&gt;&lt;D xsi:type="xsd:double"&gt;49&lt;/D&gt;&lt;D xsi:type="xsd:double"&gt;48.66&lt;/D&gt;&lt;D xsi:type="xsd:double"&gt;48.81&lt;/D&gt;&lt;D xsi:type="xsd:double"&gt;49.32&lt;/D&gt;&lt;D xsi:type="xsd:double"&gt;49.42&lt;/D&gt;&lt;D xsi:type="xsd:double"&gt;50.13&lt;/D&gt;&lt;D xsi:type="xsd:double"&gt;50.17&lt;/D&gt;&lt;D xsi:type="xsd:double"&gt;49.67&lt;/D&gt;&lt;D xsi:type="xsd:double"&gt;49.86&lt;/D&gt;&lt;D xsi:type="xsd:double"&gt;50.27&lt;/D&gt;&lt;D xsi:type="xsd:double"&gt;49.98&lt;/D&gt;&lt;D xsi:type="xsd:double"&gt;49.37&lt;/D&gt;&lt;D xsi:type="xsd:double"&gt;49.68&lt;/D&gt;&lt;D xsi:type="xsd:double"&gt;49.15&lt;/D&gt;&lt;D xsi:type="xsd:double"&gt;48.99&lt;/D&gt;&lt;D xsi:type="xsd:double"&gt;49.06&lt;/D&gt;&lt;D xsi:type="xsd:double"&gt;49.59&lt;/D&gt;&lt;D xsi:type="xsd:double"&gt;49.83&lt;/D&gt;&lt;D xsi:type="xsd:double"&gt;49.93&lt;/D&gt;&lt;D xsi:type="xsd:double"&gt;49.7&lt;/D&gt;&lt;D xsi:type="xsd:double"&gt;49.68&lt;/D&gt;&lt;D xsi:type="xsd:double"&gt;50.41&lt;/D&gt;&lt;D xsi:type="xsd:double"&gt;50.41&lt;/D&gt;&lt;D xsi:type="xsd:double"&gt;50.25&lt;/D&gt;&lt;D xsi:type="xsd:double"&gt;51.07&lt;/D&gt;&lt;D xsi:type="xsd:double"&gt;51.19&lt;/D&gt;&lt;D xsi:type="xsd:double"&gt;51.47&lt;/D&gt;&lt;D xsi:type="xsd:double"&gt;51.5&lt;/D&gt;&lt;D xsi:type="xsd:double"&gt;51.72&lt;/D&gt;&lt;D xsi:type="xsd:double"&gt;51.32&lt;/D&gt;&lt;D xsi:type="xsd:double"&gt;51.24&lt;/D&gt;&lt;D xsi:type="xsd:double"&gt;51.49&lt;/D&gt;&lt;D xsi:type="xsd:double"&gt;50.95&lt;/D&gt;&lt;D xsi:type="xsd:double"&gt;50.74&lt;/D&gt;&lt;D xsi:type="xsd:double"&gt;50.98&lt;/D&gt;&lt;D xsi:type="xsd:double"&gt;51.36&lt;/D&gt;&lt;D xsi:type="xsd:double"&gt;51.64&lt;/D&gt;&lt;D xsi:type="xsd:double"&gt;51.27&lt;/D&gt;&lt;D xsi:type="xsd:double"&gt;51.93&lt;/D&gt;&lt;D xsi:type="xsd:double"&gt;52.11&lt;/D&gt;&lt;D xsi:type="xsd:double"&gt;51.67&lt;/D&gt;&lt;D xsi:type="xsd:double"&gt;51.37&lt;/D&gt;&lt;D xsi:type="xsd:double"&gt;51.3&lt;/D&gt;&lt;D xsi:type="xsd:double"&gt;51.6&lt;/D&gt;&lt;D xsi:type="xsd:double"&gt;50.77&lt;/D&gt;&lt;D xsi:type="xsd:double"&gt;50.86&lt;/D&gt;&lt;D xsi:type="xsd:double"&gt;50.66&lt;/D&gt;&lt;D xsi:type="xsd:double"&gt;50.64&lt;/D&gt;&lt;D xsi:type="xsd:double"&gt;50.65&lt;/D&gt;&lt;D xsi:type="xsd:double"&gt;50.93&lt;/D&gt;&lt;D xsi:type="xsd:double"&gt;51.4&lt;/D&gt;&lt;D xsi:type="xsd:double"&gt;51.58&lt;/D&gt;&lt;D xsi:type="xsd:double"&gt;52.05&lt;/D&gt;&lt;D xsi:type="xsd:double"&gt;52.12&lt;/D&gt;&lt;D xsi:type="xsd:double"&gt;51.94&lt;/D&gt;&lt;D xsi:type="xsd:double"&gt;52.53&lt;/D&gt;&lt;D xsi:type="xsd:double"&gt;52.41&lt;/D&gt;&lt;D xsi:type="xsd:double"&gt;52.25&lt;/D&gt;&lt;D xsi:type="xsd:double"&gt;52.5&lt;/D&gt;&lt;D xsi:type="xsd:double"&gt;53.65&lt;/D&gt;&lt;D xsi:type="xsd:double"&gt;54.06&lt;/D&gt;&lt;D xsi:type="xsd:double"&gt;54.19&lt;/D&gt;&lt;D xsi:type="xsd:double"&gt;53.58&lt;/D&gt;&lt;D xsi:type="xsd:double"&gt;54.23&lt;/D&gt;&lt;D xsi:type="xsd:double"&gt;54.07&lt;/D&gt;&lt;D xsi:type="xsd:double"&gt;53.75&lt;/D&gt;&lt;D xsi:type="xsd:double"&gt;53.21&lt;/D&gt;&lt;D xsi:type="xsd:double"&gt;53.28&lt;/D&gt;&lt;D xsi:type="xsd:double"&gt;53.67&lt;/D&gt;&lt;D xsi:type="xsd:double"&gt;53.88&lt;/D&gt;&lt;D xsi:type="xsd:double"&gt;53.95&lt;/D&gt;&lt;D xsi:type="xsd:double"&gt;53.69&lt;/D&gt;&lt;D xsi:type="xsd:double"&gt;53.77&lt;/D&gt;&lt;D xsi:type="xsd:double"&gt;53.26&lt;/D&gt;&lt;D xsi:type="xsd:double"&gt;52.31&lt;/D&gt;&lt;D xsi:type="xsd:double"&gt;51.69&lt;/D&gt;&lt;D xsi:type="xsd:double"&gt;51.72&lt;/D&gt;&lt;D xsi:type="xsd:double"&gt;51.33&lt;/D&gt;&lt;D xsi:type="xsd:double"&gt;52.27&lt;/D&gt;&lt;D xsi:type="xsd:double"&gt;52.53&lt;/D&gt;&lt;D xsi:type="xsd:double"&gt;51.98&lt;/D&gt;&lt;D xsi:type="xsd:double"&gt;51.68&lt;/D&gt;&lt;D xsi:type="xsd:double"&gt;51.77&lt;/D&gt;&lt;D xsi:type="xsd:double"&gt;52.05&lt;/D&gt;&lt;D xsi:type="xsd:double"&gt;51.77&lt;/D&gt;&lt;D xsi:type="xsd:double"&gt;51.57&lt;/D&gt;&lt;D xsi:type="xsd:double"&gt;52.19&lt;/D&gt;&lt;D xsi:type="xsd:double"&gt;52.37&lt;/D&gt;&lt;D xsi:type="xsd:double"&gt;52.44&lt;/D&gt;&lt;D xsi:type="xsd:double"&gt;53.01&lt;/D&gt;&lt;D xsi:type="xsd:double"&gt;53.24&lt;/D&gt;&lt;D xsi:type="xsd:double"&gt;53&lt;/D&gt;&lt;D xsi:type="xsd:double"&gt;52.78&lt;/D&gt;&lt;D xsi:type="xsd:double"&gt;52.35&lt;/D&gt;&lt;D xsi:type="xsd:double"&gt;52.19&lt;/D&gt;&lt;D xsi:type="xsd:double"&gt;51.85&lt;/D&gt;&lt;D xsi:type="xsd:double"&gt;51.53&lt;/D&gt;&lt;D xsi:type="xsd:double"&gt;51.98&lt;/D&gt;&lt;D xsi:type="xsd:double"&gt;51.64&lt;/D&gt;&lt;D xsi:type="xsd:double"&gt;51.63&lt;/D&gt;&lt;D xsi:type="xsd:double"&gt;50.96&lt;/D&gt;&lt;D xsi:type="xsd:double"&gt;50.33&lt;/D&gt;&lt;D xsi:type="xsd:double"&gt;50.89&lt;/D&gt;&lt;D xsi:type="xsd:double"&gt;51.19&lt;/D&gt;&lt;D xsi:type="xsd:double"&gt;50.32&lt;/D&gt;&lt;D xsi:type="xsd:double"&gt;50.05&lt;/D&gt;&lt;D xsi:type="xsd:double"&gt;50.14&lt;/D&gt;&lt;D xsi:type="xsd:double"&gt;50.61&lt;/D&gt;&lt;D xsi:type="xsd:double"&gt;50.38&lt;/D&gt;&lt;D xsi:type="xsd:double"&gt;50.26&lt;/D&gt;&lt;D xsi:type="xsd:double"&gt;50.22&lt;/D&gt;&lt;D xsi:type="xsd:double"&gt;49.7&lt;/D&gt;&lt;D xsi:type="xsd:double"&gt;50.02&lt;/D&gt;&lt;D xsi:type="xsd:double"&gt;49.57&lt;/D&gt;&lt;D xsi:type="xsd:double"&gt;49.9&lt;/D&gt;&lt;D xsi:type="xsd:double"&gt;50.33&lt;/D&gt;&lt;D xsi:type="xsd:double"&gt;50.2&lt;/D&gt;&lt;D xsi:type="xsd:double"&gt;50.32&lt;/D&gt;&lt;D xsi:type="xsd:double"&gt;50.32&lt;/D&gt;&lt;D xsi:type="xsd:double"&gt;49.67&lt;/D&gt;&lt;D xsi:type="xsd:double"&gt;49.43&lt;/D&gt;&lt;D xsi:type="xsd:double"&gt;49.45&lt;/D&gt;&lt;D xsi:type="xsd:double"&gt;49.75&lt;/D&gt;&lt;D xsi:type="xsd:double"&gt;49.9&lt;/D&gt;&lt;D xsi:type="xsd:double"&gt;49.67&lt;/D&gt;&lt;/FQL&gt;&lt;FQL&gt;&lt;Q&gt;VGK^P_PRICE(0,-200D)&lt;/Q&gt;&lt;R&gt;201&lt;/R&gt;&lt;C&gt;1&lt;/C&gt;&lt;D xsi:type="xsd:double"&gt;62.66&lt;/D&gt;&lt;D xsi:type="xsd:double"&gt;63.9&lt;/D&gt;&lt;D xsi:type="xsd:double"&gt;63.85&lt;/D&gt;&lt;D xsi:type="xsd:double"&gt;63.63&lt;/D&gt;&lt;D xsi:type="xsd:double"&gt;63.63&lt;/D&gt;&lt;D xsi:type="xsd:double"&gt;63.84&lt;/D&gt;&lt;D xsi:type="xsd:double"&gt;63.33&lt;/D&gt;&lt;D xsi:type="xsd:double"&gt;63.7&lt;/D&gt;&lt;D xsi:type="xsd:double"&gt;64.32&lt;/D&gt;&lt;D xsi:type="xsd:double"&gt;63.69&lt;/D&gt;&lt;D xsi:type="xsd:double"&gt;64.17&lt;/D&gt;&lt;D xsi:type="xsd:double"&gt;64.14&lt;/D&gt;&lt;D xsi:type="xsd:double"&gt;63.93&lt;/D&gt;&lt;D xsi:type="xsd:double"&gt;63.36&lt;/D&gt;&lt;D xsi:type="xsd:double"&gt;63.07&lt;/D&gt;&lt;D xsi:type="xsd:double"&gt;62.45&lt;/D&gt;&lt;D xsi:type="xsd:double"&gt;62.6&lt;/D&gt;&lt;D xsi:type="xsd:double"&gt;62.49&lt;/D&gt;&lt;D xsi:type="xsd:double"&gt;62.47&lt;/D&gt;&lt;D xsi:type="xsd:double"&gt;61.92&lt;/D&gt;&lt;D xsi:type="xsd:double"&gt;62.41&lt;/D&gt;&lt;D xsi:type="xsd:double"&gt;63.62&lt;/D&gt;&lt;D xsi:type="xsd:double"&gt;63.44&lt;/D&gt;&lt;D xsi:type="xsd:double"&gt;63.72&lt;/D&gt;&lt;D xsi:type="xsd:double"&gt;63.45&lt;/D&gt;&lt;D xsi:type="xsd:double"&gt;64.09&lt;/D&gt;&lt;D xsi:type="xsd:double"&gt;63.37&lt;/D&gt;&lt;D xsi:type="xsd:double"&gt;63.49&lt;/D&gt;&lt;D xsi:type="xsd:double"&gt;63.13&lt;/D&gt;&lt;D xsi:type="xsd:double"&gt;63.67&lt;/D&gt;&lt;D xsi:type="xsd:double"&gt;64.48&lt;/D&gt;&lt;D xsi:type="xsd:double"&gt;64.42&lt;/D&gt;&lt;D xsi:type="xsd:double"&gt;64.86&lt;/D&gt;&lt;D xsi:type="xsd:double"&gt;64.5&lt;/D&gt;&lt;D xsi:type="xsd:double"&gt;64.1&lt;/D&gt;&lt;D xsi:type="xsd:double"&gt;64.06&lt;/D&gt;&lt;D xsi:type="xsd:double"&gt;63.12&lt;/D&gt;&lt;D xsi:type="xsd:double"&gt;63.87&lt;/D&gt;&lt;D xsi:type="xsd:double"&gt;63.21&lt;/D&gt;&lt;D xsi:type="xsd:double"&gt;63.48&lt;/D&gt;&lt;D xsi:type="xsd:double"&gt;64.19&lt;/D&gt;&lt;D xsi:type="xsd:double"&gt;63.46&lt;/D&gt;&lt;D xsi:type="xsd:double"&gt;62.58&lt;/D&gt;&lt;D xsi:type="xsd:double"&gt;62.47&lt;/D&gt;&lt;D xsi:type="xsd:double"&gt;62.38&lt;/D&gt;&lt;D xsi:type="xsd:double"&gt;62.04&lt;/D&gt;&lt;D xsi:type="xsd:double"&gt;61.82&lt;/D&gt;&lt;D xsi:type="xsd:double"&gt;61.81&lt;/D&gt;&lt;D xsi:type="xsd:double"&gt;61.87&lt;/D&gt;&lt;D xsi:type="xsd:double"&gt;62.21&lt;/D&gt;&lt;D xsi:type="xsd:double"&gt;61.62&lt;/D&gt;&lt;D xsi:type="xsd:double"&gt;61.76&lt;/D&gt;&lt;D xsi:type="xsd:double"&gt;61.48&lt;/D&gt;&lt;D xsi:type="xsd:double"&gt;61.48&lt;/D&gt;&lt;D xsi:type="xsd:double"&gt;61.67&lt;/D&gt;&lt;D xsi:type="xsd:double"&gt;61.02&lt;/D&gt;&lt;D xsi:type="xsd:double"&gt;60.92&lt;/D&gt;&lt;D xsi:type="xsd:double"&gt;61.18&lt;/D&gt;&lt;D xsi:type="xsd:double"&gt;60.9&lt;/D&gt;&lt;D xsi:type="xsd:double"&gt;60.07&lt;/D&gt;&lt;D xsi:type="xsd:double"&gt;60.2&lt;/D&gt;&lt;D xsi:type="xsd:double"&gt;60.21&lt;/D&gt;&lt;D xsi:type="xsd:double"&gt;58.48&lt;/D&gt;&lt;D xsi:type="xsd:double"&gt;58.33&lt;/D&gt;&lt;D xsi:type="xsd:double"&gt;58.06&lt;/D&gt;&lt;D xsi:type="xsd:double"&gt;58.07&lt;/D&gt;&lt;D xsi:type="xsd:double"&gt;57.79&lt;/D&gt;&lt;D xsi:type="xsd:double"&gt;58.05&lt;/D&gt;&lt;D xsi:type="xsd:double"&gt;58.24&lt;/D&gt;&lt;D xsi:type="xsd:double"&gt;57.76&lt;/D&gt;&lt;D xsi:type="xsd:double"&gt;56.52&lt;/D&gt;&lt;D xsi:type="xsd:double"&gt;56.14&lt;/D&gt;&lt;D xsi:type="xsd:double"&gt;56.04&lt;/D&gt;&lt;D xsi:type="xsd:double"&gt;55.18&lt;/D&gt;&lt;D xsi:type="xsd:double"&gt;55.57&lt;/D&gt;&lt;D xsi:type="xsd:double"&gt;55.81&lt;/D&gt;&lt;D xsi:type="xsd:double"&gt;56.31&lt;/D&gt;&lt;D xsi:type="xsd:double"&gt;56.1&lt;/D&gt;&lt;D xsi:type="xsd:double"&gt;55.98&lt;/D&gt;&lt;D xsi:type="xsd:double"&gt;56.52&lt;/D&gt;&lt;D xsi:type="xsd:double"&gt;56.99&lt;/D&gt;&lt;D xsi:type="xsd:double"&gt;58.06&lt;/D&gt;&lt;D xsi:type="xsd:double"&gt;58.12&lt;/D&gt;&lt;D xsi:type="xsd:double"&gt;57.59&lt;/D&gt;&lt;D xsi:type="xsd:double"&gt;58.12&lt;/D&gt;&lt;D xsi:type="xsd:double"&gt;58.79&lt;/D&gt;&lt;D xsi:type="xsd:double"&gt;58.4&lt;/D&gt;&lt;D xsi:type="xsd:double"&gt;57.5&lt;/D&gt;&lt;D xsi:type="xsd:double"&gt;57.68&lt;/D&gt;&lt;D xsi:type="xsd:double"&gt;56.94&lt;/D&gt;&lt;D xsi:type="xsd:double"&gt;56.61&lt;/D&gt;&lt;D xsi:type="xsd:double"&gt;56.33&lt;/D&gt;&lt;D xsi:type="xsd:double"&gt;56.94&lt;/D&gt;&lt;D xsi:type="xsd:double"&gt;57.93&lt;/D&gt;&lt;D xsi:type="xsd:double"&gt;57.85&lt;/D&gt;&lt;D xsi:type="xsd:double"&gt;57.29&lt;/D&gt;&lt;D xsi:type="xsd:double"&gt;57.54&lt;/D&gt;&lt;D xsi:type="xsd:double"&gt;58.27&lt;/D&gt;&lt;D xsi:type="xsd:double"&gt;58.67&lt;/D&gt;&lt;D xsi:type="xsd:double"&gt;58.8&lt;/D&gt;&lt;D xsi:type="xsd:double"&gt;59.66&lt;/D&gt;&lt;D xsi:type="xsd:double"&gt;59.55&lt;/D&gt;&lt;D xsi:type="xsd:double"&gt;59.51&lt;/D&gt;&lt;D xsi:type="xsd:double"&gt;60.19&lt;/D&gt;&lt;D xsi:type="xsd:double"&gt;60.28&lt;/D&gt;&lt;D xsi:type="xsd:double"&gt;59.57&lt;/D&gt;&lt;D xsi:type="xsd:double"&gt;59.82&lt;/D&gt;&lt;D xsi:type="xsd:double"&gt;60.21&lt;/D&gt;&lt;D xsi:type="xsd:double"&gt;59.59&lt;/D&gt;&lt;D xsi:type="xsd:double"&gt;59.5&lt;/D&gt;&lt;D xsi:type="xsd:double"&gt;59.76&lt;/D&gt;&lt;D xsi:type="xsd:double"&gt;59.98&lt;/D&gt;&lt;D xsi:type="xsd:double"&gt;60.71&lt;/D&gt;&lt;D xsi:type="xsd:double"&gt;60.92&lt;/D&gt;&lt;D xsi:type="xsd:double"&gt;61.47&lt;/D&gt;&lt;D xsi:type="xsd:double"&gt;61.5&lt;/D&gt;&lt;D xsi:type="xsd:double"&gt;60.64&lt;/D&gt;&lt;D xsi:type="xsd:double"&gt;60.01&lt;/D&gt;&lt;D xsi:type="xsd:double"&gt;59.58&lt;/D&gt;&lt;D xsi:type="xsd:double"&gt;60.42&lt;/D&gt;&lt;D xsi:type="xsd:double"&gt;59.92&lt;/D&gt;&lt;D xsi:type="xsd:double"&gt;60.14&lt;/D&gt;&lt;D xsi:type="xsd:double"&gt;59.8&lt;/D&gt;&lt;D xsi:type="xsd:double"&gt;59.9&lt;/D&gt;&lt;D xsi:type="xsd:double"&gt;60.42&lt;/D&gt;&lt;D xsi:type="xsd:double"&gt;60.79&lt;/D&gt;&lt;D xsi:type="xsd:double"&gt;61.58&lt;/D&gt;&lt;D xsi:type="xsd:double"&gt;61.7&lt;/D&gt;&lt;D xsi:type="xsd:double"&gt;62.23&lt;/D&gt;&lt;D xsi:type="xsd:double"&gt;61.99&lt;/D&gt;&lt;D xsi:type="xsd:double"&gt;61.85&lt;/D&gt;&lt;D xsi:type="xsd:double"&gt;62.18&lt;/D&gt;&lt;D xsi:type="xsd:double"&gt;61.59&lt;/D&gt;&lt;D xsi:type="xsd:double"&gt;61.48&lt;/D&gt;&lt;D xsi:type="xsd:double"&gt;61.65&lt;/D&gt;&lt;D xsi:type="xsd:double"&gt;62.79&lt;/D&gt;&lt;D xsi:type="xsd:double"&gt;63.49&lt;/D&gt;&lt;D xsi:type="xsd:double"&gt;63.51&lt;/D&gt;&lt;D xsi:type="xsd:double"&gt;62.97&lt;/D&gt;&lt;D xsi:type="xsd:double"&gt;63.34&lt;/D&gt;&lt;D xsi:type="xsd:double"&gt;63.22&lt;/D&gt;&lt;D xsi:type="xsd:double"&gt;63.1&lt;/D&gt;&lt;D xsi:type="xsd:double"&gt;63.42&lt;/D&gt;&lt;D xsi:type="xsd:double"&gt;63.2&lt;/D&gt;&lt;D xsi:type="xsd:double"&gt;63.44&lt;/D&gt;&lt;D xsi:type="xsd:double"&gt;63.45&lt;/D&gt;&lt;D xsi:type="xsd:double"&gt;63.08&lt;/D&gt;&lt;D xsi:type="xsd:double"&gt;63.17&lt;/D&gt;&lt;D xsi:type="xsd:double"&gt;63.47&lt;/D&gt;&lt;D xsi:type="xsd:double"&gt;62.49&lt;/D&gt;&lt;D xsi:type="xsd:double"&gt;61.04&lt;/D&gt;&lt;D xsi:type="xsd:double"&gt;60.39&lt;/D&gt;&lt;D xsi:type="xsd:double"&gt;60.03&lt;/D&gt;&lt;D xsi:type="xsd:double"&gt;59.64&lt;/D&gt;&lt;D xsi:type="xsd:double"&gt;60.72&lt;/D&gt;&lt;D xsi:type="xsd:double"&gt;61.52&lt;/D&gt;&lt;D xsi:type="xsd:double"&gt;61.7&lt;/D&gt;&lt;D xsi:type="xsd:double"&gt;60.75&lt;/D&gt;&lt;D xsi:type="xsd:double"&gt;60.84&lt;/D&gt;&lt;D xsi:type="xsd:double"&gt;60.89&lt;/D&gt;&lt;D xsi:type="xsd:double"&gt;60.28&lt;/D&gt;&lt;D xsi:type="xsd:double"&gt;60.2&lt;/D&gt;&lt;D xsi:type="xsd:double"&gt;60.94&lt;/D&gt;&lt;D xsi:type="xsd:double"&gt;61.18&lt;/D&gt;&lt;D xsi:type="xsd:double"&gt;61.3&lt;/D&gt;&lt;D xsi:type="xsd:double"&gt;63.28&lt;/D&gt;&lt;D xsi:type="xsd:double"&gt;63.33&lt;/D&gt;&lt;D xsi:type="xsd:double"&gt;62.48&lt;/D&gt;&lt;D xsi:type="xsd:double"&gt;62.26&lt;/D&gt;&lt;D xsi:type="xsd:double"&gt;61.78&lt;/D&gt;&lt;D xsi:type="xsd:double"&gt;61.51&lt;/D&gt;&lt;D xsi:type="xsd:double"&gt;61.88&lt;/D&gt;&lt;D xsi:type="xsd:double"&gt;61.17&lt;/D&gt;&lt;D xsi:type="xsd:double"&gt;61.44&lt;/D&gt;&lt;D xsi:type="xsd:double"&gt;61.21&lt;/D&gt;&lt;D xsi:type="xsd:double"&gt;61.65&lt;/D&gt;&lt;D xsi:type="xsd:double"&gt;60.93&lt;/D&gt;&lt;D xsi:type="xsd:double"&gt;60.22&lt;/D&gt;&lt;D xsi:type="xsd:double"&gt;60.87&lt;/D&gt;&lt;D xsi:type="xsd:double"&gt;61.51&lt;/D&gt;&lt;D xsi:type="xsd:double"&gt;60.84&lt;/D&gt;&lt;D xsi:type="xsd:double"&gt;61&lt;/D&gt;&lt;D xsi:type="xsd:double"&gt;61.97&lt;/D&gt;&lt;D xsi:type="xsd:double"&gt;62.89&lt;/D&gt;&lt;D xsi:type="xsd:double"&gt;62.97&lt;/D&gt;&lt;D xsi:type="xsd:double"&gt;62.51&lt;/D&gt;&lt;D xsi:type="xsd:double"&gt;62.63&lt;/D&gt;&lt;D xsi:type="xsd:double"&gt;62.36&lt;/D&gt;&lt;D xsi:type="xsd:double"&gt;63.02&lt;/D&gt;&lt;D xsi:type="xsd:double"&gt;62.55&lt;/D&gt;&lt;D xsi:type="xsd:double"&gt;62.72&lt;/D&gt;&lt;D xsi:type="xsd:double"&gt;62.99&lt;/D&gt;&lt;D xsi:type="xsd:double"&gt;63.07&lt;/D&gt;&lt;D xsi:type="xsd:double"&gt;63.57&lt;/D&gt;&lt;D xsi:type="xsd:double"&gt;63.56&lt;/D&gt;&lt;D xsi:type="xsd:double"&gt;62.62&lt;/D&gt;&lt;D xsi:type="xsd:double"&gt;62.94&lt;/D&gt;&lt;D xsi:type="xsd:double"&gt;62.74&lt;/D&gt;&lt;D xsi:type="xsd:double"&gt;63.48&lt;/D&gt;&lt;D xsi:type="xsd:double"&gt;63.47&lt;/D&gt;&lt;D xsi:type="xsd:double"&gt;63.38&lt;/D&gt;&lt;/FQL&gt;&lt;FQL&gt;&lt;Q&gt;TLT^P_PRICE(0,-200D)&lt;/Q&gt;&lt;R&gt;201&lt;/R&gt;&lt;C&gt;1&lt;/C&gt;&lt;D xsi:type="xsd:double"&gt;92.35&lt;/D&gt;&lt;D xsi:type="xsd:double"&gt;93.96&lt;/D&gt;&lt;D xsi:type="xsd:double"&gt;93.85&lt;/D&gt;&lt;D xsi:type="xsd:double"&gt;94.04&lt;/D&gt;&lt;D xsi:type="xsd:double"&gt;94.59&lt;/D&gt;&lt;D xsi:type="xsd:double"&gt;95.05&lt;/D&gt;&lt;D xsi:type="xsd:double"&gt;94.13&lt;/D&gt;&lt;D xsi:type="xsd:double"&gt;96.07&lt;/D&gt;&lt;D xsi:type="xsd:double"&gt;98.24&lt;/D&gt;&lt;D xsi:type="xsd:double"&gt;96.66&lt;/D&gt;&lt;D xsi:type="xsd:double"&gt;95.72&lt;/D&gt;&lt;D xsi:type="xsd:double"&gt;94.86&lt;/D&gt;&lt;D xsi:type="xsd:double"&gt;93.78&lt;/D&gt;&lt;D xsi:type="xsd:double"&gt;93.96&lt;/D&gt;&lt;D xsi:type="xsd:double"&gt;93.35&lt;/D&gt;&lt;D xsi:type="xsd:double"&gt;93.9&lt;/D&gt;&lt;D xsi:type="xsd:double"&gt;94.65&lt;/D&gt;&lt;D xsi:type="xsd:double"&gt;94.09&lt;/D&gt;&lt;D xsi:type="xsd:double"&gt;93.79&lt;/D&gt;&lt;D xsi:type="xsd:double"&gt;94.67&lt;/D&gt;&lt;D xsi:type="xsd:double"&gt;94.82&lt;/D&gt;&lt;D xsi:type="xsd:double"&gt;96.52&lt;/D&gt;&lt;D xsi:type="xsd:double"&gt;96.71&lt;/D&gt;&lt;D xsi:type="xsd:double"&gt;96.17&lt;/D&gt;&lt;D xsi:type="xsd:double"&gt;96.62&lt;/D&gt;&lt;D xsi:type="xsd:double"&gt;97.24&lt;/D&gt;&lt;D xsi:type="xsd:double"&gt;96.29&lt;/D&gt;&lt;D xsi:type="xsd:double"&gt;97.22&lt;/D&gt;&lt;D xsi:type="xsd:double"&gt;98.72&lt;/D&gt;&lt;D xsi:type="xsd:double"&gt;98.31&lt;/D&gt;&lt;D xsi:type="xsd:double"&gt;98.88&lt;/D&gt;&lt;D xsi:type="xsd:double"&gt;99.78&lt;/D&gt;&lt;D xsi:type="xsd:double"&gt;100.51&lt;/D&gt;&lt;D xsi:type="xsd:double"&gt;98.76&lt;/D&gt;&lt;D xsi:type="xsd:double"&gt;98.475&lt;/D&gt;&lt;D xsi:type="xsd:double"&gt;98.93&lt;/D&gt;&lt;D xsi:type="xsd:double"&gt;99.56&lt;/D&gt;&lt;D xsi:type="xsd:double"&gt;98.89&lt;/D&gt;&lt;D xsi:type="xsd:double"&gt;98.36&lt;/D&gt;&lt;D xsi:type="xsd:double"&gt;99.15&lt;/D&gt;&lt;D xsi:type="xsd:double"&gt;99.04&lt;/D&gt;&lt;D xsi:type="xsd:double"&gt;96.84&lt;/D&gt;&lt;D xsi:type="xsd:double"&gt;94.62&lt;/D&gt;&lt;D xsi:type="xsd:double"&gt;94.34&lt;/D&gt;&lt;D xsi:type="xsd:double"&gt;94.54&lt;/D&gt;&lt;D xsi:type="xsd:double"&gt;95.32&lt;/D&gt;&lt;D xsi:type="xsd:double"&gt;95.87&lt;/D&gt;&lt;D xsi:type="xsd:double"&gt;94.61&lt;/D&gt;&lt;D xsi:type="xsd:double"&gt;92.615&lt;/D&gt;&lt;D xsi:type="xsd:double"&gt;92.99&lt;/D&gt;&lt;D xsi:type="xsd:double"&gt;91.56&lt;/D&gt;&lt;D xsi:type="xsd:double"&gt;92.63&lt;/D&gt;&lt;D xsi:type="xsd:double"&gt;91.48&lt;/D&gt;&lt;D xsi:type="xsd:double"&gt;91.3&lt;/D&gt;&lt;D xsi:type="xsd:double"&gt;89.8&lt;/D&gt;&lt;D xsi:type="xsd:double"&gt;90.87&lt;/D&gt;&lt;D xsi:type="xsd:double"&gt;90.55&lt;/D&gt;&lt;D xsi:type="xsd:double"&gt;90.59&lt;/D&gt;&lt;D xsi:type="xsd:double"&gt;90.04&lt;/D&gt;&lt;D xsi:type="xsd:double"&gt;89.62&lt;/D&gt;&lt;D xsi:type="xsd:double"&gt;88.52&lt;/D&gt;&lt;D xsi:type="xsd:double"&gt;89.78&lt;/D&gt;&lt;D xsi:type="xsd:double"&gt;87.79&lt;/D&gt;&lt;D xsi:type="xsd:double"&gt;87.99&lt;/D&gt;&lt;D xsi:type="xsd:double"&gt;87.5&lt;/D&gt;&lt;D xsi:type="xsd:double"&gt;89.56&lt;/D&gt;&lt;D xsi:type="xsd:double"&gt;88.06&lt;/D&gt;&lt;D xsi:type="xsd:double"&gt;86.78&lt;/D&gt;&lt;D xsi:type="xsd:double"&gt;87.63&lt;/D&gt;&lt;D xsi:type="xsd:double"&gt;87.04&lt;/D&gt;&lt;D xsi:type="xsd:double"&gt;85.1&lt;/D&gt;&lt;D xsi:type="xsd:double"&gt;83.58&lt;/D&gt;&lt;D xsi:type="xsd:double"&gt;83.99&lt;/D&gt;&lt;D xsi:type="xsd:double"&gt;84.37&lt;/D&gt;&lt;D xsi:type="xsd:double"&gt;84.73&lt;/D&gt;&lt;D xsi:type="xsd:double"&gt;83.45&lt;/D&gt;&lt;D xsi:type="xsd:double"&gt;85.35&lt;/D&gt;&lt;D xsi:type="xsd:double"&gt;84.24&lt;/D&gt;&lt;D xsi:type="xsd:double"&gt;83.24&lt;/D&gt;&lt;D xsi:type="xsd:double"&gt;82.77&lt;/D&gt;&lt;D xsi:type="xsd:double"&gt;84.5&lt;/D&gt;&lt;D xsi:type="xsd:double"&gt;85.25&lt;/D&gt;&lt;D xsi:type="xsd:double"&gt;86.2&lt;/D&gt;&lt;D xsi:type="xsd:double"&gt;87.61&lt;/D&gt;&lt;D xsi:type="xsd:double"&gt;86.07&lt;/D&gt;&lt;D xsi:type="xsd:double"&gt;88.47&lt;/D&gt;&lt;D xsi:type="xsd:double"&gt;86.66&lt;/D&gt;&lt;D xsi:type="xsd:double"&gt;86.78&lt;/D&gt;&lt;D xsi:type="xsd:double"&gt;84.79&lt;/D&gt;&lt;D xsi:type="xsd:double"&gt;85.83&lt;/D&gt;&lt;D xsi:type="xsd:double"&gt;86.26&lt;/D&gt;&lt;D xsi:type="xsd:double"&gt;85.06&lt;/D&gt;&lt;D xsi:type="xsd:double"&gt;86.93&lt;/D&gt;&lt;D xsi:type="xsd:double"&gt;88.69&lt;/D&gt;&lt;D xsi:type="xsd:double"&gt;88.68&lt;/D&gt;&lt;D xsi:type="xsd:double"&gt;88.41&lt;/D&gt;&lt;D xsi:type="xsd:double"&gt;88.87&lt;/D&gt;&lt;D xsi:type="xsd:double"&gt;89.18&lt;/D&gt;&lt;D xsi:type="xsd:double"&gt;91.43&lt;/D&gt;&lt;D xsi:type="xsd:double"&gt;90.7&lt;/D&gt;&lt;D xsi:type="xsd:double"&gt;93.09&lt;/D&gt;&lt;D xsi:type="xsd:double"&gt;92.8&lt;/D&gt;&lt;D xsi:type="xsd:double"&gt;93.49&lt;/D&gt;&lt;D xsi:type="xsd:double"&gt;92.96&lt;/D&gt;&lt;D xsi:type="xsd:double"&gt;93.53&lt;/D&gt;&lt;D xsi:type="xsd:double"&gt;94.21&lt;/D&gt;&lt;D xsi:type="xsd:double"&gt;94.23&lt;/D&gt;&lt;D xsi:type="xsd:double"&gt;93.69&lt;/D&gt;&lt;D xsi:type="xsd:double"&gt;94.37&lt;/D&gt;&lt;D xsi:type="xsd:double"&gt;94.01&lt;/D&gt;&lt;D xsi:type="xsd:double"&gt;93.75&lt;/D&gt;&lt;D xsi:type="xsd:double"&gt;93.52&lt;/D&gt;&lt;D xsi:type="xsd:double"&gt;94.85&lt;/D&gt;&lt;D xsi:type="xsd:double"&gt;96.64&lt;/D&gt;&lt;D xsi:type="xsd:double"&gt;96.21&lt;/D&gt;&lt;D xsi:type="xsd:double"&gt;96.31&lt;/D&gt;&lt;D xsi:type="xsd:double"&gt;95.32&lt;/D&gt;&lt;D xsi:type="xsd:double"&gt;95.22&lt;/D&gt;&lt;D xsi:type="xsd:double"&gt;94.91&lt;/D&gt;&lt;D xsi:type="xsd:double"&gt;95.54&lt;/D&gt;&lt;D xsi:type="xsd:double"&gt;93.23&lt;/D&gt;&lt;D xsi:type="xsd:double"&gt;92.52&lt;/D&gt;&lt;D xsi:type="xsd:double"&gt;93.77&lt;/D&gt;&lt;D xsi:type="xsd:double"&gt;93.44&lt;/D&gt;&lt;D xsi:type="xsd:double"&gt;93.84&lt;/D&gt;&lt;D xsi:type="xsd:double"&gt;94.58&lt;/D&gt;&lt;D xsi:type="xsd:double"&gt;95.16&lt;/D&gt;&lt;D xsi:type="xsd:double"&gt;95.37&lt;/D&gt;&lt;D xsi:type="xsd:double"&gt;95.59&lt;/D&gt;&lt;D xsi:type="xsd:double"&gt;97.19&lt;/D&gt;&lt;D xsi:type="xsd:double"&gt;96.69&lt;/D&gt;&lt;D xsi:type="xsd:double"&gt;95.58&lt;/D&gt;&lt;D xsi:type="xsd:double"&gt;96.53&lt;/D&gt;&lt;D xsi:type="xsd:double"&gt;94.85&lt;/D&gt;&lt;D xsi:type="xsd:double"&gt;97.09&lt;/D&gt;&lt;D xsi:type="xsd:double"&gt;98.14&lt;/D&gt;&lt;D xsi:type="xsd:double"&gt;100.05&lt;/D&gt;&lt;D xsi:type="xsd:double"&gt;99.81&lt;/D&gt;&lt;D xsi:type="xsd:double"&gt;99.3&lt;/D&gt;&lt;D xsi:type="xsd:double"&gt;101.27&lt;/D&gt;&lt;D xsi:type="xsd:double"&gt;101.17&lt;/D&gt;&lt;D xsi:type="xsd:double"&gt;101.36&lt;/D&gt;&lt;D xsi:type="xsd:double"&gt;101.73&lt;/D&gt;&lt;D xsi:type="xsd:double"&gt;101.7&lt;/D&gt;&lt;D xsi:type="xsd:double"&gt;102.95&lt;/D&gt;&lt;D xsi:type="xsd:double"&gt;101.8&lt;/D&gt;&lt;D xsi:type="xsd:double"&gt;101.34&lt;/D&gt;&lt;D xsi:type="xsd:double"&gt;101.29&lt;/D&gt;&lt;D xsi:type="xsd:double"&gt;101.89&lt;/D&gt;&lt;D xsi:type="xsd:double"&gt;100.83&lt;/D&gt;&lt;D xsi:type="xsd:double"&gt;99.72&lt;/D&gt;&lt;D xsi:type="xsd:double"&gt;99.21&lt;/D&gt;&lt;D xsi:type="xsd:double"&gt;99.08&lt;/D&gt;&lt;D xsi:type="xsd:double"&gt;99.68&lt;/D&gt;&lt;D xsi:type="xsd:double"&gt;101.11&lt;/D&gt;&lt;D xsi:type="xsd:double"&gt;102.08&lt;/D&gt;&lt;D xsi:type="xsd:double"&gt;102.94&lt;/D&gt;&lt;D xsi:type="xsd:double"&gt;101.74&lt;/D&gt;&lt;D xsi:type="xsd:double"&gt;103.61&lt;/D&gt;&lt;D xsi:type="xsd:double"&gt;103.17&lt;/D&gt;&lt;D xsi:type="xsd:double"&gt;103.44&lt;/D&gt;&lt;D xsi:type="xsd:double"&gt;103.33&lt;/D&gt;&lt;D xsi:type="xsd:double"&gt;102.31&lt;/D&gt;&lt;D xsi:type="xsd:double"&gt;103.56&lt;/D&gt;&lt;D xsi:type="xsd:double"&gt;103.31&lt;/D&gt;&lt;D xsi:type="xsd:double"&gt;102.6&lt;/D&gt;&lt;D xsi:type="xsd:double"&gt;103&lt;/D&gt;&lt;D xsi:type="xsd:double"&gt;102.02&lt;/D&gt;&lt;D xsi:type="xsd:double"&gt;101.21&lt;/D&gt;&lt;D xsi:type="xsd:double"&gt;102.22&lt;/D&gt;&lt;D xsi:type="xsd:double"&gt;101.92&lt;/D&gt;&lt;D xsi:type="xsd:double"&gt;102.06&lt;/D&gt;&lt;D xsi:type="xsd:double"&gt;100.88&lt;/D&gt;&lt;D xsi:type="xsd:double"&gt;102.4&lt;/D&gt;&lt;D xsi:type="xsd:double"&gt;101.8&lt;/D&gt;&lt;D xsi:type="xsd:double"&gt;101.99&lt;/D&gt;&lt;D xsi:type="xsd:double"&gt;103.12&lt;/D&gt;&lt;D xsi:type="xsd:double"&gt;102.99&lt;/D&gt;&lt;D xsi:type="xsd:double"&gt;102.1&lt;/D&gt;&lt;D xsi:type="xsd:double"&gt;101.09&lt;/D&gt;&lt;D xsi:type="xsd:double"&gt;100.28&lt;/D&gt;&lt;D xsi:type="xsd:double"&gt;100.53&lt;/D&gt;&lt;D xsi:type="xsd:double"&gt;101.03&lt;/D&gt;&lt;D xsi:type="xsd:double"&gt;100.74&lt;/D&gt;&lt;D xsi:type="xsd:double"&gt;101.1&lt;/D&gt;&lt;D xsi:type="xsd:double"&gt;101.82&lt;/D&gt;&lt;D xsi:type="xsd:double"&gt;102.58&lt;/D&gt;&lt;D xsi:type="xsd:double"&gt;102.88&lt;/D&gt;&lt;D xsi:type="xsd:double"&gt;103.19&lt;/D&gt;&lt;D xsi:type="xsd:double"&gt;104.27&lt;/D&gt;&lt;D xsi:type="xsd:double"&gt;105.15&lt;/D&gt;&lt;D xsi:type="xsd:double"&gt;104.05&lt;/D&gt;&lt;D xsi:type="xsd:double"&gt;103.05&lt;/D&gt;&lt;D xsi:type="xsd:double"&gt;103.42&lt;/D&gt;&lt;D xsi:type="xsd:double"&gt;104.89&lt;/D&gt;&lt;D xsi:type="xsd:double"&gt;105.24&lt;/D&gt;&lt;D xsi:type="xsd:double"&gt;106.29&lt;/D&gt;&lt;D xsi:type="xsd:double"&gt;105.7&lt;/D&gt;&lt;D xsi:type="xsd:double"&gt;103.13&lt;/D&gt;&lt;D xsi:type="xsd:double"&gt;106.46&lt;/D&gt;&lt;D xsi:type="xsd:double"&gt;104.77&lt;/D&gt;&lt;/FQL&gt;&lt;FQL&gt;&lt;Q&gt;USO^P_PRICE(0,-200D)&lt;/Q&gt;&lt;R&gt;201&lt;/R&gt;&lt;C&gt;1&lt;/C&gt;&lt;D xsi:type="xsd:double"&gt;72.65&lt;/D&gt;&lt;D xsi:type="xsd:double"&gt;72.11&lt;/D&gt;&lt;D xsi:type="xsd:double"&gt;71.67&lt;/D&gt;&lt;D xsi:type="xsd:double"&gt;71.52&lt;/D&gt;&lt;D xsi:type="xsd:double"&gt;69.42&lt;/D&gt;&lt;D xsi:type="xsd:double"&gt;68.81&lt;/D&gt;&lt;D xsi:type="xsd:double"&gt;68.18&lt;/D&gt;&lt;D xsi:type="xsd:double"&gt;67.51&lt;/D&gt;&lt;D xsi:type="xsd:double"&gt;69.07&lt;/D&gt;&lt;D xsi:type="xsd:double"&gt;70.92&lt;/D&gt;&lt;D xsi:type="xsd:double"&gt;72.81&lt;/D&gt;&lt;D xsi:type="xsd:double"&gt;72.05&lt;/D&gt;&lt;D xsi:type="xsd:double"&gt;73.1&lt;/D&gt;&lt;D xsi:type="xsd:double"&gt;72.23&lt;/D&gt;&lt;D xsi:type="xsd:double"&gt;70.54&lt;/D&gt;&lt;D xsi:type="xsd:double"&gt;69.66&lt;/D&gt;&lt;D xsi:type="xsd:double"&gt;69.69&lt;/D&gt;&lt;D xsi:type="xsd:double"&gt;68.82&lt;/D&gt;&lt;D xsi:type="xsd:double"&gt;69.06&lt;/D&gt;&lt;D xsi:type="xsd:double"&gt;67.94&lt;/D&gt;&lt;D xsi:type="xsd:double"&gt;67.25&lt;/D&gt;&lt;D xsi:type="xsd:double"&gt;68.02&lt;/D&gt;&lt;D xsi:type="xsd:double"&gt;67.65&lt;/D&gt;&lt;D xsi:type="xsd:double"&gt;66.56&lt;/D&gt;&lt;D xsi:type="xsd:double"&gt;67.39&lt;/D&gt;&lt;D xsi:type="xsd:double"&gt;66.4&lt;/D&gt;&lt;D xsi:type="xsd:double"&gt;69.03&lt;/D&gt;&lt;D xsi:type="xsd:double"&gt;67.57&lt;/D&gt;&lt;D xsi:type="xsd:double"&gt;68.19&lt;/D&gt;&lt;D xsi:type="xsd:double"&gt;65.77&lt;/D&gt;&lt;D xsi:type="xsd:double"&gt;66.65&lt;/D&gt;&lt;D xsi:type="xsd:double"&gt;67.18&lt;/D&gt;&lt;D xsi:type="xsd:double"&gt;68.92&lt;/D&gt;&lt;D xsi:type="xsd:double"&gt;70.21&lt;/D&gt;&lt;D xsi:type="xsd:double"&gt;68.69&lt;/D&gt;&lt;D xsi:type="xsd:double"&gt;69.03&lt;/D&gt;&lt;D xsi:type="xsd:double"&gt;68.79&lt;/D&gt;&lt;D xsi:type="xsd:double"&gt;69.36&lt;/D&gt;&lt;D xsi:type="xsd:double"&gt;68.09&lt;/D&gt;&lt;D xsi:type="xsd:double"&gt;67.15&lt;/D&gt;&lt;D xsi:type="xsd:double"&gt;67.16&lt;/D&gt;&lt;D xsi:type="xsd:double"&gt;65.33&lt;/D&gt;&lt;D xsi:type="xsd:double"&gt;64.25&lt;/D&gt;&lt;D xsi:type="xsd:double"&gt;66.8&lt;/D&gt;&lt;D xsi:type="xsd:double"&gt;66.53&lt;/D&gt;&lt;D xsi:type="xsd:double"&gt;65.11&lt;/D&gt;&lt;D xsi:type="xsd:double"&gt;64.76&lt;/D&gt;&lt;D xsi:type="xsd:double"&gt;67.58&lt;/D&gt;&lt;D xsi:type="xsd:double"&gt;68.47&lt;/D&gt;&lt;D xsi:type="xsd:double"&gt;69.24&lt;/D&gt;&lt;D xsi:type="xsd:double"&gt;70.14&lt;/D&gt;&lt;D xsi:type="xsd:double"&gt;72.52&lt;/D&gt;&lt;D xsi:type="xsd:double"&gt;71.26&lt;/D&gt;&lt;D xsi:type="xsd:double"&gt;69.96&lt;/D&gt;&lt;D xsi:type="xsd:double"&gt;70.82&lt;/D&gt;&lt;D xsi:type="xsd:double"&gt;71.61&lt;/D&gt;&lt;D xsi:type="xsd:double"&gt;72.53&lt;/D&gt;&lt;D xsi:type="xsd:double"&gt;72.3&lt;/D&gt;&lt;D xsi:type="xsd:double"&gt;70.75&lt;/D&gt;&lt;D xsi:type="xsd:double"&gt;68.05&lt;/D&gt;&lt;D xsi:type="xsd:double"&gt;71.34&lt;/D&gt;&lt;D xsi:type="xsd:double"&gt;72.69&lt;/D&gt;&lt;D xsi:type="xsd:double"&gt;72.92&lt;/D&gt;&lt;D xsi:type="xsd:double"&gt;71.79&lt;/D&gt;&lt;D xsi:type="xsd:double"&gt;70.25&lt;/D&gt;&lt;D xsi:type="xsd:double"&gt;70.19&lt;/D&gt;&lt;D xsi:type="xsd:double"&gt;71.8&lt;/D&gt;&lt;D xsi:type="xsd:double"&gt;74.91&lt;/D&gt;&lt;D xsi:type="xsd:double"&gt;74.85&lt;/D&gt;&lt;D xsi:type="xsd:double"&gt;76.18&lt;/D&gt;&lt;D xsi:type="xsd:double"&gt;74.75&lt;/D&gt;&lt;D xsi:type="xsd:double"&gt;75.02&lt;/D&gt;&lt;D xsi:type="xsd:double"&gt;76.05&lt;/D&gt;&lt;D xsi:type="xsd:double"&gt;78.36&lt;/D&gt;&lt;D xsi:type="xsd:double"&gt;76.89&lt;/D&gt;&lt;D xsi:type="xsd:double"&gt;78.46&lt;/D&gt;&lt;D xsi:type="xsd:double"&gt;76.93&lt;/D&gt;&lt;D xsi:type="xsd:double"&gt;78.89&lt;/D&gt;&lt;D xsi:type="xsd:double"&gt;80.7&lt;/D&gt;&lt;D xsi:type="xsd:double"&gt;81.68&lt;/D&gt;&lt;D xsi:type="xsd:double"&gt;79.84&lt;/D&gt;&lt;D xsi:type="xsd:double"&gt;78.8&lt;/D&gt;&lt;D xsi:type="xsd:double"&gt;78.39&lt;/D&gt;&lt;D xsi:type="xsd:double"&gt;78.99&lt;/D&gt;&lt;D xsi:type="xsd:double"&gt;75.42&lt;/D&gt;&lt;D xsi:type="xsd:double"&gt;75.67&lt;/D&gt;&lt;D xsi:type="xsd:double"&gt;76.71&lt;/D&gt;&lt;D xsi:type="xsd:double"&gt;77.13&lt;/D&gt;&lt;D xsi:type="xsd:double"&gt;74.16&lt;/D&gt;&lt;D xsi:type="xsd:double"&gt;73.99&lt;/D&gt;&lt;D xsi:type="xsd:double"&gt;75.59&lt;/D&gt;&lt;D xsi:type="xsd:double"&gt;79.93&lt;/D&gt;&lt;D xsi:type="xsd:double"&gt;79.39&lt;/D&gt;&lt;D xsi:type="xsd:double"&gt;80.86&lt;/D&gt;&lt;D xsi:type="xsd:double"&gt;81.57&lt;/D&gt;&lt;D xsi:type="xsd:double"&gt;82.9&lt;/D&gt;&lt;D xsi:type="xsd:double"&gt;80.88&lt;/D&gt;&lt;D xsi:type="xsd:double"&gt;80.39&lt;/D&gt;&lt;D xsi:type="xsd:double"&gt;80.63&lt;/D&gt;&lt;D xsi:type="xsd:double"&gt;80.41&lt;/D&gt;&lt;D xsi:type="xsd:double"&gt;80.14&lt;/D&gt;&lt;D xsi:type="xsd:double"&gt;81.5&lt;/D&gt;&lt;D xsi:type="xsd:double"&gt;81.45&lt;/D&gt;&lt;D xsi:type="xsd:double"&gt;81.29&lt;/D&gt;&lt;D xsi:type="xsd:double"&gt;81.12&lt;/D&gt;&lt;D xsi:type="xsd:double"&gt;79.68&lt;/D&gt;&lt;D xsi:type="xsd:double"&gt;79.7&lt;/D&gt;&lt;D xsi:type="xsd:double"&gt;78.37&lt;/D&gt;&lt;D xsi:type="xsd:double"&gt;78.3&lt;/D&gt;&lt;D xsi:type="xsd:double"&gt;77.95&lt;/D&gt;&lt;D xsi:type="xsd:double"&gt;78.52&lt;/D&gt;&lt;D xsi:type="xsd:double"&gt;77.76&lt;/D&gt;&lt;D xsi:type="xsd:double"&gt;76.92&lt;/D&gt;&lt;D xsi:type="xsd:double"&gt;75.06&lt;/D&gt;&lt;D xsi:type="xsd:double"&gt;73.66&lt;/D&gt;&lt;D xsi:type="xsd:double"&gt;73.32&lt;/D&gt;&lt;D xsi:type="xsd:double"&gt;72.41&lt;/D&gt;&lt;D xsi:type="xsd:double"&gt;72.45&lt;/D&gt;&lt;D xsi:type="xsd:double"&gt;71.41&lt;/D&gt;&lt;D xsi:type="xsd:double"&gt;71.36&lt;/D&gt;&lt;D xsi:type="xsd:double"&gt;72.28&lt;/D&gt;&lt;D xsi:type</t>
        </r>
      </text>
    </comment>
    <comment ref="A4" authorId="0" shapeId="0" xr:uid="{CC4EAAC1-629E-485C-AC03-CCE28A7D7337}">
      <text>
        <r>
          <rPr>
            <b/>
            <sz val="9"/>
            <color indexed="81"/>
            <rFont val="Tahoma"/>
            <family val="2"/>
          </rPr>
          <t>="xsd:double"&gt;72.58&lt;/D&gt;&lt;D xsi:type="xsd:double"&gt;72.79&lt;/D&gt;&lt;D xsi:type="xsd:double"&gt;71.98&lt;/D&gt;&lt;D xsi:type="xsd:double"&gt;71.37&lt;/D&gt;&lt;D xsi:type="xsd:double"&gt;72.62&lt;/D&gt;&lt;D xsi:type="xsd:double"&gt;73.81&lt;/D&gt;&lt;D xsi:type="xsd:double"&gt;74.25&lt;/D&gt;&lt;D xsi:type="xsd:double"&gt;74.2&lt;/D&gt;&lt;D xsi:type="xsd:double"&gt;75.1&lt;/D&gt;&lt;D xsi:type="xsd:double"&gt;74.06&lt;/D&gt;&lt;D xsi:type="xsd:double"&gt;73.82&lt;/D&gt;&lt;D xsi:type="xsd:double"&gt;73.79&lt;/D&gt;&lt;D xsi:type="xsd:double"&gt;73.14&lt;/D&gt;&lt;D xsi:type="xsd:double"&gt;71.48&lt;/D&gt;&lt;D xsi:type="xsd:double"&gt;72.96&lt;/D&gt;&lt;D xsi:type="xsd:double"&gt;73.17&lt;/D&gt;&lt;D xsi:type="xsd:double"&gt;72.09&lt;/D&gt;&lt;D xsi:type="xsd:double"&gt;71.43&lt;/D&gt;&lt;D xsi:type="xsd:double"&gt;70.66&lt;/D&gt;&lt;D xsi:type="xsd:double"&gt;71.16&lt;/D&gt;&lt;D xsi:type="xsd:double"&gt;70.69&lt;/D&gt;&lt;D xsi:type="xsd:double"&gt;68.99&lt;/D&gt;&lt;D xsi:type="xsd:double"&gt;68.05&lt;/D&gt;&lt;D xsi:type="xsd:double"&gt;67.69&lt;/D&gt;&lt;D xsi:type="xsd:double"&gt;67.96&lt;/D&gt;&lt;D xsi:type="xsd:double"&gt;66.58&lt;/D&gt;&lt;D xsi:type="xsd:double"&gt;67.47&lt;/D&gt;&lt;D xsi:type="xsd:double"&gt;69.09&lt;/D&gt;&lt;D xsi:type="xsd:double"&gt;67.87&lt;/D&gt;&lt;D xsi:type="xsd:double"&gt;67.03&lt;/D&gt;&lt;D xsi:type="xsd:double"&gt;65.54&lt;/D&gt;&lt;D xsi:type="xsd:double"&gt;65.85&lt;/D&gt;&lt;D xsi:type="xsd:double"&gt;64.44&lt;/D&gt;&lt;D xsi:type="xsd:double"&gt;64.63&lt;/D&gt;&lt;D xsi:type="xsd:double"&gt;63.39&lt;/D&gt;&lt;D xsi:type="xsd:double"&gt;63.55&lt;/D&gt;&lt;D xsi:type="xsd:double"&gt;62.96&lt;/D&gt;&lt;D xsi:type="xsd:double"&gt;62.52&lt;/D&gt;&lt;D xsi:type="xsd:double"&gt;61.3&lt;/D&gt;&lt;D xsi:type="xsd:double"&gt;62.73&lt;/D&gt;&lt;D xsi:type="xsd:double"&gt;62.42&lt;/D&gt;&lt;D xsi:type="xsd:double"&gt;62.52&lt;/D&gt;&lt;D xsi:type="xsd:double"&gt;65.04&lt;/D&gt;&lt;D xsi:type="xsd:double"&gt;63.92&lt;/D&gt;&lt;D xsi:type="xsd:double"&gt;64.35&lt;/D&gt;&lt;D xsi:type="xsd:double"&gt;63.41&lt;/D&gt;&lt;D xsi:type="xsd:double"&gt;61.83&lt;/D&gt;&lt;D xsi:type="xsd:double"&gt;62.14&lt;/D&gt;&lt;D xsi:type="xsd:double"&gt;60.24&lt;/D&gt;&lt;D xsi:type="xsd:double"&gt;62.93&lt;/D&gt;&lt;D xsi:type="xsd:double"&gt;63.46&lt;/D&gt;&lt;D xsi:type="xsd:double"&gt;64.71&lt;/D&gt;&lt;D xsi:type="xsd:double"&gt;63.79&lt;/D&gt;&lt;D xsi:type="xsd:double"&gt;64.03&lt;/D&gt;&lt;D xsi:type="xsd:double"&gt;64.15&lt;/D&gt;&lt;D xsi:type="xsd:double"&gt;62.55&lt;/D&gt;&lt;D xsi:type="xsd:double"&gt;60.63&lt;/D&gt;&lt;D xsi:type="xsd:double"&gt;62.3&lt;/D&gt;&lt;D xsi:type="xsd:double"&gt;64.8&lt;/D&gt;&lt;D xsi:type="xsd:double"&gt;64.09&lt;/D&gt;&lt;D xsi:type="xsd:double"&gt;65.66&lt;/D&gt;&lt;D xsi:type="xsd:double"&gt;64.87&lt;/D&gt;&lt;D xsi:type="xsd:double"&gt;63.91&lt;/D&gt;&lt;D xsi:type="xsd:double"&gt;63.9&lt;/D&gt;&lt;D xsi:type="xsd:double"&gt;64.04&lt;/D&gt;&lt;D xsi:type="xsd:double"&gt;64.6&lt;/D&gt;&lt;D xsi:type="xsd:double"&gt;62.54&lt;/D&gt;&lt;D xsi:type="xsd:double"&gt;62.99&lt;/D&gt;&lt;D xsi:type="xsd:double"&gt;62.07&lt;/D&gt;&lt;D xsi:type="xsd:double"&gt;63.25&lt;/D&gt;&lt;D xsi:type="xsd:double"&gt;64.39&lt;/D&gt;&lt;D xsi:type="xsd:double"&gt;64.87&lt;/D&gt;&lt;D xsi:type="xsd:double"&gt;64.26&lt;/D&gt;&lt;D xsi:type="xsd:double"&gt;63.03&lt;/D&gt;&lt;D xsi:type="xsd:double"&gt;60.7&lt;/D&gt;&lt;D xsi:type="xsd:double"&gt;60.31&lt;/D&gt;&lt;D xsi:type="xsd:double"&gt;63.05&lt;/D&gt;&lt;D xsi:type="xsd:double"&gt;66.55&lt;/D&gt;&lt;D xsi:type="xsd:double"&gt;67.5&lt;/D&gt;&lt;D xsi:type="xsd:double"&gt;65.81&lt;/D&gt;&lt;/FQL&gt;&lt;FQL&gt;&lt;Q&gt;DBA^P_PRICE(0,-200D)&lt;/Q&gt;&lt;R&gt;201&lt;/R&gt;&lt;C&gt;1&lt;/C&gt;&lt;D xsi:type="xsd:double"&gt;21.99&lt;/D&gt;&lt;D xsi:type="xsd:double"&gt;22.05&lt;/D&gt;&lt;D xsi:type="xsd:double"&gt;22.14&lt;/D&gt;&lt;D xsi:type="xsd:double"&gt;22.06&lt;/D&gt;&lt;D xsi:type="xsd:double"&gt;21.85&lt;/D&gt;&lt;D xsi:type="xsd:double"&gt;21.77&lt;/D&gt;&lt;D xsi:type="xsd:double"&gt;21.71&lt;/D&gt;&lt;D xsi:type="xsd:double"&gt;21.7&lt;/D&gt;&lt;D xsi:type="xsd:double"&gt;21.69&lt;/D&gt;&lt;D xsi:type="xsd:double"&gt;21.63&lt;/D&gt;&lt;D xsi:type="xsd:double"&gt;21.67&lt;/D&gt;&lt;D xsi:type="xsd:double"&gt;21.35&lt;/D&gt;&lt;D xsi:type="xsd:double"&gt;21.45&lt;/D&gt;&lt;D xsi:type="xsd:double"&gt;21.4&lt;/D&gt;&lt;D xsi:type="xsd:double"&gt;21.5&lt;/D&gt;&lt;D xsi:type="xsd:double"&gt;21.34&lt;/D&gt;&lt;D xsi:type="xsd:double"&gt;21.1&lt;/D&gt;&lt;D xsi:type="xsd:double"&gt;21.01&lt;/D&gt;&lt;D xsi:type="xsd:double"&gt;20.85&lt;/D&gt;&lt;D xsi:type="xsd:double"&gt;20.61&lt;/D&gt;&lt;D xsi:type="xsd:double"&gt;20.76&lt;/D&gt;&lt;D xsi:type="xsd:double"&gt;20.61&lt;/D&gt;&lt;D xsi:type="xsd:double"&gt;20.72&lt;/D&gt;&lt;D xsi:type="xsd:double"&gt;20.61&lt;/D&gt;&lt;D xsi:type="xsd:double"&gt;20.65&lt;/D&gt;&lt;D xsi:type="xsd:double"&gt;20.51&lt;/D&gt;&lt;D xsi:type="xsd:double"&gt;20.58&lt;/D&gt;&lt;D xsi:type="xsd:double"&gt;20.72&lt;/D&gt;&lt;D xsi:type="xsd:double"&gt;20.59&lt;/D&gt;&lt;D xsi:type="xsd:double"&gt;20.69&lt;/D&gt;&lt;D xsi:type="xsd:double"&gt;20.74&lt;/D&gt;&lt;D xsi:type="xsd:double"&gt;21.05&lt;/D&gt;&lt;D xsi:type="xsd:double"&gt;21&lt;/D&gt;&lt;D xsi:type="xsd:double"&gt;20.98&lt;/D&gt;&lt;D xsi:type="xsd:double"&gt;20.89&lt;/D&gt;&lt;D xsi:type="xsd:double"&gt;20.79&lt;/D&gt;&lt;D xsi:type="xsd:double"&gt;20.82&lt;/D&gt;&lt;D xsi:type="xsd:double"&gt;21.07&lt;/D&gt;&lt;D xsi:type="xsd:double"&gt;21.02&lt;/D&gt;&lt;D xsi:type="xsd:double"&gt;21.96&lt;/D&gt;&lt;D xsi:type="xsd:double"&gt;21.9&lt;/D&gt;&lt;D xsi:type="xsd:double"&gt;21.72&lt;/D&gt;&lt;D xsi:type="xsd:double"&gt;21.85&lt;/D&gt;&lt;D xsi:type="xsd:double"&gt;21.71&lt;/D&gt;&lt;D xsi:type="xsd:double"&gt;21.82&lt;/D&gt;&lt;D xsi:type="xsd:double"&gt;21.68&lt;/D&gt;&lt;D xsi:type="xsd:double"&gt;21.55&lt;/D&gt;&lt;D xsi:type="xsd:double"&gt;22.01&lt;/D&gt;&lt;D xsi:type="xsd:double"&gt;21.98&lt;/D&gt;&lt;D xsi:type="xsd:double"&gt;22.02&lt;/D&gt;&lt;D xsi:type="xsd:double"&gt;22.28&lt;/D&gt;&lt;D xsi:type="xsd:double"&gt;22.08&lt;/D&gt;&lt;D xsi:type="xsd:double"&gt;21.94&lt;/D&gt;&lt;D xsi:type="xsd:double"&gt;21.59&lt;/D&gt;&lt;D xsi:type="xsd:double"&gt;21.74&lt;/D&gt;&lt;D xsi:type="xsd:double"&gt;22.07&lt;/D&gt;&lt;D xsi:type="xsd:double"&gt;22.18&lt;/D&gt;&lt;D xsi:type="xsd:double"&gt;22.14&lt;/D&gt;&lt;D xsi:type="xsd:double"&gt;22.08&lt;/D&gt;&lt;D xsi:type="xsd:double"&gt;22.12&lt;/D&gt;&lt;D xsi:type="xsd:double"&gt;22.29&lt;/D&gt;&lt;D xsi:type="xsd:double"&gt;22.25&lt;/D&gt;&lt;D xsi:type="xsd:double"&gt;22.36&lt;/D&gt;&lt;D xsi:type="xsd:double"&gt;22.04&lt;/D&gt;&lt;D xsi:type="xsd:double"&gt;22.13&lt;/D&gt;&lt;D xsi:type="xsd:double"&gt;22.26&lt;/D&gt;&lt;D xsi:type="xsd:double"&gt;22.16&lt;/D&gt;&lt;D xsi:type="xsd:double"&gt;22.46&lt;/D&gt;&lt;D xsi:type="xsd:double"&gt;22.4&lt;/D&gt;&lt;D xsi:type="xsd:double"&gt;22.24&lt;/D&gt;&lt;D xsi:type="xsd:double"&gt;21.98&lt;/D&gt;&lt;D xsi:type="xsd:double"&gt;22.01&lt;/D&gt;&lt;D xsi:type="xsd:double"&gt;21.9&lt;/D&gt;&lt;D xsi:type="xsd:double"&gt;22.05&lt;/D&gt;&lt;D xsi:type="xsd:double"&gt;21.85&lt;/D&gt;&lt;D xsi:type="xsd:double"&gt;21.81&lt;/D&gt;&lt;D xsi:type="xsd:double"&gt;21.91&lt;/D&gt;&lt;D xsi:type="xsd:double"&gt;21.93&lt;/D&gt;&lt;D xsi:type="xsd:double"&gt;21.92&lt;/D&gt;&lt;D xsi:type="xsd:double"&gt;21.97&lt;/D&gt;&lt;D xsi:type="xsd:double"&gt;21.92&lt;/D&gt;&lt;D xsi:type="xsd:double"&gt;21.86&lt;/D&gt;&lt;D xsi:type="xsd:double"&gt;21.73&lt;/D&gt;&lt;D xsi:type="xsd:double"&gt;21.71&lt;/D&gt;&lt;D xsi:type="xsd:double"&gt;21.61&lt;/D&gt;&lt;D xsi:type="xsd:double"&gt;21.41&lt;/D&gt;&lt;D xsi:type="xsd:double"&gt;21.55&lt;/D&gt;&lt;D xsi:type="xsd:double"&gt;21.57&lt;/D&gt;&lt;D xsi:type="xsd:double"&gt;21.58&lt;/D&gt;&lt;D xsi:type="xsd:double"&gt;21.44&lt;/D&gt;&lt;D xsi:type="xsd:double"&gt;21.32&lt;/D&gt;&lt;D xsi:type="xsd:double"&gt;21.37&lt;/D&gt;&lt;D xsi:type="xsd:double"&gt;21.58&lt;/D&gt;&lt;D xsi:type="xsd:double"&gt;21.41&lt;/D&gt;&lt;D xsi:type="xsd:double"&gt;21.8&lt;/D&gt;&lt;D xsi:type="xsd:double"&gt;21.61&lt;/D&gt;&lt;D xsi:type="xsd:double"&gt;21.67&lt;/D&gt;&lt;D xsi:type="xsd:double"&gt;21.75&lt;/D&gt;&lt;D xsi:type="xsd:double"&gt;21.86&lt;/D&gt;&lt;D xsi:type="xsd:double"&gt;21.9&lt;/D&gt;&lt;D xsi:type="xsd:double"&gt;22.21&lt;/D&gt;&lt;D xsi:type="xsd:double"&gt;22.27&lt;/D&gt;&lt;D xsi:type="xsd:double"&gt;22.18&lt;/D&gt;&lt;D xsi:type="xsd:double"&gt;22.34&lt;/D&gt;&lt;D xsi:type="xsd:double"&gt;22.21&lt;/D&gt;&lt;D xsi:type="xsd:double"&gt;22.11&lt;/D&gt;&lt;D xsi:type="xsd:double"&gt;22.04&lt;/D&gt;&lt;D xsi:type="xsd:double"&gt;22.01&lt;/D&gt;&lt;D xsi:type="xsd:double"&gt;21.85&lt;/D&gt;&lt;D xsi:type="xsd:double"&gt;21.9&lt;/D&gt;&lt;D xsi:type="xsd:double"&gt;21.94&lt;/D&gt;&lt;D xsi:type="xsd:double"&gt;21.92&lt;/D&gt;&lt;D xsi:type="xsd:double"&gt;21.78&lt;/D&gt;&lt;D xsi:type="xsd:double"&gt;21.74&lt;/D&gt;&lt;D xsi:type="xsd:double"&gt;21.85&lt;/D&gt;&lt;D xsi:type="xsd:double"&gt;21.8&lt;/D&gt;&lt;D xsi:type="xsd:double"&gt;21.83&lt;/D&gt;&lt;D xsi:type="xsd:double"&gt;21.62&lt;/D&gt;&lt;D xsi:type="xsd:double"&gt;21.56&lt;/D&gt;&lt;D xsi:type="xsd:double"&gt;21.38&lt;/D&gt;&lt;D xsi:type="xsd:double"&gt;21.16&lt;/D&gt;&lt;D xsi:type="xsd:double"&gt;21.29&lt;/D&gt;&lt;D xsi:type="xsd:double"&gt;21.35&lt;/D&gt;&lt;D xsi:type="xsd:double"&gt;21.18&lt;/D&gt;&lt;D xsi:type="xsd:double"&gt;21.19&lt;/D&gt;&lt;D xsi:type="xsd:double"&gt;21.08&lt;/D&gt;&lt;D xsi:type="xsd:double"&gt;21.25&lt;/D&gt;&lt;D xsi:type="xsd:double"&gt;21.41&lt;/D&gt;&lt;D xsi:type="xsd:double"&gt;21.41&lt;/D&gt;&lt;D xsi:type="xsd:double"&gt;21.39&lt;/D&gt;&lt;D xsi:type="xsd:double"&gt;21.43&lt;/D&gt;&lt;D xsi:type="xsd:double"&gt;21.59&lt;/D&gt;&lt;D xsi:type="xsd:double"&gt;21.64&lt;/D&gt;&lt;D xsi:type="xsd:double"&gt;21.62&lt;/D&gt;&lt;D xsi:type="xsd:double"&gt;21.79&lt;/D&gt;&lt;D xsi:type="xsd:double"&gt;21.96&lt;/D&gt;&lt;D xsi:type="xsd:double"&gt;21.93&lt;/D&gt;&lt;D xsi:type="xsd:double"&gt;21.99&lt;/D&gt;&lt;D xsi:type="xsd:double"&gt;22.11&lt;/D&gt;&lt;D xsi:type="xsd:double"&gt;22.31&lt;/D&gt;&lt;D xsi:type="xsd:double"&gt;22.36&lt;/D&gt;&lt;D xsi:type="xsd:double"&gt;22.35&lt;/D&gt;&lt;D xsi:type="xsd:double"&gt;22.01&lt;/D&gt;&lt;D xsi:type="xsd:double"&gt;22.05&lt;/D&gt;&lt;D xsi:type="xsd:double"&gt;22&lt;/D&gt;&lt;D xsi:type="xsd:double"&gt;21.74&lt;/D&gt;&lt;D xsi:type="xsd:double"&gt;21.44&lt;/D&gt;&lt;D xsi:type="xsd:double"&gt;21.59&lt;/D&gt;&lt;D xsi:type="xsd:double"&gt;21.35&lt;/D&gt;&lt;D xsi:type="xsd:double"&gt;21.21&lt;/D&gt;&lt;D xsi:type="xsd:double"&gt;21.39&lt;/D&gt;&lt;D xsi:type="xsd:double"&gt;21.18&lt;/D&gt;&lt;D xsi:type="xsd:double"&gt;21.16&lt;/D&gt;&lt;D xsi:type="xsd:double"&gt;21.22&lt;/D&gt;&lt;D xsi:type="xsd:double"&gt;21.24&lt;/D&gt;&lt;D xsi:type="xsd:double"&gt;21.31&lt;/D&gt;&lt;D xsi:type="xsd:double"&gt;21.07&lt;/D&gt;&lt;D xsi:type="xsd:double"&gt;20.93&lt;/D&gt;&lt;D xsi:type="xsd:double"&gt;21.05&lt;/D&gt;&lt;D xsi:type="xsd:double"&gt;21.29&lt;/D&gt;&lt;D xsi:type="xsd:double"&gt;21.51&lt;/D&gt;&lt;D xsi:type="xsd:double"&gt;21.53&lt;/D&gt;&lt;D xsi:type="xsd:double"&gt;21.95&lt;/D&gt;&lt;D xsi:type="xsd:double"&gt;22.13&lt;/D&gt;&lt;D xsi:type="xsd:double"&gt;21.9&lt;/D&gt;&lt;D xsi:type="xsd:double"&gt;21.99&lt;/D&gt;&lt;D xsi:type="xsd:double"&gt;21.7&lt;/D&gt;&lt;D xsi:type="xsd:double"&gt;21.33&lt;/D&gt;&lt;D xsi:type="xsd:double"&gt;21.3&lt;/D&gt;&lt;D xsi:type="xsd:double"&gt;21.24&lt;/D&gt;&lt;D xsi:type="xsd:double"&gt;21.19&lt;/D&gt;&lt;D xsi:type="xsd:double"&gt;21.24&lt;/D&gt;&lt;D xsi:type="xsd:double"&gt;20.89&lt;/D&gt;&lt;D xsi:type="xsd:double"&gt;21.02&lt;/D&gt;&lt;D xsi:type="xsd:double"&gt;20.85&lt;/D&gt;&lt;D xsi:type="xsd:double"&gt;20.88&lt;/D&gt;&lt;D xsi:type="xsd:double"&gt;20.76&lt;/D&gt;&lt;D xsi:type="xsd:double"&gt;20.46&lt;/D&gt;&lt;D xsi:type="xsd:double"&gt;20.44&lt;/D&gt;&lt;D xsi:type="xsd:double"&gt;20.57&lt;/D&gt;&lt;D xsi:type="xsd:double"&gt;20.4&lt;/D&gt;&lt;D xsi:type="xsd:double"&gt;20.63&lt;/D&gt;&lt;D xsi:type="xsd:double"&gt;20.74&lt;/D&gt;&lt;D xsi:type="xsd:double"&gt;20.76&lt;/D&gt;&lt;D xsi:type="xsd:double"&gt;20.78&lt;/D&gt;&lt;D xsi:type="xsd:double"&gt;20.7&lt;/D&gt;&lt;D xsi:type="xsd:double"&gt;20.78&lt;/D&gt;&lt;D xsi:type="xsd:double"&gt;20.94&lt;/D&gt;&lt;D xsi:type="xsd:double"&gt;21.09&lt;/D&gt;&lt;D xsi:type="xsd:double"&gt;20.83&lt;/D&gt;&lt;D xsi:type="xsd:double"&gt;20.78&lt;/D&gt;&lt;D xsi:type="xsd:double"&gt;21.03&lt;/D&gt;&lt;D xsi:type="xsd:double"&gt;20.96&lt;/D&gt;&lt;D xsi:type="xsd:double"&gt;20.91&lt;/D&gt;&lt;D xsi:type="xsd:double"&gt;21.03&lt;/D&gt;&lt;D xsi:type="xsd:double"&gt;20.7&lt;/D&gt;&lt;D xsi:type="xsd:double"&gt;20.6&lt;/D&gt;&lt;D xsi:type="xsd:double"&gt;20.54&lt;/D&gt;&lt;D xsi:type="xsd:double"&gt;20.73&lt;/D&gt;&lt;D xsi:type="xsd:double"&gt;20.95&lt;/D&gt;&lt;D xsi:type="xsd:double"&gt;20.98&lt;/D&gt;&lt;/FQL&gt;&lt;FQL&gt;&lt;Q&gt;QQQ^P_PRICE(0,-200D)&lt;/Q&gt;&lt;R&gt;201&lt;/R&gt;&lt;C&gt;1&lt;/C&gt;&lt;D xsi:type="xsd:double"&gt;428.55&lt;/D&gt;&lt;D xsi:type="xsd:double"&gt;435.34&lt;/D&gt;&lt;D xsi:type="xsd:double"&gt;437.05&lt;/D&gt;&lt;D xsi:type="xsd:double"&gt;432.79&lt;/D&gt;&lt;D xsi:type="xsd:double"&gt;431.99&lt;/D&gt;&lt;D xsi:type="xsd:double"&gt;427.59&lt;/D&gt;&lt;D xsi:type="xsd:double"&gt;428.45&lt;/D&gt;&lt;D xsi:type="xsd:double"&gt;429.01&lt;/D&gt;&lt;D xsi:type="xsd:double"&gt;421.88&lt;/D&gt;&lt;D xsi:type="xsd:double"&gt;416.97&lt;/D&gt;&lt;D xsi:type="xsd:double"&gt;425.3&lt;/D&gt;&lt;D xsi:type="xsd:double"&gt;428.15&lt;/D&gt;&lt;D xsi:type="xsd:double"&gt;423.81&lt;/D&gt;&lt;D xsi:type="xsd:double"&gt;426.35&lt;/D&gt;&lt;D xsi:type="xsd:double"&gt;425.83&lt;/D&gt;&lt;D xsi:type="xsd:double"&gt;423.48&lt;/D&gt;&lt;D xsi:type="xsd:double"&gt;421.73&lt;/D&gt;&lt;D xsi:type="xsd:double"&gt;421.18&lt;/D&gt;&lt;D xsi:type="xsd:double"&gt;412.99&lt;/D&gt;&lt;D xsi:type="xsd:double"&gt;407.21&lt;/D&gt;&lt;D xsi:type="xsd:double"&gt;409.52&lt;/D&gt;&lt;D xsi:type="xsd:double"&gt;409.56&lt;/D&gt;&lt;D xsi:type="xsd:double"&gt;409.35&lt;/D&gt;&lt;D xsi:type="xsd:double"&gt;408.5&lt;/D&gt;&lt;D xsi:type="xsd:double"&gt;405.75&lt;/D&gt;&lt;D xsi:type="xsd:double"&gt;404.95&lt;/D&gt;&lt;D xsi:type="xsd:double"&gt;396.75&lt;/D&gt;&lt;D xsi:type="xsd:double"&gt;396.28&lt;/D&gt;&lt;D xsi:type="xsd:double"&gt;398.33&lt;/D&gt;&lt;D xsi:type="xsd:double"&gt;402.59&lt;/D&gt;&lt;D xsi:type="xsd:double"&gt;409.52&lt;/D&gt;&lt;D xsi:type="xsd:double"&gt;411.3&lt;/D&gt;&lt;D xsi:type="xsd:double"&gt;411.5&lt;/D&gt;&lt;D xsi:type="xsd:double"&gt;410.88&lt;/D&gt;&lt;D xsi:type="xsd:double"&gt;408.38&lt;/D&gt;&lt;D xsi:type="xsd:double"&gt;407.77&lt;/D&gt;&lt;D xsi:type="xsd:double"&gt;403.08&lt;/D&gt;&lt;D xsi:type="xsd:double"&gt;409.16&lt;/D&gt;&lt;D xsi:type="xsd:double"&gt;407.08&lt;/D&gt;&lt;D xsi:type="xsd:double"&gt;405.34&lt;/D&gt;&lt;D xsi:type="xsd:double"&gt;403.39&lt;/D&gt;&lt;D xsi:type="xsd:double"&gt;403.74&lt;/D&gt;&lt;D xsi:type="xsd:double"&gt;398.67&lt;/D&gt;&lt;D xsi:type="xsd:double"&gt;395.52&lt;/D&gt;&lt;D xsi:type="xsd:double"&gt;392.17&lt;/D&gt;&lt;D xsi:type="xsd:double"&gt;390.43&lt;/D&gt;&lt;D xsi:type="xsd:double"&gt;385.05&lt;/D&gt;&lt;D xsi:type="xsd:double"&gt;387.29&lt;/D&gt;&lt;D xsi:type="xsd:double"&gt;386.32&lt;/D&gt;&lt;D xsi:type="xsd:double"&gt;389.94&lt;/D&gt;&lt;D xsi:type="xsd:double"&gt;388.83&lt;/D&gt;&lt;D xsi:type="xsd:double"&gt;389.81&lt;/D&gt;&lt;D xsi:type="xsd:double"&gt;390.19&lt;/D&gt;&lt;D xsi:type="xsd:double"&gt;389.17&lt;/D&gt;&lt;D xsi:type="xsd:double"&gt;389.51&lt;/D&gt;&lt;D xsi:type="xsd:double"&gt;390.06&lt;/D&gt;&lt;D xsi:type="xsd:double"&gt;388.47&lt;/D&gt;&lt;D xsi:type="xsd:double"&gt;390.74&lt;/D&gt;&lt;D xsi:type="xsd:double"&gt;386.04&lt;/D&gt;&lt;D xsi:type="xsd:double"&gt;385.95&lt;/D&gt;&lt;D xsi:type="xsd:double"&gt;385.62&lt;/D&gt;&lt;D xsi:type="xsd:double"&gt;385.33&lt;/D&gt;&lt;D xsi:type="xsd:double"&gt;377.21&lt;/D&gt;&lt;D xsi:type="xsd:double"&gt;378.39&lt;/D&gt;&lt;D xsi:type="xsd:double"&gt;370.07&lt;/D&gt;&lt;D xsi:type="xsd:double"&gt;372.94&lt;/D&gt;&lt;D xsi:type="xsd:double"&gt;372.7&lt;/D&gt;&lt;D xsi:type="xsd:double"&gt;369.21&lt;/D&gt;&lt;D xsi:type="xsd:double"&gt;367.71&lt;/D&gt;&lt;D xsi:type="xsd:double"&gt;363.44&lt;/D&gt;&lt;D xsi:type="xsd:double"&gt;356.96&lt;/D&gt;&lt;D xsi:type="xsd:double"&gt;350.87&lt;/D&gt;&lt;D xsi:type="xsd:double"&gt;349.2&lt;/D&gt;&lt;D xsi:type="xsd:double"&gt;345.31&lt;/D&gt;&lt;D xsi:type="xsd:double"&gt;343.66&lt;/D&gt;&lt;D xsi:type="xsd:double"&gt;350.34&lt;/D&gt;&lt;D xsi:type="xsd:double"&gt;359.13&lt;/D&gt;&lt;D xsi:type="xsd:double"&gt;355.67&lt;/D&gt;&lt;D xsi:type="xsd:double"&gt;354.6&lt;/D&gt;&lt;D xsi:type="xsd:double"&gt;359.97&lt;/D&gt;&lt;D xsi:type="xsd:double"&gt;363.37&lt;/D&gt;&lt;D xsi:type="xsd:double"&gt;368.2&lt;/D&gt;&lt;D xsi:type="xsd:double"&gt;369.41&lt;/D&gt;&lt;D xsi:type="xsd:double"&gt;365.28&lt;/D&gt;&lt;D xsi:type="xsd:double"&gt;369.93&lt;/D&gt;&lt;D xsi:type="xsd:double"&gt;371.22&lt;/D&gt;&lt;D xsi:type="xsd:double"&gt;368.59&lt;/D&gt;&lt;D xsi:type="xsd:double"&gt;366.56&lt;/D&gt;&lt;D xsi:type="xsd:double"&gt;364.7&lt;/D&gt;&lt;D xsi:type="xsd:double"&gt;358.69&lt;/D&gt;&lt;D xsi:type="xsd:double"&gt;359.75&lt;/D&gt;&lt;D xsi:type="xsd:double"&gt;354.92&lt;/D&gt;&lt;D xsi:type="xsd:double"&gt;361.26&lt;/D&gt;&lt;D xsi:type="xsd:double"&gt;358.27&lt;/D&gt;&lt;D xsi:type="xsd:double"&gt;358.01&lt;/D&gt;&lt;D xsi:type="xsd:double"&gt;355.04&lt;/D&gt;&lt;D xsi:type="xsd:double"&gt;354.21&lt;/D&gt;&lt;D xsi:type="xsd:double"&gt;359.61&lt;/D&gt;&lt;D xsi:type="xsd:double"&gt;357.91&lt;/D&gt;&lt;D xsi:type="xsd:double"&gt;357.86&lt;/D&gt;&lt;D xsi:type="xsd:double"&gt;364.54&lt;/D&gt;&lt;D xsi:type="xsd:double"&gt;369.87&lt;/D&gt;&lt;D xsi:type="xsd:double"&gt;370.66&lt;/D&gt;&lt;D xsi:type="xsd:double"&gt;370.81&lt;/D&gt;&lt;D xsi:type="xsd:double"&gt;377.27&lt;/D&gt;&lt;D xsi:type="xsd:double"&gt;374.21&lt;/D&gt;&lt;D xsi:type="xsd:double"&gt;372.79&lt;/D&gt;&lt;D xsi:type="xsd:double"&gt;376.97&lt;/D&gt;&lt;D xsi:type="xsd:double"&gt;372.58&lt;/D&gt;&lt;D xsi:type="xsd:double"&gt;372.06&lt;/D&gt;&lt;D xsi:type="xsd:double"&gt;374.74&lt;/D&gt;&lt;D xsi:type="xsd:double"&gt;378.07&lt;/D&gt;&lt;D xsi:type="xsd:double"&gt;377.59&lt;/D&gt;&lt;D xsi:type="xsd:double"&gt;377.99&lt;/D&gt;&lt;D xsi:type="xsd:double"&gt;376.86&lt;/D&gt;&lt;D xsi:type="xsd:double"&gt;374.77&lt;/D&gt;&lt;D xsi:type="xsd:double"&gt;366.76&lt;/D&gt;&lt;D xsi:type="xsd:double"&gt;364.02&lt;/D&gt;&lt;D xsi:type="xsd:double"&gt;361.22&lt;/D&gt;&lt;D xsi:type="xsd:double"&gt;369.11&lt;/D&gt;&lt;D xsi:type="xsd:double"&gt;363.38&lt;/D&gt;&lt;D xsi:type="xsd:double"&gt;363.9&lt;/D&gt;&lt;D xsi:type="xsd:double"&gt;358.13&lt;/D&gt;&lt;D xsi:type="xsd:double"&gt;358.58&lt;/D&gt;&lt;D xsi:type="xsd:double"&gt;362.54&lt;/D&gt;&lt;D xsi:type="xsd:double"&gt;366.42&lt;/D&gt;&lt;D xsi:type="xsd:double"&gt;370.35&lt;/D&gt;&lt;D xsi:type="xsd:double"&gt;366.24&lt;/D&gt;&lt;D xsi:type="xsd:double"&gt;368.59&lt;/D&gt;&lt;D xsi:type="xsd:double"&gt;367.91&lt;/D&gt;&lt;D xsi:type="xsd:double"&gt;372&lt;/D&gt;&lt;D xsi:type="xsd:double"&gt;375.19&lt;/D&gt;&lt;D xsi:type="xsd:double"&gt;372.04&lt;/D&gt;&lt;D xsi:type="xsd:double"&gt;373.79&lt;/D&gt;&lt;D xsi:type="xsd:double"&gt;374.39&lt;/D&gt;&lt;D xsi:type="xsd:double"&gt;382.79&lt;/D&gt;&lt;D xsi:type="xsd:double"&gt;383.68&lt;/D&gt;&lt;D xsi:type="xsd:double"&gt;383.48&lt;/D&gt;&lt;D xsi:type="xsd:double"&gt;376.62&lt;/D&gt;&lt;D xsi:type="xsd:double"&gt;377.52&lt;/D&gt;&lt;D xsi:type="xsd:double"&gt;378.78&lt;/D&gt;&lt;D xsi:type="xsd:double"&gt;376.23&lt;/D&gt;&lt;D xsi:type="xsd:double"&gt;375.63&lt;/D&gt;&lt;D xsi:type="xsd:double"&gt;376.76&lt;/D&gt;&lt;D xsi:type="xsd:double"&gt;385.65&lt;/D&gt;&lt;D xsi:type="xsd:double"&gt;385.74&lt;/D&gt;&lt;D xsi:type="xsd:double"&gt;382.61&lt;/D&gt;&lt;D xsi:type="xsd:double"&gt;379.07&lt;/D&gt;&lt;D xsi:type="xsd:double"&gt;379.15&lt;/D&gt;&lt;D xsi:type="xsd:double"&gt;372.82&lt;/D&gt;&lt;D xsi:type="xsd:double"&gt;368.17&lt;/D&gt;&lt;D xsi:type="xsd:double"&gt;366.36&lt;/D&gt;&lt;D xsi:type="xsd:double"&gt;366.24&lt;/D&gt;&lt;D xsi:type="xsd:double"&gt;367.46&lt;/D&gt;&lt;D xsi:type="xsd:double"&gt;370.28&lt;/D&gt;&lt;D xsi:type="xsd:double"&gt;370.29&lt;/D&gt;&lt;D xsi:type="xsd:double"&gt;369.42&lt;/D&gt;&lt;D xsi:type="xsd:double"&gt;363.81&lt;/D&gt;&lt;D xsi:type="xsd:double"&gt;364.54&lt;/D&gt;&lt;D xsi:type="xsd:double"&gt;363.83&lt;/D&gt;&lt;D xsi:type="xsd:double"&gt;357.68&lt;/D&gt;&lt;D xsi:type="xsd:double"&gt;362.54&lt;/D&gt;&lt;D xsi:type="xsd:double"&gt;366.17&lt;/D&gt;&lt;D xsi:type="xsd:double"&gt;361.9&lt;/D&gt;&lt;D xsi:type="xsd:double"&gt;366.9&lt;/D&gt;&lt;D xsi:type="xsd:double"&gt;367.93&lt;/D&gt;&lt;D xsi:type="xsd:double"&gt;370.26&lt;/D&gt;&lt;D xsi:type="xsd:double"&gt;365.9&lt;/D&gt;&lt;D xsi:type="xsd:double"&gt;363.26&lt;/D&gt;&lt;D xsi:type="xsd:double"&gt;360.49&lt;/D&gt;&lt;D xsi:type="xsd:double"&gt;354.5&lt;/D&gt;&lt;D xsi:type="xsd:double"&gt;353.15&lt;/D&gt;&lt;D xsi:type="xsd:double"&gt;348.82&lt;/D&gt;&lt;D xsi:type="xsd:double"&gt;354.84&lt;/D&gt;&lt;D xsi:type="xsd:double"&gt;354.9&lt;/D&gt;&lt;D xsi:type="xsd:double"&gt;354.65&lt;/D&gt;&lt;D xsi:type="xsd:double"&gt;352.01&lt;/D&gt;&lt;D xsi:type="xsd:double"&gt;347.99&lt;/D&gt;&lt;D xsi:type="xsd:double"&gt;349.98&lt;/D&gt;&lt;D xsi:type="xsd:double"&gt;348.4&lt;/D&gt;&lt;D xsi:type="xsd:double"&gt;339.72&lt;/D&gt;&lt;D xsi:type="xsd:double"&gt;331.65&lt;/D&gt;&lt;D xsi:type="xsd:double"&gt;333.36&lt;/D&gt;&lt;D xsi:type="xsd:double"&gt;337.64&lt;/D&gt;&lt;D xsi:type="xsd:double"&gt;336.51&lt;/D&gt;&lt;D xsi:type="xsd:double"&gt;337.27&lt;/D&gt;&lt;D xsi:type="xsd:double"&gt;331.12&lt;/D&gt;&lt;D xsi:type="xsd:double"&gt;327.16&lt;/D&gt;&lt;D xsi:type="xsd:double"&gt;326.79&lt;/D&gt;&lt;D xsi:type="xsd:double"&gt;325.03&lt;/D&gt;&lt;D xsi:type="xsd:double"&gt;326.2&lt;/D&gt;&lt;D xsi:type="xsd:double"&gt;325.14&lt;/D&gt;&lt;D xsi:type="xsd:double"&gt;321.64&lt;/D&gt;&lt;D xsi:type="xsd:double"&gt;323.69&lt;/D&gt;&lt;D xsi:type="xsd:double"&gt;322.89&lt;/D&gt;&lt;D xsi:type="xsd:double"&gt;316.17&lt;/D&gt;&lt;D xsi:type="xsd:double"&gt;317.29&lt;/D&gt;&lt;D xsi:type="xsd:double"&gt;319.38&lt;/D&gt;&lt;D xsi:type="xsd:double"&gt;322.19&lt;/D&gt;&lt;D xsi:type="xsd:double"&gt;322.56&lt;/D&gt;&lt;D xsi:type="xsd:double"&gt;320.35&lt;/D&gt;&lt;/FQL&gt;&lt;FQL&gt;&lt;Q&gt;UUP^P_PRICE(0,-200D)&lt;/Q&gt;&lt;R&gt;201&lt;/R&gt;&lt;C&gt;1&lt;/C&gt;&lt;D xsi:type="xsd:double"&gt;28.24&lt;/D&gt;&lt;D xsi:type="xsd:double"&gt;28.02&lt;/D&gt;&lt;D xsi:type="xsd:double"&gt;27.99&lt;/D&gt;&lt;D xsi:type="xsd:double"&gt;28.01&lt;/D&gt;&lt;D xsi:type="xsd:double"&gt;27.98&lt;/D&gt;&lt;D xsi:type="xsd:double"&gt;28.01&lt;/D&gt;&lt;D xsi:type="xsd:double"&gt;28.09&lt;/D&gt;&lt;D xsi:type="xsd:double"&gt;27.94&lt;/D&gt;&lt;D xsi:type="xsd:double"&gt;27.69&lt;/D&gt;&lt;D xsi:type="xsd:double"&gt;27.83&lt;/D&gt;&lt;D xsi:type="xsd:double"&gt;27.76&lt;/D&gt;&lt;D xsi:type="xsd:double"&gt;27.78&lt;/D&gt;&lt;D xsi:type="xsd:double"&gt;27.78&lt;/D&gt;&lt;D xsi:type="xsd:double"&gt;27.78&lt;/D&gt;&lt;D xsi:type="xsd:double"&gt;27.7&lt;/D&gt;&lt;D xsi:type="xsd:double"&gt;27.78&lt;/D&gt;&lt;D xsi:type="xsd:double"&gt;27.71&lt;/D&gt;&lt;D xsi:type="xsd:double"&gt;27.7&lt;/D&gt;&lt;D xsi:type="xsd:double"&gt;27.74&lt;/D&gt;&lt;D xsi:type="xsd:double"&gt;27.71&lt;/D&gt;&lt;D xsi:type="xsd:double"&gt;27.69&lt;/D&gt;&lt;D xsi:type="xsd:double"&gt;27.45&lt;/D&gt;&lt;D xsi:type="xsd:double"&gt;27.42&lt;/D&gt;&lt;D xsi:type="xsd:double"&gt;27.4&lt;/D&gt;&lt;D xsi:type="xsd:double"&gt;27.45&lt;/D&gt;&lt;D xsi:type="xsd:double"&gt;27.36&lt;/D&gt;&lt;D xsi:type="xsd:double"&gt;27.41&lt;/D&gt;&lt;D xsi:type="xsd:double"&gt;27.41&lt;/D&gt;&lt;D xsi:type="xsd:double"&gt;27.41&lt;/D&gt;&lt;D xsi:type="xsd:double"&gt;27.32&lt;/D&gt;&lt;D xsi:type="xsd:double"&gt;27.09&lt;/D&gt;&lt;D xsi:type="xsd:double"&gt;27.04&lt;/D&gt;&lt;D xsi:type="xsd:double"&gt;26.95&lt;/D&gt;&lt;D xsi:type="xsd:double"&gt;27.09&lt;/D&gt;&lt;D xsi:type="xsd:double"&gt;27.15&lt;/D&gt;&lt;D xsi:type="xsd:double"&gt;27.16&lt;/D&gt;&lt;D xsi:type="xsd:double"&gt;27.34&lt;/D&gt;&lt;D xsi:type="xsd:double"&gt;27.22&lt;/D&gt;&lt;D xsi:type="xsd:double"&gt;27.34&lt;/D&gt;&lt;D xsi:type="xsd:double"&gt;29.09&lt;/D&gt;&lt;D xsi:type="xsd:double"&gt;28.9&lt;/D&gt;&lt;D xsi:type="xsd:double"&gt;29.17&lt;/D&gt;&lt;D xsi:type="xsd:double"&gt;29.42&lt;/D&gt;&lt;D xsi:type="xsd:double"&gt;29.5&lt;/D&gt;&lt;D xsi:type="xsd:double"&gt;29.46&lt;/D&gt;&lt;D xsi:type="xsd:double"&gt;29.35&lt;/D&gt;&lt;D xsi:type="xsd:double"&gt;29.51&lt;/D&gt;&lt;D xsi:type="xsd:double"&gt;29.44&lt;/D&gt;&lt;D xsi:type="xsd:double"&gt;29.33&lt;/D&gt;&lt;D xsi:type="xsd:double"&gt;29.2&lt;/D&gt;&lt;D xsi:type="xsd:double"&gt;29.29&lt;/D&gt;&lt;D xsi:type="xsd:double"&gt;29.08&lt;/D&gt;&lt;D xsi:type="xsd:double"&gt;29.05&lt;/D&gt;&lt;D xsi:type="xsd:double"&gt;29.15&lt;/D&gt;&lt;D xsi:type="xsd:double"&gt;29.21&lt;/D&gt;&lt;D xsi:type="xsd:double"&gt;29.34&lt;/D&gt;&lt;D xsi:type="xsd:double"&gt;29.24&lt;/D&gt;&lt;D xsi:type="xsd:double"&gt;29.21&lt;/D&gt;&lt;D xsi:type="xsd:double"&gt;29.3&lt;/D&gt;&lt;D xsi:type="xsd:double"&gt;29.46&lt;/D&gt;&lt;D xsi:type="xsd:double"&gt;29.44&lt;/D&gt;&lt;D xsi:type="xsd:double"&gt;29.33&lt;/D&gt;&lt;D xsi:type="xsd:double"&gt;29.8&lt;/D&gt;&lt;D xsi:type="xsd:double"&gt;29.84&lt;/D&gt;&lt;D xsi:type="xsd:double"&gt;29.86&lt;/D&gt;&lt;D xsi:type="xsd:double"&gt;29.73&lt;/D&gt;&lt;D xsi:type="xsd:double"&gt;29.74&lt;/D&gt;&lt;D xsi:type="xsd:double"&gt;29.64&lt;/D&gt;&lt;D xsi:type="xsd:double"&gt;29.61&lt;/D&gt;&lt;D xsi:type="xsd:double"&gt;29.89&lt;/D&gt;&lt;D xsi:type="xsd:double"&gt;30.04&lt;/D&gt;&lt;D xsi:type="xsd:double"&gt;30.03&lt;/D&gt;&lt;D xsi:type="xsd:double"&gt;29.85&lt;/D&gt;&lt;D xsi:type="xsd:double"&gt;29.97&lt;/D&gt;&lt;D xsi:type="xsd:double"&gt;30.01&lt;/D&gt;&lt;D xsi:type="xsd:double"&gt;29.94&lt;/D&gt;&lt;D xsi:type="xsd:double"&gt;29.86&lt;/D&gt;&lt;D xsi:type="xsd:double"&gt;29.69&lt;/D&gt;&lt;D xsi:type="xsd:double"&gt;29.84&lt;/D&gt;&lt;D xsi:type="xsd:double"&gt;29.83&lt;/D&gt;&lt;D xsi:type="xsd:double"&gt;29.92&lt;/D&gt;&lt;D xsi:type="xsd:double"&gt;29.81&lt;/D&gt;&lt;D xsi:type="xsd:double"&gt;29.8&lt;/D&gt;&lt;D xsi:type="xsd:double"&gt;29.93&lt;/D&gt;&lt;D xsi:type="xsd:double"&gt;29.91&lt;/D&gt;&lt;D xsi:type="xsd:double"&gt;29.66&lt;/D&gt;&lt;D xsi:type="xsd:double"&gt;29.66&lt;/D&gt;&lt;D xsi:type="xsd:double"&gt;29.73&lt;/D&gt;&lt;D xsi:type="xsd:double"&gt;29.74&lt;/D&gt;&lt;D xsi:type="xsd:double"&gt;29.8&lt;/D&gt;&lt;D xsi:type="xsd:double"&gt;29.9&lt;/D&gt;&lt;D xsi:type="xsd:double"&gt;29.99&lt;/D&gt;&lt;D xsi:type="xsd:double"&gt;29.96&lt;/D&gt;&lt;D xsi:type="xsd:double"&gt;29.73&lt;/D&gt;&lt;D xsi:type="xsd:double"&gt;29.71&lt;/D&gt;&lt;D xsi:type="xsd:double"&gt;29.87&lt;/D&gt;&lt;D xsi:type="xsd:double"&gt;29.73&lt;/D&gt;&lt;D xsi:type="xsd:double"&gt;29.64&lt;/D&gt;&lt;D xsi:type="xsd:double"&gt;29.53&lt;/D&gt;&lt;D xsi:type="xsd:double"&gt;29.46&lt;/D&gt;&lt;D xsi:type="xsd:double"&gt;29.44&lt;/D&gt;&lt;D xsi:type="xsd:double"&gt;29.39&lt;/D&gt;&lt;D xsi:type="xsd:double"&gt;29.37&lt;/D&gt;&lt;D xsi:type="xsd:double"&gt;29.42&lt;/D&gt;&lt;D xsi:type="xsd:double"&gt;29.44&lt;/D&gt;&lt;D xsi:type="xsd:double"&gt;29.26&lt;/D&gt;&lt;D xsi:type="xsd:double"&gt;29.24&lt;/D&gt;&lt;D xsi:type="xsd:double"&gt;29.19&lt;/D&gt;&lt;D xsi:type="xsd:double"&gt;29.33&lt;/D&gt;&lt;D xsi:type="xsd:double"&gt;29.3&lt;/D&gt;&lt;D xsi:type="xsd:double"&gt;29.23&lt;/D&gt;&lt;D xsi:type="xsd:double"&gt;29.22&lt;/D&gt;&lt;D xsi:type="xsd:double"&gt;29.07&lt;/D&gt;&lt;D xsi:type="xsd:double"&gt;28.89&lt;/D&gt;&lt;D xsi:type="xsd:double"&gt;28.75&lt;/D&gt;&lt;D xsi:type="xsd:double"&gt;28.8&lt;/D&gt;&lt;D xsi:type="xsd:double"&gt;28.96&lt;/D&gt;&lt;D xsi:type="xsd:double"&gt;29.01&lt;/D&gt;&lt;D xsi:type="xsd:double"&gt;28.97&lt;/D&gt;&lt;D xsi:type="xsd:double"&gt;28.74&lt;/D&gt;&lt;D xsi:type="xsd:double"&gt;28.84&lt;/D&gt;&lt;D xsi:type="xsd:double"&gt;28.74&lt;/D&gt;&lt;D xsi:type="xsd:double"&gt;28.77&lt;/D&gt;&lt;D xsi:type="xsd:double"&gt;28.75&lt;/D&gt;&lt;D xsi:type="xsd:double"&gt;28.76&lt;/D&gt;&lt;D xsi:type="xsd:double"&gt;28.68&lt;/D&gt;&lt;D xsi:type="xsd:double"&gt;28.67&lt;/D&gt;&lt;D xsi:type="xsd:double"&gt;28.57&lt;/D&gt;&lt;D xsi:type="xsd:double"&gt;28.51&lt;/D&gt;&lt;D xsi:type="xsd:double"&gt;28.46&lt;/D&gt;&lt;D xsi:type="xsd:double"&gt;28.44&lt;/D&gt;&lt;D xsi:type="xsd:double"&gt;28.31&lt;/D&gt;&lt;D xsi:type="xsd:double"&gt;28.29&lt;/D&gt;&lt;D xsi:type="xsd:double"&gt;28.43&lt;/D&gt;&lt;D xsi:type="xsd:double"&gt;28.45&lt;/D&gt;&lt;D xsi:type="xsd:double"&gt;28.35&lt;/D&gt;&lt;D xsi:type="xsd:double"&gt;28.22&lt;/D&gt;&lt;D xsi:type="xsd:double"&gt;28.17&lt;/D&gt;&lt;D xsi:type="xsd:double"&gt;28.21&lt;/D&gt;&lt;D xsi:type="xsd:double"&gt;27.95&lt;/D&gt;&lt;D xsi:type="xsd:double"&gt;28.03&lt;/D&gt;&lt;D xsi:type="xsd:double"&gt;28.06&lt;/D&gt;&lt;D xsi:type="xsd:double"&gt;27.96&lt;/D&gt;&lt;D xsi:type="xsd:double"&gt;27.88&lt;/D&gt;&lt;D xsi:type="xsd:double"&gt;27.72&lt;/D&gt;&lt;D xsi:type="xsd:double"&gt;27.61&lt;/D&gt;&lt;D xsi:type="xsd:double"&gt;27.59&lt;/D&gt;&lt;D xsi:type="xsd:double"&gt;27.62&lt;/D&gt;&lt;D xsi:type="xsd:double"&gt;27.57&lt;/D&gt;&lt;D xsi:type="xsd:double"&gt;27.76&lt;/D&gt;&lt;D xsi:type="xsd:double"&gt;28.09&lt;/D&gt;&lt;D xsi:type="xsd:double"&gt;28.16&lt;/D&gt;&lt;D xsi:type="xsd:double"&gt;28.23&lt;/D&gt;&lt;D xsi:type="xsd:double"&gt;28.47&lt;/D&gt;&lt;D xsi:type="xsd:double"&gt;28.54&lt;/D&gt;&lt;D xsi:type="xsd:double"&gt;28.41&lt;/D&gt;&lt;D xsi:type="xsd:double"&gt;28.38&lt;/D&gt;&lt;D xsi:type="xsd:double"&gt;28.5&lt;/D&gt;&lt;D xsi:type="xsd:double"&gt;28.38&lt;/D&gt;&lt;D xsi:type="xsd:double"&gt;28.25&lt;/D&gt;&lt;D xsi:type="xsd:double"&gt;28.32&lt;/D&gt;&lt;D xsi:type="xsd:double"&gt;28.35&lt;/D&gt;&lt;D xsi:type="xsd:double"&gt;28.2&lt;/D&gt;&lt;D xsi:type="xsd:double"&gt;28.1&lt;/D&gt;&lt;D xsi:type="xsd:double"&gt;28.23&lt;/D&gt;&lt;D xsi:type="xsd:double"&gt;28.15&lt;/D&gt;&lt;D xsi:type="xsd:double"&gt;28.1&lt;/D&gt;&lt;D xsi:type="xsd:double"&gt;28.26&lt;/D&gt;&lt;D xsi:type="xsd:double"&gt;28.4&lt;/D&gt;&lt;D xsi:type="xsd:double"&gt;28.49&lt;/D&gt;&lt;D xsi:type="xsd:double"&gt;28.48&lt;/D&gt;&lt;D xsi:type="xsd:double"&gt;28.39&lt;/D&gt;&lt;D xsi:type="xsd:double"&gt;28.62&lt;/D&gt;&lt;D xsi:type="xsd:double"&gt;28.61&lt;/D&gt;&lt;D xsi:type="xsd:double"&gt;28.52&lt;/D&gt;&lt;D xsi:type="xsd:double"&gt;28.57&lt;/D&gt;&lt;D xsi:type="xsd:double"&gt;28.27&lt;/D&gt;&lt;D xsi:type="xsd:double"&gt;28.61&lt;/D&gt;&lt;D xsi:type="xsd:double"&gt;28.56&lt;/D&gt;&lt;D xsi:type="xsd:double"&gt;28.59&lt;/D&gt;&lt;D xsi:type="xsd:double"&gt;28.6&lt;/D&gt;&lt;D xsi:type="xsd:double"&gt;28.47&lt;/D&gt;&lt;D xsi:type="xsd:double"&gt;28.37&lt;/D&gt;&lt;D xsi:type="xsd:double"&gt;28.29&lt;/D&gt;&lt;D xsi:type="xsd:double"&gt;28.27&lt;/D&gt;&lt;D xsi:type="xsd:double"&gt;28.35&lt;/D&gt;&lt;D xsi:type="xsd:double"&gt;28.14&lt;/D&gt;&lt;D xsi:type="xsd:double"&gt;28.09&lt;/D&gt;&lt;D xsi:type="xsd:double"&gt;28.02&lt;/D&gt;&lt;D xsi:type="xsd:double"&gt;28.1&lt;/D&gt;&lt;D xsi:type="xsd:double"&gt;27.92&lt;/D&gt;&lt;D xsi:type="xsd:double"&gt;27.74&lt;/D&gt;&lt;D xsi:type="xsd:double"&gt;27.79&lt;/D&gt;&lt;D xsi:type="xsd:double"&gt;27.7&lt;/D&gt;&lt;D xsi:type="xsd:double"&gt;27.66&lt;/D&gt;&lt;D xsi:type="xsd:double"&gt;27.7&lt;/D&gt;&lt;D xsi:type="xsd:double"&gt;27.67&lt;/D&gt;&lt;D xsi:type="xsd:double"&gt;27.82&lt;/D&gt;&lt;D xsi:type="xsd:double"&gt;27.89&lt;/D&gt;&lt;D xsi:type="xsd:double"&gt;27.75&lt;/D&gt;&lt;D xsi:type="xsd:double"&gt;27.71&lt;/D&gt;&lt;/FQL&gt;&lt;FQL&gt;&lt;Q&gt;GLD^P_PRICE(0,-200D)&lt;/Q&gt;&lt;R&gt;201&lt;/R&gt;&lt;C&gt;1&lt;/C&gt;&lt;D xsi:type="xsd:double"&gt;184.53&lt;/D&gt;&lt;D xsi:type="xsd:double"&gt;187.11&lt;/D&gt;&lt;D xsi:type="xsd:double"&gt;187.6&lt;/D&gt;&lt;D xsi:type="xsd:double"&gt;188.33&lt;/D&gt;&lt;D xsi:type="xsd:double"&gt;188.5&lt;/D&gt;&lt;D xsi:type="xsd:double"&gt;188.55&lt;/D&gt;&lt;D xsi:type="xsd:double"&gt;187.57&lt;/D&gt;&lt;D xsi:type="xsd:double"&gt;188.61&lt;/D&gt;&lt;D xsi:type="xsd:double"&gt;190.41&lt;/D&gt;&lt;D xsi:type="xsd:double"&gt;188.45&lt;/D&gt;&lt;D xsi:type="xsd:double"&gt;188.59&lt;/D&gt;&lt;D xsi:type="xsd:double"&gt;188.33&lt;/D&gt;&lt;D xsi:type="xsd:double"&gt;187.01&lt;/D&gt;&lt;D xsi:type="xsd:double"&gt;187.14&lt;/D&gt;&lt;D xsi:type="xsd:double"&gt;186.4&lt;/D&gt;&lt;D xsi:type="xsd:double"&gt;187.95&lt;/D&gt;&lt;D xsi:type="xsd:double"&gt;187.22&lt;/D&gt;&lt;D xsi:type="xsd:double"&gt;187.93&lt;/D&gt;&lt;D xsi:type="xsd:double"&gt;187.37&lt;/D&gt;&lt;D xsi:type="xsd:double"&gt;185.84&lt;/D&gt;&lt;D xsi:type="xsd:double"&gt;187.91&lt;/D&gt;&lt;D xsi:type="xsd:double"&gt;189.71&lt;/D&gt;&lt;D xsi:type="xsd:double"&gt;187.87&lt;/D&gt;&lt;D xsi:type="xsd:double"&gt;187.5&lt;/D&gt;&lt;D xsi:type="xsd:double"&gt;187.93&lt;/D&gt;&lt;D xsi:type="xsd:double"&gt;187.87&lt;/D&gt;&lt;D xsi:type="xsd:double"&gt;189.35&lt;/D&gt;&lt;D xsi:type="xsd:double"&gt;189.32&lt;/D&gt;&lt;D xsi:type="xsd:double"&gt;189.13&lt;/D&gt;&lt;D xsi:type="xsd:double"&gt;190.72&lt;/D&gt;&lt;D xsi:type="xsd:double"&gt;191.17&lt;/D&gt;&lt;D xsi:type="xsd:double"&gt;191.47&lt;/D&gt;&lt;D xsi:type="xsd:double"&gt;192.59&lt;/D&gt;&lt;D xsi:type="xsd:double"&gt;191.72&lt;/D&gt;&lt;D xsi:type="xsd:double"&gt;190.27&lt;/D&gt;&lt;D xsi:type="xsd:double"&gt;189.43&lt;/D&gt;&lt;D xsi:type="xsd:double"&gt;188.1&lt;/D&gt;&lt;D xsi:type="xsd:double"&gt;189.13&lt;/D&gt;&lt;D xsi:type="xsd:double"&gt;187.85&lt;/D&gt;&lt;D xsi:type="xsd:double"&gt;187&lt;/D&gt;&lt;D xsi:type="xsd:double"&gt;188.73&lt;/D&gt;&lt;D xsi:type="xsd:double"&gt;187.63&lt;/D&gt;&lt;D xsi:type="xsd:double"&gt;183.49&lt;/D&gt;&lt;D xsi:type="xsd:double"&gt;183.59&lt;/D&gt;&lt;D xsi:type="xsd:double"&gt;185.64&lt;/D&gt;&lt;D xsi:type="xsd:double"&gt;188.15&lt;/D&gt;&lt;D xsi:type="xsd:double"&gt;187.84&lt;/D&gt;&lt;D xsi:type="xsd:double"&gt;187.15&lt;/D&gt;&lt;D xsi:type="xsd:double"&gt;187.86&lt;/D&gt;&lt;D xsi:type="xsd:double"&gt;192.01&lt;/D&gt;&lt;D xsi:type="xsd:double"&gt;188.75&lt;/D&gt;&lt;D xsi:type="xsd:double"&gt;189.54&lt;/D&gt;&lt;D xsi:type="xsd:double"&gt;189.26&lt;/D&gt;&lt;D xsi:type="xsd:double"&gt;186.77&lt;/D&gt;&lt;D xsi:type="xsd:double"&gt;185.52&lt;/D&gt;&lt;D xsi:type="xsd:double"&gt;184.56&lt;/D&gt;&lt;D xsi:type="xsd:double"&gt;185.35&lt;/D&gt;&lt;D xsi:type="xsd:double"&gt;183.37&lt;/D&gt;&lt;D xsi:type="xsd:double"&gt;183.67&lt;/D&gt;&lt;D xsi:type="xsd:double"&gt;183.69&lt;/D&gt;&lt;D xsi:type="xsd:double"&gt;181.64&lt;/D&gt;&lt;D xsi:type="xsd:double"&gt;182.12&lt;/D&gt;&lt;D xsi:type="xsd:double"&gt;180.51&lt;/D&gt;&lt;D xsi:type="xsd:double"&gt;179.51&lt;/D&gt;&lt;D xsi:type="xsd:double"&gt;181.49&lt;/D&gt;&lt;D xsi:type="xsd:double"&gt;180.77&lt;/D&gt;&lt;D xsi:type="xsd:double"&gt;182.59&lt;/D&gt;&lt;D xsi:type="xsd:double"&gt;183.35&lt;/D&gt;&lt;D xsi:type="xsd:double"&gt;184.79&lt;/D&gt;&lt;D xsi:type="xsd:double"&gt;184.12&lt;/D&gt;&lt;D xsi:type="xsd:double"&gt;183.51&lt;/D&gt;&lt;D xsi:type="xsd:double"&gt;184.09&lt;/D&gt;&lt;D xsi:type="xsd:double"&gt;185.1&lt;/D&gt;&lt;D xsi:type="xsd:double"&gt;186.15&lt;/D&gt;&lt;D xsi:type="xsd:double"&gt;184.01&lt;/D&gt;&lt;D xsi:type="xsd:double"&gt;183.72&lt;/D&gt;&lt;D xsi:type="xsd:double"&gt;182.95&lt;/D&gt;&lt;D xsi:type="xsd:double"&gt;182.97&lt;/D&gt;&lt;D xsi:type="xsd:double"&gt;183.59&lt;/D&gt;&lt;D xsi:type="xsd:double"&gt;183.09&lt;/D&gt;&lt;D xsi:type="xsd:double"&gt;180.87&lt;/D&gt;&lt;D xsi:type="xsd:double"&gt;178.29&lt;/D&gt;&lt;D xsi:type="xsd:double"&gt;177.96&lt;/D&gt;&lt;D xsi:type="xsd:double"&gt;178.83&lt;/D&gt;&lt;D xsi:type="xsd:double"&gt;173.26&lt;/D&gt;&lt;D xsi:type="xsd:double"&gt;173.79&lt;/D&gt;&lt;D xsi:type="xsd:double"&gt;172.53&lt;/D&gt;&lt;D xsi:type="xsd:double"&gt;172.82&lt;/D&gt;&lt;D xsi:type="xsd:double"&gt;169.7&lt;/D&gt;&lt;D xsi:type="xsd:double"&gt;168.83&lt;/D&gt;&lt;D xsi:type="xsd:double"&gt;169.14&lt;/D&gt;&lt;D xsi:type="xsd:double"&gt;169.16&lt;/D&gt;&lt;D xsi:type="xsd:double"&gt;169.65&lt;/D&gt;&lt;D xsi:type="xsd:double"&gt;171.45&lt;/D&gt;&lt;D xsi:type="xsd:double"&gt;173.23&lt;/D&gt;&lt;D xsi:type="xsd:double"&gt;174.1&lt;/D&gt;&lt;D xsi:type="xsd:double"&gt;176.28&lt;/D&gt;&lt;D xsi:type="xsd:double"&gt;177.7&lt;/D&gt;&lt;D xsi:type="xsd:double"&gt;178.62&lt;/D&gt;&lt;D xsi:type="xsd:double"&gt;178.05&lt;/D&gt;&lt;D xsi:type="xsd:double"&gt;179.35&lt;/D&gt;&lt;D xsi:type="xsd:double"&gt;179.22&lt;/D&gt;&lt;D xsi:type="xsd:double"&gt;179.39&lt;/D&gt;&lt;D xsi:type="xsd:double"&gt;178.34&lt;/D&gt;&lt;D xsi:type="xsd:double"&gt;177.17&lt;/D&gt;&lt;D xsi:type="xsd:double"&gt;177.08&lt;/D&gt;&lt;D xsi:type="xsd:double"&gt;177.49&lt;/D&gt;&lt;D xsi:type="xsd:double"&gt;178.41&lt;/D&gt;&lt;D xsi:type="xsd:double"&gt;178.08&lt;/D&gt;&lt;D xsi:type="xsd:double"&gt;178.02&lt;/D&gt;&lt;D xsi:type="xsd:double"&gt;177.83&lt;/D&gt;&lt;D xsi:type="xsd:double"&gt;178.64&lt;/D&gt;&lt;D xsi:type="xsd:double"&gt;180.11&lt;/D&gt;&lt;D xsi:type="xsd:double"&gt;180.02&lt;/D&gt;&lt;D xsi:type="xsd:double"&gt;180.32&lt;/D&gt;&lt;D xsi:type="xsd:double"&gt;179.87&lt;/D&gt;&lt;D xsi:type="xsd:double"&gt;178.13&lt;/D&gt;&lt;D xsi:type="xsd:double"&gt;177.62&lt;/D&gt;&lt;D xsi:type="xsd:double"&gt;177.85&lt;/D&gt;&lt;D xsi:type="xsd:double"&gt;177.89&lt;/D&gt;&lt;D xsi:type="xsd:double"&gt;176.1&lt;/D&gt;&lt;D xsi:type="xsd:double"&gt;175.81&lt;/D&gt;&lt;D xsi:type="xsd:double"&gt;175.33&lt;/D&gt;&lt;D xsi:type="xsd:double"&gt;175.3&lt;/D&gt;&lt;D xsi:type="xsd:double"&gt;175.57&lt;/D&gt;&lt;D xsi:type="xsd:double"&gt;176.59&lt;/D&gt;&lt;D xsi:type="xsd:double"&gt;177.06&lt;/D&gt;&lt;D xsi:type="xsd:double"&gt;177.6&lt;/D&gt;&lt;D xsi:type="xsd:double"&gt;177.6&lt;/D&gt;&lt;D xsi:type="xsd:double"&gt;177.79&lt;/D&gt;&lt;D xsi:type="xsd:double"&gt;178.64&lt;/D&gt;&lt;D xsi:type="xsd:double"&gt;179.78&lt;/D&gt;&lt;D xsi:type="xsd:double"&gt;180.19&lt;/D&gt;&lt;D xsi:type="xsd:double"&gt;179.54&lt;/D&gt;&lt;D xsi:type="xsd:double"&gt;179.6&lt;/D&gt;&lt;D xsi:type="xsd:double"&gt;180.46&lt;/D&gt;&lt;D xsi:type="xsd:double"&gt;182.35&lt;/D&gt;&lt;D xsi:type="xsd:double"&gt;181.86&lt;/D&gt;&lt;D xsi:type="xsd:double"&gt;180.42&lt;/D&gt;&lt;D xsi:type="xsd:double"&gt;183.3&lt;/D&gt;&lt;D xsi:type="xsd:double"&gt;182.41&lt;/D&gt;&lt;D xsi:type="xsd:double"&gt;181.4&lt;/D&gt;&lt;D xsi:type="xsd:double"&gt;182.18&lt;/D&gt;&lt;D xsi:type="xsd:double"&gt;182.74&lt;/D&gt;&lt;D xsi:type="xsd:double"&gt;183.67&lt;/D&gt;&lt;D xsi:type="xsd:double"&gt;183.64&lt;/D&gt;&lt;D xsi:type="xsd:double"&gt;181.56&lt;/D&gt;&lt;D xsi:type="xsd:double"&gt;181.43&lt;/D&gt;&lt;D xsi:type="xsd:double"&gt;182.01&lt;/D&gt;&lt;D xsi:type="xsd:double"&gt;181.88&lt;/D&gt;&lt;D xsi:type="xsd:double"&gt;179.45&lt;/D&gt;&lt;D xsi:type="xsd:double"&gt;178.78&lt;/D&gt;&lt;D xsi:type="xsd:double"&gt;178.64&lt;/D&gt;&lt;D xsi:type="xsd:double"&gt;177.31&lt;/D&gt;&lt;D xsi:type="xsd:double"&gt;177.84&lt;/D&gt;&lt;D xsi:type="xsd:double"&gt;178.47&lt;/D&gt;&lt;D xsi:type="xsd:double"&gt;178.27&lt;/D&gt;&lt;D xsi:type="xsd:double"&gt;177.09&lt;/D&gt;&lt;D xsi:type="xsd:double"&gt;177.28&lt;/D&gt;&lt;D xsi:type="xsd:double"&gt;177.69&lt;/D&gt;&lt;D xsi:type="xsd:double"&gt;178.51&lt;/D&gt;&lt;D xsi:type="xsd:double"&gt;178.2&lt;/D&gt;&lt;D xsi:type="xsd:double"&gt;177.71&lt;/D&gt;&lt;D xsi:type="xsd:double"&gt;179.49&lt;/D&gt;&lt;D xsi:type="xsd:double"&gt;179.75&lt;/D&gt;&lt;D xsi:type="xsd:double"&gt;181.63&lt;/D&gt;&lt;D xsi:type="xsd:double"&gt;181.91&lt;/D&gt;&lt;D xsi:type="xsd:double"&gt;180.64&lt;/D&gt;&lt;D xsi:type="xsd:double"&gt;180.54&lt;/D&gt;&lt;D xsi:type="xsd:double"&gt;181.88&lt;/D&gt;&lt;D xsi:type="xsd:double"&gt;182.04&lt;/D&gt;&lt;D xsi:type="xsd:double"&gt;182.53&lt;/D&gt;&lt;D xsi:type="xsd:double"&gt;180.15&lt;/D&gt;&lt;D xsi:type="xsd:double"&gt;182.34&lt;/D&gt;&lt;D xsi:type="xsd:double"&gt;182.14&lt;/D&gt;&lt;D xsi:type="xsd:double"&gt;181.05&lt;/D&gt;&lt;D xsi:type="xsd:double"&gt;183.76&lt;/D&gt;&lt;D xsi:type="xsd:double"&gt;182.32&lt;/D&gt;&lt;D xsi:type="xsd:double"&gt;182.04&lt;/D&gt;&lt;D xsi:type="xsd:double"&gt;180.92&lt;/D&gt;&lt;D xsi:type="xsd:double"&gt;180.2&lt;/D&gt;&lt;D xsi:type="xsd:double"&gt;181.95&lt;/D&gt;&lt;D xsi:type="xsd:double"&gt;183.43&lt;/D&gt;&lt;D xsi:type="xsd:double"&gt;183.21&lt;/D&gt;&lt;D xsi:type="xsd:double"&gt;183.64&lt;/D&gt;&lt;D xsi:type="xsd:double"&gt;181.84&lt;/D&gt;&lt;D xsi:type="xsd:double"&gt;184.23&lt;/D&gt;&lt;D xsi:type="xsd:double"&gt;184.87&lt;/D&gt;&lt;D xsi:type="xsd:double"&gt;187.21&lt;/D&gt;&lt;D xsi:type="xsd:double"&gt;186.81&lt;/D&gt;&lt;D xsi:type="xsd:double"&gt;187.13&lt;/D&gt;&lt;D xsi:type="xsd:double"&gt;188.75&lt;/D&gt;&lt;D xsi:type="xsd:double"&gt;189.02&lt;/D&gt;&lt;D xsi:type="xsd:double"&gt;187.69&lt;/D&gt;&lt;D xsi:type="xsd:double"&gt;187.46&lt;/D&gt;&lt;D xsi:type="xsd:double"&gt;190.44&lt;/D&gt;&lt;D xsi:type="xsd:double"&gt;189.11&lt;/D&gt;&lt;D xsi:type="xsd:double"&gt;187.52&lt;/D&gt;&lt;D xsi:type="xsd:double"&gt;183.97&lt;/D&gt;&lt;D xsi:type="xsd:double"&gt;184.8&lt;/D&gt;&lt;D xsi:type="xsd:double"&gt;184.75&lt;/D&gt;&lt;/FQL&gt;&lt;FQL&gt;&lt;Q&gt;SPY^P_PRICE(0,-200D)&lt;/Q&gt;&lt;R&gt;201&lt;/R&gt;&lt;C&gt;1&lt;/C&gt;&lt;D xsi:type="xsd:double"&gt;494.08&lt;/D&gt;&lt;D xsi:type="xsd:double"&gt;500.98&lt;/D&gt;&lt;D xsi:type="xsd:double"&gt;501.2&lt;/D&gt;&lt;D xsi:type="xsd:double"&gt;498.32&lt;/D&gt;&lt;D xsi:type="xsd:double"&gt;498.1&lt;/D&gt;&lt;D xsi:type="xsd:double"&gt;493.98&lt;/D&gt;&lt;D xsi:type="xsd:double"&gt;492.55&lt;/D&gt;&lt;D xsi:type="xsd:double"&gt;494.35&lt;/D&gt;&lt;D xsi:type="xsd:double"&gt;489.2&lt;/D&gt;&lt;D xsi:type="xsd:double"&gt;482.88&lt;/D&gt;&lt;D xsi:type="xsd:double"&gt;490.89&lt;/D&gt;&lt;D xsi:type="xsd:double"&gt;491.27&lt;/D&gt;&lt;D xsi:type="xsd:double"&gt;487.41&lt;/D&gt;&lt;D xsi:type="xsd:double"&gt;488.03&lt;/D&gt;&lt;D xsi:type="xsd:double"&gt;485.39&lt;/D&gt;&lt;D xsi:type="xsd:double"&gt;484.86&lt;/D&gt;&lt;D xsi:type="xsd:double"&gt;483.45&lt;/D&gt;&lt;D xsi:type="xsd:double"&gt;482.43&lt;/D&gt;&lt;D xsi:type="xsd:double"&gt;476.49&lt;/D&gt;&lt;D xsi:type="xsd:double"&gt;472.29&lt;/D&gt;&lt;D xsi:type="xsd:double"&gt;474.93&lt;/D&gt;&lt;D xsi:type="xsd:double"&gt;476.68&lt;/D&gt;&lt;D xsi:type="xsd:double"&gt;476.35&lt;/D&gt;&lt;D xsi:type="xsd:double"&gt;476.56&lt;/D&gt;&lt;D xsi:type="xsd:double"&gt;473.88&lt;/D&gt;&lt;D xsi:type="xsd:double"&gt;474.6&lt;/D&gt;&lt;D xsi:type="xsd:double"&gt;467.92&lt;/D&gt;&lt;D xsi:type="xsd:double"&gt;467.28&lt;/D&gt;&lt;D xsi:type="xsd:double"&gt;468.79&lt;/D&gt;&lt;D xsi:type="xsd:double"&gt;472.65&lt;/D&gt;&lt;D xsi:type="xsd:double"&gt;475.31&lt;/D&gt;&lt;D xsi:type="xsd:double"&gt;476.69&lt;/D&gt;&lt;D xsi:type="xsd:double"&gt;476.51&lt;/D&gt;&lt;D xsi:type="xsd:double"&gt;475.65&lt;/D&gt;&lt;D xsi:type="xsd:double"&gt;473.65&lt;/D&gt;&lt;D xsi:type="xsd:double"&gt;472.7&lt;/D&gt;&lt;D xsi:type="xsd:double"&gt;468.26&lt;/D&gt;&lt;D xsi:type="xsd:double"&gt;474.84&lt;/D&gt;&lt;D xsi:type="xsd:double"&gt;471.97&lt;/D&gt;&lt;D xsi:type="xsd:double"&gt;469.33&lt;/D&gt;&lt;D xsi:type="xsd:double"&gt;472.01&lt;/D&gt;&lt;D xsi:type="xsd:double"&gt;470.5&lt;/D&gt;&lt;D xsi:type="xsd:double"&gt;464.1&lt;/D&gt;&lt;D xsi:type="xsd:double"&gt;461.99&lt;/D&gt;&lt;D xsi:type="xsd:double"&gt;460.2&lt;/D&gt;&lt;D xsi:type="xsd:double"&gt;458.23&lt;/D&gt;&lt;D xsi:type="xsd:double"&gt;454.76&lt;/D&gt;&lt;D xsi:type="xsd:double"&gt;456.6&lt;/D&gt;&lt;D xsi:type="xsd:double"&gt;456.69&lt;/D&gt;&lt;D xsi:type="xsd:double"&gt;459.1&lt;/D&gt;&lt;D xsi:type="xsd:double"&gt;456.4&lt;/D&gt;&lt;D xsi:type="xsd:double"&gt;454.61&lt;/D&gt;&lt;D xsi:type="xsd:double"&gt;454.93&lt;/D&gt;&lt;D xsi:type="xsd:double"&gt;454.48&lt;/D&gt;&lt;D xsi:type="xsd:double"&gt;455.3&lt;/D&gt;&lt;D xsi:type="xsd:double"&gt;455.02&lt;/D&gt;&lt;D xsi:type="xsd:double"&gt;453.27&lt;/D&gt;&lt;D xsi:type="xsd:double"&gt;454.26&lt;/D&gt;&lt;D xsi:type="xsd:double"&gt;450.79&lt;/D&gt;&lt;D xsi:type="xsd:double"&gt;450.23&lt;/D&gt;&lt;D xsi:type="xsd:double"&gt;449.68&lt;/D&gt;&lt;D xsi:type="</t>
        </r>
      </text>
    </comment>
    <comment ref="A5" authorId="0" shapeId="0" xr:uid="{A54C6D2A-58D6-43DE-BF60-9EFC85758EAD}">
      <text>
        <r>
          <rPr>
            <b/>
            <sz val="9"/>
            <color indexed="81"/>
            <rFont val="Tahoma"/>
            <family val="2"/>
          </rPr>
          <t>xsd:double"&gt;448.73&lt;/D&gt;&lt;D xsi:type="xsd:double"&gt;440.19&lt;/D&gt;&lt;D xsi:type="xsd:double"&gt;440.61&lt;/D&gt;&lt;D xsi:type="xsd:double"&gt;433.84&lt;/D&gt;&lt;D xsi:type="xsd:double"&gt;437.25&lt;/D&gt;&lt;D xsi:type="xsd:double"&gt;436.93&lt;/D&gt;&lt;D xsi:type="xsd:double"&gt;435.69&lt;/D&gt;&lt;D xsi:type="xsd:double"&gt;434.69&lt;/D&gt;&lt;D xsi:type="xsd:double"&gt;430.76&lt;/D&gt;&lt;D xsi:type="xsd:double"&gt;422.66&lt;/D&gt;&lt;D xsi:type="xsd:double"&gt;418.2&lt;/D&gt;&lt;D xsi:type="xsd:double"&gt;415.59&lt;/D&gt;&lt;D xsi:type="xsd:double"&gt;410.68&lt;/D&gt;&lt;D xsi:type="xsd:double"&gt;412.55&lt;/D&gt;&lt;D xsi:type="xsd:double"&gt;417.55&lt;/D&gt;&lt;D xsi:type="xsd:double"&gt;423.63&lt;/D&gt;&lt;D xsi:type="xsd:double"&gt;420.46&lt;/D&gt;&lt;D xsi:type="xsd:double"&gt;421.19&lt;/D&gt;&lt;D xsi:type="xsd:double"&gt;426.43&lt;/D&gt;&lt;D xsi:type="xsd:double"&gt;430.21&lt;/D&gt;&lt;D xsi:type="xsd:double"&gt;436.02&lt;/D&gt;&lt;D xsi:type="xsd:double"&gt;436.04&lt;/D&gt;&lt;D xsi:type="xsd:double"&gt;431.5&lt;/D&gt;&lt;D xsi:type="xsd:double"&gt;433.66&lt;/D&gt;&lt;D xsi:type="xsd:double"&gt;436.32&lt;/D&gt;&lt;D xsi:type="xsd:double"&gt;434.54&lt;/D&gt;&lt;D xsi:type="xsd:double"&gt;432.29&lt;/D&gt;&lt;D xsi:type="xsd:double"&gt;429.54&lt;/D&gt;&lt;D xsi:type="xsd:double"&gt;424.5&lt;/D&gt;&lt;D xsi:type="xsd:double"&gt;424.66&lt;/D&gt;&lt;D xsi:type="xsd:double"&gt;421.59&lt;/D&gt;&lt;D xsi:type="xsd:double"&gt;427.31&lt;/D&gt;&lt;D xsi:type="xsd:double"&gt;427.48&lt;/D&gt;&lt;D xsi:type="xsd:double"&gt;428.52&lt;/D&gt;&lt;D xsi:type="xsd:double"&gt;426.05&lt;/D&gt;&lt;D xsi:type="xsd:double"&gt;425.88&lt;/D&gt;&lt;D xsi:type="xsd:double"&gt;432.23&lt;/D&gt;&lt;D xsi:type="xsd:double"&gt;430.42&lt;/D&gt;&lt;D xsi:type="xsd:double"&gt;431.39&lt;/D&gt;&lt;D xsi:type="xsd:double"&gt;438.64&lt;/D&gt;&lt;D xsi:type="xsd:double"&gt;442.71&lt;/D&gt;&lt;D xsi:type="xsd:double"&gt;443.63&lt;/D&gt;&lt;D xsi:type="xsd:double"&gt;443.37&lt;/D&gt;&lt;D xsi:type="xsd:double"&gt;450.36&lt;/D&gt;&lt;D xsi:type="xsd:double"&gt;446.51&lt;/D&gt;&lt;D xsi:type="xsd:double"&gt;445.99&lt;/D&gt;&lt;D xsi:type="xsd:double"&gt;448.45&lt;/D&gt;&lt;D xsi:type="xsd:double"&gt;445.52&lt;/D&gt;&lt;D xsi:type="xsd:double"&gt;444.85&lt;/D&gt;&lt;D xsi:type="xsd:double"&gt;446.22&lt;/D&gt;&lt;D xsi:type="xsd:double"&gt;449.24&lt;/D&gt;&lt;D xsi:type="xsd:double"&gt;451.19&lt;/D&gt;&lt;D xsi:type="xsd:double"&gt;450.35&lt;/D&gt;&lt;D xsi:type="xsd:double"&gt;451.01&lt;/D&gt;&lt;D xsi:type="xsd:double"&gt;449.16&lt;/D&gt;&lt;D xsi:type="xsd:double"&gt;442.76&lt;/D&gt;&lt;D xsi:type="xsd:double"&gt;439.97&lt;/D&gt;&lt;D xsi:type="xsd:double"&gt;436.89&lt;/D&gt;&lt;D xsi:type="xsd:double"&gt;443.03&lt;/D&gt;&lt;D xsi:type="xsd:double"&gt;438.15&lt;/D&gt;&lt;D xsi:type="xsd:double"&gt;439.34&lt;/D&gt;&lt;D xsi:type="xsd:double"&gt;436.5&lt;/D&gt;&lt;D xsi:type="xsd:double"&gt;436.29&lt;/D&gt;&lt;D xsi:type="xsd:double"&gt;439.64&lt;/D&gt;&lt;D xsi:type="xsd:double"&gt;442.89&lt;/D&gt;&lt;D xsi:type="xsd:double"&gt;448.11&lt;/D&gt;&lt;D xsi:type="xsd:double"&gt;445.65&lt;/D&gt;&lt;D xsi:type="xsd:double"&gt;445.91&lt;/D&gt;&lt;D xsi:type="xsd:double"&gt;445.75&lt;/D&gt;&lt;D xsi:type="xsd:double"&gt;448.75&lt;/D&gt;&lt;D xsi:type="xsd:double"&gt;450.71&lt;/D&gt;&lt;D xsi:type="xsd:double"&gt;446.81&lt;/D&gt;&lt;D xsi:type="xsd:double"&gt;448.84&lt;/D&gt;&lt;D xsi:type="xsd:double"&gt;450.13&lt;/D&gt;&lt;D xsi:type="xsd:double"&gt;456.48&lt;/D&gt;&lt;D xsi:type="xsd:double"&gt;457.79&lt;/D&gt;&lt;D xsi:type="xsd:double"&gt;456.92&lt;/D&gt;&lt;D xsi:type="xsd:double"&gt;452.49&lt;/D&gt;&lt;D xsi:type="xsd:double"&gt;455.51&lt;/D&gt;&lt;D xsi:type="xsd:double"&gt;455.44&lt;/D&gt;&lt;D xsi:type="xsd:double"&gt;454.2&lt;/D&gt;&lt;D xsi:type="xsd:double"&gt;452.18&lt;/D&gt;&lt;D xsi:type="xsd:double"&gt;452.18&lt;/D&gt;&lt;D xsi:type="xsd:double"&gt;455.2&lt;/D&gt;&lt;D xsi:type="xsd:double"&gt;454.19&lt;/D&gt;&lt;D xsi:type="xsd:double"&gt;450.84&lt;/D&gt;&lt;D xsi:type="xsd:double"&gt;449.28&lt;/D&gt;&lt;D xsi:type="xsd:double"&gt;449.56&lt;/D&gt;&lt;D xsi:type="xsd:double"&gt;446.02&lt;/D&gt;&lt;D xsi:type="xsd:double"&gt;442.46&lt;/D&gt;&lt;D xsi:type="xsd:double"&gt;439.66&lt;/D&gt;&lt;D xsi:type="xsd:double"&gt;438.55&lt;/D&gt;&lt;D xsi:type="xsd:double"&gt;439.66&lt;/D&gt;&lt;D xsi:type="xsd:double"&gt;443.13&lt;/D&gt;&lt;D xsi:type="xsd:double"&gt;443.79&lt;/D&gt;&lt;D xsi:type="xsd:double"&gt;443.28&lt;/D&gt;&lt;D xsi:type="xsd:double"&gt;438.11&lt;/D&gt;&lt;D xsi:type="xsd:double"&gt;436.39&lt;/D&gt;&lt;D xsi:type="xsd:double"&gt;436.17&lt;/D&gt;&lt;D xsi:type="xsd:double"&gt;431.44&lt;/D&gt;&lt;D xsi:type="xsd:double"&gt;433.21&lt;/D&gt;&lt;D xsi:type="xsd:double"&gt;436.51&lt;/D&gt;&lt;D xsi:type="xsd:double"&gt;434.94&lt;/D&gt;&lt;D xsi:type="xsd:double"&gt;437.18&lt;/D&gt;&lt;D xsi:type="xsd:double"&gt;439.46&lt;/D&gt;&lt;D xsi:type="xsd:double"&gt;442.6&lt;/D&gt;&lt;D xsi:type="xsd:double"&gt;437.18&lt;/D&gt;&lt;D xsi:type="xsd:double"&gt;436.66&lt;/D&gt;&lt;D xsi:type="xsd:double"&gt;433.8&lt;/D&gt;&lt;D xsi:type="xsd:double"&gt;429.9&lt;/D&gt;&lt;D xsi:type="xsd:double"&gt;429.13&lt;/D&gt;&lt;D xsi:type="xsd:double"&gt;426.55&lt;/D&gt;&lt;D xsi:type="xsd:double"&gt;428.03&lt;/D&gt;&lt;D xsi:type="xsd:double"&gt;427.1&lt;/D&gt;&lt;D xsi:type="xsd:double"&gt;427.92&lt;/D&gt;&lt;D xsi:type="xsd:double"&gt;421.82&lt;/D&gt;&lt;D xsi:type="xsd:double"&gt;417.85&lt;/D&gt;&lt;D xsi:type="xsd:double"&gt;420.18&lt;/D&gt;&lt;D xsi:type="xsd:double"&gt;420.02&lt;/D&gt;&lt;D xsi:type="xsd:double"&gt;414.65&lt;/D&gt;&lt;D xsi:type="xsd:double"&gt;411.09&lt;/D&gt;&lt;D xsi:type="xsd:double"&gt;414.09&lt;/D&gt;&lt;D xsi:type="xsd:double"&gt;418.79&lt;/D&gt;&lt;D xsi:type="xsd:double"&gt;418.62&lt;/D&gt;&lt;D xsi:type="xsd:double"&gt;419.23&lt;/D&gt;&lt;D xsi:type="xsd:double"&gt;415.23&lt;/D&gt;&lt;D xsi:type="xsd:double"&gt;410.25&lt;/D&gt;&lt;D xsi:type="xsd:double"&gt;413.01&lt;/D&gt;&lt;D xsi:type="xsd:double"&gt;411.59&lt;/D&gt;&lt;D xsi:type="xsd:double"&gt;412.13&lt;/D&gt;&lt;D xsi:type="xsd:double"&gt;412.85&lt;/D&gt;&lt;D xsi:type="xsd:double"&gt;410.93&lt;/D&gt;&lt;D xsi:type="xsd:double"&gt;412.74&lt;/D&gt;&lt;D xsi:type="xsd:double"&gt;412.63&lt;/D&gt;&lt;D xsi:type="xsd:double"&gt;405.13&lt;/D&gt;&lt;D xsi:type="xsd:double"&gt;408.02&lt;/D&gt;&lt;D xsi:type="xsd:double"&gt;410.84&lt;/D&gt;&lt;D xsi:type="xsd:double"&gt;415.51&lt;/D&gt;&lt;D xsi:type="xsd:double"&gt;415.93&lt;/D&gt;&lt;D xsi:type="xsd:double"&gt;412.41&lt;/D&gt;&lt;/FQL&gt;&lt;FQL&gt;&lt;Q&gt;VWO^P_PRICE(0,-200D)&lt;/Q&gt;&lt;R&gt;201&lt;/R&gt;&lt;C&gt;1&lt;/C&gt;&lt;D xsi:type="xsd:double"&gt;40.06&lt;/D&gt;&lt;D xsi:type="xsd:double"&gt;40.81&lt;/D&gt;&lt;D xsi:type="xsd:double"&gt;40.63&lt;/D&gt;&lt;D xsi:type="xsd:double"&gt;40.47&lt;/D&gt;&lt;D xsi:type="xsd:double"&gt;40.68&lt;/D&gt;&lt;D xsi:type="xsd:double"&gt;40.71&lt;/D&gt;&lt;D xsi:type="xsd:double"&gt;39.73&lt;/D&gt;&lt;D xsi:type="xsd:double"&gt;39.63&lt;/D&gt;&lt;D xsi:type="xsd:double"&gt;39.91&lt;/D&gt;&lt;D xsi:type="xsd:double"&gt;39.64&lt;/D&gt;&lt;D xsi:type="xsd:double"&gt;39.79&lt;/D&gt;&lt;D xsi:type="xsd:double"&gt;40.17&lt;/D&gt;&lt;D xsi:type="xsd:double"&gt;40.16&lt;/D&gt;&lt;D xsi:type="xsd:double"&gt;40.15&lt;/D&gt;&lt;D xsi:type="xsd:double"&gt;40.05&lt;/D&gt;&lt;D xsi:type="xsd:double"&gt;39.54&lt;/D&gt;&lt;D xsi:type="xsd:double"&gt;39.32&lt;/D&gt;&lt;D xsi:type="xsd:double"&gt;39.63&lt;/D&gt;&lt;D xsi:type="xsd:double"&gt;39.27&lt;/D&gt;&lt;D xsi:type="xsd:double"&gt;39.04&lt;/D&gt;&lt;D xsi:type="xsd:double"&gt;39.57&lt;/D&gt;&lt;D xsi:type="xsd:double"&gt;40.41&lt;/D&gt;&lt;D xsi:type="xsd:double"&gt;40.22&lt;/D&gt;&lt;D xsi:type="xsd:double"&gt;40.05&lt;/D&gt;&lt;D xsi:type="xsd:double"&gt;40.09&lt;/D&gt;&lt;D xsi:type="xsd:double"&gt;40.56&lt;/D&gt;&lt;D xsi:type="xsd:double"&gt;40.49&lt;/D&gt;&lt;D xsi:type="xsd:double"&gt;40.43&lt;/D&gt;&lt;D xsi:type="xsd:double"&gt;40.5&lt;/D&gt;&lt;D xsi:type="xsd:double"&gt;40.62&lt;/D&gt;&lt;D xsi:type="xsd:double"&gt;41.1&lt;/D&gt;&lt;D xsi:type="xsd:double"&gt;40.99&lt;/D&gt;&lt;D xsi:type="xsd:double"&gt;40.74&lt;/D&gt;&lt;D xsi:type="xsd:double"&gt;40.52&lt;/D&gt;&lt;D xsi:type="xsd:double"&gt;40.26&lt;/D&gt;&lt;D xsi:type="xsd:double"&gt;40.4&lt;/D&gt;&lt;D xsi:type="xsd:double"&gt;39.63&lt;/D&gt;&lt;D xsi:type="xsd:double"&gt;40.48&lt;/D&gt;&lt;D xsi:type="xsd:double"&gt;40.2&lt;/D&gt;&lt;D xsi:type="xsd:double"&gt;41.07&lt;/D&gt;&lt;D xsi:type="xsd:double"&gt;41.31&lt;/D&gt;&lt;D xsi:type="xsd:double"&gt;40.77&lt;/D&gt;&lt;D xsi:type="xsd:double"&gt;40.39&lt;/D&gt;&lt;D xsi:type="xsd:double"&gt;40.39&lt;/D&gt;&lt;D xsi:type="xsd:double"&gt;40.21&lt;/D&gt;&lt;D xsi:type="xsd:double"&gt;40.41&lt;/D&gt;&lt;D xsi:type="xsd:double"&gt;40.25&lt;/D&gt;&lt;D xsi:type="xsd:double"&gt;40.3&lt;/D&gt;&lt;D xsi:type="xsd:double"&gt;40.44&lt;/D&gt;&lt;D xsi:type="xsd:double"&gt;40.8&lt;/D&gt;&lt;D xsi:type="xsd:double"&gt;40.63&lt;/D&gt;&lt;D xsi:type="xsd:double"&gt;40.51&lt;/D&gt;&lt;D xsi:type="xsd:double"&gt;40.74&lt;/D&gt;&lt;D xsi:type="xsd:double"&gt;40.41&lt;/D&gt;&lt;D xsi:type="xsd:double"&gt;40.6&lt;/D&gt;&lt;D xsi:type="xsd:double"&gt;40.47&lt;/D&gt;&lt;D xsi:type="xsd:double"&gt;40.58&lt;/D&gt;&lt;D xsi:type="xsd:double"&gt;40.82&lt;/D&gt;&lt;D xsi:type="xsd:double"&gt;40.39&lt;/D&gt;&lt;D xsi:type="xsd:double"&gt;40.23&lt;/D&gt;&lt;D xsi:type="xsd:double"&gt;40.65&lt;/D&gt;&lt;D xsi:type="xsd:double"&gt;40.37&lt;/D&gt;&lt;D xsi:type="xsd:double"&gt;39.45&lt;/D&gt;&lt;D xsi:type="xsd:double"&gt;39.38&lt;/D&gt;&lt;D xsi:type="xsd:double"&gt;39.11&lt;/D&gt;&lt;D xsi:type="xsd:double"&gt;39.46&lt;/D&gt;&lt;D xsi:type="xsd:double"&gt;39.64&lt;/D&gt;&lt;D xsi:type="xsd:double"&gt;39.63&lt;/D&gt;&lt;D xsi:type="xsd:double"&gt;39.51&lt;/D&gt;&lt;D xsi:type="xsd:double"&gt;38.8&lt;/D&gt;&lt;D xsi:type="xsd:double"&gt;38.21&lt;/D&gt;&lt;D xsi:type="xsd:double"&gt;37.94&lt;/D&gt;&lt;D xsi:type="xsd:double"&gt;38.12&lt;/D&gt;&lt;D xsi:type="xsd:double"&gt;37.78&lt;/D&gt;&lt;D xsi:type="xsd:double"&gt;37.74&lt;/D&gt;&lt;D xsi:type="xsd:double"&gt;37.88&lt;/D&gt;&lt;D xsi:type="xsd:double"&gt;38.29&lt;/D&gt;&lt;D xsi:type="xsd:double"&gt;37.82&lt;/D&gt;&lt;D xsi:type="xsd:double"&gt;37.9&lt;/D&gt;&lt;D xsi:type="xsd:double"&gt;38.36&lt;/D&gt;&lt;D xsi:type="xsd:double"&gt;38.5&lt;/D&gt;&lt;D xsi:type="xsd:double"&gt;39.14&lt;/D&gt;&lt;D xsi:type="xsd:double"&gt;39.31&lt;/D&gt;&lt;D xsi:type="xsd:double"&gt;39.03&lt;/D&gt;&lt;D xsi:type="xsd:double"&gt;39.18&lt;/D&gt;&lt;D xsi:type="xsd:double"&gt;39.6&lt;/D&gt;&lt;D xsi:type="xsd:double"&gt;39.48&lt;/D&gt;&lt;D xsi:type="xsd:double"&gt;38.86&lt;/D&gt;&lt;D xsi:type="xsd:double"&gt;39.1&lt;/D&gt;&lt;D xsi:type="xsd:double"&gt;38.57&lt;/D&gt;&lt;D xsi:type="xsd:double"&gt;38.41&lt;/D&gt;&lt;D xsi:type="xsd:double"&gt;38.57&lt;/D&gt;&lt;D xsi:type="xsd:double"&gt;39.07&lt;/D&gt;&lt;D xsi:type="xsd:double"&gt;39.21&lt;/D&gt;&lt;D xsi:type="xsd:double"&gt;39.17&lt;/D&gt;&lt;D xsi:type="xsd:double"&gt;39.09&lt;/D&gt;&lt;D xsi:type="xsd:double"&gt;39.04&lt;/D&gt;&lt;D xsi:type="xsd:double"&gt;39.5&lt;/D&gt;&lt;D xsi:type="xsd:double"&gt;39.65&lt;/D&gt;&lt;D xsi:type="xsd:double"&gt;39.19&lt;/D&gt;&lt;D xsi:type="xsd:double"&gt;39.83&lt;/D&gt;&lt;D xsi:type="xsd:double"&gt;39.95&lt;/D&gt;&lt;D xsi:type="xsd:double"&gt;40.15&lt;/D&gt;&lt;D xsi:type="xsd:double"&gt;40.54&lt;/D&gt;&lt;D xsi:type="xsd:double"&gt;40.75&lt;/D&gt;&lt;D xsi:type="xsd:double"&gt;40.51&lt;/D&gt;&lt;D xsi:type="xsd:double"&gt;40.55&lt;/D&gt;&lt;D xsi:type="xsd:double"&gt;40.66&lt;/D&gt;&lt;D xsi:type="xsd:double"&gt;40.2&lt;/D&gt;&lt;D xsi:type="xsd:double"&gt;40.12&lt;/D&gt;&lt;D xsi:type="xsd:double"&gt;40.54&lt;/D&gt;&lt;D xsi:type="xsd:double"&gt;40.73&lt;/D&gt;&lt;D xsi:type="xsd:double"&gt;40.97&lt;/D&gt;&lt;D xsi:type="xsd:double"&gt;40.53&lt;/D&gt;&lt;D xsi:type="xsd:double"&gt;41.02&lt;/D&gt;&lt;D xsi:type="xsd:double"&gt;41.17&lt;/D&gt;&lt;D xsi:type="xsd:double"&gt;40.63&lt;/D&gt;&lt;D xsi:type="xsd:double"&gt;40.23&lt;/D&gt;&lt;D xsi:type="xsd:double"&gt;40.26&lt;/D&gt;&lt;D xsi:type="xsd:double"&gt;40.43&lt;/D&gt;&lt;D xsi:type="xsd:double"&gt;39.84&lt;/D&gt;&lt;D xsi:type="xsd:double"&gt;39.91&lt;/D&gt;&lt;D xsi:type="xsd:double"&gt;39.82&lt;/D&gt;&lt;D xsi:type="xsd:double"&gt;40.07&lt;/D&gt;&lt;D xsi:type="xsd:double"&gt;39.94&lt;/D&gt;&lt;D xsi:type="xsd:double"&gt;40.21&lt;/D&gt;&lt;D xsi:type="xsd:double"&gt;40.64&lt;/D&gt;&lt;D xsi:type="xsd:double"&gt;40.83&lt;/D&gt;&lt;D xsi:type="xsd:double"&gt;41.43&lt;/D&gt;&lt;D xsi:type="xsd:double"&gt;41.35&lt;/D&gt;&lt;D xsi:type="xsd:double"&gt;41.28&lt;/D&gt;&lt;D xsi:type="xsd:double"&gt;41.71&lt;/D&gt;&lt;D xsi:type="xsd:double"&gt;41.78&lt;/D&gt;&lt;D xsi:type="xsd:double"&gt;41.73&lt;/D&gt;&lt;D xsi:type="xsd:double"&gt;41.55&lt;/D&gt;&lt;D xsi:type="xsd:double"&gt;42.47&lt;/D&gt;&lt;D xsi:type="xsd:double"&gt;43.07&lt;/D&gt;&lt;D xsi:type="xsd:double"&gt;43.02&lt;/D&gt;&lt;D xsi:type="xsd:double"&gt;42&lt;/D&gt;&lt;D xsi:type="xsd:double"&gt;42.47&lt;/D&gt;&lt;D xsi:type="xsd:double"&gt;42.21&lt;/D&gt;&lt;D xsi:type="xsd:double"&gt;41.89&lt;/D&gt;&lt;D xsi:type="xsd:double"&gt;41.34&lt;/D&gt;&lt;D xsi:type="xsd:double"&gt;41.36&lt;/D&gt;&lt;D xsi:type="xsd:double"&gt;41.62&lt;/D&gt;&lt;D xsi:type="xsd:double"&gt;41.68&lt;/D&gt;&lt;D xsi:type="xsd:double"&gt;41.98&lt;/D&gt;&lt;D xsi:type="xsd:double"&gt;41.93&lt;/D&gt;&lt;D xsi:type="xsd:double"&gt;42.19&lt;/D&gt;&lt;D xsi:type="xsd:double"&gt;41.73&lt;/D&gt;&lt;D xsi:type="xsd:double"&gt;40.95&lt;/D&gt;&lt;D xsi:type="xsd:double"&gt;40.59&lt;/D&gt;&lt;D xsi:type="xsd:double"&gt;40.58&lt;/D&gt;&lt;D xsi:type="xsd:double"&gt;40.1&lt;/D&gt;&lt;D xsi:type="xsd:double"&gt;40.88&lt;/D&gt;&lt;D xsi:type="xsd:double"&gt;41.08&lt;/D&gt;&lt;D xsi:type="xsd:double"&gt;40.68&lt;/D&gt;&lt;D xsi:type="xsd:double"&gt;40.33&lt;/D&gt;&lt;D xsi:type="xsd:double"&gt;40.5&lt;/D&gt;&lt;D xsi:type="xsd:double"&gt;40.66&lt;/D&gt;&lt;D xsi:type="xsd:double"&gt;40.28&lt;/D&gt;&lt;D xsi:type="xsd:double"&gt;40.15&lt;/D&gt;&lt;D xsi:type="xsd:double"&gt;40.72&lt;/D&gt;&lt;D xsi:type="xsd:double"&gt;40.9&lt;/D&gt;&lt;D xsi:type="xsd:double"&gt;40.97&lt;/D&gt;&lt;D xsi:type="xsd:double"&gt;41.94&lt;/D&gt;&lt;D xsi:type="xsd:double"&gt;42.09&lt;/D&gt;&lt;D xsi:type="xsd:double"&gt;41.69&lt;/D&gt;&lt;D xsi:type="xsd:double"&gt;41.3&lt;/D&gt;&lt;D xsi:type="xsd:double"&gt;40.96&lt;/D&gt;&lt;D xsi:type="xsd:double"&gt;40.86&lt;/D&gt;&lt;D xsi:type="xsd:double"&gt;40.75&lt;/D&gt;&lt;D xsi:type="xsd:double"&gt;40.53&lt;/D&gt;&lt;D xsi:type="xsd:double"&gt;40.62&lt;/D&gt;&lt;D xsi:type="xsd:double"&gt;40.31&lt;/D&gt;&lt;D xsi:type="xsd:double"&gt;40.35&lt;/D&gt;&lt;D xsi:type="xsd:double"&gt;39.72&lt;/D&gt;&lt;D xsi:type="xsd:double"&gt;39.05&lt;/D&gt;&lt;D xsi:type="xsd:double"&gt;39.33&lt;/D&gt;&lt;D xsi:type="xsd:double"&gt;39.85&lt;/D&gt;&lt;D xsi:type="xsd:double"&gt;39.2&lt;/D&gt;&lt;D xsi:type="xsd:double"&gt;39.27&lt;/D&gt;&lt;D xsi:type="xsd:double"&gt;39.55&lt;/D&gt;&lt;D xsi:type="xsd:double"&gt;40.15&lt;/D&gt;&lt;D xsi:type="xsd:double"&gt;39.89&lt;/D&gt;&lt;D xsi:type="xsd:double"&gt;39.91&lt;/D&gt;&lt;D xsi:type="xsd:double"&gt;40.16&lt;/D&gt;&lt;D xsi:type="xsd:double"&gt;40.02&lt;/D&gt;&lt;D xsi:type="xsd:double"&gt;40.3&lt;/D&gt;&lt;D xsi:type="xsd:double"&gt;39.61&lt;/D&gt;&lt;D xsi:type="xsd:double"&gt;40.06&lt;/D&gt;&lt;D xsi:type="xsd:double"&gt;40.22&lt;/D&gt;&lt;D xsi:type="xsd:double"&gt;40.21&lt;/D&gt;&lt;D xsi:type="xsd:double"&gt;40.46&lt;/D&gt;&lt;D xsi:type="xsd:double"&gt;40.45&lt;/D&gt;&lt;D xsi:type="xsd:double"&gt;40.02&lt;/D&gt;&lt;D xsi:type="xsd:double"&gt;39.68&lt;/D&gt;&lt;D xsi:type="xsd:double"&gt;39.69&lt;/D&gt;&lt;D xsi:type="xsd:double"&gt;40.11&lt;/D&gt;&lt;D xsi:type="xsd:double"&gt;40.24&lt;/D&gt;&lt;D xsi:type="xsd:double"&gt;40&lt;/D&gt;&lt;/FQL&gt;&lt;FQL&gt;&lt;Q&gt;VWO^JULIAN(P_PRICE(0,-200D).DATES)&lt;/Q&gt;&lt;R&gt;201&lt;/R&gt;&lt;C&gt;1&lt;/C&gt;&lt;D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xsi:type="xsd:long"&gt;45317&lt;/D&gt;&lt;D xsi:type="xsd:long"&gt;45316&lt;/D&gt;&lt;D xsi:type="xsd:long"&gt;45315&lt;/D&gt;&lt;D xsi:type="xsd:long"&gt;45314&lt;/D&gt;&lt;D xsi:type="xsd:long"&gt;45313&lt;/D&gt;&lt;D xsi:type="xsd:long"&gt;45310&lt;/D&gt;&lt;D xsi:type="xsd:long"&gt;45309&lt;/D&gt;&lt;D xsi:type="xsd:long"&gt;45308&lt;/D&gt;&lt;D xsi:type="xsd:long"&gt;45307&lt;/D&gt;&lt;D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xsi:type="xsd:long"&gt;45257&lt;/D&gt;&lt;D xsi:type="xsd:long"&gt;45254&lt;/D&gt;&lt;D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xsi:type="xsd:long"&gt;45244&lt;/D&gt;&lt;D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xsi:type="xsd:long"&gt;45223&lt;/D&gt;&lt;D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xsi:type="xsd:long"&gt;45208&lt;/D&gt;&lt;D xsi:type="xsd:long"&gt;45205&lt;/D&gt;&lt;D xsi:type="xsd:long"&gt;45204&lt;/D&gt;&lt;D xsi:type="xsd:long"&gt;45203&lt;/D&gt;&lt;D xsi:type="xsd:long"&gt;45202&lt;/D&gt;&lt;D xsi:type="xsd:long"&gt;45201&lt;/D&gt;&lt;D xsi:type="xsd:long"&gt;45198&lt;/D&gt;&lt;D xsi:type="xsd:long"&gt;45197&lt;/D&gt;&lt;D xsi:type="xsd:long"&gt;45196&lt;/D&gt;&lt;D xsi:type="xsd:long"&gt;45195&lt;/D&gt;&lt;D xsi:type="xsd:long"&gt;45194&lt;/D&gt;&lt;D xsi:type="xsd:long"&gt;45191&lt;/D&gt;&lt;D xsi:type="xsd:long"&gt;45190&lt;/D&gt;&lt;D xsi:type="xsd:long"&gt;45189&lt;/D&gt;&lt;D xsi:type="xsd:long"&gt;45188&lt;/D&gt;&lt;D xsi:type="xsd:long"&gt;45187&lt;/D&gt;&lt;D xsi:type="xsd:long"&gt;45184&lt;/D&gt;&lt;D xsi:type="xsd:long"&gt;45183&lt;/D&gt;&lt;D xsi:type="xsd:long"&gt;45182&lt;/D&gt;&lt;D xsi:type="xsd:long"&gt;45181&lt;/D&gt;&lt;D xsi:type="xsd:long"&gt;45180&lt;/D&gt;&lt;D xsi:type="xsd:long"&gt;45177&lt;/D&gt;&lt;D xsi:type="xsd:long"&gt;45176&lt;/D&gt;&lt;D xsi:type="xsd:long"&gt;45175&lt;/D&gt;&lt;D xsi:type="xsd:long"&gt;45174&lt;/D&gt;&lt;D xsi:type="xsd:long"&gt;45170&lt;/D&gt;&lt;D xsi:type="xsd:long"&gt;45169&lt;/D&gt;&lt;D xsi:type="xsd:long"&gt;45168&lt;/D&gt;&lt;D xsi:type="xsd:long"&gt;45167&lt;/D&gt;&lt;D xsi:type="xsd:long"&gt;45166&lt;/D&gt;&lt;D xsi:type="xsd:long"&gt;45163&lt;/D&gt;&lt;D xsi:type="xsd:long"&gt;45162&lt;/D&gt;&lt;D xsi:type="xsd:long"&gt;45161&lt;/D&gt;&lt;D xsi:type="xsd:long"&gt;45160&lt;/D&gt;&lt;D xsi:type="xsd:long"&gt;45159&lt;/D&gt;&lt;D xsi:type="xsd:long"&gt;45156&lt;/D&gt;&lt;D xsi:type="xsd:long"&gt;45155&lt;/D&gt;&lt;D xsi:type="xsd:long"&gt;45154&lt;/D&gt;&lt;D xsi:type="xsd:long"&gt;45153&lt;/D&gt;&lt;D xsi:type="xsd:long"&gt;45152&lt;/D&gt;&lt;D xsi:type="xsd:long"&gt;45149&lt;/D&gt;&lt;D xsi:type="xsd:long"&gt;45148&lt;/D&gt;&lt;D xsi:type="xsd:long"&gt;45147&lt;/D&gt;&lt;D xsi:type="xsd:long"&gt;45146&lt;/D&gt;&lt;D xsi:type="xsd:long"&gt;45145&lt;/D&gt;&lt;D xsi:type="xsd:long"&gt;45142&lt;/D&gt;&lt;D xsi:type="xsd:long"&gt;45141&lt;/D&gt;&lt;D xsi:type="xsd:long"&gt;45140&lt;/D&gt;&lt;D xsi:type="xsd:long"&gt;45139&lt;/D&gt;&lt;D xsi:type="xsd:long"&gt;45138&lt;/D&gt;&lt;D xsi:type="xsd:long"&gt;45135&lt;/D&gt;&lt;D xsi:type="xsd:long"&gt;45134&lt;/D&gt;&lt;D xsi:type="xsd:long"&gt;45133&lt;/D&gt;&lt;D xsi:type="xsd:long"&gt;45132&lt;/D&gt;&lt;D xsi:type="xsd:long"&gt;45131&lt;/D&gt;&lt;D xsi:type="xsd:long"&gt;45128&lt;/D&gt;&lt;D xsi:type="xsd:long"&gt;45127&lt;/D&gt;&lt;D xsi:type="xsd:long"&gt;45126&lt;/D&gt;&lt;D xsi:type="xsd:long"&gt;45125&lt;/D&gt;&lt;D xsi:type="xsd:long"&gt;45124&lt;/D&gt;&lt;D xsi:type="xsd:long"&gt;45121&lt;/D&gt;&lt;D xsi:type="xsd:long"&gt;45120&lt;/D&gt;&lt;D xsi:type="xsd:long"&gt;45119&lt;/D&gt;&lt;D xsi:type="xsd:long"&gt;45118&lt;/D&gt;&lt;D xsi:type="xsd:long"&gt;45117&lt;/D&gt;&lt;D xsi:type="xsd:long"&gt;45114&lt;/D&gt;&lt;D xsi:type="xsd:long"&gt;45113&lt;/D&gt;&lt;D xsi:type="xsd:long"&gt;45112&lt;/D&gt;&lt;D xsi:type="xsd:long"&gt;45110&lt;/D&gt;&lt;D xsi:type="xsd:long"&gt;45107&lt;/D&gt;&lt;D xsi:type="xsd:long"&gt;45106&lt;/D&gt;&lt;D xsi:type="xsd:long"&gt;45105&lt;/D&gt;&lt;D xsi:type="xsd:long"&gt;45104&lt;/D&gt;&lt;D xsi:type="xsd:long"&gt;45103&lt;/D&gt;&lt;D xsi:type="xsd:long"&gt;45100&lt;/D&gt;&lt;D xsi:type="xsd:long"&gt;45099&lt;/D&gt;&lt;D xsi:type="xsd:long"&gt;45098&lt;/D&gt;&lt;D xsi:type="xsd:long"&gt;45097&lt;/D&gt;&lt;D xsi:type="xsd:long"&gt;45093&lt;/D&gt;&lt;D xsi:type="xsd:long"&gt;45092&lt;/D&gt;&lt;D xsi:type="xsd:long"&gt;45091&lt;/D&gt;&lt;D xsi:type="xsd:long"&gt;45090&lt;/D&gt;&lt;D xsi:type="xsd:long"&gt;45089&lt;/D&gt;&lt;D xsi:type="xsd:long"&gt;45086&lt;/D&gt;&lt;D xsi:type="xsd:long"&gt;45085&lt;/D&gt;&lt;D xsi:type="xsd:long"&gt;45084&lt;/D&gt;&lt;D xsi:type="xsd:long"&gt;45083&lt;/D&gt;&lt;D xsi:type="xsd:long"&gt;45082&lt;/D&gt;&lt;D xsi:type="xsd:long"&gt;45079&lt;/D&gt;&lt;D xsi:type="xsd:long"&gt;45078&lt;/D&gt;&lt;D xsi:type="xsd:long"&gt;45077&lt;/D&gt;&lt;D xsi:type="xsd:long"&gt;45076&lt;/D&gt;&lt;D xsi:type="xsd:long"&gt;45072&lt;/D&gt;&lt;D xsi:type="xsd:long"&gt;45071&lt;/D&gt;&lt;D xsi:type="xsd:long"&gt;45070&lt;/D&gt;&lt;D xsi:type="xsd:long"&gt;45069&lt;/D&gt;&lt;D xsi:type="xsd:long"&gt;45068&lt;/D&gt;&lt;D xsi:type="xsd:long"&gt;45065&lt;/D&gt;&lt;D xsi:type="xsd:long"&gt;45064&lt;/D&gt;&lt;D xsi:type="xsd:long"&gt;45063&lt;/D&gt;&lt;D xsi:type="xsd:long"&gt;45062&lt;/D&gt;&lt;D xsi:type="xsd:long"&gt;45061&lt;/D&gt;&lt;D xsi:type="xsd:long"&gt;45058&lt;/D&gt;&lt;D xsi:type="xsd:long"&gt;45057&lt;/D&gt;&lt;D xsi:type="xsd:long"&gt;45056&lt;/D&gt;&lt;D xsi:type="xsd:long"&gt;45055&lt;/D&gt;&lt;D xsi:type="xsd:long"&gt;45054&lt;/D&gt;&lt;D xsi:type="xsd:long"&gt;45051&lt;/D&gt;&lt;D xsi:type="xsd:long"&gt;45050&lt;/D&gt;&lt;D xsi:type="xsd:long"&gt;45049&lt;/D&gt;&lt;D xsi:type="xsd:long"&gt;45048&lt;/D&gt;&lt;D xsi:type="xsd:long"&gt;45047&lt;/D&gt;&lt;D xsi:type="xsd:long"&gt;45044&lt;/D&gt;&lt;D xsi:type="xsd:long"&gt;45043&lt;/D&gt;&lt;/FQL&gt;&lt;FQL&gt;&lt;Q&gt;URTH^P_PRICE_RETURNS_PR('52W',2,-10AY,0,AM)&lt;/Q&gt;&lt;R&gt;121&lt;/R&gt;&lt;C&gt;1&lt;/C&gt;&lt;D xsi:type="xsd:double"&gt;18.61186&lt;/D&gt;&lt;D xsi:type="xsd:double"&gt;18.01015&lt;/D&gt;&lt;D xsi:type="xsd:double"&gt;13.3515835&lt;/D&gt;&lt;D xsi:type="xsd:double"&gt;11.909616&lt;/D&gt;&lt;D xsi:type="xsd:double"&gt;17.101013&lt;/D&gt;&lt;D xsi:type="xsd:double"&gt;18.143976&lt;/D&gt;&lt;D xsi:type="xsd:double"&gt;12.428045&lt;/D&gt;&lt;D xsi:type="xsd:double"&gt;14.121973&lt;/D&gt;&lt;D xsi:type="xsd:double"&gt;4.445541&lt;/D&gt;&lt;D xsi:type="xsd:double"&gt;8.294594&lt;/D&gt;&lt;D xsi:type="xsd:double"&gt;7.855022&lt;/D&gt;&lt;D xsi:type="xsd:double"&gt;3.0335665&lt;/D&gt;&lt;D xsi:type="xsd:double"&gt;7.4006677&lt;/D&gt;&lt;D xsi:type="xsd:double"&gt;6.115699&lt;/D&gt;&lt;D xsi:type="xsd:double"&gt;9.224379&lt;/D&gt;&lt;D xsi:type="xsd:double"&gt;7.9349875&lt;/D&gt;&lt;D xsi:type="xsd:double"&gt;5.1385164&lt;/D&gt;&lt;D xsi:type="xsd:double"&gt;2.5448084&lt;/D&gt;&lt;D xsi:type="xsd:double"&gt;4.2101264&lt;/D&gt;&lt;D xsi:type="xsd:double"&gt;-4.294753&lt;/D&gt;&lt;D xsi:type="xsd:double"&gt;4.439914&lt;/D&gt;&lt;D xsi:type="xsd:double"&gt;-1.4286816&lt;/D&gt;&lt;D xsi:type="xsd:double"&gt;-1.6174912&lt;/D&gt;&lt;D xsi:type="xsd:double"&gt;-6.565225&lt;/D&gt;&lt;D xsi:type="xsd:double"&gt;-12.55979&lt;/D&gt;&lt;D xsi:type="xsd:double"&gt;-2.5004327&lt;/D&gt;&lt;D xsi:type="xsd:double"&gt;-3.2318354&lt;/D&gt;&lt;D xsi:type="xsd:double"&gt;-6.735301&lt;/D&gt;&lt;D xsi:type="xsd:double"&gt;-4.872698&lt;/D&gt;&lt;D xsi:type="xsd:double"&gt;-0.39824247&lt;/D&gt;&lt;D xsi:type="xsd:double"&gt;2.2611141&lt;/D&gt;&lt;D xsi:type="xsd:double"&gt;6.8057895&lt;/D&gt;&lt;D xsi:type="xsd:double"&gt;5.0632954&lt;/D&gt;&lt;D xsi:type="xsd:double"&gt;2.7783751&lt;/D&gt;&lt;D xsi:type="xsd:double"&gt;10.661483&lt;/D&gt;&lt;D xsi:type="xsd:double"&gt;19.839954&lt;/D&gt;&lt;D xsi:type="xsd:double"&gt;25.609184&lt;/D&gt;&lt;D xsi:type="xsd:double"&gt;15.829218&lt;/D&gt;&lt;D xsi:type="xsd:double"&gt;11.642718&lt;/D&gt;&lt;D xsi:type="xsd:double"&gt;16.770231&lt;/D&gt;&lt;D xsi:type="xsd:double"&gt;19.684374&lt;/D&gt;&lt;D xsi:type="xsd:double"&gt;16.519047&lt;/D&gt;&lt;D xsi:type="xsd:double"&gt;13.377094&lt;/D&gt;&lt;D xsi:type="xsd:double"&gt;19.660198&lt;/D&gt;&lt;D xsi:type="xsd:double"&gt;22.487663&lt;/D&gt;&lt;D xsi:type="xsd:double"&gt;22.564745&lt;/D&gt;&lt;D xsi:type="xsd:double"&gt;20.073914&lt;/D&gt;&lt;D xsi:type="xsd:double"&gt;25.075853&lt;/D&gt;&lt;D xsi:type="xsd:double"&gt;16.569471&lt;/D&gt;&lt;D xsi:type="xsd:double"&gt;17.681969&lt;/D&gt;&lt;D xsi:type="xsd:double"&gt;16.319525&lt;/D&gt;&lt;D xsi:type="xsd:double"&gt;14.884877&lt;/D&gt;&lt;D xsi:type="xsd:double"&gt;12.9488945&lt;/D&gt;&lt;D xsi:type="xsd:double"&gt;12.374449&lt;/D&gt;&lt;D xsi:type="xsd:double"&gt;12.321579&lt;/D&gt;&lt;D xsi:type="xsd:double"&gt;11.550653&lt;/D&gt;&lt;D xsi:type="xsd:double"&gt;4.0464997&lt;/D&gt;&lt;D xsi:type="xsd:double"&gt;1.8199801&lt;/D&gt;&lt;D xsi:type="xsd:double"&gt;-3.2325745&lt;/D&gt;&lt;D xsi:type="xsd:double"&gt;-8.03417&lt;/D&gt;&lt;D xsi:type="xsd:double"&gt;0.64564943&lt;/D&gt;&lt;D xsi:type="xsd:double"&gt;0.4479885&lt;/D&gt;&lt;D xsi:type="xsd:double"&gt;5.6833267&lt;/D&gt;&lt;D xsi:type="xsd:double"&gt;-0.038570166&lt;/D&gt;&lt;D xsi:type="xsd:double"&gt;2.223289&lt;/D&gt;&lt;D xsi:type="xsd:double"&gt;6.3805223&lt;/D&gt;&lt;D xsi:type="xsd:double"&gt;3.203249&lt;/D&gt;&lt;D xsi:type="xsd:double"&gt;4.0167212&lt;/D&gt;&lt;D xsi:type="xsd:double"&gt;9.563613&lt;/D&gt;&lt;D xsi:type="xsd:double"&gt;14.631653&lt;/D&gt;&lt;D xsi:type="xsd:double"&gt;20.52139&lt;/D&gt;&lt;D xsi:type="xsd:double"&gt;25.219082&lt;/D&gt;&lt;D xsi:type="xsd:double"&gt;21.108448&lt;/D&gt;&lt;D xsi:type="xsd:double"&gt;-7.673061&lt;/D&gt;&lt;D xsi:type="xsd:double"&gt;-7.5201216&lt;/D&gt;&lt;D xsi:type="xsd:double"&gt;-2.146554&lt;/D&gt;&lt;D xsi:type="xsd:double"&gt;3.6345243&lt;/D&gt;&lt;D xsi:type="xsd:double"&gt;3.4332871&lt;/D&gt;&lt;D xsi:type="xsd:double"&gt;13.662279&lt;/D&gt;&lt;D xsi:type="xsd:double"&gt;10.042548&lt;/D&gt;&lt;D xsi:type="xsd:double"&gt;14.832699&lt;/D&gt;&lt;D xsi:type="xsd:double"&gt;13.52743&lt;/D&gt;&lt;D xsi:type="xsd:double"&gt;15.927065&lt;/D&gt;&lt;D xsi:type="xsd:double"&gt;16.65014&lt;/D&gt;&lt;D xsi:type="xsd:double"&gt;17.836643&lt;/D&gt;&lt;D xsi:type="xsd:double"&gt;63.130367&lt;/D&gt;&lt;D xsi:type="xsd:double"&gt;52.148567&lt;/D&gt;&lt;D xsi:type="xsd:double"&gt;47.815346&lt;/D&gt;&lt;D xsi:type="xsd:double"&gt;43.70829&lt;/D&gt;&lt;D xsi:type="xsd:double"&gt;38.230278&lt;/D&gt;&lt;D xsi:type="xsd:double"&gt;33.037304&lt;/D&gt;&lt;D xsi:type="xsd:double"&gt;34.358906&lt;/D&gt;&lt;D xsi:type="xsd:double"&gt;25.485981&lt;/D&gt;&lt;D xsi:type="xsd:double"&gt;31.05967&lt;/D&gt;&lt;D xsi:type="xsd:double"&gt;22.605537&lt;/D&gt;&lt;D xsi:type="xsd:double"&gt;17.71109&lt;/D&gt;&lt;D xsi:type="xsd:double"&gt;9.280157&lt;/D&gt;&lt;D xsi:type="xsd:double"&gt;2.3403287&lt;/D&gt;&lt;D xsi:type="xsd:double"&gt;3.867972&lt;/D&gt;&lt;D xsi:type="xsd:double"&gt;-5.100906&lt;/D&gt;&lt;D xsi:type="xsd:double"&gt;-14.565116&lt;/D&gt;&lt;D xsi:type="xsd:double"&gt;-15.259534&lt;/D&gt;&lt;D xsi:type="xsd:double"&gt;-7.436955&lt;/D&gt;&lt;D xsi:type="xsd:double"&gt;-15.334654&lt;/D&gt;&lt;D xsi:type="xsd:double"&gt;-18.748564&lt;/D&gt;&lt;D xsi:type="xsd:double"&gt;-14.877486&lt;/D&gt;&lt;D xsi:type="xsd:double"&gt;-12.6001835&lt;/D&gt;&lt;D xsi:type="xsd:double"&gt;-12.272769&lt;/D&gt;&lt;D xsi:type="xsd:double"&gt;-5.2087665&lt;/D&gt;&lt;D xsi:type="xsd:double"&gt;-5.191767&lt;/D&gt;&lt;D xsi:type="xsd:double"&gt;-3.6027431&lt;/D&gt;&lt;D xsi:type="xsd:double"&gt;8.421993&lt;/D&gt;&lt;D xsi:type="xsd:double"&gt;17.69513&lt;/D&gt;&lt;D xsi:type="xsd:double"&gt;20.960903&lt;/D&gt;&lt;D xsi:type="xsd:double"&gt;7.9964995&lt;/D&gt;&lt;D xsi:type="xsd:double"&gt;15.617954&lt;/D&gt;&lt;D xsi:type="xsd:double"&gt;19.970966&lt;/D&gt;&lt;D xsi:type="xsd:double"&gt;10.582089&lt;/D&gt;&lt;D xsi:type="xsd:double"&gt;16.767752&lt;/D&gt;&lt;D xsi:type="xsd:double"&gt;18.420982&lt;/D&gt;&lt;D xsi:type="xsd:double"&gt;17.15722&lt;/D&gt;&lt;/FQL&gt;&lt;FQL&gt;&lt;Q&gt;EWI^P_PRICE_RETURNS_PR('52W',2,-10AY,0,AM)&lt;/Q&gt;&lt;R&gt;121&lt;/R&gt;&lt;C&gt;1&lt;/C&gt;&lt;D xsi:type="xsd:double"&gt;24.852085&lt;/D&gt;&lt;D xsi:type="xsd:double"&gt;38.557182&lt;/D&gt;&lt;D xsi:type="xsd:double"&gt;43.81328&lt;/D&gt;&lt;D xsi:type="xsd:double"&gt;33.471443&lt;/D&gt;&lt;D xsi:type="xsd:double"&gt;41.03261&lt;/D&gt;&lt;D xsi:type="xsd:double"&gt;39.275753&lt;/D&gt;&lt;D xsi:type="xsd:double"&gt;14.482856&lt;/D&gt;&lt;D xsi:type="xsd:double"&gt;19.685268&lt;/D&gt;&lt;D xsi:type="xsd:double"&gt;-4.1614475&lt;/D&gt;&lt;D xsi:type="xsd:double"&gt;-5.2651167&lt;/D&gt;&lt;D xsi:type="xsd:double"&gt;-3.3575594&lt;/D&gt;&lt;D xsi:type="xsd:double"&gt;-15.541583&lt;/D&gt;&lt;D xsi:type="xsd:double"&gt;-10.152167&lt;/D&gt;&lt;D xsi:type="xsd:double"&gt;-12.726188&lt;/D&gt;&lt;D xsi:type="xsd:double"&gt;-11.986142&lt;/D&gt;&lt;D xsi:type="xsd:double"&gt;-7.5315895&lt;/D&gt;&lt;D xsi:type="xsd:double"&gt;-11.595768&lt;/D&gt;&lt;D xsi:type="xsd:double"&gt;-7.753557&lt;/D&gt;&lt;D xsi:type="xsd:double"&gt;3.4619331&lt;/D&gt;&lt;D xsi:type="xsd:double"&gt;-6.054282&lt;/D&gt;&lt;D xsi:type="xsd:double"&gt;7.545972&lt;/D&gt;&lt;D xsi:type="xsd:double"&gt;1.8876314&lt;/D&gt;&lt;D xsi:type="xsd:double"&gt;-0.07815957&lt;/D&gt;&lt;D xsi:type="xsd:double"&gt;0.88882446&lt;/D&gt;&lt;D xsi:type="xsd:double"&gt;-21.479733&lt;/D&gt;&lt;D xsi:type="xsd:double"&gt;-9.896982&lt;/D&gt;&lt;D xsi:type="xsd:double"&gt;-17.541105&lt;/D&gt;&lt;D xsi:type="xsd:double"&gt;-22.59965&lt;/D&gt;&lt;D xsi:type="xsd:double"&gt;-25.56492&lt;/D&gt;&lt;D xsi:type="xsd:double"&gt;-25.488031&lt;/D&gt;&lt;D xsi:type="xsd:double"&gt;-25.645733&lt;/D&gt;&lt;D xsi:type="xsd:double"&gt;-22.907347&lt;/D&gt;&lt;D xsi:type="xsd:double"&gt;-26.059555&lt;/D&gt;&lt;D xsi:type="xsd:double"&gt;-20.764833&lt;/D&gt;&lt;D xsi:type="xsd:double"&gt;-9.312409&lt;/D&gt;&lt;D xsi:type="xsd:double"&gt;-0.61445236&lt;/D&gt;&lt;D xsi:type="xsd:double"&gt;11.674476&lt;/D&gt;&lt;D xsi:type="xsd:double"&gt;1.6647935&lt;/D&gt;&lt;D xsi:type="xsd:double"&gt;6.0695767&lt;/D&gt;&lt;D xsi:type="xsd:double"&gt;20.464611&lt;/D&gt;&lt;D xsi:type="xsd:double"&gt;29.656197&lt;/D&gt;&lt;D xsi:type="xsd:double"&gt;35.135902&lt;/D&gt;&lt;D xsi:type="xsd:double"&gt;35.031963&lt;/D&gt;&lt;D xsi:type="xsd:double"&gt;42.680584&lt;/D&gt;&lt;D xsi:type="xsd:double"&gt;47.657333&lt;/D&gt;&lt;D xsi:type="xsd:double"&gt;42.253876&lt;/D&gt;&lt;D xsi:type="xsd:double"&gt;31.493114&lt;/D&gt;&lt;D xsi:type="xsd:double"&gt;38.575745&lt;/D&gt;&lt;D xsi:type="xsd:double"&gt;36.380184&lt;/D&gt;&lt;D xsi:type="xsd:double"&gt;34.03013&lt;/D&gt;&lt;D xsi:type="xsd:double"&gt;38.32923&lt;/D&gt;&lt;D xsi:type="xsd:double"&gt;24.101437&lt;/D&gt;&lt;D xsi:type="xsd:double"&gt;10.874498&lt;/D&gt;&lt;D xsi:type="xsd:double"&gt;5.1639557&lt;/D&gt;&lt;D xsi:type="xsd:double"&gt;-3.4542918&lt;/D&gt;&lt;D xsi:type="xsd:double"&gt;-6.070471&lt;/D&gt;&lt;D xsi:type="xsd:double"&gt;-13.808846&lt;/D&gt;&lt;D xsi:type="xsd:double"&gt;-15.256065&lt;/D&gt;&lt;D xsi:type="xsd:double"&gt;-15.336859&lt;/D&gt;&lt;D xsi:type="xsd:double"&gt;-18.651522&lt;/D&gt;&lt;D xsi:type="xsd:double"&gt;-14.521986&lt;/D&gt;&lt;D xsi:type="xsd:double"&gt;-12.637699&lt;/D&gt;&lt;D xsi:type="xsd:double"&gt;-11.217367&lt;/D&gt;&lt;D xsi:type="xsd:double"&gt;-16.868752&lt;/D&gt;&lt;D xsi:type="xsd:double"&gt;-7.0830765&lt;/D&gt;&lt;D xsi:type="xsd:double"&gt;2.6831865&lt;/D&gt;&lt;D xsi:type="xsd:double"&gt;-0.43979287&lt;/D&gt;&lt;D xsi:type="xsd:double"&gt;4.6154737&lt;/D&gt;&lt;D xsi:type="xsd:double"&gt;12.832737&lt;/D&gt;&lt;D xsi:type="xsd:double"&gt;22.77788&lt;/D&gt;&lt;D xsi:type="xsd:double"&gt;21.16462&lt;/D&gt;&lt;D xsi:type="xsd:double"&gt;21.567095&lt;/D&gt;&lt;D xsi:type="xsd:double"&gt;19.760418&lt;/D&gt;&lt;D xsi:type="xsd:double"&gt;-20.33763&lt;/D&gt;&lt;D xsi:type="xsd:double"&gt;-22.66522&lt;/D&gt;&lt;D xsi:type="xsd:double"&gt;-21.090984&lt;/D&gt;&lt;D xsi:type="xsd:double"&gt;-8.738285&lt;/D&gt;&lt;D xsi:type="xsd:double"&gt;-12.414813&lt;/D&gt;&lt;D xsi:type="xsd:double"&gt;2.0214677&lt;/D&gt;&lt;D xsi:type="xsd:double"&gt;-5.02373&lt;/D&gt;&lt;D xsi:type="xsd:double"&gt;-8.527666&lt;/D&gt;&lt;D xsi:type="xsd:double"&gt;-5.456257&lt;/D&gt;&lt;D xsi:type="xsd:double"&gt;1.8901587&lt;/D&gt;&lt;D xsi:type="xsd:double"&gt;2.9105663&lt;/D&gt;&lt;D xsi:type="xsd:double"&gt;4.34345&lt;/D&gt;&lt;D xsi:type="xsd:double"&gt;72.124626&lt;/D&gt;&lt;D xsi:type="xsd:double"&gt;54.800842&lt;/D&gt;&lt;D xsi:type="xsd:double"&gt;62.516914&lt;/D&gt;&lt;D xsi:type="xsd:double"&gt;49.77491&lt;/D&gt;&lt;D xsi:type="xsd:double"&gt;32.908237&lt;/D&gt;&lt;D xsi:type="xsd:double"&gt;31.801987&lt;/D&gt;&lt;D xsi:type="xsd:double"&gt;30.253733&lt;/D&gt;&lt;D xsi:type="xsd:double"&gt;32.088352&lt;/D&gt;&lt;D xsi:type="xsd:double"&gt;29.993069&lt;/D&gt;&lt;D xsi:type="xsd:double"&gt;13.174475&lt;/D&gt;&lt;D xsi:type="xsd:double"&gt;15.090752&lt;/D&gt;&lt;D xsi:type="xsd:double"&gt;7.3375583&lt;/D&gt;&lt;D xsi:type="xsd:double"&gt;-12.605101&lt;/D&gt;&lt;D xsi:type="xsd:double"&gt;-6.4975796&lt;/D&gt;&lt;D xsi:type="xsd:double"&gt;-13.968247&lt;/D&gt;&lt;D xsi:type="xsd:double"&gt;-24.457937&lt;/D&gt;&lt;D xsi:type="xsd:double"&gt;-24.850727&lt;/D&gt;&lt;D xsi:type="xsd:double"&gt;-21.155035&lt;/D&gt;&lt;D xsi:type="xsd:double"&gt;-24.477959&lt;/D&gt;&lt;D xsi:type="xsd:double"&gt;-28.95226&lt;/D&gt;&lt;D xsi:type="xsd:double"&gt;-15.555531&lt;/D&gt;&lt;D xsi:type="xsd:double"&gt;-8.800197&lt;/D&gt;&lt;D xsi:type="xsd:double"&gt;-7.8005433&lt;/D&gt;&lt;D xsi:type="xsd:double"&gt;-0.39514303&lt;/D&gt;&lt;D xsi:type="xsd:double"&gt;13.386273&lt;/D&gt;&lt;D xsi:type="xsd:double"&gt;13.6122465&lt;/D&gt;&lt;D xsi:type="xsd:double"&gt;24.116528&lt;/D&gt;&lt;D xsi:type="xsd:double"&gt;31.145525&lt;/D&gt;&lt;D xsi:type="xsd:double"&gt;49.7175&lt;/D&gt;&lt;D xsi:type="xsd:double"&gt;31.808674&lt;/D&gt;&lt;D xsi:type="xsd:double"&gt;37.574886&lt;/D&gt;&lt;D xsi:type="xsd:double"&gt;42.14132&lt;/D&gt;&lt;D xsi:type="xsd:double"&gt;19.274176&lt;/D&gt;&lt;D xsi:type="xsd:double"&gt;25.492847&lt;/D&gt;&lt;D xsi:type="xsd:double"&gt;18.622185&lt;/D&gt;&lt;D xsi:type="xsd:double"&gt;13.378167&lt;/D&gt;&lt;/FQL&gt;&lt;FQL&gt;&lt;Q&gt;EWD^P_PRICE_RETURNS_PR('52W',2,-10AY,0,AM)&lt;/Q&gt;&lt;R&gt;121&lt;/R&gt;&lt;C&gt;1&lt;/C&gt;&lt;D xsi:type="xsd:double"&gt;11.878836&lt;/D&gt;&lt;D xsi:type="xsd:double"&gt;12.4678135&lt;/D&gt;&lt;D xsi:type="xsd:double"&gt;11.659706&lt;/D&gt;&lt;D xsi:type="xsd:double"&gt;15.683985&lt;/D&gt;&lt;D xsi:type="xsd:double"&gt;16.727638&lt;/D&gt;&lt;D xsi:type="xsd:double"&gt;11.52178&lt;/D&gt;&lt;D xsi:type="xsd:double"&gt;4.028535&lt;/D&gt;&lt;D xsi:type="xsd:double"&gt;0.95881224&lt;/D&gt;&lt;D xsi:type="xsd:double"&gt;-7.0561466&lt;/D&gt;&lt;D xsi:type="xsd:double"&gt;1.8980861&lt;/D&gt;&lt;D xsi:type="xsd:double"&gt;1.7658949&lt;/D&gt;&lt;D xsi:type="xsd:double"&gt;-8.892738&lt;/D&gt;&lt;D xsi:type="xsd:double"&gt;-2.353245&lt;/D&gt;&lt;D xsi:type="xsd:double"&gt;-4.430312&lt;/D&gt;&lt;D xsi:type="xsd:double"&gt;-3.1850994&lt;/D&gt;&lt;D xsi:type="xsd:double"&gt;-4.932475&lt;/D&gt;&lt;D xsi:type="xsd:double"&gt;-2.5297105&lt;/D&gt;&lt;D xsi:type="xsd:double"&gt;-1.305598&lt;/D&gt;&lt;D xsi:type="xsd:double"&gt;-1.1676431&lt;/D&gt;&lt;D xsi:type="xsd:double"&gt;-2.4409533&lt;/D&gt;&lt;D xsi:type="xsd:double"&gt;4.5850873&lt;/D&gt;&lt;D xsi:type="xsd:double"&gt;-7.3185086&lt;/D&gt;&lt;D xsi:type="xsd:double"&gt;-10.114515&lt;/D&gt;&lt;D xsi:type="xsd:double"&gt;-8.831024&lt;/D&gt;&lt;D xsi:type="xsd:double"&gt;-17.59193&lt;/D&gt;&lt;D xsi:type="xsd:double"&gt;-7.5143695&lt;/D&gt;&lt;D xsi:type="xsd:double"&gt;-6.0257015&lt;/D&gt;&lt;D xsi:type="xsd:double"&gt;-12.988061&lt;/D&gt;&lt;D xsi:type="xsd:double"&gt;-15.606779&lt;/D&gt;&lt;D xsi:type="xsd:double"&gt;-11.658752&lt;/D&gt;&lt;D xsi:type="xsd:double"&gt;-5.1750603&lt;/D&gt;&lt;D xsi:type="xsd:double"&gt;-4.287505&lt;/D&gt;&lt;D xsi:type="xsd:double"&gt;-4.7579584&lt;/D&gt;&lt;D xsi:type="xsd:double"&gt;-4.1375694&lt;/D&gt;&lt;D xsi:type="xsd:double"&gt;6.8466306&lt;/D&gt;&lt;D xsi:type="xsd:double"&gt;13.513124&lt;/D&gt;&lt;D xsi:type="xsd:double"&gt;20.460451&lt;/D&gt;&lt;D xsi:type="xsd:double"&gt;10.159599&lt;/D&gt;&lt;D xsi:type="xsd:double"&gt;6.8221807&lt;/D&gt;&lt;D xsi:type="xsd:double"&gt;21.64818&lt;/D&gt;&lt;D xsi:type="xsd:double"&gt;26.877546&lt;/D&gt;&lt;D xsi:type="xsd:double"&gt;29.666828&lt;/D&gt;&lt;D xsi:type="xsd:double"&gt;19.425034&lt;/D&gt;&lt;D xsi:type="xsd:double"&gt;25.588072&lt;/D&gt;&lt;D xsi:type="xsd:double"&gt;31.035662&lt;/D&gt;&lt;D xsi:type="xsd:double"&gt;29.09708&lt;/D&gt;&lt;D xsi:type="xsd:double"&gt;20.246338&lt;/D&gt;&lt;D xsi:type="xsd:double"&gt;27.023363&lt;/D&gt;&lt;D xsi:type="xsd:double"&gt;14.056182&lt;/D&gt;&lt;D xsi:type="xsd:double"&gt;13.134074&lt;/D&gt;&lt;D xsi:type="xsd:double"&gt;9.129262&lt;/D&gt;&lt;D xsi:type="xsd:double"&gt;5.013907&lt;/D&gt;&lt;D xsi:type="xsd:double"&gt;0.829041&lt;/D&gt;&lt;D xsi:type="xsd:double"&gt;-6.9775343&lt;/D&gt;&lt;D xsi:type="xsd:double"&gt;-3.049463&lt;/D&gt;&lt;D xsi:type="xsd:double"&gt;-3.9325297&lt;/D&gt;&lt;D xsi:type="xsd:double"&gt;-11.000281&lt;/D&gt;&lt;D xsi:type="xsd:double"&gt;-10.794199&lt;/D&gt;&lt;D xsi:type="xsd:double"&gt;-11.069637&lt;/D&gt;&lt;D xsi:type="xsd:double"&gt;-14.31014&lt;/D&gt;&lt;D xsi:type="xsd:double"&gt;-7.2955728&lt;/D&gt;&lt;D xsi:type="xsd:double"&gt;-7.7892303&lt;/D&gt;&lt;D xsi:type="xsd:double"&gt;2.6551485&lt;/D&gt;&lt;D xsi:type="xsd:double"&gt;-8.563173&lt;/D&gt;&lt;D xsi:type="xsd:double"&gt;-3.8354218&lt;/D&gt;&lt;D xsi:type="xsd:double"&gt;3.4644961&lt;/D&gt;&lt;D xsi:type="xsd:double"&gt;-5.264342&lt;/D&gt;&lt;D xsi:type="xsd:double"&gt;-1.3996661&lt;/D&gt;&lt;D xsi:type="xsd:double"&gt;1.0428548&lt;/D&gt;&lt;D xsi:type="xsd:double"&gt;12.355995&lt;/D&gt;&lt;D xsi:type="xsd:double"&gt;19.401443&lt;/D&gt;&lt;D xsi:type="xsd:double"&gt;18.485296&lt;/D&gt;&lt;D xsi:type="xsd:double"&gt;18.355751&lt;/D&gt;&lt;D xsi:type="xsd:double"&gt;-9.926313&lt;/D&gt;&lt;D xsi:type="xsd:double"&gt;-15.154296&lt;/D&gt;&lt;D xsi:type="xsd:double"&gt;-6.454575&lt;/D&gt;&lt;D xsi:type="xsd:double"&gt;2.8613925&lt;/D&gt;&lt;D xsi:type="xsd:double"&gt;7.3684573&lt;/D&gt;&lt;D xsi:type="xsd:double"&gt;27.857708&lt;/D&gt;&lt;D xsi:type="xsd:double"&gt;20.548702&lt;/D&gt;&lt;D xsi:type="xsd:double"&gt;24.20063&lt;/D&gt;&lt;D xsi:type="xsd:double"&gt;22.026455&lt;/D&gt;&lt;D xsi:type="xsd:double"&gt;23.47343&lt;/D&gt;&lt;D xsi:type="xsd:double"&gt;26.400316&lt;/D&gt;&lt;D xsi:type="xsd:double"&gt;26.515984&lt;/D&gt;&lt;D xsi:type="xsd:double"&gt;90.48357&lt;/D&gt;&lt;D xsi:type="xsd:double"&gt;81.50086&lt;/D&gt;&lt;D xsi:type="xsd:double"&gt;78.47036&lt;/D&gt;&lt;D xsi:type="xsd:double"&gt;68.848274&lt;/D&gt;&lt;D xsi:type="xsd:double"&gt;50.30931&lt;/D&gt;&lt;D xsi:type="xsd:double"&gt;41.020668&lt;/D&gt;&lt;D xsi:type="xsd:double"&gt;38.456177&lt;/D&gt;&lt;D xsi:type="xsd:double"&gt;31.597317&lt;/D&gt;&lt;D xsi:type="xsd:double"&gt;32.46068&lt;/D&gt;&lt;D xsi:type="xsd:double"&gt;19.722414&lt;/D&gt;&lt;D xsi:type="xsd:double"&gt;17.247831&lt;/D&gt;&lt;D xsi:type="xsd:double"&gt;1.357913&lt;/D&gt;&lt;D xsi:type="xsd:double"&gt;-15.792447&lt;/D&gt;&lt;D xsi:type="xsd:double"&gt;-13.22217&lt;/D&gt;&lt;D xsi:type="xsd:double"&gt;-22.57275&lt;/D&gt;&lt;D xsi:type="xsd:double"&gt;-29.092693&lt;/D&gt;&lt;D xsi:type="xsd:double"&gt;-31.784946&lt;/D&gt;&lt;D xsi:type="xsd:double"&gt;-26.184887&lt;/D&gt;&lt;D xsi:type="xsd:double"&gt;-32.570152&lt;/D&gt;&lt;D xsi:type="xsd:double"&gt;-36.487698&lt;/D&gt;&lt;D xsi:type="xsd:double"&gt;-25.26018&lt;/D&gt;&lt;D xsi:type="xsd:double"&gt;-19.483858&lt;/D&gt;&lt;D xsi:type="xsd:double"&gt;-20.239998&lt;/D&gt;&lt;D xsi:type="xsd:double"&gt;-9.420931&lt;/D&gt;&lt;D xsi:type="xsd:double"&gt;-3.763014&lt;/D&gt;&lt;D xsi:type="xsd:double"&gt;-2.6673377&lt;/D&gt;&lt;D xsi:type="xsd:double"&gt;11.43111&lt;/D&gt;&lt;D xsi:type="xsd:double"&gt;12.56907&lt;/D&gt;&lt;D xsi:type="xsd:double"&gt;21.377373&lt;/D&gt;&lt;D xsi:type="xsd:double"&gt;0.9869218&lt;/D&gt;&lt;D xsi:type="xsd:double"&gt;7.575214&lt;/D&gt;&lt;D xsi:type="xsd:double"&gt;21.1738&lt;/D&gt;&lt;D xsi:type="xsd:double"&gt;-2.4643123&lt;/D&gt;&lt;D xsi:type="xsd:double"&gt;10.745239&lt;/D&gt;&lt;D xsi:type="xsd:double"&gt;9.420431&lt;/D&gt;&lt;D xsi:type="xsd:double"&gt;5.6179404&lt;/D&gt;&lt;/FQL&gt;&lt;FQL&gt;&lt;Q&gt;EWJ^P_PRICE_RETURNS_PR('52W',2,-10AY,0,AM)&lt;/Q&gt;&lt;R&gt;121&lt;/R&gt;&lt;C&gt;1&lt;/C&gt;&lt;D xsi:type="xsd:double"&gt;15.172863&lt;/D&gt;&lt;D xsi:type="xsd:double"&gt;7.8274965&lt;/D&gt;&lt;D xsi:type="xsd:double"&gt;-3.6507547&lt;/D&gt;&lt;D xsi:type="xsd:double"&gt;-4.01479&lt;/D&gt;&lt;D xsi:type="xsd:double"&gt;6.762016&lt;/D&gt;&lt;D xsi:type="xsd:double"&gt;1.9407988&lt;/D&gt;&lt;D xsi:type="xsd:double"&gt;4.5844793&lt;/D&gt;&lt;D xsi:type="xsd:double"&gt;3.6258698&lt;/D&gt;&lt;D xsi:type="xsd:double"&gt;-7.2362003&lt;/D&gt;&lt;D xsi:type="xsd:double"</t>
        </r>
      </text>
    </comment>
    <comment ref="A6" authorId="0" shapeId="0" xr:uid="{F3939F9A-05DB-4631-9CC5-BDCF236F238B}">
      <text>
        <r>
          <rPr>
            <b/>
            <sz val="9"/>
            <color indexed="81"/>
            <rFont val="Tahoma"/>
            <family val="2"/>
          </rPr>
          <t xml:space="preserve">&gt;-0.015574694&lt;/D&gt;&lt;D xsi:type="xsd:double"&gt;-3.0926704&lt;/D&gt;&lt;D xsi:type="xsd:double"&gt;-5.6436596&lt;/D&gt;&lt;D xsi:type="xsd:double"&gt;5.707228&lt;/D&gt;&lt;D xsi:type="xsd:double"&gt;13.154518&lt;/D&gt;&lt;D xsi:type="xsd:double"&gt;20.500792&lt;/D&gt;&lt;D xsi:type="xsd:double"&gt;16.602898&lt;/D&gt;&lt;D xsi:type="xsd:double"&gt;11.516476&lt;/D&gt;&lt;D xsi:type="xsd:double"&gt;8.631599&lt;/D&gt;&lt;D xsi:type="xsd:double"&gt;9.485316&lt;/D&gt;&lt;D xsi:type="xsd:double"&gt;0.32684803&lt;/D&gt;&lt;D xsi:type="xsd:double"&gt;11.001884&lt;/D&gt;&lt;D xsi:type="xsd:double"&gt;6.0777545&lt;/D&gt;&lt;D xsi:type="xsd:double"&gt;5.855489&lt;/D&gt;&lt;D xsi:type="xsd:double"&gt;2.8661132&lt;/D&gt;&lt;D xsi:type="xsd:double"&gt;-10.613335&lt;/D&gt;&lt;D xsi:type="xsd:double"&gt;-4.3235006&lt;/D&gt;&lt;D xsi:type="xsd:double"&gt;-6.7208886&lt;/D&gt;&lt;D xsi:type="xsd:double"&gt;-10.280305&lt;/D&gt;&lt;D xsi:type="xsd:double"&gt;-10.637194&lt;/D&gt;&lt;D xsi:type="xsd:double"&gt;-5.832064&lt;/D&gt;&lt;D xsi:type="xsd:double"&gt;-2.353239&lt;/D&gt;&lt;D xsi:type="xsd:double"&gt;5.5918336&lt;/D&gt;&lt;D xsi:type="xsd:double"&gt;4.4909596&lt;/D&gt;&lt;D xsi:type="xsd:double"&gt;0.2713561&lt;/D&gt;&lt;D xsi:type="xsd:double"&gt;8.522606&lt;/D&gt;&lt;D xsi:type="xsd:double"&gt;14.206481&lt;/D&gt;&lt;D xsi:type="xsd:double"&gt;26.318598&lt;/D&gt;&lt;D xsi:type="xsd:double"&gt;14.092482&lt;/D&gt;&lt;D xsi:type="xsd:double"&gt;8.9735985&lt;/D&gt;&lt;D xsi:type="xsd:double"&gt;14.210153&lt;/D&gt;&lt;D xsi:type="xsd:double"&gt;21.586407&lt;/D&gt;&lt;D xsi:type="xsd:double"&gt;14.445745&lt;/D&gt;&lt;D xsi:type="xsd:double"&gt;11.090732&lt;/D&gt;&lt;D xsi:type="xsd:double"&gt;14.980102&lt;/D&gt;&lt;D xsi:type="xsd:double"&gt;18.369055&lt;/D&gt;&lt;D xsi:type="xsd:double"&gt;20.996452&lt;/D&gt;&lt;D xsi:type="xsd:double"&gt;19.274616&lt;/D&gt;&lt;D xsi:type="xsd:double"&gt;27.14405&lt;/D&gt;&lt;D xsi:type="xsd:double"&gt;16.836512&lt;/D&gt;&lt;D xsi:type="xsd:double"&gt;18.951118&lt;/D&gt;&lt;D xsi:type="xsd:double"&gt;20.577288&lt;/D&gt;&lt;D xsi:type="xsd:double"&gt;18.85146&lt;/D&gt;&lt;D xsi:type="xsd:double"&gt;12.720596&lt;/D&gt;&lt;D xsi:type="xsd:double"&gt;9.1579075&lt;/D&gt;&lt;D xsi:type="xsd:double"&gt;7.2566032&lt;/D&gt;&lt;D xsi:type="xsd:double"&gt;5.7265162&lt;/D&gt;&lt;D xsi:type="xsd:double"&gt;1.5479326&lt;/D&gt;&lt;D xsi:type="xsd:double"&gt;-6.5968156&lt;/D&gt;&lt;D xsi:type="xsd:double"&gt;-9.640426&lt;/D&gt;&lt;D xsi:type="xsd:double"&gt;-15.164638&lt;/D&gt;&lt;D xsi:type="xsd:double"&gt;-8.065737&lt;/D&gt;&lt;D xsi:type="xsd:double"&gt;-9.014148&lt;/D&gt;&lt;D xsi:type="xsd:double"&gt;-7.153267&lt;/D&gt;&lt;D xsi:type="xsd:double"&gt;-12.406975&lt;/D&gt;&lt;D xsi:type="xsd:double"&gt;-9.411555&lt;/D&gt;&lt;D xsi:type="xsd:double"&gt;-1.7686605&lt;/D&gt;&lt;D xsi:type="xsd:double"&gt;-4.53611&lt;/D&gt;&lt;D xsi:type="xsd:double"&gt;0.6288886&lt;/D&gt;&lt;D xsi:type="xsd:double"&gt;2.67874&lt;/D&gt;&lt;D xsi:type="xsd:double"&gt;12.113142&lt;/D&gt;&lt;D xsi:type="xsd:double"&gt;15.282213&lt;/D&gt;&lt;D xsi:type="xsd:double"&gt;15.671515&lt;/D&gt;&lt;D xsi:type="xsd:double"&gt;11.6835&lt;/D&gt;&lt;D xsi:type="xsd:double"&gt;-12.9453&lt;/D&gt;&lt;D xsi:type="xsd:double"&gt;-6.9619894&lt;/D&gt;&lt;D xsi:type="xsd:double"&gt;1.2369037&lt;/D&gt;&lt;D xsi:type="xsd:double"&gt;5.7610273&lt;/D&gt;&lt;D xsi:type="xsd:double"&gt;2.7579308&lt;/D&gt;&lt;D xsi:type="xsd:double"&gt;9.982336&lt;/D&gt;&lt;D xsi:type="xsd:double"&gt;6.9489717&lt;/D&gt;&lt;D xsi:type="xsd:double"&gt;6.068063&lt;/D&gt;&lt;D xsi:type="xsd:double"&gt;8.2862015&lt;/D&gt;&lt;D xsi:type="xsd:double"&gt;11.33436&lt;/D&gt;&lt;D xsi:type="xsd:double"&gt;16.986525&lt;/D&gt;&lt;D xsi:type="xsd:double"&gt;21.875525&lt;/D&gt;&lt;D xsi:type="xsd:double"&gt;55.725502&lt;/D&gt;&lt;D xsi:type="xsd:double"&gt;40.549873&lt;/D&gt;&lt;D xsi:type="xsd:double"&gt;27.403568&lt;/D&gt;&lt;D xsi:type="xsd:double"&gt;27.318108&lt;/D&gt;&lt;D xsi:type="xsd:double"&gt;24.652576&lt;/D&gt;&lt;D xsi:type="xsd:double"&gt;19.970226&lt;/D&gt;&lt;D xsi:type="xsd:double"&gt;27.486122&lt;/D&gt;&lt;D xsi:type="xsd:double"&gt;15.167308&lt;/D&gt;&lt;D xsi:type="xsd:double"&gt;13.411784&lt;/D&gt;&lt;D xsi:type="xsd:double"&gt;3.932035&lt;/D&gt;&lt;D xsi:type="xsd:double"&gt;-0.716275&lt;/D&gt;&lt;D xsi:type="xsd:double"&gt;-8.1916275&lt;/D&gt;&lt;D xsi:type="xsd:double"&gt;-12.180096&lt;/D&gt;&lt;D xsi:type="xsd:double"&gt;-14.21774&lt;/D&gt;&lt;D xsi:type="xsd:double"&gt;-12.859374&lt;/D&gt;&lt;D xsi:type="xsd:double"&gt;-20.883953&lt;/D&gt;&lt;D xsi:type="xsd:double"&gt;-21.13312&lt;/D&gt;&lt;D xsi:type="xsd:double"&gt;-14.7266445&lt;/D&gt;&lt;D xsi:type="xsd:double"&gt;-28.829962&lt;/D&gt;&lt;D xsi:type="xsd:double"&gt;-25.664484&lt;/D&gt;&lt;D xsi:type="xsd:double"&gt;-18.624657&lt;/D&gt;&lt;D xsi:type="xsd:double"&gt;-15.394574&lt;/D&gt;&lt;D xsi:type="xsd:double"&gt;-14.64448&lt;/D&gt;&lt;D xsi:type="xsd:double"&gt;-8.085251&lt;/D&gt;&lt;D xsi:type="xsd:double"&gt;-2.7734518&lt;/D&gt;&lt;D xsi:type="xsd:double"&gt;1.7557621&lt;/D&gt;&lt;D xsi:type="xsd:double"&gt;10.409665&lt;/D&gt;&lt;D xsi:type="xsd:double"&gt;20.353949&lt;/D&gt;&lt;D xsi:type="xsd:double"&gt;20.932007&lt;/D&gt;&lt;D xsi:type="xsd:double"&gt;10.0384&lt;/D&gt;&lt;D xsi:type="xsd:double"&gt;22.436846&lt;/D&gt;&lt;D xsi:type="xsd:double"&gt;22.298098&lt;/D&gt;&lt;D xsi:type="xsd:double"&gt;11.033797&lt;/D&gt;&lt;D xsi:type="xsd:double"&gt;15.275216&lt;/D&gt;&lt;D xsi:type="xsd:double"&gt;20.010471&lt;/D&gt;&lt;D xsi:type="xsd:double"&gt;17.332602&lt;/D&gt;&lt;/FQL&gt;&lt;FQL&gt;&lt;Q&gt;EMXC^P_PRICE_RETURNS_PR('52W',2,-10AY,0,AM)&lt;/Q&gt;&lt;R&gt;121&lt;/R&gt;&lt;C&gt;1&lt;/C&gt;&lt;D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xsi:type="xsd:double"&gt;-0.56865215&lt;/D&gt;&lt;D xsi:type="xsd:double"&gt;-4.618496&lt;/D&gt;&lt;D xsi:type="xsd:double"&gt;-9.076511&lt;/D&gt;&lt;D xsi:type="xsd:double"&gt;-9.69283&lt;/D&gt;&lt;D xsi:type="xsd:double"&gt;-9.487808&lt;/D&gt;&lt;D xsi:type="xsd:double"&gt;-11.943823&lt;/D&gt;&lt;D xsi:type="xsd:double"&gt;-9.215445&lt;/D&gt;&lt;D xsi:type="xsd:double"&gt;-11.63165&lt;/D&gt;&lt;D xsi:type="xsd:double"&gt;-5.8344364&lt;/D&gt;&lt;D xsi:type="xsd:double"&gt;-10.397804&lt;/D&gt;&lt;D xsi:type="xsd:double"&gt;-3.0229867&lt;/D&gt;&lt;D xsi:type="xsd:double"&gt;3.829956&lt;/D&gt;&lt;D xsi:type="xsd:double"&gt;-1.8111825&lt;/D&gt;&lt;D xsi:type="xsd:double"&gt;2.262807&lt;/D&gt;&lt;D xsi:type="xsd:double"&gt;6.927228&lt;/D&gt;&lt;D xsi:type="xsd:double"&gt;9.67313&lt;/D&gt;&lt;D xsi:type="xsd:double"&gt;12.7423525&lt;/D&gt;&lt;D xsi:type="xsd:double"&gt;13.8154745&lt;/D&gt;&lt;D xsi:type="xsd:double"&gt;6.9537044&lt;/D&gt;&lt;D xsi:type="xsd:double"&gt;-17.485928&lt;/D&gt;&lt;D xsi:type="xsd:double"&gt;-22.128117&lt;/D&gt;&lt;D xsi:type="xsd:double"&gt;-15.059757&lt;/D&gt;&lt;D xsi:type="xsd:double"&gt;-8.28352&lt;/D&gt;&lt;D xsi:type="xsd:double"&gt;-8.022589&lt;/D&gt;&lt;D xsi:type="xsd:double"&gt;5.454576&lt;/D&gt;&lt;D xsi:type="xsd:double"&gt;0.90756416&lt;/D&gt;&lt;D xsi:type="xsd:double"&gt;1.9502878&lt;/D&gt;&lt;D xsi:type="xsd:double"&gt;6.4166307&lt;/D&gt;&lt;D xsi:type="xsd:double"&gt;14.990055&lt;/D&gt;&lt;D xsi:type="xsd:double"&gt;17.153215&lt;/D&gt;&lt;D xsi:type="xsd:double"&gt;23.288036&lt;/D&gt;&lt;D xsi:type="xsd:double"&gt;68.47402&lt;/D&gt;&lt;D xsi:type="xsd:double"&gt;61.064888&lt;/D&gt;&lt;D xsi:type="xsd:double"&gt;57.566845&lt;/D&gt;&lt;D xsi:type="xsd:double"&gt;53.25384&lt;/D&gt;&lt;D xsi:type="xsd:double"&gt;40.641415&lt;/D&gt;&lt;D xsi:type="xsd:double"&gt;31.332493&lt;/D&gt;&lt;D xsi:type="xsd:double"&gt;36.612465&lt;/D&gt;&lt;D xsi:type="xsd:double"&gt;29.47427&lt;/D&gt;&lt;D xsi:type="xsd:double"&gt;25.65651&lt;/D&gt;&lt;D xsi:type="xsd:double"&gt;8.886087&lt;/D&gt;&lt;D xsi:type="xsd:double"&gt;5.56823&lt;/D&gt;&lt;D xsi:type="xsd:double"&gt;1.3119698&lt;/D&gt;&lt;D xsi:type="xsd:double"&gt;-6.531745&lt;/D&gt;&lt;D xsi:type="xsd:double"&gt;-1.550889&lt;/D&gt;&lt;D xsi:type="xsd:double"&gt;-10.955774&lt;/D&gt;&lt;D xsi:type="xsd:double"&gt;-20.318287&lt;/D&gt;&lt;D xsi:type="xsd:double"&gt;-22.363245&lt;/D&gt;&lt;D xsi:type="xsd:double"&gt;-13.277674&lt;/D&gt;&lt;D xsi:type="xsd:double"&gt;-21.225899&lt;/D&gt;&lt;D xsi:type="xsd:double"&gt;-24.139368&lt;/D&gt;&lt;D xsi:type="xsd:double"&gt;-17.16317&lt;/D&gt;&lt;D xsi:type="xsd:double"&gt;-15.7332&lt;/D&gt;&lt;D xsi:type="xsd:double"&gt;-16.757202&lt;/D&gt;&lt;D xsi:type="xsd:double"&gt;-15.036553&lt;/D&gt;&lt;D xsi:type="xsd:double"&gt;-10.954535&lt;/D&gt;&lt;D xsi:type="xsd:double"&gt;-9.999609&lt;/D&gt;&lt;D xsi:type="xsd:double"&gt;0.13737679&lt;/D&gt;&lt;D xsi:type="xsd:double"&gt;10.03232&lt;/D&gt;&lt;D xsi:type="xsd:double"&gt;18.076933&lt;/D&gt;&lt;D xsi:type="xsd:double"&gt;2.9847383&lt;/D&gt;&lt;D xsi:type="xsd:double"&gt;8.893585&lt;/D&gt;&lt;D xsi:type="xsd:double"&gt;12.670636&lt;/D&gt;&lt;D xsi:type="xsd:double"&gt;3.466308&lt;/D&gt;&lt;D xsi:type="xsd:double"&gt;11.961079&lt;/D&gt;&lt;D xsi:type="xsd:double"&gt;9.888136&lt;/D&gt;&lt;D xsi:type="xsd:double"&gt;11.802589&lt;/D&gt;&lt;/FQL&gt;&lt;FQL&gt;&lt;Q&gt;VGK^P_PRICE_RETURNS_PR('52W',2,-10AY,0,AM)&lt;/Q&gt;&lt;R&gt;121&lt;/R&gt;&lt;C&gt;1&lt;/C&gt;&lt;D xsi:type="xsd:double"&gt;20.403458&lt;/D&gt;&lt;D xsi:type="xsd:double"&gt;19.53194&lt;/D&gt;&lt;D xsi:type="xsd:double"&gt;20.781898&lt;/D&gt;&lt;D xsi:type="xsd:double"&gt;21.593582&lt;/D&gt;&lt;D xsi:type="xsd:double"&gt;23.163689&lt;/D&gt;&lt;D xsi:type="xsd:double"&gt;20.519161&lt;/D&gt;&lt;D xsi:type="xsd:double"&gt;10.760248&lt;/D&gt;&lt;D xsi:type="xsd:double"&gt;10.786474&lt;/D&gt;&lt;D xsi:type="xsd:double"&gt;-2.1030843&lt;/D&gt;&lt;D xsi:type="xsd:double"&gt;-0.5840957&lt;/D&gt;&lt;D xsi:type="xsd:double"&gt;-1.8029749&lt;/D&gt;&lt;D xsi:type="xsd:double"&gt;-8.12934&lt;/D&gt;&lt;D xsi:type="xsd:double"&gt;-2.710253&lt;/D&gt;&lt;D xsi:type="xsd:double"&gt;-3.8703918&lt;/D&gt;&lt;D xsi:type="xsd:double"&gt;-1.3480425&lt;/D&gt;&lt;D xsi:type="xsd:double"&gt;-2.0317018&lt;/D&gt;&lt;D xsi:type="xsd:double"&gt;-4.5945587&lt;/D&gt;&lt;D xsi:type="xsd:double"&gt;-2.8199673&lt;/D&gt;&lt;D xsi:type="xsd:double"&gt;-0.13270378&lt;/D&gt;&lt;D xsi:type="xsd:double"&gt;-7.1698904&lt;/D&gt;&lt;D xsi:type="xsd:double"&gt;2.4297953&lt;/D&gt;&lt;D xsi:type="xsd:double"&gt;-3.8404346&lt;/D&gt;&lt;D xsi:type="xsd:double"&gt;-4.8808517&lt;/D&gt;&lt;D xsi:type="xsd:double"&gt;-6.7061663&lt;/D&gt;&lt;D xsi:type="xsd:double"&gt;-16.060453&lt;/D&gt;&lt;D xsi:type="xsd:double"&gt;-6.068116&lt;/D&gt;&lt;D xsi:type="xsd:double"&gt;-8.903289&lt;/D&gt;&lt;D xsi:type="xsd:double"&gt;-13.859755&lt;/D&gt;&lt;D xsi:type="xsd:double"&gt;-13.562304&lt;/D&gt;&lt;D xsi:type="xsd:double"&gt;-12.076163&lt;/D&gt;&lt;D xsi:type="xsd:double"&gt;-7.8197536&lt;/D&gt;&lt;D xsi:type="xsd:double"&gt;-2.8251648&lt;/D&gt;&lt;D xsi:type="xsd:double"&gt;-4.9192133&lt;/D&gt;&lt;D xsi:type="xsd:double"&gt;-6.1999917&lt;/D&gt;&lt;D xsi:type="xsd:double"&gt;1.2626648&lt;/D&gt;&lt;D xsi:type="xsd:double"&gt;9.589613&lt;/D&gt;&lt;D xsi:type="xsd:double"&gt;15.326918&lt;/D&gt;&lt;D xsi:type="xsd:double"&gt;8.079159&lt;/D&gt;&lt;D xsi:type="xsd:double"&gt;7.833004&lt;/D&gt;&lt;D xsi:type="xsd:double"&gt;17.968834&lt;/D&gt;&lt;D xsi:type="xsd:double"&gt;22.851955&lt;/D&gt;&lt;D xsi:type="xsd:double"&gt;22.56006&lt;/D&gt;&lt;D xsi:type="xsd:double"&gt;17.502522&lt;/D&gt;&lt;D xsi:type="xsd:double"&gt;23.176992&lt;/D&gt;&lt;D xsi:type="xsd:double"&gt;28.465593&lt;/D&gt;&lt;D xsi:type="xsd:double"&gt;27.068615&lt;/D&gt;&lt;D xsi:type="xsd:double"&gt;25.131475&lt;/D&gt;&lt;D xsi:type="xsd:double"&gt;30.218517&lt;/D&gt;&lt;D xsi:type="xsd:double"&gt;21.201157&lt;/D&gt;&lt;D xsi:type="xsd:double"&gt;19.848145&lt;/D&gt;&lt;D xsi:type="xsd:double"&gt;19.781483&lt;/D&gt;&lt;D xsi:type="xsd:double"&gt;12.856161&lt;/D&gt;&lt;D xsi:type="xsd:double"&gt;8.240008&lt;/D&gt;&lt;D xsi:type="xsd:double"&gt;5.506861&lt;/D&gt;&lt;D xsi:type="xsd:double"&gt;3.011167&lt;/D&gt;&lt;D xsi:type="xsd:double"&gt;0.37482977&lt;/D&gt;&lt;D xsi:type="xsd:double"&gt;-7.2152796&lt;/D&gt;&lt;D xsi:type="xsd:double"&gt;-6.5586624&lt;/D&gt;&lt;D xsi:type="xsd:double"&gt;-11.431104&lt;/D&gt;&lt;D xsi:type="xsd:double"&gt;-14.234042&lt;/D&gt;&lt;D xsi:type="xsd:double"&gt;-8.235979&lt;/D&gt;&lt;D xsi:type="xsd:double"&gt;-5.562544&lt;/D&gt;&lt;D xsi:type="xsd:double"&gt;-3.5882235&lt;/D&gt;&lt;D xsi:type="xsd:double"&gt;-8.592712&lt;/D&gt;&lt;D xsi:type="xsd:double"&gt;-4.0815773&lt;/D&gt;&lt;D xsi:type="xsd:double"&gt;-0.6020546&lt;/D&gt;&lt;D xsi:type="xsd:double"&gt;-2.6488364&lt;/D&gt;&lt;D xsi:type="xsd:double"&gt;0.6418586&lt;/D&gt;&lt;D xsi:type="xsd:double"&gt;6.4454675&lt;/D&gt;&lt;D xsi:type="xsd:double"&gt;12.243498&lt;/D&gt;&lt;D xsi:type="xsd:double"&gt;19.56793&lt;/D&gt;&lt;D xsi:type="xsd:double"&gt;19.929527&lt;/D&gt;&lt;D xsi:type="xsd:double"&gt;16.821503&lt;/D&gt;&lt;D xsi:type="xsd:double"&gt;-16.06601&lt;/D&gt;&lt;D xsi:type="xsd:double"&gt;-16.253328&lt;/D&gt;&lt;D xsi:type="xsd:double"&gt;-12.626308&lt;/D&gt;&lt;D xsi:type="xsd:double"&gt;-4.991478&lt;/D&gt;&lt;D xsi:type="xsd:double"&gt;-3.7362218&lt;/D&gt;&lt;D xsi:type="xsd:double"&gt;7.098055&lt;/D&gt;&lt;D xsi:type="xsd:double"&gt;2.841425&lt;/D&gt;&lt;D xsi:type="xsd:double"&gt;2.5526762&lt;/D&gt;&lt;D xsi:type="xsd:double"&gt;4.0305734&lt;/D&gt;&lt;D xsi:type="xsd:double"&gt;6.751573&lt;/D&gt;&lt;D xsi:type="xsd:double"&gt;8.5271&lt;/D&gt;&lt;D xsi:type="xsd:double"&gt;9.39933&lt;/D&gt;&lt;D xsi:type="xsd:double"&gt;58.918083&lt;/D&gt;&lt;D xsi:type="xsd:double"&gt;49.35342&lt;/D&gt;&lt;D xsi:type="xsd:double"&gt;52.408493&lt;/D&gt;&lt;D xsi:type="xsd:double"&gt;46.173656&lt;/D&gt;&lt;D xsi:type="xsd:double"&gt;35.807632&lt;/D&gt;&lt;D xsi:type="xsd:double"&gt;32.16877&lt;/D&gt;&lt;D xsi:type="xsd:double"&gt;31.489277&lt;/D&gt;&lt;D xsi:type="xsd:double"&gt;27.41934&lt;/D&gt;&lt;D xsi:type="xsd:double"&gt;27.476501&lt;/D&gt;&lt;D xsi:type="xsd:double"&gt;15.53055&lt;/D&gt;&lt;D xsi:type="xsd:double"&gt;14.166367&lt;/D&gt;&lt;D xsi:type="xsd:double"&gt;7.828486&lt;/D&gt;&lt;D xsi:type="xsd:double"&gt;-5.9099617&lt;/D&gt;&lt;D xsi:type="xsd:double"&gt;-2.5034726&lt;/D&gt;&lt;D xsi:type="xsd:double"&gt;-12.622934&lt;/D&gt;&lt;D xsi:type="xsd:double"&gt;-20.759148&lt;/D&gt;&lt;D xsi:type="xsd:double"&gt;-21.357882&lt;/D&gt;&lt;D xsi:type="xsd:double"&gt;-16.218&lt;/D&gt;&lt;D xsi:type="xsd:double"&gt;-22.94206&lt;/D&gt;&lt;D xsi:type="xsd:double"&gt;-27.056366&lt;/D&gt;&lt;D xsi:type="xsd:double"&gt;-17.07005&lt;/D&gt;&lt;D xsi:type="xsd:double"&gt;-10.00402&lt;/D&gt;&lt;D xsi:type="xsd:double"&gt;-8.993363&lt;/D&gt;&lt;D xsi:type="xsd:double"&gt;-3.354776&lt;/D&gt;&lt;D xsi:type="xsd:double"&gt;3.7069201&lt;/D&gt;&lt;D xsi:type="xsd:double"&gt;5.744374&lt;/D&gt;&lt;D xsi:type="xsd:double"&gt;17.74603&lt;/D&gt;&lt;D xsi:type="xsd:double"&gt;19.370508&lt;/D&gt;&lt;D xsi:type="xsd:double"&gt;27.541817&lt;/D&gt;&lt;D xsi:type="xsd:double"&gt;13.846647&lt;/D&gt;&lt;D xsi:type="xsd:double"&gt;19.681572&lt;/D&gt;&lt;D xsi:type="xsd:double"&gt;26.400448&lt;/D&gt;&lt;D xsi:type="xsd:double"&gt;8.943462&lt;/D&gt;&lt;D xsi:type="xsd:double"&gt;13.55418&lt;/D&gt;&lt;D xsi:type="xsd:double"&gt;9.591103&lt;/D&gt;&lt;D xsi:type="xsd:double"&gt;6.289923&lt;/D&gt;&lt;/FQL&gt;&lt;FQL&gt;&lt;Q&gt;TLT^P_PRICE_RETURNS_PR('52W',2,-10AY,0,AM)&lt;/Q&gt;&lt;R&gt;121&lt;/R&gt;&lt;C&gt;1&lt;/C&gt;&lt;D xsi:type="xsd:double"&gt;-5.1661673&lt;/D&gt;&lt;D xsi:type="xsd:double"&gt;-3.1924903&lt;/D&gt;&lt;D xsi:type="xsd:double"&gt;-4.9189863&lt;/D&gt;&lt;D xsi:type="xsd:double"&gt;-2.1406949&lt;/D&gt;&lt;D xsi:type="xsd:double"&gt;1.458323&lt;/D&gt;&lt;D xsi:type="xsd:double"&gt;8.772087&lt;/D&gt;&lt;D xsi:type="xsd:double"&gt;13.597811&lt;/D&gt;&lt;D xsi:type="xsd:double"&gt;13.451815&lt;/D&gt;&lt;D xsi:type="xsd:double"&gt;18.193924&lt;/D&gt;&lt;D xsi:type="xsd:double"&gt;18.096088&lt;/D&gt;&lt;D xsi:type="xsd:double"&gt;26.772808&lt;/D&gt;&lt;D xsi:type="xsd:double"&gt;29.363108&lt;/D&gt;&lt;D xsi:type="xsd:double"&gt;23.862255&lt;/D&gt;&lt;D xsi:type="xsd:double"&gt;20.156157&lt;/D&gt;&lt;D xsi:type="xsd:double"&gt;20.534157&lt;/D&gt;&lt;D xsi:type="xsd:double"&gt;9.350872&lt;/D&gt;&lt;D xsi:type="xsd:double"&gt;8.005487&lt;/D&gt;&lt;D xsi:type="xsd:double"&gt;4.6200395&lt;/D&gt;&lt;D xsi:type="xsd:double"&gt;9.918189&lt;/D&gt;&lt;D xsi:type="xsd:double"&gt;8.74908&lt;/D&gt;&lt;D xsi:type="xsd:double"&gt;4.852402&lt;/D&gt;&lt;D xsi:type="xsd:double"&gt;3.2480955&lt;/D&gt;&lt;D xsi:type="xsd:double"&gt;1.8649697&lt;/D&gt;&lt;D xsi:type="xsd:double"&gt;-2.7518272&lt;/D&gt;&lt;D xsi:type="xsd:double"&gt;4.1169643&lt;/D&gt;&lt;D xsi:type="xsd:double"&gt;2.672851&lt;/D&gt;&lt;D xsi:type="xsd:double"&gt;3.8002133&lt;/D&gt;&lt;D xsi:type="xsd:double"&gt;14.0975&lt;/D&gt;&lt;D xsi:type="xsd:double"&gt;17.67646&lt;/D&gt;&lt;D xsi:type="xsd:double"&gt;25.479519&lt;/D&gt;&lt;D xsi:type="xsd:double"&gt;15.670813&lt;/D&gt;&lt;D xsi:type="xsd:double"&gt;13.097656&lt;/D&gt;&lt;D xsi:type="xsd:double"&gt;10.718691&lt;/D&gt;&lt;D xsi:type="xsd:double"&gt;5.4811597&lt;/D&gt;&lt;D xsi:type="xsd:double"&gt;-2.2916257&lt;/D&gt;&lt;D xsi:type="xsd:double"&gt;-0.6042361&lt;/D&gt;&lt;D xsi:type="xsd:double"&gt;-6.223607&lt;/D&gt;&lt;D xsi:type="xsd:double"&gt;-6.2858224&lt;/D&gt;&lt;D xsi:type="xsd:double"&gt;-3.7314713&lt;/D&gt;&lt;D xsi:type="xsd:double"&gt;-5.072159&lt;/D&gt;&lt;D xsi:type="xsd:double"&gt;-5.867201&lt;/D&gt;&lt;D xsi:type="xsd:double"&gt;-10.879212&lt;/D&gt;&lt;D xsi:type="xsd:double"&gt;-6.6948295&lt;/D&gt;&lt;D xsi:type="xsd:double"&gt;-3.3946574&lt;/D&gt;&lt;D xsi:type="xsd:double"&gt;-3.2839417&lt;/D&gt;&lt;D xsi:type="xsd:double"&gt;4.5351624&lt;/D&gt;&lt;D xsi:type="xsd:double"&gt;10.56155&lt;/D&gt;&lt;D xsi:type="xsd:double"&gt;4.740834&lt;/D&gt;&lt;D xsi:type="xsd:double"&gt;1.3379335&lt;/D&gt;&lt;D xsi:type="xsd:double"&gt;4.884708&lt;/D&gt;&lt;D xsi:type="xsd:double"&gt;0.3967762&lt;/D&gt;&lt;D xsi:type="xsd:double"&gt;1.4781833&lt;/D&gt;&lt;D xsi:type="xsd:double"&gt;-1.6413927&lt;/D&gt;&lt;D xsi:type="xsd:double"&gt;2.2010207&lt;/D&gt;&lt;D xsi:type="xsd:double"&gt;-2.2910297&lt;/D&gt;&lt;D xsi:type="xsd:double"&gt;-3.2116592&lt;/D&gt;&lt;D xsi:type="xsd:double"&gt;-5.972266&lt;/D&gt;&lt;D xsi:type="xsd:double"&gt;-5.868137&lt;/D&gt;&lt;D xsi:type="xsd:double"&gt;-4.7706423&lt;/D&gt;&lt;D xsi:type="xsd:double"&gt;-0.06864667&lt;/D&gt;&lt;D xsi:type="xsd:double"&gt;4.5630455&lt;/D&gt;&lt;D xsi:type="xsd:double"&gt;5.030632&lt;/D&gt;&lt;D xsi:type="xsd:double"&gt;4.5114636&lt;/D&gt;&lt;D xsi:type="xsd:double"&gt;8.353925&lt;/D&gt;&lt;D xsi:type="xsd:double"&gt;12.926674&lt;/D&gt;&lt;D xsi:type="xsd:double"&gt;9.243&lt;/D&gt;&lt;D xsi:type="xsd:double"&gt;21.4769&lt;/D&gt;&lt;D xsi:type="xsd:double"&gt;17.614328&lt;/D&gt;&lt;D xsi:type="xsd:double"&gt;25.386965&lt;/D&gt;&lt;D xsi:type="xsd:double"&gt;22.695171&lt;/D&gt;&lt;D xsi:type="xsd:double"&gt;20.623434&lt;/D&gt;&lt;D xsi:type="xsd:double"&gt;16.817797&lt;/D&gt;&lt;D xsi:type="xsd:double"&gt;21.566486&lt;/D&gt;&lt;D xsi:type="xsd:double"&gt;29.167807&lt;/D&gt;&lt;D xsi:type="xsd:double"&gt;36.456024&lt;/D&gt;&lt;D xsi:type="xsd:double"&gt;34.359634&lt;/D&gt;&lt;D xsi:type="xsd:double"&gt;26.661861&lt;/D&gt;&lt;D xsi:type="xsd:double"&gt;30.592596&lt;/D&gt;&lt;D xsi:type="xsd:double"&gt;17.06953&lt;/D&gt;&lt;D xsi:type="xsd:double"&gt;19.171047&lt;/D&gt;&lt;D xsi:type="xsd:double"&gt;17.109907&lt;/D&gt;&lt;D xsi:type="xsd:double"&gt;17.736113&lt;/D&gt;&lt;D xsi:type="xsd:double"&gt;15.360475&lt;/D&gt;&lt;D xsi:type="xsd:double"&gt;12.242401&lt;/D&gt;&lt;D xsi:type="xsd:double"&gt;4.0798306&lt;/D&gt;&lt;D xsi:type="xsd:double"&gt;-12.39785&lt;/D&gt;&lt;D xsi:type="xsd:double"&gt;-14.317602&lt;/D&gt;&lt;D xsi:type="xsd:double"&gt;-16.787374&lt;/D&gt;&lt;D xsi:type="xsd:double"&gt;-11.919242&lt;/D&gt;&lt;D xsi:type="xsd:double"&gt;-11.722684&lt;/D&gt;&lt;D xsi:type="xsd:double"&gt;-8.003646&lt;/D&gt;&lt;D xsi:type="xsd:double"&gt;-7.8958807&lt;/D&gt;&lt;D xsi:type="xsd:double"&gt;-8.805073&lt;/D&gt;&lt;D xsi:type="xsd:double"&gt;-5.5630264&lt;/D&gt;&lt;D xsi:type="xsd:double"&gt;-3.3992946&lt;/D&gt;&lt;D xsi:type="xsd:double"&gt;-4.0284276&lt;/D&gt;&lt;D xsi:type="xsd:double"&gt;-5.7386756&lt;/D&gt;&lt;D xsi:type="xsd:double"&gt;-1.4230907&lt;/D&gt;&lt;D xsi:type="xsd:double"&gt;-9.60415&lt;/D&gt;&lt;D xsi:type="xsd:double"&gt;-13.219595&lt;/D&gt;&lt;D xsi:type="xsd:double"&gt;-21.283604&lt;/D&gt;&lt;D xsi:type="xsd:double"&gt;-18.439388&lt;/D&gt;&lt;D xsi:type="xsd:double"&gt;-19.581669&lt;/D&gt;&lt;D xsi:type="xsd:double"&gt;-26.536959&lt;/D&gt;&lt;D xsi:type="xsd:double"&gt;-30.262768&lt;/D&gt;&lt;D xsi:type="xsd:double"&gt;-32.46314&lt;/D&gt;&lt;D xsi:type="xsd:double"&gt;-27.129978&lt;/D&gt;&lt;D xsi:type="xsd:double"&gt;-24.281496&lt;/D&gt;&lt;D xsi:type="xsd:double"&gt;-22.733593&lt;/D&gt;&lt;D xsi:type="xsd:double"&gt;-19.53357&lt;/D&gt;&lt;D xsi:type="xsd:double"&gt;-11.62858&lt;/D&gt;&lt;D xsi:type="xsd:double"&gt;-8.973795&lt;/D&gt;&lt;D xsi:type="xsd:double"&gt;-5.534524&lt;/D&gt;&lt;D xsi:type="xsd:double"&gt;-9.927875&lt;/D&gt;&lt;D xsi:type="xsd:double"&gt;-14.092475&lt;/D&gt;&lt;D xsi:type="xsd:double"&gt;-9.76097&lt;/D&gt;&lt;D xsi:type="xsd:double"&gt;-9.012884&lt;/D&gt;&lt;D xsi:type="xsd:double"&gt;-7.343054&lt;/D&gt;&lt;D xsi:type="xsd:double"&gt;-7.0272264&lt;/D&gt;&lt;D xsi:type="xsd:double"&gt;-7.319033&lt;/D&gt;&lt;D xsi:type="xsd:double"&gt;-8.290518&lt;/D&gt;&lt;/FQL&gt;&lt;FQL&gt;&lt;Q&gt;OIL^P_PRICE_RETURNS_PR('52W',2,-10AY,0,AM)&lt;/Q&gt;&lt;R&gt;121&lt;/R&gt;&lt;C&gt;1&lt;/C&gt;&lt;D xsi:type="xsd:double"&gt;4.352629&lt;/D&gt;&lt;D xsi:type="xsd:double"&gt;10.622131&lt;/D&gt;&lt;D xsi:type="xsd:double"&gt;13.591599&lt;/D&gt;&lt;D xsi:type="xsd:double"&gt;12.481427&lt;/D&gt;&lt;D xsi:type="xsd:double"&gt;16.360891&lt;/D&gt;&lt;D xsi:type="xsd:double"&gt;6.4338684&lt;/D&gt;&lt;D xsi:type="xsd:double"&gt;0.66325665&lt;/D&gt;&lt;D xsi:type="xsd:double"&gt;-7.2019935&lt;/D&gt;&lt;D xsi:type="xsd:double"&gt;-11.274457&lt;/D&gt;&lt;D xsi:type="xsd:double"&gt;-14.205003&lt;/D&gt;&lt;D xsi:type="xsd:double"&gt;-35.310246&lt;/D&gt;&lt;D xsi:type="xsd:double"&gt;-43.51269&lt;/D&gt;&lt;D xsi:type="xsd:double"&gt;-41.088&lt;/D&gt;&lt;D xsi:type="xsd:double"&gt;-47.194176&lt;/D&gt;&lt;D xsi:type="xsd:double"&gt;-45.95643&lt;/D&gt;&lt;D xsi:type="xsd:double"&gt;-40.293755&lt;/D&gt;&lt;D xsi:type="xsd:double"&gt;-44.759136&lt;/D&gt;&lt;D xsi:type="xsd:double"&gt;-49.30337&lt;/D&gt;&lt;D xsi:type="xsd:double"&gt;-56.90672&lt;/D&gt;&lt;D xsi:type="xsd:double"&gt;-54.511417&lt;/D&gt;&lt;D xsi:type="xsd:double"&gt;-48.82375&lt;/D&gt;&lt;D xsi:type="xsd:double"&gt;-50.823223&lt;/D&gt;&lt;D xsi:type="xsd:double"&gt;-45.893616&lt;/D&gt;&lt;D xsi:type="xsd:double"&gt;-44.215942&lt;/D&gt;&lt;D xsi:type="xsd:double"&gt;-49.656845&lt;/D&gt;&lt;D xsi:type="xsd:double"&gt;-36.38764&lt;/D&gt;&lt;D xsi:type="xsd:double"&gt;-34.89236&lt;/D&gt;&lt;D xsi:type="xsd:double"&gt;-37.032795&lt;/D&gt;&lt;D xsi:type="xsd:double"&gt;-32.16239&lt;/D&gt;&lt;D xsi:type="xsd:double"&gt;-30.21276&lt;/D&gt;&lt;D xsi:type="xsd:double"&gt;-19.182104&lt;/D&gt;&lt;D xsi:type="xsd:double"&gt;-19.277752&lt;/D&gt;&lt;D xsi:type="xsd:double"&gt;-14.051491&lt;/D&gt;&lt;D xsi:type="xsd:double"&gt;-19.922089&lt;/D&gt;&lt;D xsi:type="xsd:double"&gt;14.846813&lt;/D&gt;&lt;D xsi:type="xsd:double"&gt;36.28346&lt;/D&gt;&lt;D xsi:type="xsd:double"&gt;32.638336&lt;/D&gt;&lt;D xsi:type="xsd:double"&gt;2.718091&lt;/D&gt;&lt;D xsi:type="xsd:double"&gt;5.7767153&lt;/D&gt;&lt;D xsi:type="xsd:double"&gt;-12.526285&lt;/D&gt;&lt;D xsi:type="xsd:double"&gt;-19.102049&lt;/D&gt;&lt;D xsi:type="xsd:double"&gt;-12.157017&lt;/D&gt;&lt;D xsi:type="xsd:double"&gt;-4.05429&lt;/D&gt;&lt;D xsi:type="xsd:double"&gt;-2.506578&lt;/D&gt;&lt;D xsi:type="xsd:double"&gt;-8.220559&lt;/D&gt;&lt;D xsi:type="xsd:double"&gt;16.817225&lt;/D&gt;&lt;D xsi:type="xsd:double"&gt;-4.3386755&lt;/D&gt;&lt;D xsi:type="xsd:double"&gt;10.557186&lt;/D&gt;&lt;D xsi:type="xsd:double"&gt;4.897213&lt;/D&gt;&lt;D xsi:type="xsd:double"&gt;20.701063&lt;/D&gt;&lt;D xsi:type="xsd:double"&gt;22.341394&lt;/D&gt;&lt;D xsi:type="xsd:double"&gt;45.883156&lt;/D&gt;&lt;D xsi:type="xsd:double"&gt;43.690014&lt;/D&gt;&lt;D xsi:type="xsd:double"&gt;50.903847&lt;/D&gt;&lt;D xsi:type="xsd:double"&gt;41.314877&lt;/D&gt;&lt;D xsi:type="xsd:double"&gt;43.936836&lt;/D&gt;&lt;D xsi:type="xsd:double"&gt;46.668877&lt;/D&gt;&lt;D xsi:type="xsd:double"&gt;3.4205914&lt;/D&gt;&lt;D xsi:type="xsd:double"&gt;0&lt;/D&gt;&lt;D xsi:type="xsd:double"&gt;-13.46649&lt;/D&gt;&lt;D xsi:type="xsd:double"&gt;-1.791358&lt;/D&gt;&lt;D xsi:type="xsd:double"&gt;-0.7797241&lt;/D&gt;&lt;D xsi:type="xsd:double"&gt;-1.8351912&lt;/D&gt;&lt;D xsi:type="xsd:double"&gt;-13.32553&lt;/D&gt;&lt;D xsi:type="xsd:double"&gt;-20.707571&lt;/D&gt;&lt;D xsi:type="xsd:double"&gt;-10.644036&lt;/D&gt;&lt;D xsi:type="xsd:double"&gt;-15.69736&lt;/D&gt;&lt;D xsi:type="xsd:double"&gt;-21.56071&lt;/D&gt;&lt;D xsi:type="xsd:double"&gt;-23.523039&lt;/D&gt;&lt;D xsi:type="xsd:double"&gt;2.1449566&lt;/D&gt;&lt;D xsi:type="xsd:double"&gt;11.316109&lt;/D&gt;&lt;D xsi:type="xsd:double"&gt;11.765599&lt;/D&gt;&lt;D xsi:type="xsd:double"&gt;-2.6262999&lt;/D&gt;&lt;D xsi:type="xsd:double"&gt;-39.686985&lt;/D&gt;&lt;D xsi:type="xsd:double"&gt;-44.12013&lt;/D&gt;&lt;D xsi:type="xsd:double"&gt;-53.502296&lt;/D&gt;&lt;D xsi:type="xsd:double"&gt;-27.781279&lt;/D&gt;&lt;D xsi:type="xsd:double"&gt;-33.310745&lt;/D&gt;&lt;D xsi:type="xsd:double"&gt;-23.959309&lt;/D&gt;&lt;D xsi:type="xsd:double"&gt;-31.818121&lt;/D&gt;&lt;D xsi:type="xsd:double"&gt;-28.26836&lt;/D&gt;&lt;D xsi:type="xsd:double"&gt;-32.435143&lt;/D&gt;&lt;D xsi:type="xsd:double"&gt;-24.965752&lt;/D&gt;&lt;D xsi:type="xsd:double"&gt;-16.132105&lt;/D&gt;&lt;D xsi:type="xsd:double"&gt;3.114891&lt;/D&gt;&lt;D xsi:type="xsd:double"&gt;82.53634&lt;/D&gt;&lt;D xsi:type="xsd:double"&gt;66.21294&lt;/D&gt;&lt;D xsi:type="xsd:double"&gt;120.632484&lt;/D&gt;&lt;D xsi:type="xsd:double"&gt;86.97214&lt;/D&gt;&lt;D xsi:type="xsd:double"&gt;80.839386&lt;/D&gt;&lt;D xsi:type="xsd:double"&gt;56.14854&lt;/D&gt;&lt;D xsi:type="xsd:double"&gt;84.58328&lt;/D&gt;&lt;D xsi:type="xsd:double"&gt;100.154785&lt;/D&gt;&lt;D xsi:type="xsd:double"&gt;96.6384&lt;/D&gt;&lt;D xsi:type="xsd:double"&gt;61.285614&lt;/D&gt;&lt;D xsi:type="xsd:double"&gt;64.46767&lt;/D&gt;&lt;D xsi:type="xsd:double"&gt;69.766045&lt;/D&gt;&lt;D xsi:type="xsd:double"&gt;72.84595&lt;/D&gt;&lt;D xsi:type="xsd:double"&gt;87.688&lt;/D&gt;&lt;D xsi:type="xsd:double"&gt;83.94339&lt;/D&gt;&lt;D xsi:type="xsd:double"&gt;86.592995&lt;/D&gt;&lt;D xsi:type="xsd:double"&gt;41.232445&lt;/D&gt;&lt;D xsi:type="xsd:double"&gt;55.39498&lt;/D&gt;&lt;D xsi:type="xsd:double"&gt;44.93228&lt;/D&gt;&lt;D xsi:type="xsd:double"&gt;29.852331&lt;/D&gt;&lt;D xsi:type="xsd:double"&gt;34.336353&lt;/D&gt;&lt;D xsi:type="xsd:double"&gt;29.710138&lt;/D&gt;&lt;D xsi:type="xsd:double"&gt;20.889591&lt;/D&gt;&lt;D xsi:type="xsd:double"&gt;6.0070753&lt;/D&gt;&lt;D xsi:type="xsd:double"&gt;-14.262229&lt;/D&gt;&lt;D xsi:type="xsd:double"&gt;-7.9251947&lt;/D&gt;&lt;D xsi:type="xsd:double"&gt;-20.430422&lt;/D&gt;&lt;D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xsi:type="xsd:string"&gt;@NA&lt;/D&gt;&lt;/FQL&gt;&lt;FQL&gt;&lt;Q&gt;DBA^P_PRICE_RETURNS_PR('52W',2,-10AY,0,AM)&lt;/Q&gt;&lt;R&gt;121&lt;/R&gt;&lt;C&gt;1&lt;/C&gt;&lt;D xsi:type="xsd:double"&gt;-4.5318365&lt;/D&gt;&lt;D xsi:type="xsd:double"&gt;9.554625&lt;/D&gt;&lt;D xsi:type="xsd:double"&gt;10.783553&lt;/D&gt;&lt;D xsi:type="xsd:double"&gt;10.173405&lt;/D&gt;&lt;D xsi:type="xsd:double"&gt;8.830452&lt;/D&gt;&lt;D xsi:type="xsd:double"&gt;3.980887&lt;/D&gt;&lt;D xsi:type="xsd:double"&gt;4.328656&lt;/D&gt;&lt;D xsi:type="xsd:double"&gt;-0.50721765&lt;/D&gt;&lt;D xsi:type="xsd:double"&gt;3.2812476&lt;/D&gt;&lt;D xsi:type="xsd:double"&gt;4.477608&lt;/D&gt;&lt;D xsi:type="xsd:double"&gt;2.272737&lt;/D&gt;&lt;D xsi:type="xsd:double"&gt;0.6595254&lt;/D&gt;&lt;D xsi:type="xsd:double"&gt;-7.532364&lt;/D&gt;&lt;D xsi:type="xsd:double"&gt;-23.314804&lt;/D&gt;&lt;D xsi:type="xsd:double"&gt;-22.51401&lt;/D&gt;&lt;D xsi:type="xsd:double"&gt;-21.685904&lt;/D&gt;&lt;D xsi:type="xsd:double"&gt;-20.014555&lt;/D&gt;&lt;D xsi:type="xsd:double"&gt;-11.255747&lt;/D&gt;&lt;D xsi:type="xsd:double"&gt;-17.825592&lt;/D&gt;&lt;D xsi:type="xsd:double"&gt;-18.19244&lt;/D&gt;&lt;D xsi:type="xsd:double"&gt;-18.64599&lt;/D&gt;&lt;D xsi:type="xsd:double"&gt;-21.196907&lt;/D&gt;&lt;D xsi:type="xsd:double"&gt;-18.593567&lt;/D&gt;&lt;D xsi:type="xsd:double"&gt;-18.099916&lt;/D&gt;&lt;D xsi:type="xsd:double"&gt;-15.667809&lt;/D&gt;&lt;D xsi:type="xsd:double"&gt;-7.095045&lt;/D&gt;&lt;D xsi:type="xsd:double"&gt;-8.133751&lt;/D&gt;&lt;D xsi:type="xsd:double"&gt;-5.0022306&lt;/D&gt;&lt;D xsi:type="xsd:double"&gt;3.184712&lt;/D&gt;&lt;D xsi:type="xsd:double"&gt;-6.4710975&lt;/D&gt;&lt;D xsi:type="xsd:double"&gt;-1.9422054&lt;/D&gt;&lt;D xsi:type="xsd:double"&gt;-4.333335&lt;/D&gt;&lt;D xsi:type="xsd:double"&gt;-6.6480694&lt;/D&gt;&lt;D xsi:type="xsd:double"&gt;-1.6569197&lt;/D&gt;&lt;D xsi:type="xsd:double"&gt;-1.8057525&lt;/D&gt;&lt;D xsi:type="xsd:double"&gt;3.6499977&lt;/D&gt;&lt;D xsi:type="xsd:double"&gt;3.9086223&lt;/D&gt;&lt;D xsi:type="xsd:double"&gt;-3.6983669&lt;/D&gt;&lt;D xsi:type="xsd:double"&gt;-3.0988634&lt;/D&gt;&lt;D xsi:type="xsd:double"&gt;-5.5685577&lt;/D&gt;&lt;D xsi:type="xsd:double"&gt;-12.566137&lt;/D&gt;&lt;D xsi:type="xsd:double"&gt;-7.979703&lt;/D&gt;&lt;D xsi:type="xsd:double"&gt;-6.886518&lt;/D&gt;&lt;D xsi:type="xsd:double"&gt;-6.172222&lt;/D&gt;&lt;D xsi:type="xsd:double"&gt;-4.6812773&lt;/D&gt;&lt;D xsi:type="xsd:double"&gt;-4.4103026&lt;/D&gt;&lt;D xsi:type="xsd:double"&gt;-9.294235&lt;/D&gt;&lt;D xsi:type="xsd:double"&gt;-10.077518&lt;/D&gt;&lt;D xsi:type="xsd:double"&gt;-7.474345&lt;/D&gt;&lt;D xsi:type="xsd:double"&gt;-3.2917678&lt;/D&gt;&lt;D xsi:type="xsd:double"&gt;-4.0101585&lt;/D&gt;&lt;D xsi:type="xsd:double"&gt;-5.249995&lt;/D&gt;&lt;D xsi:type="xsd:double"&gt;-5.849719&lt;/D&gt;&lt;D xsi:type="xsd:double"&gt;-12.982458&lt;/D&gt;&lt;D xsi:type="xsd:double"&gt;-11.041671&lt;/D&gt;&lt;D xsi:type="xsd:double"&gt;-9.389925&lt;/D&gt;&lt;D xsi:type="xsd:double"&gt;-7.9706373&lt;/D&gt;&lt;D xsi:type="xsd:double"&gt;-10.679113&lt;/D&gt;&lt;D xsi:type="xsd:double"&gt;-4.602742&lt;/D&gt;&lt;D xsi:type="xsd:double"&gt;-6.327862&lt;/D&gt;&lt;D xsi:type="xsd:double"&gt;-10.037041&lt;/D&gt;&lt;D xsi:type="xsd:double"&gt;-14.678782&lt;/D&gt;&lt;D xsi:type="xsd:double"&gt;-10.072767&lt;/D&gt;&lt;D xsi:type="xsd:double"&gt;-17.07083&lt;/D&gt;&lt;D xsi:type="xsd:double"&gt;-9.223193&lt;/D&gt;&lt;D xsi:type="xsd:double"&gt;-1.9005597&lt;/D&gt;&lt;D xsi:type="xsd:double"&gt;-10.180616&lt;/D&gt;&lt;D xsi:type="xsd:double"&gt;-8.6422205&lt;/D&gt;&lt;D xsi:type="xsd:double"&gt;-7.224059&lt;/D&gt;&lt;D xsi:type="xsd:double"&gt;-4.979813&lt;/D&gt;&lt;D xsi:type="xsd:double"&gt;-3.988576&lt;/D&gt;&lt;D xsi:type="xsd:double"&gt;-3.3678472&lt;/D&gt;&lt;D xsi:type="xsd:double"&gt;-4.142147&lt;/D&gt;&lt;D xsi:type="xsd:double"&gt;-11.573744&lt;/D&gt;&lt;D xsi:type="xsd:double"&gt;-18.277353&lt;/D&gt;&lt;D xsi:type="xsd:double"&gt;-11.48355&lt;/D&gt;&lt;D xsi:type="xsd:double"&gt;-17.461157&lt;/D&gt;&lt;D xsi:type="xsd:double"&gt;-19.16774&lt;/D&gt;&lt;D xsi:type="xsd:double"&gt;-4.441017&lt;/D&gt;&lt;D xsi:type="xsd:double"&gt;-0.09908676&lt;/D&gt;&lt;D xsi:type="xsd:double"&gt;-5.3821564&lt;/D&gt;&lt;D xsi:type="xsd:double"&gt;-5.8175383&lt;/D&gt;&lt;D xsi:type="xsd:double"&gt;-4.2919517&lt;/D&gt;&lt;D xsi:type="xsd:double"&gt;-0.42682886&lt;/D&gt;&lt;D xsi:type="xsd:double"&gt;5.432725&lt;/D&gt;&lt;D xsi:type="xsd:double"&gt;21.233345&lt;/D&gt;&lt;D xsi:type="xsd:double"&gt;27.3196&lt;/D&gt;&lt;D xsi:type="xsd:double"&gt;36.752773&lt;/D&gt;&lt;D xsi:type="xsd:double"&gt;39.999996&lt;/D&gt;&lt;D xsi:type="xsd:double"&gt;34.375&lt;/D&gt;&lt;D xsi:type="xsd:double"&gt;35.36415&lt;/D&gt;&lt;D xsi:type="xsd:double"&gt;24.764479&lt;/D&gt;&lt;D xsi:type="xsd:double"&gt;28.629292&lt;/D&gt;&lt;D xsi:type="xsd:double"&gt;31.578945&lt;/D&gt;&lt;D xsi:type="xsd:double"&gt;27.71318&lt;/D&gt;&lt;D xsi:type="xsd:double"&gt;20.636868&lt;/D&gt;&lt;D xsi:type="xsd:double"&gt;26.650667&lt;/D&gt;&lt;D xsi:type="xsd:double"&gt;26.16985&lt;/D&gt;&lt;D xsi:type="xsd:double"&gt;31.174088&lt;/D&gt;&lt;D xsi:type="xsd:double"&gt;19.697784&lt;/D&gt;&lt;D xsi:type="xsd:double"&gt;14.285707&lt;/D&gt;&lt;D xsi:type="xsd:double"&gt;9.413075&lt;/D&gt;&lt;D xsi:type="xsd:double"&gt;7.1576715&lt;/D&gt;&lt;D xsi:type="xsd:double"&gt;11.542606&lt;/D&gt;&lt;D xsi:type="xsd:double"&gt;5.931759&lt;/D&gt;&lt;D xsi:type="xsd:double"&gt;2.448976&lt;/D&gt;&lt;D xsi:type="xsd:double"&gt;0.40465593&lt;/D&gt;&lt;D xsi:type="xsd:double"&gt;-0.3769338&lt;/D&gt;&lt;D xsi:type="xsd:double"&gt;-3.3198178&lt;/D&gt;&lt;D xsi:type="xsd:double"&gt;-8.298052&lt;/D&gt;&lt;D xsi:type="xsd:double"&gt;-7.529479&lt;/D&gt;&lt;D xsi:type="xsd:double"&gt;-4.7240853&lt;/D&gt;&lt;D xsi:type="xsd:double"&gt;-1.6341031&lt;/D&gt;&lt;D xsi:type="xsd:double"&gt;8.57625&lt;/D&gt;&lt;D xsi:type="xsd:double"&gt;4.3402553&lt;/D&gt;&lt;D xsi:type="xsd:double"&gt;7.439041&lt;/D&gt;&lt;D xsi:type="xsd:double"&gt;8.109164&lt;/D&gt;&lt;D xsi:type="xsd:double"&gt;11.900484&lt;/D&gt;&lt;D xsi:type="xsd:double"&gt;9.957075&lt;/D&gt;&lt;D xsi:type="xsd:double"&gt;10.521626&lt;/D&gt;&lt;D xsi:type="xsd:double"&gt;13.274729&lt;/D&gt;&lt;/FQL&gt;&lt;FQL&gt;&lt;Q&gt;QQQ^P_PRICE_RETURNS_PR('52W',2,-10AY,0,AM)&lt;/Q&gt;&lt;R&gt;121&lt;/R&gt;&lt;C&gt;1&lt;/C&gt;&lt;D xsi:type="xsd:double"&gt;33.411144&lt;/D&gt;&lt;D xsi:type="xsd:double"&gt;32.155216&lt;/D&gt;&lt;D xsi:type="xsd:double"&gt;22.081936&lt;/D&gt;&lt;D xsi:type="xsd:double"&gt;22.62988&lt;/D&gt;&lt;D xsi:type="xsd:double"&gt;28.897&lt;/D&gt;&lt;D xsi:type="xsd:double"&gt;29.031647&lt;/D&gt;&lt;D xsi:type="xsd:double"&gt;26.994646&lt;/D&gt;&lt;D xsi:type="xsd:double"&gt;29.483116&lt;/D&gt;&lt;D xsi:type="xsd:double"&gt;19.058586&lt;/D&gt;&lt;D xsi:type="xsd:double"&gt;24.989975&lt;/D&gt;&lt;D xsi:type="xsd:double"&gt;22.62621&lt;/D&gt;&lt;D xsi:type="xsd:double"&gt;19.839155&lt;/D&gt;&lt;D xsi:type="xsd:double"&gt;21.104717&lt;/D&gt;&lt;D xsi:type="xsd:double"&gt;19.301832&lt;/D&gt;&lt;D xsi:type="xsd:double"&gt;29.203785&lt;/D&gt;&lt;D xsi:type="xsd:double"&gt;23.68226&lt;/D&gt;&lt;D xsi:type="xsd:double"&gt;19.454002&lt;/D&gt;&lt;D xsi:type="xsd:double"&gt;16.21188&lt;/D&gt;&lt;D xsi:type="xsd:double"&gt;15.652418&lt;/D&gt;&lt;D xsi:type="xsd:double"&gt;6.71314&lt;/D&gt;&lt;D xsi:type="xsd:double"&gt;15.369785&lt;/D&gt;&lt;D xsi:type="xsd:double"&gt;7.8991175&lt;/D&gt;&lt;D xsi:type="xsd:double"&gt;7.8887105&lt;/D&gt;&lt;D xsi:type="xsd:double"&gt;1.4003634&lt;/D&gt;&lt;D xsi:type="xsd:double"&gt;-6.583029&lt;/D&gt;&lt;D xsi:type="xsd:double"&gt;2.348566&lt;/D&gt;&lt;D xsi:type="xsd:double"&gt;4.3162704&lt;/D&gt;&lt;D xsi:type="xsd:double"&gt;-1.2498617&lt;/D&gt;&lt;D xsi:type="xsd:double"&gt;0.42089224&lt;/D&gt;&lt;D xsi:type="xsd:double"&gt;2.6794075999999998&lt;/D&gt;&lt;D xsi:type="xsd:double"&gt;7.2407603&lt;/D&gt;&lt;D xsi:type="xsd:double"&gt;10.439467&lt;/D&gt;&lt;D xsi:type="xsd:double"&gt;11.521816&lt;/D&gt;&lt;D xsi:type="xsd:double"&gt;3.5098672&lt;/D&gt;&lt;D xsi:type="xsd:double"&gt;9.959221&lt;/D&gt;&lt;D xsi:type="xsd:double"&gt;22.213804&lt;/D&gt;&lt;D xsi:type="xsd:double"&gt;32.147587&lt;/D&gt;&lt;D xsi:type="xsd:double"&gt;24.969732&lt;/D&gt;&lt;D xsi:type="xsd:double"&gt;18.782162&lt;/D&gt;&lt;D xsi:type="xsd:double"&gt;32.236908&lt;/D&gt;&lt;D xsi:type="xsd:double"&gt;31.263315&lt;/D&gt;&lt;D xsi:type="xsd:double"&gt;28.094912&lt;/D&gt;&lt;D xsi:type="xsd:double"&gt;22.58234&lt;/D&gt;&lt;D xsi:type="xsd:double"&gt;28.313887&lt;/D&gt;&lt;D xsi:type="xsd:double"&gt;28.056728&lt;/D&gt;&lt;D xsi:type="xsd:double"&gt;34.207058&lt;/D&gt;&lt;D xsi:type="xsd:double"&gt;30.792831&lt;/D&gt;&lt;D xsi:type="xsd:double"&gt;35.237564&lt;/D&gt;&lt;D xsi:type="xsd:double"&gt;25.79763&lt;/D&gt;&lt;D xsi:type="xsd:double"&gt;31.65902&lt;/D&gt;&lt;D xsi:type="xsd:double"&gt;24.825727&lt;/D&gt;&lt;D xsi:type="xsd:double"&gt;23.60481&lt;/D&gt;&lt;D xsi:type="xsd:double"&gt;26.3525&lt;/D&gt;&lt;D xsi:type="xsd:double"&gt;28.404903&lt;/D&gt;&lt;D xsi:type="xsd:double"&gt;27.92362&lt;/D&gt;&lt;D xsi:type="xsd:double"&gt;27.047909&lt;/D&gt;&lt;D xsi:type="xsd:double"&gt;18.874311&lt;/D&gt;&lt;D xsi:type="xsd:double"&gt;9.020734&lt;/D&gt;&lt;D xsi:type="xsd:double"&gt;6.65406&lt;/D&gt;&lt;D xsi:type="xsd:double"&gt;-0.75089335&lt;/D&gt;&lt;D xsi:type="xsd:double"&gt;8.004308&lt;/D&gt;&lt;D xsi:type="xsd:double"&gt;3.9679527&lt;/D&gt;&lt;D xsi:type="xsd:double"&gt;15.559519&lt;/D&gt;&lt;D xsi:type="xsd:double"&gt;6.2999606&lt;/D&gt;&lt;D xsi:type="xsd:double"&gt;5.2315235&lt;/D&gt;&lt;D xsi:type="xsd:double"&gt;8.786821&lt;/D&gt;&lt;D xsi:type="xsd:double"&gt;5.392468&lt;/D&gt;&lt;D xsi:type="xsd:double"&gt;5.2566648&lt;/D&gt;&lt;D xsi:type="xsd:double"&gt;13.697254&lt;/D&gt;&lt;D xsi:type="xsd:double"&gt;22.187126&lt;/D&gt;&lt;D xsi:type="xsd:double"&gt;26.623451&lt;/D&gt;&lt;D xsi:type="xsd:double"&gt;38.632107&lt;/D&gt;&lt;D xsi:type="xsd:double"&gt;37.94228&lt;/D&gt;&lt;D xsi:type="xsd:double"&gt;9.554577&lt;/D&gt;&lt;D xsi:type="xsd:double"&gt;10.1888895&lt;/D&gt;&lt;D xsi:type="xsd:double"&gt;23.87352&lt;/D&gt;&lt;D xsi:type="xsd:double"&gt;30.467583&lt;/D&gt;&lt;D xsi:type="xsd:double"&gt;34.66692&lt;/D&gt;&lt;D xsi:type="xsd:double"&gt;45.800243&lt;/D&gt;&lt;D xsi:type="xsd:double"&gt;41.675793&lt;/D&gt;&lt;D xsi:type="xsd:double"&gt;55.262924&lt;/D&gt;&lt;D xsi:type="xsd:double"&gt;45.397152&lt;/D&gt;&lt;D xsi:type="xsd:double"&gt;48.35974&lt;/D&gt;&lt;D xsi:type="xsd:double"&gt;44.05738&lt;/D&gt;&lt;D xsi:type="xsd:double"&gt;44.640957&lt;/D&gt;&lt;D xsi:type="xsd:double"&gt;79.1736&lt;/D&gt;&lt;D xsi:type="xsd:double"&gt;68.80546&lt;/D&gt;&lt;D xsi:type="xsd:double"&gt;46.49997&lt;/D&gt;&lt;D xsi:type="xsd:double"&gt;46.726643&lt;/D&gt;&lt;D xsi:type="xsd:double"&gt;40.97446&lt;/D&gt;&lt;D xsi:type="xsd:double"&gt;36.124374&lt;/D&gt;&lt;D xsi:type="xsd:double"&gt;39.938713&lt;/D&gt;&lt;D xsi:type="xsd:double"&gt;22.8868&lt;/D&gt;&lt;D xsi:type="xsd:double"&gt;37.5908&lt;/D&gt;&lt;D xsi:type="xsd:double"&gt;30.647266&lt;/D&gt;&lt;D xsi:type="xsd:double"&gt;20.073795&lt;/D&gt;&lt;D xsi:type="xsd:double"&gt;4.230273&lt;/D&gt;&lt;D xsi:type="xsd:double"&gt;2.491641&lt;/D&gt;&lt;D xsi:type="xsd:double"&gt;2.1785855&lt;/D&gt;&lt;D xsi:type="xsd:double"&gt;-4.992759&lt;/D&gt;&lt;D xsi:type="xsd:double"&gt;-18.902195&lt;/D&gt;&lt;D xsi:type="xsd:double"&gt;-20.745241&lt;/D&gt;&lt;D xsi:type="xsd:double"&gt;-9.606457&lt;/D&gt;&lt;D xsi:type="xsd:double"&gt;-21.523708&lt;/D&gt;&lt;D xsi:type="xsd:double"&gt;-24.864668&lt;/D&gt;&lt;D xsi:type="xsd:double"&gt;-25.818407&lt;/D&gt;&lt;D xsi:type="xsd:double"&gt;-25.957233&lt;/D&gt;&lt;D xsi:type="xsd:double"&gt;-25.055843&lt;/D&gt;&lt;D xsi:type="xsd:double"&gt;-11.618453&lt;/D&gt;&lt;D xsi:type="xsd:double"&gt;-9.733194&lt;/D&gt;&lt;D xsi:type="xsd:double"&gt;-7.142329&lt;/D&gt;&lt;D xsi:type="xsd:double"&gt;12.49094&lt;/D&gt;&lt;D xsi:type="xsd:double"&gt;32.907284&lt;/D&gt;&lt;D xsi:type="xsd:double"&gt;33.68101&lt;/D&gt;&lt;D xsi:type="xsd:double"&gt;13.81681&lt;/D&gt;&lt;D xsi:type="xsd:double"&gt;28.322935&lt;/D&gt;&lt;D xsi:type="xsd:double"&gt;36.807884&lt;/D&gt;&lt;D xsi:type="xsd:double"&gt;31.885742&lt;/D&gt;&lt;D xsi:type="xsd:double"&gt;40.824116&lt;/D&gt;&lt;D xsi:type="xsd:double"&gt;47.780643&lt;/D&gt;&lt;D xsi:type="xsd:double"&gt;41.7086&lt;/D&gt;&lt;/FQL&gt;&lt;FQL&gt;&lt;Q&gt;UUP^P_PRICE_RETURNS_PR('52W',2,-10AY,0,AM)&lt;/Q&gt;&lt;R&gt;121&lt;/R&gt;&lt;C&gt;1&lt;/C&gt;&lt;D xsi:type="xsd:double"&gt;-1.5996277&lt;/D&gt;&lt;D xsi:type="xsd:double"&gt;-5.577689&lt;/D&gt;&lt;D xsi:type="xsd:double"&gt;-4.9172997&lt;/D&gt;&lt;D xsi:type="xsd:double"&gt;-5.388689&lt;/D&gt;&lt;D xsi:type="xsd:double"&gt;-1.6438305&lt;/D&gt;&lt;D xsi:type="xsd:double"&gt;-4.6174526&lt;/D&gt;&lt;D xsi:type="xsd:double"&gt;-1.5837133&lt;/D&gt;&lt;D xsi:type="xsd:double"&gt;1.9082189&lt;/D&gt;&lt;D xsi:type="xsd:double"&gt;4.9399853&lt;/D&gt;&lt;D xsi:type="xsd:double"&gt;6.926608&lt;/D&gt;&lt;D xsi:type="xsd:double"&gt;8.623087&lt;/D&gt;&lt;D xsi:type="xsd:double"&gt;13.089728&lt;/D&gt;&lt;D xsi:type="xsd:double"&gt;15.699017&lt;/D&gt;&lt;D xsi:type="xsd:double"&gt;24.191284&lt;/D&gt;&lt;D xsi:type="xsd:double"&gt;23.22519&lt;/D&gt;&lt;D xsi:type="xsd:double"&gt;14.985991&lt;/D&gt;&lt;D xsi:type="xsd:double"&gt;15.552449&lt;/D&gt;&lt;D xsi:type="xsd:double"&gt;18.568766&lt;/D&gt;&lt;D xsi:type="xsd:double"&gt;15.724134&lt;/D&gt;&lt;D </t>
        </r>
      </text>
    </comment>
    <comment ref="A7" authorId="0" shapeId="0" xr:uid="{475CEE86-CF6B-4AC0-B1AE-FA5E147F78EA}">
      <text>
        <r>
          <rPr>
            <b/>
            <sz val="9"/>
            <color indexed="81"/>
            <rFont val="Tahoma"/>
            <family val="2"/>
          </rPr>
          <t>xsi:type="xsd:double"&gt;10.60133&lt;/D&gt;&lt;D xsi:type="xsd:double"&gt;8.49098&lt;/D&gt;&lt;D xsi:type="xsd:double"&gt;10.510516&lt;/D&gt;&lt;D xsi:type="xsd:double"&gt;7.8264594&lt;/D&gt;&lt;D xsi:type="xsd:double"&gt;5.030668&lt;/D&gt;&lt;D xsi:type="xsd:double"&gt;0&lt;/D&gt;&lt;D xsi:type="xsd:double"&gt;-5.3490105&lt;/D&gt;&lt;D xsi:type="xsd:double"&gt;-6.3334584&lt;/D&gt;&lt;D xsi:type="xsd:double"&gt;-0.5684078&lt;/D&gt;&lt;D xsi:type="xsd:double"&gt;-1.8079519&lt;/D&gt;&lt;D xsi:type="xsd:double"&gt;-1.6962528&lt;/D&gt;&lt;D xsi:type="xsd:double"&gt;-1.5121341&lt;/D&gt;&lt;D xsi:type="xsd:double"&gt;-0.5235553&lt;/D&gt;&lt;D xsi:type="xsd:double"&gt;2.3114324&lt;/D&gt;&lt;D xsi:type="xsd:double"&gt;-0.7370055&lt;/D&gt;&lt;D xsi:type="xsd:double"&gt;3.0374765&lt;/D&gt;&lt;D xsi:type="xsd:double"&gt;1.869154&lt;/D&gt;&lt;D xsi:type="xsd:double"&gt;4.695022&lt;/D&gt;&lt;D xsi:type="xsd:double"&gt;4.9699426&lt;/D&gt;&lt;D xsi:type="xsd:double"&gt;5.824852&lt;/D&gt;&lt;D xsi:type="xsd:double"&gt;5.045128&lt;/D&gt;&lt;D xsi:type="xsd:double"&gt;2.6186585&lt;/D&gt;&lt;D xsi:type="xsd:double"&gt;-0.60192347&lt;/D&gt;&lt;D xsi:type="xsd:double"&gt;-2.7430415&lt;/D&gt;&lt;D xsi:type="xsd:double"&gt;-2.8744996&lt;/D&gt;&lt;D xsi:type="xsd:double"&gt;-4.16171&lt;/D&gt;&lt;D xsi:type="xsd:double"&gt;-4.025012&lt;/D&gt;&lt;D xsi:type="xsd:double"&gt;-6.9295588&lt;/D&gt;&lt;D xsi:type="xsd:double"&gt;-9.383756&lt;/D&gt;&lt;D xsi:type="xsd:double"&gt;-10.187376&lt;/D&gt;&lt;D xsi:type="xsd:double"&gt;-10.339218&lt;/D&gt;&lt;D xsi:type="xsd:double"&gt;-9.306246&lt;/D&gt;&lt;D xsi:type="xsd:double"&gt;-5.427456&lt;/D&gt;&lt;D xsi:type="xsd:double"&gt;-1.541853&lt;/D&gt;&lt;D xsi:type="xsd:double"&gt;1.0238767&lt;/D&gt;&lt;D xsi:type="xsd:double"&gt;5.823624&lt;/D&gt;&lt;D xsi:type="xsd:double"&gt;4.684031&lt;/D&gt;&lt;D xsi:type="xsd:double"&gt;4.8549533&lt;/D&gt;&lt;D xsi:type="xsd:double"&gt;5.6779146&lt;/D&gt;&lt;D xsi:type="xsd:double"&gt;6.805861&lt;/D&gt;&lt;D xsi:type="xsd:double"&gt;6.985855&lt;/D&gt;&lt;D xsi:type="xsd:double"&gt;11.701465&lt;/D&gt;&lt;D xsi:type="xsd:double"&gt;10.989475&lt;/D&gt;&lt;D xsi:type="xsd:double"&gt;11.471057&lt;/D&gt;&lt;D xsi:type="xsd:double"&gt;8.6856&lt;/D&gt;&lt;D xsi:type="xsd:double"&gt;7.225597&lt;/D&gt;&lt;D xsi:type="xsd:double"&gt;5.7641625&lt;/D&gt;&lt;D xsi:type="xsd:double"&gt;5.3227305&lt;/D&gt;&lt;D xsi:type="xsd:double"&gt;7.6464295&lt;/D&gt;&lt;D xsi:type="xsd:double"&gt;7.3646307&lt;/D&gt;&lt;D xsi:type="xsd:double"&gt;4.8219323&lt;/D&gt;&lt;D xsi:type="xsd:double"&gt;3.885293&lt;/D&gt;&lt;D xsi:type="xsd:double"&gt;5.4626107&lt;/D&gt;&lt;D xsi:type="xsd:double"&gt;5.552137&lt;/D&gt;&lt;D xsi:type="xsd:double"&gt;8.655893&lt;/D&gt;&lt;D xsi:type="xsd:double"&gt;5.7363033&lt;/D&gt;&lt;D xsi:type="xsd:double"&gt;5.826199&lt;/D&gt;&lt;D xsi:type="xsd:double"&gt;2.4325848&lt;/D&gt;&lt;D xsi:type="xsd:double"&gt;1.5361309&lt;/D&gt;&lt;D xsi:type="xsd:double"&gt;-3.1427562&lt;/D&gt;&lt;D xsi:type="xsd:double"&gt;-4.3052077&lt;/D&gt;&lt;D xsi:type="xsd:double"&gt;-3.9295852&lt;/D&gt;&lt;D xsi:type="xsd:double"&gt;-5.052143&lt;/D&gt;&lt;D xsi:type="xsd:double"&gt;-5.966717&lt;/D&gt;&lt;D xsi:type="xsd:double"&gt;-7.055676&lt;/D&gt;&lt;D xsi:type="xsd:double"&gt;-8.788336&lt;/D&gt;&lt;D xsi:type="xsd:double"&gt;-6.618762&lt;/D&gt;&lt;D xsi:type="xsd:double"&gt;-8.175403&lt;/D&gt;&lt;D xsi:type="xsd:double"&gt;-10.099518&lt;/D&gt;&lt;D xsi:type="xsd:double"&gt;-7.0255814&lt;/D&gt;&lt;D xsi:type="xsd:double"&gt;-4.296124&lt;/D&gt;&lt;D xsi:type="xsd:double"&gt;-1.4274359&lt;/D&gt;&lt;D xsi:type="xsd:double"&gt;-1.2311339&lt;/D&gt;&lt;D xsi:type="xsd:double"&gt;-0.118768215&lt;/D&gt;&lt;D xsi:type="xsd:double"&gt;1.6746402&lt;/D&gt;&lt;D xsi:type="xsd:double"&gt;5.2567244&lt;/D&gt;&lt;D xsi:type="xsd:double"&gt;4.349613&lt;/D&gt;&lt;D xsi:type="xsd:double"&gt;5.539596&lt;/D&gt;&lt;D xsi:type="xsd:double"&gt;7.7204347&lt;/D&gt;&lt;D xsi:type="xsd:double"&gt;8.093893&lt;/D&gt;&lt;D xsi:type="xsd:double"&gt;14.678144&lt;/D&gt;&lt;D xsi:type="xsd:double"&gt;15.40041&lt;/D&gt;&lt;D xsi:type="xsd:double"&gt;15.551102&lt;/D&gt;&lt;D xsi:type="xsd:double"&gt;13.090479&lt;/D&gt;&lt;D xsi:type="xsd:double"&gt;18.375551&lt;/D&gt;&lt;D xsi:type="xsd:double"&gt;19.896948&lt;/D&gt;&lt;D xsi:type="xsd:double"&gt;12.220907&lt;/D&gt;&lt;D xsi:type="xsd:double"&gt;8.904373&lt;/D&gt;&lt;D xsi:type="xsd:double"&gt;8.971012&lt;/D&gt;&lt;D xsi:type="xsd:double"&gt;9.428871&lt;/D&gt;&lt;D xsi:type="xsd:double"&gt;6.890881&lt;/D&gt;&lt;D xsi:type="xsd:double"&gt;3.9377332&lt;/D&gt;&lt;D xsi:type="xsd:double"&gt;1.0583401&lt;/D&gt;&lt;D xsi:type="xsd:double"&gt;1.9555092&lt;/D&gt;&lt;D xsi:type="xsd:double"&gt;-3.5303295&lt;/D&gt;&lt;D xsi:type="xsd:double"&gt;2.42002&lt;/D&gt;&lt;D xsi:type="xsd:double"&gt;0.26173592&lt;/D&gt;&lt;D xsi:type="xsd:double"&gt;-0.18862486&lt;/D&gt;&lt;D xsi:type="xsd:double"&gt;4.9277425&lt;/D&gt;&lt;D xsi:type="xsd:double"&gt;4.6081185&lt;/D&gt;&lt;D xsi:type="xsd:double"&gt;6.268394&lt;/D&gt;&lt;D xsi:type="xsd:double"&gt;7.6809764&lt;/D&gt;&lt;/FQL&gt;&lt;FQL&gt;&lt;Q&gt;GLD^P_PRICE_RETURNS_PR('52W',2,-10AY,0,AM)&lt;/Q&gt;&lt;R&gt;121&lt;/R&gt;&lt;C&gt;1&lt;/C&gt;&lt;D xsi:type="xsd:double"&gt;-21.100288&lt;/D&gt;&lt;D xsi:type="xsd:double"&gt;-13.95939&lt;/D&gt;&lt;D xsi:type="xsd:double"&gt;-15.968222&lt;/D&gt;&lt;D xsi:type="xsd:double"&gt;-9.9906025&lt;/D&gt;&lt;D xsi:type="xsd:double"&gt;-8.060419&lt;/D&gt;&lt;D xsi:type="xsd:double"&gt;3.6542177&lt;/D&gt;&lt;D xsi:type="xsd:double"&gt;-1.2055755&lt;/D&gt;&lt;D xsi:type="xsd:double"&gt;-7.276571&lt;/D&gt;&lt;D xsi:type="xsd:double"&gt;-3.3278942&lt;/D&gt;&lt;D xsi:type="xsd:double"&gt;-9.100527&lt;/D&gt;&lt;D xsi:type="xsd:double"&gt;-0.74393153&lt;/D&gt;&lt;D xsi:type="xsd:double"&gt;-2.3632407&lt;/D&gt;&lt;D xsi:type="xsd:double"&gt;-5.984539&lt;/D&gt;&lt;D xsi:type="xsd:double"&gt;-16.133427&lt;/D&gt;&lt;D xsi:type="xsd:double"&gt;-9.288586&lt;/D&gt;&lt;D xsi:type="xsd:double"&gt;-6.4606724&lt;/D&gt;&lt;D xsi:type="xsd:double"&gt;-7.672858&lt;/D&gt;&lt;D xsi:type="xsd:double"&gt;-13.814259&lt;/D&gt;&lt;D xsi:type="xsd:double"&gt;-15.324879&lt;/D&gt;&lt;D xsi:type="xsd:double"&gt;-11.142355&lt;/D&gt;&lt;D xsi:type="xsd:double"&gt;-5.6192994&lt;/D&gt;&lt;D xsi:type="xsd:double"&gt;-7.2624683&lt;/D&gt;&lt;D xsi:type="xsd:double"&gt;-12.388479&lt;/D&gt;&lt;D xsi:type="xsd:double"&gt;-11.374408&lt;/D&gt;&lt;D xsi:type="xsd:double"&gt;0.86927414&lt;/D&gt;&lt;D xsi:type="xsd:double"&gt;7.819414&lt;/D&gt;&lt;D xsi:type="xsd:double"&gt;3.1526804&lt;/D&gt;&lt;D xsi:type="xsd:double"&gt;4.427278&lt;/D&gt;&lt;D xsi:type="xsd:double"&gt;8.310509&lt;/D&gt;&lt;D xsi:type="xsd:double"&gt;15.614033&lt;/D&gt;&lt;D xsi:type="xsd:double"&gt;18.23666&lt;/D&gt;&lt;D xsi:type="xsd:double"&gt;18.453276&lt;/D&gt;&lt;D xsi:type="xsd:double"&gt;7.3037744&lt;/D&gt;&lt;D xsi:type="xsd:double"&gt;12.780499&lt;/D&gt;&lt;D xsi:type="xsd:double"&gt;7.1186066&lt;/D&gt;&lt;D xsi:type="xsd:double"&gt;9.062254&lt;/D&gt;&lt;D xsi:type="xsd:double"&gt;-1.3180137&lt;/D&gt;&lt;D xsi:type="xsd:double"&gt;-3.9108992&lt;/D&gt;&lt;D xsi:type="xsd:double"&gt;3.2247186&lt;/D&gt;&lt;D xsi:type="xsd:double"&gt;-3.5737872&lt;/D&gt;&lt;D xsi:type="xsd:double"&gt;-1.7612517&lt;/D&gt;&lt;D xsi:type="xsd:double"&gt;-9.741277&lt;/D&gt;&lt;D xsi:type="xsd:double"&gt;-3.8223505&lt;/D&gt;&lt;D xsi:type="xsd:double"&gt;-0.111329556&lt;/D&gt;&lt;D xsi:type="xsd:double"&gt;3.1575441&lt;/D&gt;&lt;D xsi:type="xsd:double"&gt;3.595221&lt;/D&gt;&lt;D xsi:type="xsd:double"&gt;7.894981&lt;/D&gt;&lt;D xsi:type="xsd:double"&gt;11.456406&lt;/D&gt;&lt;D xsi:type="xsd:double"&gt;7.945204&lt;/D&gt;&lt;D xsi:type="xsd:double"&gt;9.621752&lt;/D&gt;&lt;D xsi:type="xsd:double"&gt;3.9559484&lt;/D&gt;&lt;D xsi:type="xsd:double"&gt;7.296133&lt;/D&gt;&lt;D xsi:type="xsd:double"&gt;2.2493362&lt;/D&gt;&lt;D xsi:type="xsd:double"&gt;1.5455008&lt;/D&gt;&lt;D xsi:type="xsd:double"&gt;-8.005542&lt;/D&gt;&lt;D xsi:type="xsd:double"&gt;-9.433961&lt;/D&gt;&lt;D xsi:type="xsd:double"&gt;-6.2332153&lt;/D&gt;&lt;D xsi:type="xsd:double"&gt;-6.273186&lt;/D&gt;&lt;D xsi:type="xsd:double"&gt;-1.3761818&lt;/D&gt;&lt;D xsi:type="xsd:double"&gt;-2.9017866&lt;/D&gt;&lt;D xsi:type="xsd:double"&gt;-2.149427&lt;/D&gt;&lt;D xsi:type="xsd:double"&gt;-1.5423775&lt;/D&gt;&lt;D xsi:type="xsd:double"&gt;-3.7829757&lt;/D&gt;&lt;D xsi:type="xsd:double"&gt;-1.8640041&lt;/D&gt;&lt;D xsi:type="xsd:double"&gt;2.7680755&lt;/D&gt;&lt;D xsi:type="xsd:double"&gt;13.0364895&lt;/D&gt;&lt;D xsi:type="xsd:double"&gt;25.513458&lt;/D&gt;&lt;D xsi:type="xsd:double"&gt;23.197948&lt;/D&gt;&lt;D xsi:type="xsd:double"&gt;20.944893&lt;/D&gt;&lt;D xsi:type="xsd:double"&gt;21.354437&lt;/D&gt;&lt;D xsi:type="xsd:double"&gt;18.310225&lt;/D&gt;&lt;D xsi:type="xsd:double"&gt;19.720852&lt;/D&gt;&lt;D xsi:type="xsd:double"&gt;20.27235&lt;/D&gt;&lt;D xsi:type="xsd:double"&gt;15.697681&lt;/D&gt;&lt;D xsi:type="xsd:double"&gt;32.487892&lt;/D&gt;&lt;D xsi:type="xsd:double"&gt;31.719255&lt;/D&gt;&lt;D xsi:type="xsd:double"&gt;29.237854&lt;/D&gt;&lt;D xsi:type="xsd:double"&gt;26.862871&lt;/D&gt;&lt;D xsi:type="xsd:double"&gt;29.305971&lt;/D&gt;&lt;D xsi:type="xsd:double"&gt;29.36964&lt;/D&gt;&lt;D xsi:type="xsd:double"&gt;26.915657&lt;/D&gt;&lt;D xsi:type="xsd:double"&gt;28.395426&lt;/D&gt;&lt;D xsi:type="xsd:double"&gt;24.164999&lt;/D&gt;&lt;D xsi:type="xsd:double"&gt;18.893147&lt;/D&gt;&lt;D xsi:type="xsd:double"&gt;15.690672&lt;/D&gt;&lt;D xsi:type="xsd:double"&gt;9.269917&lt;/D&gt;&lt;D xsi:type="xsd:double"&gt;1.2514591&lt;/D&gt;&lt;D xsi:type="xsd:double"&gt;5.9103847&lt;/D&gt;&lt;D xsi:type="xsd:double"&gt;8.220959&lt;/D&gt;&lt;D xsi:type="xsd:double"&gt;-0.10625124&lt;/D&gt;&lt;D xsi:type="xsd:double"&gt;-9.240169&lt;/D&gt;&lt;D xsi:type="xsd:double"&gt;-8.062476&lt;/D&gt;&lt;D xsi:type="xsd:double"&gt;-5.6999803&lt;/D&gt;&lt;D xsi:type="xsd:double"&gt;-0.8581579&lt;/D&gt;&lt;D xsi:type="xsd:double"&gt;-3.1827986&lt;/D&gt;&lt;D xsi:type="xsd:double"&gt;-1.8515289&lt;/D&gt;&lt;D xsi:type="xsd:double"&gt;1.5185952&lt;/D&gt;&lt;D xsi:type="xsd:double"&gt;14.592611&lt;/D&gt;&lt;D xsi:type="xsd:double"&gt;12.984157&lt;/D&gt;&lt;D xsi:type="xsd:double"&gt;-1.3673902&lt;/D&gt;&lt;D xsi:type="xsd:double"&gt;-3.3060253&lt;/D&gt;&lt;D xsi:type="xsd:double"&gt;-4.5030117&lt;/D&gt;&lt;D xsi:type="xsd:double"&gt;2.3347974&lt;/D&gt;&lt;D xsi:type="xsd:double"&gt;-5.4846883&lt;/D&gt;&lt;D xsi:type="xsd:double"&gt;-7.5660825&lt;/D&gt;&lt;D xsi:type="xsd:double"&gt;-5.490464&lt;/D&gt;&lt;D xsi:type="xsd:double"&gt;0.90419054&lt;/D&gt;&lt;D xsi:type="xsd:double"&gt;5.0540566&lt;/D&gt;&lt;D xsi:type="xsd:double"&gt;-0.7652044&lt;/D&gt;&lt;D xsi:type="xsd:double"&gt;-3.9062083&lt;/D&gt;&lt;D xsi:type="xsd:double"&gt;2.7457356&lt;/D&gt;&lt;D xsi:type="xsd:double"&gt;9.778452&lt;/D&gt;&lt;D xsi:type="xsd:double"&gt;6.2437534&lt;/D&gt;&lt;D xsi:type="xsd:double"&gt;12.629938&lt;/D&gt;&lt;D xsi:type="xsd:double"&gt;6.7692757&lt;/D&gt;&lt;D xsi:type="xsd:double"&gt;11.694217&lt;/D&gt;&lt;D xsi:type="xsd:double"&gt;15.441227&lt;/D&gt;&lt;D xsi:type="xsd:double"&gt;9.692514&lt;/D&gt;&lt;D xsi:type="xsd:double"&gt;11.346519&lt;/D&gt;&lt;D xsi:type="xsd:double"&gt;7.399237&lt;/D&gt;&lt;D xsi:type="xsd:double"&gt;6.98632&lt;/D&gt;&lt;/FQL&gt;&lt;FQL&gt;&lt;Q&gt;SPY^P_PRICE_RETURNS_PR('52W',2,-10AY,0,AM)&lt;/Q&gt;&lt;R&gt;121&lt;/R&gt;&lt;C&gt;1&lt;/C&gt;&lt;D xsi:type="xsd:double"&gt;22.709703&lt;/D&gt;&lt;D xsi:type="xsd:double"&gt;21.174967&lt;/D&gt;&lt;D xsi:type="xsd:double"&gt;16.319824&lt;/D&gt;&lt;D xsi:type="xsd:double"&gt;18.496943&lt;/D&gt;&lt;D xsi:type="xsd:double"&gt;20.604086&lt;/D&gt;&lt;D xsi:type="xsd:double"&gt;19.729614&lt;/D&gt;&lt;D xsi:type="xsd:double"&gt;17.133713&lt;/D&gt;&lt;D xsi:type="xsd:double"&gt;20.180428&lt;/D&gt;&lt;D xsi:type="xsd:double"&gt;12.211204&lt;/D&gt;&lt;D xsi:type="xsd:double"&gt;16.692947&lt;/D&gt;&lt;D xsi:type="xsd:double"&gt;14.968145&lt;/D&gt;&lt;D xsi:type="xsd:double"&gt;13.397169&lt;/D&gt;&lt;D xsi:type="xsd:double"&gt;16.86573&lt;/D&gt;&lt;D xsi:type="xsd:double"&gt;13.320017&lt;/D&gt;&lt;D xsi:type="xsd:double"&gt;17.443382&lt;/D&gt;&lt;D xsi:type="xsd:double"&gt;12.71826&lt;/D&gt;&lt;D xsi:type="xsd:double"&gt;10.627996&lt;/D&gt;&lt;D xsi:type="xsd:double"&gt;8.787584&lt;/D&gt;&lt;D xsi:type="xsd:double"&gt;9.19497&lt;/D&gt;&lt;D xsi:type="xsd:double"&gt;0.15053749&lt;/D&gt;&lt;D xsi:type="xsd:double"&gt;9.0145&lt;/D&gt;&lt;D xsi:type="xsd:double"&gt;1.2000084&lt;/D&gt;&lt;D xsi:type="xsd:double"&gt;0.87023973&lt;/D&gt;&lt;D xsi:type="xsd:double"&gt;-4.61185&lt;/D&gt;&lt;D xsi:type="xsd:double"&gt;-8.809787&lt;/D&gt;&lt;D xsi:type="xsd:double"&gt;1.2128592&lt;/D&gt;&lt;D xsi:type="xsd:double"&gt;1.6216159&lt;/D&gt;&lt;D xsi:type="xsd:double"&gt;-0.40470362&lt;/D&gt;&lt;D xsi:type="xsd:double"&gt;1.394558&lt;/D&gt;&lt;D xsi:type="xsd:double"&gt;4.696691&lt;/D&gt;&lt;D xsi:type="xsd:double"&gt;6.8541527&lt;/D&gt;&lt;D xsi:type="xsd:double"&gt;10.7528925&lt;/D&gt;&lt;D xsi:type="xsd:double"&gt;8.675981&lt;/D&gt;&lt;D xsi:type="xsd:double"&gt;6.4347386&lt;/D&gt;&lt;D xsi:type="xsd:double"&gt;15.263104&lt;/D&gt;&lt;D xsi:type="xsd:double"&gt;22.826218&lt;/D&gt;&lt;D xsi:type="xsd:double"&gt;27.404892&lt;/D&gt;&lt;D xsi:type="xsd:double"&gt;19.808733&lt;/D&gt;&lt;D xsi:type="xsd:double"&gt;14.098871&lt;/D&gt;&lt;D xsi:type="xsd:double"&gt;18.09188&lt;/D&gt;&lt;D xsi:type="xsd:double"&gt;19.74908&lt;/D&gt;&lt;D xsi:type="xsd:double"&gt;16.041994&lt;/D&gt;&lt;D xsi:type="xsd:double"&gt;13.922405&lt;/D&gt;&lt;D xsi:type="xsd:double"&gt;19.713234&lt;/D&gt;&lt;D xsi:type="xsd:double"&gt;22.112392&lt;/D&gt;&lt;D xsi:type="xsd:double"&gt;21.78173&lt;/D&gt;&lt;D xsi:type="xsd:double"&gt;19.490028&lt;/D&gt;&lt;D xsi:type="xsd:double"&gt;25.065697&lt;/D&gt;&lt;D xsi:type="xsd:double"&gt;16.4927&lt;/D&gt;&lt;D xsi:type="xsd:double"&gt;18.619072&lt;/D&gt;&lt;D xsi:type="xsd:double"&gt;16.208792&lt;/D&gt;&lt;D xsi:type="xsd:double"&gt;16.15156&lt;/D&gt;&lt;D xsi:type="xsd:double"&gt;15.854513&lt;/D&gt;&lt;D xsi:type="xsd:double"&gt;16.52229&lt;/D&gt;&lt;D xsi:type="xsd:double"&gt;17.712843&lt;/D&gt;&lt;D xsi:type="xsd:double"&gt;18.420815&lt;/D&gt;&lt;D xsi:type="xsd:double"&gt;10.342873&lt;/D&gt;&lt;D xsi:type="xsd:double"&gt;7.2334647&lt;/D&gt;&lt;D xsi:type="xsd:double"&gt;1.2949705&lt;/D&gt;&lt;D xsi:type="xsd:double"&gt;-4.4139266&lt;/D&gt;&lt;D xsi:type="xsd:double"&gt;5.3565383&lt;/D&gt;&lt;D xsi:type="xsd:double"&gt;3.6136866&lt;/D&gt;&lt;D xsi:type="xsd:double"&gt;11.240339&lt;/D&gt;&lt;D xsi:type="xsd:double"&gt;4.944098&lt;/D&gt;&lt;D xsi:type="xsd:double"&gt;6.1864257&lt;/D&gt;&lt;D xsi:type="xsd:double"&gt;9.757864&lt;/D&gt;&lt;D xsi:type="xsd:double"&gt;5.76725&lt;/D&gt;&lt;D xsi:type="xsd:double"&gt;5.587232&lt;/D&gt;&lt;D xsi:type="xsd:double"&gt;11.035895&lt;/D&gt;&lt;D xsi:type="xsd:double"&gt;15.887249&lt;/D&gt;&lt;D xsi:type="xsd:double"&gt;21.968306&lt;/D&gt;&lt;D xsi:type="xsd:double"&gt;29.027187&lt;/D&gt;&lt;D xsi:type="xsd:double"&gt;24.89072&lt;/D&gt;&lt;D xsi:type="xsd:double"&gt;-2.4612963&lt;/D&gt;&lt;D xsi:type="xsd:double"&gt;-3.0302584&lt;/D&gt;&lt;D xsi:type="xsd:double"&gt;2.3393989&lt;/D&gt;&lt;D xsi:type="xsd:double"&gt;7.6696634&lt;/D&gt;&lt;D xsi:type="xsd:double"&gt;6.840849&lt;/D&gt;&lt;D xsi:type="xsd:double"&gt;17.467928&lt;/D&gt;&lt;D xsi:type="xsd:double"&gt;13.514161&lt;/D&gt;&lt;D xsi:type="xsd:double"&gt;20.498371&lt;/D&gt;&lt;D xsi:type="xsd:double"&gt;18.129803&lt;/D&gt;&lt;D xsi:type="xsd:double"&gt;18.790268&lt;/D&gt;&lt;D xsi:type="xsd:double"&gt;18.011427&lt;/D&gt;&lt;D xsi:type="xsd:double"&gt;18.580128&lt;/D&gt;&lt;D xsi:type="xsd:double"&gt;61.84759&lt;/D&gt;&lt;D xsi:type="xsd:double"&gt;52.187836&lt;/D&gt;&lt;D xsi:type="xsd:double"&gt;48.04664&lt;/D&gt;&lt;D xsi:type="xsd:double"&gt;43.42694&lt;/D&gt;&lt;D xsi:type="xsd:double"&gt;40.42952&lt;/D&gt;&lt;D xsi:type="xsd:double"&gt;34.374428&lt;/D&gt;&lt;D xsi:type="xsd:double"&gt;35.689175&lt;/D&gt;&lt;D xsi:type="xsd:double"&gt;26.054228&lt;/D&gt;&lt;D xsi:type="xsd:double"&gt;34.169186&lt;/D&gt;&lt;D xsi:type="xsd:double"&gt;29.18074&lt;/D&gt;&lt;D xsi:type="xsd:double"&gt;23.958408&lt;/D&gt;&lt;D xsi:type="xsd:double"&gt;14.250398&lt;/D&gt;&lt;D xsi:type="xsd:double"&gt;8.180655&lt;/D&gt;&lt;D xsi:type="xsd:double"&gt;8.797908&lt;/D&gt;&lt;D xsi:type="xsd:double"&gt;-0.78920126&lt;/D&gt;&lt;D xsi:type="xsd:double"&gt;-10.450363&lt;/D&gt;&lt;D xsi:type="xsd:double"&gt;-11.791116&lt;/D&gt;&lt;D xsi:type="xsd:double"&gt;-2.6786447&lt;/D&gt;&lt;D xsi:type="xsd:double"&gt;-10.720926&lt;/D&gt;&lt;D xsi:type="xsd:double"&gt;-14.628273&lt;/D&gt;&lt;D xsi:type="xsd:double"&gt;-12.768346&lt;/D&gt;&lt;D xsi:type="xsd:double"&gt;-12.539017&lt;/D&gt;&lt;D xsi:type="xsd:double"&gt;-12.818718&lt;/D&gt;&lt;D xsi:type="xsd:double"&gt;-4.748142&lt;/D&gt;&lt;D xsi:type="xsd:double"&gt;-6.770438&lt;/D&gt;&lt;D xsi:type="xsd:double"&gt;-5.139226&lt;/D&gt;&lt;D xsi:type="xsd:double"&gt;6.6970587&lt;/D&gt;&lt;D xsi:type="xsd:double"&gt;18.430185&lt;/D&gt;&lt;D xsi:type="xsd:double"&gt;20.626247&lt;/D&gt;&lt;D xsi:type="xsd:double"&gt;7.8582883&lt;/D&gt;&lt;D xsi:type="xsd:double"&gt;15.458703&lt;/D&gt;&lt;D xsi:type="xsd:double"&gt;19.78085&lt;/D&gt;&lt;D xsi:type="xsd:double"&gt;12.21553&lt;/D&gt;&lt;D xsi:type="xsd:double"&gt;18.90992&lt;/D&gt;&lt;D xsi:type="xsd:double"&gt;21.921026&lt;/D&gt;&lt;D xsi:type="xsd:double"&gt;21.513474&lt;/D&gt;&lt;/FQL&gt;&lt;FQL&gt;&lt;Q&gt;VWO^P_PRICE_RETURNS_PR('52W',2,-10AY,0,AM)&lt;/Q&gt;&lt;R&gt;121&lt;/R&gt;&lt;C&gt;1&lt;/C&gt;&lt;D xsi:type="xsd:double"&gt;-10.696543&lt;/D&gt;&lt;D xsi:type="xsd:double"&gt;-10.351795&lt;/D&gt;&lt;D xsi:type="xsd:double"&gt;-0.6737232&lt;/D&gt;&lt;D xsi:type="xsd:double"&gt;-0.89417696&lt;/D&gt;&lt;D xsi:type="xsd:double"&gt;11.322939&lt;/D&gt;&lt;D xsi:type="xsd:double"&gt;13.941455&lt;/D&gt;&lt;D xsi:type="xsd:double"&gt;14.289797&lt;/D&gt;&lt;D xsi:type="xsd:double"&gt;11.94005&lt;/D&gt;&lt;D xsi:type="xsd:double"&gt;1.0822892&lt;/D&gt;&lt;D xsi:type="xsd:double"&gt;6.4917207&lt;/D&gt;&lt;D xsi:type="xsd:double"&gt;-0.68956614&lt;/D&gt;&lt;D xsi:type="xsd:double"&gt;4.426861&lt;/D&gt;&lt;D xsi:type="xsd:double"&gt;11.107719&lt;/D&gt;&lt;D xsi:type="xsd:double"&gt;6.648481&lt;/D&gt;&lt;D xsi:type="xsd:double"&gt;8.426964&lt;/D&gt;&lt;D xsi:type="xsd:double"&gt;5.850482&lt;/D&gt;&lt;D xsi:type="xsd:double"&gt;-1.8490374&lt;/D&gt;&lt;D xsi:type="xsd:double"&gt;-6.730902&lt;/D&gt;&lt;D xsi:type="xsd:double"&gt;-15.568918&lt;/D&gt;&lt;D xsi:type="xsd:double"&gt;-22.094833&lt;/D&gt;&lt;D xsi:type="xsd:double"&gt;-12.579328&lt;/D&gt;&lt;D xsi:type="xsd:double"&gt;-16.779316&lt;/D&gt;&lt;D xsi:type="xsd:double"&gt;-17.596912&lt;/D&gt;&lt;D xsi:type="xsd:double"&gt;-23.7121&lt;/D&gt;&lt;D xsi:type="xsd:double"&gt;-26.208609&lt;/D&gt;&lt;D xsi:type="xsd:double"&gt;-12.266386&lt;/D&gt;&lt;D xsi:type="xsd:double"&gt;-16.23034&lt;/D&gt;&lt;D xsi:type="xsd:double"&gt;-22.210472&lt;/D&gt;&lt;D xsi:type="xsd:double"&gt;-16.28511&lt;/D&gt;&lt;D xsi:type="xsd:double"&gt;-7.011533&lt;/D&gt;&lt;D xsi:type="xsd:double"&gt;6.6369057&lt;/D&gt;&lt;D xsi:type="xsd:double"&gt;10.927939&lt;/D&gt;&lt;D xsi:type="xsd:double"&gt;8.535326&lt;/D&gt;&lt;D xsi:type="xsd:double"&gt;4.7863603&lt;/D&gt;&lt;D xsi:type="xsd:double"&gt;19.521809&lt;/D&gt;&lt;D xsi:type="xsd:double"&gt;28.885067&lt;/D&gt;&lt;D xsi:type="xsd:double"&gt;35.229576&lt;/D&gt;&lt;D xsi:type="xsd:double"&gt;19.460238&lt;/D&gt;&lt;D xsi:type="xsd:double"&gt;14.86677&lt;/D&gt;&lt;D xsi:type="xsd:double"&gt;25.487793&lt;/D&gt;&lt;D xsi:type="xsd:double"&gt;24.578857&lt;/D&gt;&lt;D xsi:type="xsd:double"&gt;19.261301&lt;/D&gt;&lt;D xsi:type="xsd:double"&gt;13.45892&lt;/D&gt;&lt;D xsi:type="xsd:double"&gt;24.50745&lt;/D&gt;&lt;D xsi:type="xsd:double"&gt;24.396778&lt;/D&gt;&lt;D xsi:type="xsd:double"&gt;29.371977&lt;/D&gt;&lt;D xsi:type="xsd:double"&gt;24.274815&lt;/D&gt;&lt;D xsi:type="xsd:double"&gt;33.22613&lt;/D&gt;&lt;D xsi:type="xsd:double"&gt;22.327877&lt;/D&gt;&lt;D xsi:type="xsd:double"&gt;26.004864&lt;/D&gt;&lt;D xsi:type="xsd:double"&gt;19.985306&lt;/D&gt;&lt;D xsi:type="xsd:double"&gt;16.07344&lt;/D&gt;&lt;D xsi:type="xsd:double"&gt;11.650896&lt;/D&gt;&lt;D xsi:type="xsd:double"&gt;4.2249203&lt;/D&gt;&lt;D xsi:type="xsd:double"&gt;0.7317066&lt;/D&gt;&lt;D xsi:type="xsd:double"&gt;-6.4067545&lt;/D&gt;&lt;D xsi:type="xsd:double"&gt;-11.393726&lt;/D&gt;&lt;D xsi:type="xsd:double"&gt;-11.596131&lt;/D&gt;&lt;D xsi:type="xsd:double"&gt;-9.9130745&lt;/D&gt;&lt;D xsi:type="xsd:double"&gt;-14.814812&lt;/D&gt;&lt;D xsi:type="xsd:double"&gt;-10.0284815&lt;/D&gt;&lt;D xsi:type="xsd:double"&gt;-9.909117&lt;/D&gt;&lt;D xsi:type="xsd:double"&gt;-4.4982076&lt;/D&gt;&lt;D xsi:type="xsd:double"&gt;-10.27751&lt;/D&gt;&lt;D xsi:type="xsd:double"&gt;-5.130124&lt;/D&gt;&lt;D xsi:type="xsd:double"&gt;2.6828408&lt;/D&gt;&lt;D xsi:type="xsd:double"&gt;-1.1156499&lt;/D&gt;&lt;D xsi:type="xsd:double"&gt;6.281686&lt;/D&gt;&lt;D xsi:type="xsd:double"&gt;11.925209&lt;/D&gt;&lt;D xsi:type="xsd:double"&gt;12.607515&lt;/D&gt;&lt;D xsi:type="xsd:double"&gt;14.663542&lt;/D&gt;&lt;D xsi:type="xsd:double"&gt;19.353354&lt;/D&gt;&lt;D xsi:type="xsd:double"&gt;11.085642&lt;/D&gt;&lt;D xsi:type="xsd:double"&gt;-12.025351&lt;/D&gt;&lt;D xsi:type="xsd:double"&gt;-17.313831&lt;/D&gt;&lt;D xsi:type="xsd:double"&gt;-7.2779713&lt;/D&gt;&lt;D xsi:type="xsd:double"&gt;-1.183939&lt;/D&gt;&lt;D xsi:type="xsd:double"&gt;3.5023093&lt;/D&gt;&lt;D xsi:type="xsd:double"&gt;12.244129&lt;/D&gt;&lt;D xsi:type="xsd:double"&gt;7.592082&lt;/D&gt;&lt;D xsi:type="xsd:double"&gt;13.007271&lt;/D&gt;&lt;D xsi:type="xsd:double"&gt;15.400898&lt;/D&gt;&lt;D xsi:type="xsd:double"&gt;17.386139&lt;/D&gt;&lt;D xsi:type="xsd:double"&gt;17.152573&lt;/D&gt;&lt;D xsi:type="xsd:double"&gt;29.577017&lt;/D&gt;&lt;D xsi:type="xsd:double"&gt;61.095535&lt;/D&gt;&lt;D xsi:type="xsd:double"&gt;51.62549&lt;/D&gt;&lt;D xsi:type="xsd:double"&gt;44.21996&lt;/D&gt;&lt;D xsi:type="xsd:double"&gt;45.048107&lt;/D&gt;&lt;D xsi:type="xsd:double"&gt;26.525509&lt;/D&gt;&lt;D xsi:type="xsd:double"&gt;20.454062&lt;/D&gt;&lt;D xsi:type="xsd:double"&gt;23.922241&lt;/D&gt;&lt;D xsi:type="xsd:double"&gt;15.944338&lt;/D&gt;&lt;D xsi:type="xsd:double"&gt;14.405751&lt;/D&gt;&lt;D xsi:type="xsd:double"&gt;2.7135015&lt;/D&gt;&lt;D xsi:type="xsd:double"&gt;-1.2744069&lt;/D&gt;&lt;D xsi:type="xsd:double"&gt;-9.22798&lt;/D&gt;&lt;D xsi:type="xsd:double"&gt;-16.36402&lt;/D&gt;&lt;D xsi:type="xsd:double"&gt;-8.937025&lt;/D&gt;&lt;D xsi:type="xsd:double"&gt;-16.327667&lt;/D&gt;&lt;D xsi:type="xsd:double"&gt;-22.17961&lt;/D&gt;&lt;D xsi:type="xsd:double"&gt;-21.850157&lt;/D&gt;&lt;D xsi:type="xsd:double"&gt;-14.896345&lt;/D&gt;&lt;D xsi:type="xsd:double"&gt;-21.170055&lt;/D&gt;&lt;D xsi:type="xsd:double"&gt;-26.862877&lt;/D&gt;&lt;D xsi:type="xsd:double"&gt;-22.620964&lt;/D&gt;&lt;D xsi:type="xsd:double"&gt;-15.803856&lt;/D&gt;&lt;D xsi:type="xsd:double"&gt;-13.324976&lt;/D&gt;&lt;D xsi:type="xsd:double"&gt;-13.081026&lt;/D&gt;&lt;D xsi:type="xsd:double"&gt;-7.284999&lt;/D&gt;&lt;D xsi:type="xsd:double"&gt;-7.628995&lt;/D&gt;&lt;D xsi:type="xsd:double"&gt;1.5955448&lt;/D&gt;&lt;D xsi:type="xsd:double"&gt;3.6262631&lt;/D&gt;&lt;D xsi:type="xsd:double"&gt;8.665991&lt;/D&gt;&lt;D xsi:type="xsd:double"&gt;0.51698685&lt;/D&gt;&lt;D xsi:type="xsd:double"&gt;4.1060925&lt;/D&gt;&lt;D xsi:type="xsd:double"&gt;11.190844&lt;/D&gt;&lt;D xsi:type="xsd:double"&gt;4.4504046&lt;/D&gt;&lt;D xsi:type="xsd:double"&gt;4.3801904&lt;/D&gt;&lt;D xsi:type="xsd:double"&gt;0.039947033&lt;/D&gt;&lt;D xsi:type="xsd:double"&gt;0.1786232&lt;/D&gt;&lt;/FQL&gt;&lt;FQL&gt;&lt;Q&gt;VWO^JULIAN(P_PRICE_RETURNS_PR('52W',2,-10AY,0,AM).DATES)&lt;/Q&gt;&lt;R&gt;121&lt;/R&gt;&lt;C&gt;1&lt;/C&gt;&lt;D xsi:type="xsd:long"&gt;41683&lt;/D&gt;&lt;D xsi:type="xsd:long"&gt;41711&lt;/D&gt;&lt;D xsi:type="xsd:long"&gt;41740&lt;/D&gt;&lt;D xsi:type="xsd:long"&gt;41772&lt;/D&gt;&lt;D xsi:type="xsd:long"&gt;41803&lt;/D&gt;&lt;D xsi:type="xsd:long"&gt;41831&lt;/D&gt;&lt;D xsi:type="xsd:long"&gt;41864&lt;/D&gt;&lt;D xsi:type="xsd:long"&gt;41894&lt;/D&gt;&lt;D xsi:type="xsd:long"&gt;41925&lt;/D&gt;&lt;D xsi:type="xsd:long"&gt;41956&lt;/D&gt;&lt;D xsi:type="xsd:long"&gt;41985&lt;/D&gt;&lt;D xsi:type="xsd:long"&gt;42017&lt;/D&gt;&lt;D xsi:type="xsd:long"&gt;42048&lt;/D&gt;&lt;D xsi:type="xsd:long"&gt;42076&lt;/D&gt;&lt;D xsi:type="xsd:long"&gt;42107&lt;/D&gt;&lt;D xsi:type="xsd:long"&gt;42137&lt;/D&gt;&lt;D xsi:type="xsd:long"&gt;42167&lt;/D&gt;&lt;D xsi:type="xsd:long"&gt;42198&lt;/D&gt;&lt;D xsi:type="xsd:long"&gt;42229&lt;/D&gt;&lt;D xsi:type="xsd:long"&gt;42258&lt;/D&gt;&lt;D xsi:type="xsd:long"&gt;42290&lt;/D&gt;&lt;D xsi:type="xsd:long"&gt;42321&lt;/D&gt;&lt;D xsi:type="xsd:long"&gt;42349&lt;/D&gt;&lt;D xsi:type="xsd:long"&gt;42382&lt;/D&gt;&lt;D xsi:type="xsd:long"&gt;42412&lt;/D&gt;&lt;D xsi:type="xsd:long"&gt;42440&lt;/D&gt;&lt;D xsi:type="xsd:long"&gt;42473&lt;/D&gt;&lt;D xsi:type="xsd:long"&gt;42503&lt;/D&gt;&lt;D xsi:type="xsd:long"&gt;42534&lt;/D&gt;&lt;D xsi:type="xsd:long"&gt;42564&lt;/D&gt;&lt;D xsi:type="xsd:long"&gt;42594&lt;/D&gt;&lt;D xsi:type="xsd:long"&gt;42626&lt;/D&gt;&lt;D xsi:type="xsd:long"&gt;42656&lt;/D&gt;&lt;D xsi:type="xsd:long"&gt;42685&lt;/D&gt;&lt;D xsi:type="xsd:long"&gt;42717&lt;/D&gt;&lt;D xsi:type="xsd:long"&gt;42748&lt;/D&gt;&lt;D xsi:type="xsd:long"&gt;42779&lt;/D&gt;&lt;D xsi:type="xsd:long"&gt;42807&lt;/D&gt;&lt;D xsi:type="xsd:long"&gt;42838&lt;/D&gt;&lt;D xsi:type="xsd:long"&gt;42867&lt;/D&gt;&lt;D xsi:type="xsd:long"&gt;42899&lt;/D&gt;&lt;D xsi:type="xsd:long"&gt;42929&lt;/D&gt;&lt;D xsi:type="xsd:long"&gt;42958&lt;/D&gt;&lt;D xsi:type="xsd:long"&gt;42991&lt;/D&gt;&lt;D xsi:type="xsd:long"&gt;43021&lt;/D&gt;&lt;D xsi:type="xsd:long"&gt;43052&lt;/D&gt;&lt;D xsi:type="xsd:long"&gt;43082&lt;/D&gt;&lt;D xsi:type="xsd:long"&gt;43112&lt;/D&gt;&lt;D xsi:type="xsd:long"&gt;43144&lt;/D&gt;&lt;D xsi:type="xsd:long"&gt;43172&lt;/D&gt;&lt;D xsi:type="xsd:long"&gt;43203&lt;/D&gt;&lt;D xsi:type="xsd:long"&gt;43231&lt;/D&gt;&lt;D xsi:type="xsd:long"&gt;43264&lt;/D&gt;&lt;D xsi:type="xsd:long"&gt;43294&lt;/D&gt;&lt;D xsi:type="xsd:long"&gt;43325&lt;/D&gt;&lt;D xsi:type="xsd:long"&gt;43356&lt;/D&gt;&lt;D xsi:type="xsd:long"&gt;43385&lt;/D&gt;&lt;D xsi:type="xsd:long"&gt;43417&lt;/D&gt;&lt;D xsi:type="xsd:long"&gt;43447&lt;/D&gt;&lt;D xsi:type="xsd:long"&gt;43476&lt;/D&gt;&lt;D xsi:type="xsd:long"&gt;43509&lt;/D&gt;&lt;D xsi:type="xsd:long"&gt;43537&lt;/D&gt;&lt;D xsi:type="xsd:long"&gt;43567&lt;/D&gt;&lt;D xsi:type="xsd:long"&gt;43598&lt;/D&gt;&lt;D xsi:type="xsd:long"&gt;43629&lt;/D&gt;&lt;D xsi:type="xsd:long"&gt;43658&lt;/D&gt;&lt;D xsi:type="xsd:long"&gt;43690&lt;/D&gt;&lt;D xsi:type="xsd:long"&gt;43721&lt;/D&gt;&lt;D xsi:type="xsd:long"&gt;43749&lt;/D&gt;&lt;D xsi:type="xsd:long"&gt;43782&lt;/D&gt;&lt;D xsi:type="xsd:long"&gt;43812&lt;/D&gt;&lt;D xsi:type="xsd:long"&gt;43843&lt;/D&gt;&lt;D xsi:type="xsd:long"&gt;43874&lt;/D&gt;&lt;D xsi:type="xsd:long"&gt;43903&lt;/D&gt;&lt;D xsi:type="xsd:long"&gt;43934&lt;/D&gt;&lt;D xsi:type="xsd:long"&gt;43964&lt;/D&gt;&lt;D xsi:type="xsd:long"&gt;43994&lt;/D&gt;&lt;D xsi:type="xsd:long"&gt;44025&lt;/D&gt;&lt;D xsi:type="xsd:long"&gt;44056&lt;/D&gt;&lt;D xsi:type="xsd:long"&gt;44085&lt;/D&gt;&lt;D xsi:type="xsd:long"&gt;44117&lt;/D&gt;&lt;D xsi:type="xsd:long"&gt;44148&lt;/D&gt;&lt;D xsi:type="xsd:long"&gt;44176&lt;/D&gt;&lt;D xsi:type="xsd:long"&gt;44209&lt;/D&gt;&lt;D xsi:type="xsd:long"&gt;44239&lt;/D&gt;&lt;D xsi:type="xsd:long"&gt;44267&lt;/D&gt;&lt;D xsi:type="xsd:long"&gt;44299&lt;/D&gt;&lt;D xsi:type="xsd:long"&gt;44329&lt;/D&gt;&lt;D xsi:type="xsd:long"&gt;44358&lt;/D&gt;&lt;D xsi:type="xsd:long"&gt;44390&lt;/D&gt;&lt;D xsi:type="xsd:long"&gt;44421&lt;/D&gt;&lt;D xsi:type="xsd:long"&gt;44452&lt;/D&gt;&lt;D xsi:type="xsd:long"&gt;44482&lt;/D&gt;&lt;D xsi:type="xsd:long"&gt;44512&lt;/D&gt;&lt;D xsi:type="xsd:long"&gt;44543&lt;/D&gt;&lt;D xsi:type="xsd:long"&gt;44574&lt;/D&gt;&lt;D xsi:type="xsd:long"&gt;44603&lt;/D&gt;&lt;D xsi:type="xsd:long"&gt;44631&lt;/D&gt;&lt;D xsi:type="xsd:long"&gt;44664&lt;/D&gt;&lt;D xsi:type="xsd:long"&gt;44694&lt;/D&gt;&lt;D xsi:type="xsd:long"&gt;44725&lt;/D&gt;&lt;D xsi:type="xsd:long"&gt;44755&lt;/D&gt;&lt;D xsi:type="xsd:long"&gt;44785&lt;/D&gt;&lt;D xsi:type="xsd:long"&gt;44817&lt;/D&gt;&lt;D xsi:type="xsd:long"&gt;44847&lt;/D&gt;&lt;D xsi:type="xsd:long"&gt;44876&lt;/D&gt;&lt;D xsi:type="xsd:long"&gt;44908&lt;/D&gt;&lt;D xsi:type="xsd:long"&gt;44939&lt;/D&gt;&lt;D xsi:type="xsd:long"&gt;44970&lt;/D&gt;&lt;D xsi:type="xsd:long"&gt;44998&lt;/D&gt;&lt;D xsi:type="xsd:long"&gt;45029&lt;/D&gt;&lt;D xsi:type="xsd:long"&gt;45058&lt;/D&gt;&lt;D xsi:type="xsd:long"&gt;45090&lt;/D&gt;&lt;D xsi:type="xsd:long"&gt;45120&lt;/D&gt;&lt;D xsi:type="xsd:long"&gt;45149&lt;/D&gt;&lt;D xsi:type="xsd:long"&gt;45182&lt;/D&gt;&lt;D xsi:type="xsd:long"&gt;45212&lt;/D&gt;&lt;D xsi:type="xsd:long"&gt;45243&lt;/D&gt;&lt;D xsi:type="xsd:long"&gt;45273&lt;/D&gt;&lt;D xsi:type="xsd:long"&gt;45303&lt;/D&gt;&lt;D xsi:type="xsd:long"&gt;45335&lt;/D&gt;&lt;/FQL&gt;&lt;FQL&gt;&lt;Q&gt;URTH^FG_TOTAL_RETURNC(-10AY,0,AM)&lt;/Q&gt;&lt;R&gt;121&lt;/R&gt;&lt;C&gt;1&lt;/C&gt;&lt;D xsi:type="xsd:double"&gt;0.08057356&lt;/D&gt;&lt;D xsi:type="xsd:double"&gt;0.36517382&lt;/D&gt;&lt;D xsi:type="xsd:double"&gt;-0.014317036&lt;/D&gt;&lt;D xsi:type="xsd:double"&gt;2.8653264&lt;/D&gt;&lt;D xsi:type="xsd:double"&gt;1.8653154&lt;/D&gt;&lt;D xsi:type="xsd:double"&gt;0.90829134&lt;/D&gt;&lt;D xsi:type="xsd:double"&gt;-1.8538833&lt;/D&gt;&lt;D xsi:type="xsd:double"&gt;1.6790271&lt;/D&gt;&lt;D xsi:type="xsd:double"&gt;-6.6740036&lt;/D&gt;&lt;D xsi:type="xsd:double"&gt;6.5726995&lt;/D&gt;&lt;D xsi:type="xsd:double"&gt;-2.1965325&lt;/D&gt;&lt;D xsi:type="xsd:double"&gt;-0.05096793&lt;/D&gt;&lt;D xsi:type="xsd:double"&gt;4.322517&lt;/D&gt;&lt;D xsi:type="xsd:double"&gt;-0.8356154&lt;/D&gt;&lt;D xsi:type="xsd:double"&gt;2.9147625&lt;/D&gt;&lt;D xsi:type="xsd:double"&gt;1.6510129&lt;/D&gt;&lt;D xsi:type="xsd:double"&gt;-0.9639561&lt;/D&gt;&lt;D xsi:type="xsd:double"&gt;-1.3921916&lt;/D&gt;&lt;D xsi:type="xsd:double"&gt;-0.2599895&lt;/D&gt;&lt;D xsi:type="xsd:double"&gt;-6.58074&lt;/D&gt;&lt;D xsi:type="xsd:double"&gt;1.8015027&lt;/D&gt;&lt;D xsi:type="xsd:double"&gt;0.5842447&lt;/D&gt;&lt;D xsi:type="xsd:double"&gt;-0.85105896&lt;/D&gt;&lt;D xsi:type="xsd:double"&gt;-6.5449657&lt;/D&gt;&lt;D xsi:type="xsd:double"&gt;-2.785164&lt;/D&gt;&lt;D xsi:type="xsd:double"&gt;10.445845&lt;/D&gt;&lt;D xsi:type="xsd:double"&gt;2.6960015&lt;/D&gt;&lt;D xsi:type="xsd:double"&gt;-2.0292342&lt;/D&gt;&lt;D xsi:type="xsd:double"&gt;1.0138988&lt;/D&gt;&lt;D xsi:type="xsd:double"&gt;3.2459855&lt;/D&gt;&lt;D xsi:type="xsd:double"&gt;2.4873495&lt;/D&gt;&lt;D xsi:type="xsd:double"&gt;-2.5092602&lt;/D&gt;&lt;D xsi:type="xsd:double"&gt;0.14064312&lt;/D&gt;&lt;D xsi:type="xsd:double"&gt;0.32303333&lt;/D&gt;&lt;D xsi:type="xsd:double"&gt;4.703903&lt;/D&gt;&lt;D xsi:type="xsd:double"&gt;1.2063742&lt;/D&gt;&lt;D xsi:type="xsd:double"&gt;1.8948436&lt;/D&gt;&lt;D xsi:type="xsd:double"&gt;1.8465161&lt;/D&gt;&lt;D xsi:type="xsd:double"&gt;-1.0158062&lt;/D&gt;&lt;D xsi:type="xsd:double"&gt;3.702259&lt;/D&gt;&lt;D xsi:type="xsd:double"&gt;2.3048878&lt;/D&gt;&lt;D xsi:type="xsd:double"&gt;0.51540136&lt;/D&gt;&lt;D xsi:type="xsd:double"&gt;-0.22153854&lt;/D&gt;&lt;D xsi:type="xsd:double"&gt;2.837062&lt;/D&gt;&lt;D xsi:type="xsd:double"&gt;2.506888&lt;/D&gt;&lt;D xsi:type="xsd:double"&gt;0.38614273&lt;/D&gt;&lt;D xsi:type="xsd:double"&gt;2.5760531&lt;/D&gt;&lt;D xsi:type="xsd:double"&gt;5.1269293&lt;/D&gt;&lt;D xsi:type="xsd:double"&gt;-4.768145&lt;/D&gt;&lt;D xsi:type="xsd:double"&gt;2.818513&lt;/D&gt;&lt;D xsi:type="xsd:double"&gt;-2.161795&lt;/D&gt;&lt;D xsi:type="xsd:double"&gt;2.3462415&lt;/D&gt;&lt;D xsi:type="xsd:double"&gt;0.656569&lt;/D&gt;&lt;D xsi:type="xsd:double"&gt;0.004196167&lt;/D&gt;&lt;D xsi:type="xsd:double"&gt;-0.26848316&lt;/D&gt;&lt;D xsi:type="xsd:double"&gt;2.1312356&lt;/D&gt;&lt;D xsi:type="xsd:double"&gt;-4.6238422&lt;/D&gt;&lt;D xsi:type="xsd:double"&gt;-1.5200377&lt;/D&gt;&lt;D xsi:type="xsd:double"&gt;-2.5140226&lt;/D&gt;&lt;D xsi:type="xsd:double"&gt;-0.98336935&lt;/D&gt;&lt;D xsi:type="xsd:double"&gt;5.1608205&lt;/D&gt;&lt;D xsi:type="xsd:double"&gt;2.6165843&lt;/D&gt;&lt;D xsi:type="xsd:double"&gt;3.207159&lt;/D&gt;&lt;D xsi:type="xsd:double"&gt;-3.4478962&lt;/D&gt;&lt;D xsi:type="xsd:double"&gt;2.9341578&lt;/D&gt;&lt;D xsi:type="xsd:double"&gt;3.8499713&lt;/D&gt;&lt;D xsi:type="xsd:double"&gt;-3.0410886&lt;/D&gt;&lt;D xsi:type="xsd:double"&gt;2.9362679&lt;/D&gt;&lt;D xsi:type="xsd:double"&gt;-0.64830184&lt;/D&gt;&lt;D xsi:type="xsd:double"&gt;4.1870594&lt;/D&gt;&lt;D xsi:type="xsd:double"&gt;2.4947762&lt;/D&gt;&lt;D xsi:type="xsd:double"&gt;2.8761268&lt;/D&gt;&lt;D xsi:type="xsd:double"&gt;1.7086267&lt;/D&gt;&lt;D xsi:type="xsd:double"&gt;-21.770317&lt;/D&gt;&lt;D xsi:type="xsd:double"&gt;3.378129&lt;/D&gt;&lt;D xsi:type="xsd:double"&gt;2.1622896&lt;/D&gt;&lt;D xsi:type="xsd:double"&gt;8.83472&lt;/D&gt;&lt;D xsi:type="xsd:double"&gt;3.8203835&lt;/D&gt;&lt;D xsi:type="xsd:double"&gt;6.547618&lt;/D&gt;&lt;D xsi:type="xsd:double"&gt;-0.8479655&lt;/D&gt;&lt;D xsi:type="xsd:double"&gt;4.205656&lt;/D&gt;&lt;D xsi:type="xsd:double"&gt;3.0027986&lt;/D&gt;&lt;D xsi:type="xsd:double"&gt;3.5526872&lt;/D&gt;&lt;D xsi:type="xsd:double"&gt;4.6259522&lt;/D&gt;&lt;D xsi:type="xsd:double"&gt;3.0762553&lt;/D&gt;&lt;D xsi:type="xsd:double"&gt;-0.14372468&lt;/D&gt;&lt;D xsi:type="xsd:double"&gt;4.2333364&lt;/D&gt;&lt;D xsi:type="xsd:double"&gt;-0.7472992&lt;/D&gt;&lt;D xsi:type="xsd:double"&gt;4.2963386&lt;/D&gt;&lt;D xsi:type="xsd:double"&gt;1.3128757&lt;/D&gt;&lt;D xsi:type="xsd:double"&gt;2.54488&lt;/D&gt;&lt;D xsi:type="xsd:double"&gt;0.13701916&lt;/D&gt;&lt;D xsi:type="xsd:double"&gt;-2.6759863&lt;/D&gt;&lt;D xsi:type="xsd:double"&gt;6.2568307&lt;/D&gt;&lt;D xsi:type="xsd:double"&gt;-1.9227266&lt;/D&gt;&lt;D xsi:type="xsd:double"&gt;0.44926405&lt;/D&gt;&lt;D xsi:type="xsd:double"&gt;-4.7676325&lt;/D&gt;&lt;D xsi:type="xsd:double"&gt;-6.1118126&lt;/D&gt;&lt;D xsi:type="xsd:double"&gt;5.8788896&lt;/D&gt;&lt;D xsi:type="xsd:double"&gt;-9.317655&lt;/D&gt;&lt;D xsi:type="xsd:double"&gt;-6.1050596&lt;/D&gt;&lt;D xsi:type="xsd:double"&gt;0.48941374&lt;/D&gt;&lt;D xsi:type="xsd:double"&gt;11.669946&lt;/D&gt;&lt;D xsi:type="xsd:double"&gt;-8.127153&lt;/D&gt;&lt;D xsi:type="xsd:double"&gt;-6.6003323&lt;/D&gt;&lt;D xsi:type="xsd:double"&gt;10.468185&lt;/D&gt;&lt;D xsi:type="xsd:double"&gt;1.4769793&lt;/D&gt;&lt;D xsi:type="xsd:double"&gt;0.825572&lt;/D&gt;&lt;D xsi:type="xsd:double"&gt;2.9006958&lt;/D&gt;&lt;D xsi:type="xsd:double"&gt;-6.0949802&lt;/D&gt;&lt;D xsi:type="xsd:double"&gt;7.653475&lt;/D&gt;&lt;D xsi:type="xsd:double"&gt;-0.56104064&lt;/D&gt;&lt;D xsi:type="xsd:double"&gt;4.544735&lt;/D&gt;&lt;D xsi:type="xsd:double"&gt;3.2777548&lt;/D&gt;&lt;D xsi:type="xsd:double"&gt;-1.6616821&lt;/D&gt;&lt;D xsi:type="xsd:double"&gt;-0.2802968&lt;/D&gt;&lt;D xsi:type="xsd:double"&gt;-3.083837&lt;/D&gt;&lt;D xsi:type="xsd:double"&gt;1.8229961&lt;/D&gt;&lt;D xsi:type="xsd:double"&gt;7.1533203&lt;/D&gt;&lt;D xsi:type="xsd:double"&gt;1.7988324&lt;/D&gt;&lt;D xsi:type="xsd:double"&gt;2.2568226&lt;/D&gt;&lt;/FQL&gt;&lt;FQL&gt;&lt;Q&gt;EWI^FG_TOTAL_RETURNC(-10AY,0,AM)&lt;/Q&gt;&lt;R&gt;121&lt;/R&gt;&lt;C&gt;1&lt;/C&gt;&lt;D xsi:type="xsd:double"&gt;4.6556115&lt;/D&gt;&lt;D xsi:type="xsd:double"&gt;1.523459&lt;/D&gt;&lt;D xsi:type="xsd:double"&gt;4.381752&lt;/D&gt;&lt;D xsi:type="xsd:double"&gt;-0.690043&lt;/D&gt;&lt;D xsi:type="xsd:double"&gt;3.995359&lt;/D&gt;&lt;D xsi:type="xsd:double"&gt;-4.922688&lt;/D&gt;&lt;D xsi:type="xsd:double"&gt;-8.076012&lt;/D&gt;&lt;D xsi:type="xsd:double"&gt;4.392767&lt;/D&gt;&lt;D xsi:type="xsd:double"&gt;-11.324257&lt;/D&gt;&lt;D xsi:type="xsd:double"&gt;-1.605022&lt;/D&gt;&lt;D xsi:type="xsd:double"&gt;-2.5531948&lt;/D&gt;&lt;D xsi:type="xsd:double"&gt;-4.948032&lt;/D&gt;&lt;D xsi:type="xsd:double"&gt;11.333847&lt;/D&gt;&lt;D xsi:type="xsd:double"&gt;-1.3850391&lt;/D&gt;&lt;D xsi:type="xsd:double"&gt;5.266857&lt;/D&gt;&lt;D xsi:type="xsd:double"&gt;4.336226&lt;/D&gt;&lt;D xsi:type="xsd:double"&gt;-0.5754471&lt;/D&gt;&lt;D xsi:type="xsd:double"&gt;-0.7904589&lt;/D&gt;&lt;D xsi:type="xsd:double"&gt;3.100264&lt;/D&gt;&lt;D xsi:type="xsd:double"&gt;-4.7984657&lt;/D&gt;&lt;D xsi:type="xsd:double"&gt;1.0752678&lt;/D&gt;&lt;D xsi:type="xsd:double"&gt;-6.781912&lt;/D&gt;&lt;D xsi:type="xsd:double"&gt;-2.0684779&lt;/D&gt;&lt;D xsi:type="xsd:double"&gt;-6.3456774&lt;/D&gt;&lt;D xsi:type="xsd:double"&gt;-13.650549&lt;/D&gt;&lt;D xsi:type="xsd:double"&gt;14.272809&lt;/D&gt;&lt;D xsi:type="xsd:double"&gt;-4.2687774&lt;/D&gt;&lt;D xsi:type="xsd:double"&gt;-2.0644069&lt;/D&gt;&lt;D xsi:type="xsd:double"&gt;-4.384482&lt;/D&gt;&lt;D xsi:type="xsd:double"&gt;-0.6879747&lt;/D&gt;&lt;D xsi:type="xsd:double"&gt;3.0136943&lt;/D&gt;&lt;D xsi:type="xsd:double"&gt;-1.4184356&lt;/D&gt;&lt;D xsi:type="xsd:double"&gt;-3.0575573&lt;/D&gt;&lt;D xsi:type="xsd:double"&gt;2.4582624&lt;/D&gt;&lt;D xsi:type="xsd:double"&gt;9.280216&lt;/D&gt;&lt;D xsi:type="xsd:double"&gt;2.636814&lt;/D&gt;&lt;D xsi:type="xsd:double"&gt;-2.9735208&lt;/D&gt;&lt;D xsi:type="xsd:double"&gt;4.0302277&lt;/D&gt;&lt;D xsi:type="xsd:double"&gt;-0.121068954&lt;/D&gt;&lt;D xsi:type="xsd:double"&gt;12.727272&lt;/D&gt;&lt;D xsi:type="xsd:double"&gt;1.5412211&lt;/D&gt;&lt;D xsi:type="xsd:double"&gt;3.509295&lt;/D&gt;&lt;D xsi:type="xsd:double"&gt;2.569449&lt;/D&gt;&lt;D xsi:type="xsd:double"&gt;4.5362115&lt;/D&gt;&lt;D xsi:type="xsd:double"&gt;0.32383204&lt;/D&gt;&lt;D xsi:type="xsd:double"&gt;-1.2911558&lt;/D&gt;&lt;D xsi:type="xsd:double"&gt;1.013732&lt;/D&gt;&lt;D xsi:type="xsd:double"&gt;7.6804996&lt;/D&gt;&lt;D xsi:type="xsd:double"&gt;-4.0810227&lt;/D&gt;&lt;D xsi:type="xsd:double"&gt;2.23763&lt;/D&gt;&lt;D xsi:type="xsd:double"&gt;3.0826092&lt;/D&gt;&lt;D xsi:type="xsd:double"&gt;0.29904842&lt;/D&gt;&lt;D xsi:type="xsd:double"&gt;-8.527136&lt;/D&gt;&lt;D xsi:type="xsd:double"&gt;-1.8219113&lt;/D&gt;&lt;D xsi:type="xsd:double"&gt;-5.836177&lt;/D&gt;&lt;D xsi:type="xsd:double"&gt;1.7035127&lt;/D&gt;&lt;D xsi:type="xsd:double"&gt;-7.9116163&lt;/D&gt;&lt;D xsi:type="xsd:double"&gt;-2.9798806&lt;/D&gt;&lt;D xsi:type="xsd:double"&gt;0.9174347&lt;/D&gt;&lt;D xsi:type="xsd:double"&gt;1.8382788&lt;/D&gt;&lt;D xsi:type="xsd:double"&gt;2.3977995&lt;/D&gt;&lt;D xsi:type="xsd:double"&gt;4.491365&lt;/D&gt;&lt;D xsi:type="xsd:double"&gt;4.4452667&lt;/D&gt;&lt;D xsi:type="xsd:double"&gt;-5.803728&lt;/D&gt;&lt;D xsi:type="xsd:double"&gt;2.240467&lt;/D&gt;&lt;D xsi:type="xsd:double"&gt;8.052993&lt;/D&gt;&lt;D xsi:type="xsd:double"&gt;-8.324594&lt;/D&gt;&lt;D xsi:type="xsd:double"&gt;6.8676114&lt;/D&gt;&lt;D xsi:type="xsd:double"&gt;-0.67833066&lt;/D&gt;&lt;D xsi:type="xsd:double"&gt;5.5715322&lt;/D&gt;&lt;D xsi:type="xsd:double"&gt;-0.40858388&lt;/D&gt;&lt;D xsi:type="xsd:double"&gt;2.176559&lt;/D&gt;&lt;D xsi:type="xsd:double"&gt;0.87600946&lt;/D&gt;&lt;D xsi:type="xsd:double"&gt;-30.494326&lt;/D&gt;&lt;D xsi:type="xsd:double"&gt;1.3935685&lt;/D&gt;&lt;D xsi:type="xsd:double"&gt;-3.8862526&lt;/D&gt;&lt;D xsi:type="xsd:double"&gt;17.209076&lt;/D&gt;&lt;D xsi:type="xsd:double"&gt;4.6170354&lt;/D&gt;&lt;D xsi:type="xsd:double"&gt;6.7858577&lt;/D&gt;&lt;D xsi:type="xsd:double"&gt;-2.3592114&lt;/D&gt;&lt;D xsi:type="xsd:double"&gt;-2.5331259&lt;/D&gt;&lt;D xsi:type="xsd:double"&gt;9.116352&lt;/D&gt;&lt;D xsi:type="xsd:double"&gt;6.3393116&lt;/D&gt;&lt;D xsi:type="xsd:double"&gt;4.161334&lt;/D&gt;&lt;D xsi:type="xsd:double"&gt;3.1687856&lt;/D&gt;&lt;D xsi:type="xsd:double"&gt;2.1985173&lt;/D&gt;&lt;D xsi:type="xsd:double"&gt;1.4235973&lt;/D&gt;&lt;D xsi:type="xsd:double"&gt;0.90454817&lt;/D&gt;&lt;D xsi:type="xsd:double"&gt;5.4745436&lt;/D&gt;&lt;D xsi:type="xsd:double"&gt;-4.924357&lt;/D&gt;&lt;D xsi:type="xsd:double"&gt;5.897033&lt;/D&gt;&lt;D xsi:type="xsd:double"&gt;-3.5061836&lt;/D&gt;&lt;D xsi:type="xsd:double"&gt;-1.1603057&lt;/D&gt;&lt;D xsi:type="xsd:double"&gt;4.788387&lt;/D&gt;&lt;D xsi:type="xsd:double"&gt;-5.12439&lt;/D&gt;&lt;D xsi:type="xsd:double"&gt;5.9249997&lt;/D&gt;&lt;D xsi:type="xsd:double"&gt;-4.403448&lt;/D&gt;&lt;D xsi:type="xsd:double"&gt;-16.433239&lt;/D&gt;&lt;D xsi:type="xsd:double"&gt;8.752335&lt;/D&gt;&lt;D xsi:type="xsd:double"&gt;-7.1575346&lt;/D&gt;&lt;D xsi:type="xsd:double"&gt;-7.3857727&lt;/D&gt;&lt;D xsi:type="xsd:double"&gt;-5.418718&lt;/D&gt;&lt;D xsi:type="xsd:double"&gt;10.28645&lt;/D&gt;&lt;D xsi:type="xsd:double"&gt;-6.8870544&lt;/D&gt;&lt;D xsi:type="xsd:double"&gt;-7.0160627&lt;/D&gt;&lt;D xsi:type="xsd:double"&gt;24.363636&lt;/D&gt;&lt;D xsi:type="xsd:double"&gt;2.6166677&lt;/D&gt;&lt;D xsi:type="xsd:double"&gt;7.0860505&lt;/D&gt;&lt;D xsi:type="xsd:double"&gt;3.2748103&lt;/D&gt;&lt;D xsi:type="xsd:double"&gt;-4.8708735&lt;/D&gt;&lt;D xsi:type="xsd:double"&gt;8.969069&lt;/D&gt;&lt;D xsi:type="xsd:double"&gt;-1.2298942&lt;/D&gt;&lt;D xsi:type="xsd:double"&gt;0.49101114&lt;/D&gt;&lt;D xsi:type="xsd:double"&gt;7.9752564&lt;/D&gt;&lt;D xsi:type="xsd:double"&gt;-3.708166&lt;/D&gt;&lt;D xsi:type="xsd:double"&gt;-2.0037591&lt;/D&gt;&lt;D xsi:type="xsd:double"&gt;-3.9297104&lt;/D&gt;&lt;D xsi:type="xsd:double"&gt;4.3565035&lt;/D&gt;&lt;D xsi:type="xsd:double"&gt;7.966864&lt;/D&gt;&lt;D xsi:type="xsd:double"&gt;1.2914896&lt;/D&gt;&lt;D xsi:type="xsd:double"&gt;-1.3573289&lt;/D&gt;&lt;/FQL&gt;&lt;FQL&gt;&lt;Q&gt;EWD^FG_TOTAL_RETURNC(-10AY,0,AM)&lt;/Q&gt;&lt;R&gt;121&lt;/R&gt;&lt;C&gt;1&lt;/C&gt;&lt;D xsi:type="xsd:double"&gt;1.7739654&lt;/D&gt;&lt;D xsi:type="xsd:double"&gt;0.25302172&lt;/D&gt;&lt;D xsi:type="xsd:double"&gt;0.36455393&lt;/D&gt;&lt;D xsi:type="xsd:double"&gt;3.6043644&lt;/D&gt;&lt;D xsi:type="xsd:double"&gt;-0.701195&lt;/D&gt;&lt;D xsi:type="xsd:double"&gt;-4.009211&lt;/D&gt;&lt;D xsi:type="xsd:double"&gt;-1.367873&lt;/D&gt;&lt;D xsi:type="xsd:double"&gt;-1.7999411&lt;/D&gt;&lt;D xsi:type="xsd:double"&gt;-7.99278&lt;/D&gt;&lt;D xsi:type="xsd:double"&gt;7.1848392&lt;/D&gt;&lt;D xsi:type="xsd:double"&gt;-1.9805014&lt;/D&gt;&lt;D xsi:type="xsd:double"&gt;-3.774768&lt;/D&gt;&lt;D xsi:type="xsd:double"&gt;9.079075&lt;/D&gt;&lt;D xsi:type="xsd:double"&gt;-1.8794775&lt;/D&gt;&lt;D xsi:type="xsd:double"&gt;1.6722441&lt;/D&gt;&lt;D xsi:type="xsd:double"&gt;1.7344594&lt;/D&gt;&lt;D xsi:type="xsd:double"&gt;1.5873075&lt;/D&gt;&lt;D xsi:type="xsd:double"&gt;-2.592039&lt;/D&gt;&lt;D xsi:type="xsd:double"&gt;-1.2300193&lt;/D&gt;&lt;D xsi:type="xsd:double"&gt;-3.268987&lt;/D&gt;&lt;D xsi:type="xsd:double"&gt;-1.1586785&lt;/D&gt;&lt;D xsi:type="xsd:double"&gt;-5.0146523&lt;/D&gt;&lt;D xsi:type="xsd:double"&gt;-3.0167937&lt;/D&gt;&lt;D xsi:type="xsd:double"&gt;-4.3336926&lt;/D&gt;&lt;D xsi:type="xsd:double"&gt;-2.2559166&lt;/D&gt;&lt;D xsi:type="xsd:double"&gt;11.350739&lt;/D&gt;&lt;D xsi:type="xsd:double"&gt;3.0580997&lt;/D&gt;&lt;D xsi:type="xsd:double"&gt;-5.802834&lt;/D&gt;&lt;D xsi:type="xsd:double"&gt;-1.4700711&lt;/D&gt;&lt;D xsi:type="xsd:double"&gt;1.9648314&lt;/D&gt;&lt;D xsi:type="xsd:double"&gt;4.599774&lt;/D&gt;&lt;D xsi:type="xsd:double"&gt;-1.0387778&lt;/D&gt;&lt;D xsi:type="xsd:double"&gt;-1.6445041&lt;/D&gt;&lt;D xsi:type="xsd:double"&gt;-2.1344721&lt;/D&gt;&lt;D xsi:type="xsd:double"&gt;5.597961&lt;/D&gt;&lt;D xsi:type="xsd:double"&gt;1.6352296&lt;/D&gt;&lt;D xsi:type="xsd:double"&gt;3.7262917&lt;/D&gt;</t>
        </r>
      </text>
    </comment>
    <comment ref="A8" authorId="0" shapeId="0" xr:uid="{012992EB-9AD2-40FB-814A-8455C1C73CFB}">
      <text>
        <r>
          <rPr>
            <b/>
            <sz val="9"/>
            <color indexed="81"/>
            <rFont val="Tahoma"/>
            <family val="2"/>
          </rPr>
          <t>&lt;D xsi:type="xsd:double"&gt;1.8288732&lt;/D&gt;&lt;D xsi:type="xsd:double"&gt;-0.06414652&lt;/D&gt;&lt;D xsi:type="xsd:double"&gt;8.472395&lt;/D&gt;&lt;D xsi:type="xsd:double"&gt;1.6272187&lt;/D&gt;&lt;D xsi:type="xsd:double"&gt;4.206431&lt;/D&gt;&lt;D xsi:type="xsd:double"&gt;-3.4285724&lt;/D&gt;&lt;D xsi:type="xsd:double"&gt;3.8165689&lt;/D&gt;&lt;D xsi:type="xsd:double"&gt;2.6218295&lt;/D&gt;&lt;D xsi:type="xsd:double"&gt;-3.5823286&lt;/D&gt;&lt;D xsi:type="xsd:double"&gt;-1.6417027&lt;/D&gt;&lt;D xsi:type="xsd:double"&gt;6.235862&lt;/D&gt;&lt;D xsi:type="xsd:double"&gt;-5.874157&lt;/D&gt;&lt;D xsi:type="xsd:double"&gt;1.0056257&lt;/D&gt;&lt;D xsi:type="xsd:double"&gt;-3.6017656&lt;/D&gt;&lt;D xsi:type="xsd:double"&gt;3.9185882&lt;/D&gt;&lt;D xsi:type="xsd:double"&gt;-1.9877255&lt;/D&gt;&lt;D xsi:type="xsd:double"&gt;-3.86163&lt;/D&gt;&lt;D xsi:type="xsd:double"&gt;0.64935684&lt;/D&gt;&lt;D xsi:type="xsd:double"&gt;2.870965&lt;/D&gt;&lt;D xsi:type="xsd:double"&gt;-4.954529&lt;/D&gt;&lt;D xsi:type="xsd:double"&gt;-3.3322334&lt;/D&gt;&lt;D xsi:type="xsd:double"&gt;-1.9453943&lt;/D&gt;&lt;D xsi:type="xsd:double"&gt;1.4528394&lt;/D&gt;&lt;D xsi:type="xsd:double"&gt;2.7463078&lt;/D&gt;&lt;D xsi:type="xsd:double"&gt;0.4677534&lt;/D&gt;&lt;D xsi:type="xsd:double"&gt;7.349515&lt;/D&gt;&lt;D xsi:type="xsd:double"&gt;-7.4659166&lt;/D&gt;&lt;D xsi:type="xsd:double"&gt;3.0800104&lt;/D&gt;&lt;D xsi:type="xsd:double"&gt;3.3691406&lt;/D&gt;&lt;D xsi:type="xsd:double"&gt;-7.7821016&lt;/D&gt;&lt;D xsi:type="xsd:double"&gt;7.0675135&lt;/D&gt;&lt;D xsi:type="xsd:double"&gt;-2.8571427&lt;/D&gt;&lt;D xsi:type="xsd:double"&gt;7.7755213&lt;/D&gt;&lt;D xsi:type="xsd:double"&gt;4.203272&lt;/D&gt;&lt;D xsi:type="xsd:double"&gt;0.6744027&lt;/D&gt;&lt;D xsi:type="xsd:double"&gt;2.633977&lt;/D&gt;&lt;D xsi:type="xsd:double"&gt;-23.539824&lt;/D&gt;&lt;D xsi:type="xsd:double"&gt;1.1188269&lt;/D&gt;&lt;D xsi:type="xsd:double"&gt;2.0221353&lt;/D&gt;&lt;D xsi:type="xsd:double"&gt;13.01421&lt;/D&gt;&lt;D xsi:type="xsd:double"&gt;8.21476&lt;/D&gt;&lt;D xsi:type="xsd:double"&gt;9.815955&lt;/D&gt;&lt;D xsi:type="xsd:double"&gt;-0.8100569&lt;/D&gt;&lt;D xsi:type="xsd:double"&gt;1.8586278&lt;/D&gt;&lt;D xsi:type="xsd:double"&gt;5.8888674&lt;/D&gt;&lt;D xsi:type="xsd:double"&gt;3.1853795&lt;/D&gt;&lt;D xsi:type="xsd:double"&gt;5.311656&lt;/D&gt;&lt;D xsi:type="xsd:double"&gt;3.727901&lt;/D&gt;&lt;D xsi:type="xsd:double"&gt;5.344224&lt;/D&gt;&lt;D xsi:type="xsd:double"&gt;4.275584&lt;/D&gt;&lt;D xsi:type="xsd:double"&gt;0.3186822&lt;/D&gt;&lt;D xsi:type="xsd:double"&gt;4.4090867&lt;/D&gt;&lt;D xsi:type="xsd:double"&gt;-1.3491094&lt;/D&gt;&lt;D xsi:type="xsd:double"&gt;3.0296683&lt;/D&gt;&lt;D xsi:type="xsd:double"&gt;-2.6138484&lt;/D&gt;&lt;D xsi:type="xsd:double"&gt;-3.187251&lt;/D&gt;&lt;D xsi:type="xsd:double"&gt;5.414772&lt;/D&gt;&lt;D xsi:type="xsd:double"&gt;-5.7035327&lt;/D&gt;&lt;D xsi:type="xsd:double"&gt;3.134942&lt;/D&gt;&lt;D xsi:type="xsd:double"&gt;-10.873824&lt;/D&gt;&lt;D xsi:type="xsd:double"&gt;-12.004889&lt;/D&gt;&lt;D xsi:type="xsd:double"&gt;7.5298667&lt;/D&gt;&lt;D xsi:type="xsd:double"&gt;-10.49096&lt;/D&gt;&lt;D xsi:type="xsd:double"&gt;-4.382926&lt;/D&gt;&lt;D xsi:type="xsd:double"&gt;-5.0947485&lt;/D&gt;&lt;D xsi:type="xsd:double"&gt;10.736502&lt;/D&gt;&lt;D xsi:type="xsd:double"&gt;-10.434532&lt;/D&gt;&lt;D xsi:type="xsd:double"&gt;-8.811879&lt;/D&gt;&lt;D xsi:type="xsd:double"&gt;23.488962&lt;/D&gt;&lt;D xsi:type="xsd:double"&gt;2.0455003&lt;/D&gt;&lt;D xsi:type="xsd:double"&gt;2.1663785&lt;/D&gt;&lt;D xsi:type="xsd:double"&gt;1.2157202&lt;/D&gt;&lt;D xsi:type="xsd:double"&gt;-6.508374&lt;/D&gt;&lt;D xsi:type="xsd:double"&gt;8.75411&lt;/D&gt;&lt;D xsi:type="xsd:double"&gt;-1.0164917&lt;/D&gt;&lt;D xsi:type="xsd:double"&gt;0&lt;/D&gt;&lt;D xsi:type="xsd:double"&gt;2.331388&lt;/D&gt;&lt;D xsi:type="xsd:double"&gt;-7.648492&lt;/D&gt;&lt;D xsi:type="xsd:double"&gt;-4.8164425&lt;/D&gt;&lt;D xsi:type="xsd:double"&gt;2.715218&lt;/D&gt;&lt;D xsi:type="xsd:double"&gt;-0.600785&lt;/D&gt;&lt;D xsi:type="xsd:double"&gt;15.865814&lt;/D&gt;&lt;D xsi:type="xsd:double"&gt;0.9727359&lt;/D&gt;&lt;D xsi:type="xsd:double"&gt;-2.329266&lt;/D&gt;&lt;/FQL&gt;&lt;FQL&gt;&lt;Q&gt;EWJ^FG_TOTAL_RETURNC(-10AY,0,AM)&lt;/Q&gt;&lt;R&gt;121&lt;/R&gt;&lt;C&gt;1&lt;/C&gt;&lt;D xsi:type="xsd:double"&gt;-4.749995&lt;/D&gt;&lt;D xsi:type="xsd:double"&gt;-2.274716&lt;/D&gt;&lt;D xsi:type="xsd:double"&gt;-3.3124447&lt;/D&gt;&lt;D xsi:type="xsd:double"&gt;4.629624&lt;/D&gt;&lt;D xsi:type="xsd:double"&gt;4.6902657&lt;/D&gt;&lt;D xsi:type="xsd:double"&gt;1.6206145&lt;/D&gt;&lt;D xsi:type="xsd:double"&gt;-0.083744526&lt;/D&gt;&lt;D xsi:type="xsd:double"&gt;-1.1735141&lt;/D&gt;&lt;D xsi:type="xsd:double"&gt;-7.3791323&lt;/D&gt;&lt;D xsi:type="xsd:double"&gt;7.78389&lt;/D&gt;&lt;D xsi:type="xsd:double"&gt;-3.4834385&lt;/D&gt;&lt;D xsi:type="xsd:double"&gt;-1.0053515&lt;/D&gt;&lt;D xsi:type="xsd:double"&gt;6.7084074&lt;/D&gt;&lt;D xsi:type="xsd:double"&gt;4.6102166&lt;/D&gt;&lt;D xsi:type="xsd:double"&gt;2.964747&lt;/D&gt;&lt;D xsi:type="xsd:double"&gt;1.2451291&lt;/D&gt;&lt;D xsi:type="xsd:double"&gt;-0.38431883&lt;/D&gt;&lt;D xsi:type="xsd:double"&gt;-0.50362945&lt;/D&gt;&lt;D xsi:type="xsd:double"&gt;0.70148706&lt;/D&gt;&lt;D xsi:type="xsd:double"&gt;-9.13313&lt;/D&gt;&lt;D xsi:type="xsd:double"&gt;2.1294713&lt;/D&gt;&lt;D xsi:type="xsd:double"&gt;3.0025125&lt;/D&gt;&lt;D xsi:type="xsd:double"&gt;-2.7530372&lt;/D&gt;&lt;D xsi:type="xsd:double"&gt;-4.723561&lt;/D&gt;&lt;D xsi:type="xsd:double"&gt;-8.362675&lt;/D&gt;&lt;D xsi:type="xsd:double"&gt;10.758888&lt;/D&gt;&lt;D xsi:type="xsd:double"&gt;2.6886463&lt;/D&gt;&lt;D xsi:type="xsd:double"&gt;-2.6182473&lt;/D&gt;&lt;D xsi:type="xsd:double"&gt;-0.78057647&lt;/D&gt;&lt;D xsi:type="xsd:double"&gt;4.846394&lt;/D&gt;&lt;D xsi:type="xsd:double"&gt;3.6134481&lt;/D&gt;&lt;D xsi:type="xsd:double"&gt;-0.97323656&lt;/D&gt;&lt;D xsi:type="xsd:double"&gt;1.0647058&lt;/D&gt;&lt;D xsi:type="xsd:double"&gt;0.28363466&lt;/D&gt;&lt;D xsi:type="xsd:double"&gt;3.7373662&lt;/D&gt;&lt;D xsi:type="xsd:double"&gt;0.26654005&lt;/D&gt;&lt;D xsi:type="xsd:double"&gt;1.3558745&lt;/D&gt;&lt;D xsi:type="xsd:double"&gt;0.03876686&lt;/D&gt;&lt;D xsi:type="xsd:double"&gt;-1.918602&lt;/D&gt;&lt;D xsi:type="xsd:double"&gt;3.4775734&lt;/D&gt;&lt;D xsi:type="xsd:double"&gt;4.1817904&lt;/D&gt;&lt;D xsi:type="xsd:double"&gt;-1.3111293&lt;/D&gt;&lt;D xsi:type="xsd:double"&gt;1.0654211&lt;/D&gt;&lt;D xsi:type="xsd:double"&gt;1.9974113&lt;/D&gt;&lt;D xsi:type="xsd:double"&gt;4.0435195&lt;/D&gt;&lt;D xsi:type="xsd:double"&gt;2.509582&lt;/D&gt;&lt;D xsi:type="xsd:double"&gt;2.261138&lt;/D&gt;&lt;D xsi:type="xsd:double"&gt;6.2098145&lt;/D&gt;&lt;D xsi:type="xsd:double"&gt;-6.2716665&lt;/D&gt;&lt;D xsi:type="xsd:double"&gt;1.8493652&lt;/D&gt;&lt;D xsi:type="xsd:double"&gt;-0.5777538&lt;/D&gt;&lt;D xsi:type="xsd:double"&gt;1.7433167&lt;/D&gt;&lt;D xsi:type="xsd:double"&gt;-0.9464741&lt;/D&gt;&lt;D xsi:type="xsd:double"&gt;-4.4303417&lt;/D&gt;&lt;D xsi:type="xsd:double"&gt;-0.69493055&lt;/D&gt;&lt;D xsi:type="xsd:double"&gt;0.54234266&lt;/D&gt;&lt;D xsi:type="xsd:double"&gt;-1.2876332&lt;/D&gt;&lt;D xsi:type="xsd:double"&gt;-4.5478525&lt;/D&gt;&lt;D xsi:type="xsd:double"&gt;-1.0711014&lt;/D&gt;&lt;D xsi:type="xsd:double"&gt;-0.59769154&lt;/D&gt;&lt;D xsi:type="xsd:double"&gt;1.8925071&lt;/D&gt;&lt;D xsi:type="xsd:double"&gt;0.7986665&lt;/D&gt;&lt;D xsi:type="xsd:double"&gt;1.4556885&lt;/D&gt;&lt;D xsi:type="xsd:double"&gt;-4.0138063&lt;/D&gt;&lt;D xsi:type="xsd:double"&gt;2.4408698&lt;/D&gt;&lt;D xsi:type="xsd:double"&gt;2.678585&lt;/D&gt;&lt;D xsi:type="xsd:double"&gt;-2.5957525&lt;/D&gt;&lt;D xsi:type="xsd:double"&gt;5.982113&lt;/D&gt;&lt;D xsi:type="xsd:double"&gt;0.4923582&lt;/D&gt;&lt;D xsi:type="xsd:double"&gt;4.461944&lt;/D&gt;&lt;D xsi:type="xsd:double"&gt;1.7252922&lt;/D&gt;&lt;D xsi:type="xsd:double"&gt;-0.26200414&lt;/D&gt;&lt;D xsi:type="xsd:double"&gt;-1.6204476&lt;/D&gt;&lt;D xsi:type="xsd:double"&gt;-21.429783&lt;/D&gt;&lt;D xsi:type="xsd:double"&gt;8.428788&lt;/D&gt;&lt;D xsi:type="xsd:double"&gt;4.444897&lt;/D&gt;&lt;D xsi:type="xsd:double"&gt;7.137406&lt;/D&gt;&lt;D xsi:type="xsd:double"&gt;-0.3474176&lt;/D&gt;&lt;D xsi:type="xsd:double"&gt;4.252255&lt;/D&gt;&lt;D xsi:type="xsd:double"&gt;1.192534&lt;/D&gt;&lt;D xsi:type="xsd:double"&gt;1.5029907&lt;/D&gt;&lt;D xsi:type="xsd:double"&gt;6.646478&lt;/D&gt;&lt;D xsi:type="xsd:double"&gt;4.054904&lt;/D&gt;&lt;D xsi:type="xsd:double"&gt;5.3391457&lt;/D&gt;&lt;D xsi:type="xsd:double"&gt;3.3959627&lt;/D&gt;&lt;D xsi:type="xsd:double"&gt;-3.6477983&lt;/D&gt;&lt;D xsi:type="xsd:double"&gt;1.0733962&lt;/D&gt;&lt;D xsi:type="xsd:double"&gt;-5.32434&lt;/D&gt;&lt;D xsi:type="xsd:double"&gt;5.177474&lt;/D&gt;&lt;D xsi:type="xsd:double"&gt;-0.6823361&lt;/D&gt;&lt;D xsi:type="xsd:double"&gt;0.33620596&lt;/D&gt;&lt;D xsi:type="xsd:double"&gt;7.532048&lt;/D&gt;&lt;D xsi:type="xsd:double"&gt;-8.305102&lt;/D&gt;&lt;D xsi:type="xsd:double"&gt;3.5461068&lt;/D&gt;&lt;D xsi:type="xsd:double"&gt;-3.2846272&lt;/D&gt;&lt;D xsi:type="xsd:double"&gt;0.62789917&lt;/D&gt;&lt;D xsi:type="xsd:double"&gt;-4.9769697&lt;/D&gt;&lt;D xsi:type="xsd:double"&gt;-8.474046&lt;/D&gt;&lt;D xsi:type="xsd:double"&gt;0.034165382&lt;/D&gt;&lt;D xsi:type="xsd:double"&gt;-3.82514&lt;/D&gt;&lt;D xsi:type="xsd:double"&gt;-4.508078&lt;/D&gt;&lt;D xsi:type="xsd:double"&gt;-0.9951174&lt;/D&gt;&lt;D xsi:type="xsd:double"&gt;8.15475&lt;/D&gt;&lt;D xsi:type="xsd:double"&gt;-9.977203&lt;/D&gt;&lt;D xsi:type="xsd:double"&gt;-4.2267265&lt;/D&gt;&lt;D xsi:type="xsd:double"&gt;11.734796&lt;/D&gt;&lt;D xsi:type="xsd:double"&gt;2.009976&lt;/D&gt;&lt;D xsi:type="xsd:double"&gt;1.5200377&lt;/D&gt;&lt;D xsi:type="xsd:double"&gt;2.3251653&lt;/D&gt;&lt;D xsi:type="xsd:double"&gt;-3.184712&lt;/D&gt;&lt;D xsi:type="xsd:double"&gt;4.694164&lt;/D&gt;&lt;D xsi:type="xsd:double"&gt;2.24185&lt;/D&gt;&lt;D xsi:type="xsd:double"&gt;6.2431097&lt;/D&gt;&lt;D xsi:type="xsd:double"&gt;-0.51959753&lt;/D&gt;&lt;D xsi:type="xsd:double"&gt;-2.8648317&lt;/D&gt;&lt;D xsi:type="xsd:double"&gt;1.4828086&lt;/D&gt;&lt;D xsi:type="xsd:double"&gt;-4.3352547&lt;/D&gt;&lt;D xsi:type="xsd:double"&gt;1.4434338&lt;/D&gt;&lt;D xsi:type="xsd:double"&gt;5.906689&lt;/D&gt;&lt;D xsi:type="xsd:double"&gt;5.2434325&lt;/D&gt;&lt;D xsi:type="xsd:double"&gt;0.46665668&lt;/D&gt;&lt;/FQL&gt;&lt;FQL&gt;&lt;Q&gt;EMXC^FG_TOTAL_RETURNC(-10AY,0,AM)&lt;/Q&gt;&lt;R&gt;121&lt;/R&gt;&lt;C&gt;1&lt;/C&gt;&lt;D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xsi:type="xsd:double"&gt;4.2137146&lt;/D&gt;&lt;D xsi:type="xsd:double"&gt;2.824533&lt;/D&gt;&lt;D xsi:type="xsd:double"&gt;-1.9002855&lt;/D&gt;&lt;D xsi:type="xsd:double"&gt;0.6137371&lt;/D&gt;&lt;D xsi:type="xsd:double"&gt;7.3078036&lt;/D&gt;&lt;D xsi:type="xsd:double"&gt;-2.1796525&lt;/D&gt;&lt;D xsi:type="xsd:double"&gt;3.2837987&lt;/D&gt;&lt;D xsi:type="xsd:double"&gt;-3.5701573&lt;/D&gt;&lt;D xsi:type="xsd:double"&gt;-1.6025126&lt;/D&gt;&lt;D xsi:type="xsd:double"&gt;-3.8019419&lt;/D&gt;&lt;D xsi:type="xsd:double"&gt;-3.1690598&lt;/D&gt;&lt;D xsi:type="xsd:double"&gt;-1.8911779&lt;/D&gt;&lt;D xsi:type="xsd:double"&gt;-0.03092289&lt;/D&gt;&lt;D xsi:type="xsd:double"&gt;-2.866578&lt;/D&gt;&lt;D xsi:type="xsd:double"&gt;-1.6772747&lt;/D&gt;&lt;D xsi:type="xsd:double"&gt;0.842154&lt;/D&gt;&lt;D xsi:type="xsd:double"&gt;3.712988&lt;/D&gt;&lt;D xsi:type="xsd:double"&gt;1.5154719&lt;/D&gt;&lt;D xsi:type="xsd:double"&gt;0.53493977&lt;/D&gt;&lt;D xsi:type="xsd:double"&gt;3.250289&lt;/D&gt;&lt;D xsi:type="xsd:double"&gt;-6.8192663&lt;/D&gt;&lt;D xsi:type="xsd:double"&gt;4.1157484&lt;/D&gt;&lt;D xsi:type="xsd:double"&gt;3.31707&lt;/D&gt;&lt;D xsi:type="xsd:double"&gt;-6.9013653&lt;/D&gt;&lt;D xsi:type="xsd:double"&gt;4.1169286&lt;/D&gt;&lt;D xsi:type="xsd:double"&gt;0.16528368&lt;/D&gt;&lt;D xsi:type="xsd:double"&gt;2.2557735&lt;/D&gt;&lt;D xsi:type="xsd:double"&gt;3.6642432&lt;/D&gt;&lt;D xsi:type="xsd:double"&gt;4.70016&lt;/D&gt;&lt;D xsi:type="xsd:double"&gt;-4.604739&lt;/D&gt;&lt;D xsi:type="xsd:double"&gt;-22.437965&lt;/D&gt;&lt;D xsi:type="xsd:double"&gt;-2.5585055&lt;/D&gt;&lt;D xsi:type="xsd:double"&gt;1.6386628&lt;/D&gt;&lt;D xsi:type="xsd:double"&gt;12.63007&lt;/D&gt;&lt;D xsi:type="xsd:double"&gt;3.4193754&lt;/D&gt;&lt;D xsi:type="xsd:double"&gt;6.740093&lt;/D&gt;&lt;D xsi:type="xsd:double"&gt;-1.6241312&lt;/D&gt;&lt;D xsi:type="xsd:double"&gt;2.4879932&lt;/D&gt;&lt;D xsi:type="xsd:double"&gt;6.7355156&lt;/D&gt;&lt;D xsi:type="xsd:double"&gt;9.58271&lt;/D&gt;&lt;D xsi:type="xsd:double"&gt;9.038281&lt;/D&gt;&lt;D xsi:type="xsd:double"&gt;1.1275053&lt;/D&gt;&lt;D xsi:type="xsd:double"&gt;-2.5741994&lt;/D&gt;&lt;D xsi:type="xsd:double"&gt;0.6058574&lt;/D&gt;&lt;D xsi:type="xsd:double"&gt;-0.5687535&lt;/D&gt;&lt;D xsi:type="xsd:double"&gt;6.7056656&lt;/D&gt;&lt;D xsi:type="xsd:double"&gt;-2.5645077&lt;/D&gt;&lt;D xsi:type="xsd:double"&gt;-0.32494068&lt;/D&gt;&lt;D xsi:type="xsd:double"&gt;2.3308873&lt;/D&gt;&lt;D xsi:type="xsd:double"&gt;-2.8671563&lt;/D&gt;&lt;D xsi:type="xsd:double"&gt;1.9842505&lt;/D&gt;&lt;D xsi:type="xsd:double"&gt;-3.5489976&lt;/D&gt;&lt;D xsi:type="xsd:double"&gt;5.7157993&lt;/D&gt;&lt;D xsi:type="xsd:double"&gt;-3.1659722&lt;/D&gt;&lt;D xsi:type="xsd:double"&gt;-8.718628&lt;/D&gt;&lt;D xsi:type="xsd:double"&gt;4.576707&lt;/D&gt;&lt;D xsi:type="xsd:double"&gt;-10.067463&lt;/D&gt;&lt;D xsi:type="xsd:double"&gt;-4.5138597&lt;/D&gt;&lt;D xsi:type="xsd:double"&gt;-5.0650954&lt;/D&gt;&lt;D xsi:type="xsd:double"&gt;11.484898&lt;/D&gt;&lt;D xsi:type="xsd:double"&gt;-7.1689425&lt;/D&gt;&lt;D xsi:type="xsd:double"&gt;-6.4596233&lt;/D&gt;&lt;D xsi:type="xsd:double"&gt;11.022579&lt;/D&gt;&lt;D xsi:type="xsd:double"&gt;-1.5833378&lt;/D&gt;&lt;D xsi:type="xsd:double"&gt;4.4311523&lt;/D&gt;&lt;D xsi:type="xsd:double"&gt;-1.1643887&lt;/D&gt;&lt;D xsi:type="xsd:double"&gt;-4.3330727&lt;/D&gt;&lt;D xsi:type="xsd:double"&gt;5.69818&lt;/D&gt;&lt;D xsi:type="xsd:double"&gt;-2.1129549&lt;/D&gt;&lt;D xsi:type="xsd:double"&gt;7.2526097&lt;/D&gt;&lt;D xsi:type="xsd:double"&gt;1.8757105&lt;/D&gt;&lt;D xsi:type="xsd:double"&gt;-4.072899&lt;/D&gt;&lt;D xsi:type="xsd:double"&gt;-0.5040765&lt;/D&gt;&lt;D xsi:type="xsd:double"&gt;-3.2151222&lt;/D&gt;&lt;D xsi:type="xsd:double"&gt;1.9528866&lt;/D&gt;&lt;D xsi:type="xsd:double"&gt;6.4968467&lt;/D&gt;&lt;D xsi:type="xsd:double"&gt;2.3560405&lt;/D&gt;&lt;D xsi:type="xsd:double"&gt;0.6966114&lt;/D&gt;&lt;/FQL&gt;&lt;FQL&gt;&lt;Q&gt;VGK^FG_TOTAL_RETURNC(-10AY,0,AM)&lt;/Q&gt;&lt;R&gt;121&lt;/R&gt;&lt;C&gt;1&lt;/C&gt;&lt;D xsi:type="xsd:double"&gt;1.3250709&lt;/D&gt;&lt;D xsi:type="xsd:double"&gt;-1.6474187&lt;/D&gt;&lt;D xsi:type="xsd:double"&gt;2.0357609&lt;/D&gt;&lt;D xsi:type="xsd:double"&gt;4.1745424&lt;/D&gt;&lt;D xsi:type="xsd:double"&gt;0.6101608&lt;/D&gt;&lt;D xsi:type="xsd:double"&gt;-2.091211&lt;/D&gt;&lt;D xsi:type="xsd:double"&gt;-3.6753416&lt;/D&gt;&lt;D xsi:type="xsd:double"&gt;1.0775447&lt;/D&gt;&lt;D xsi:type="xsd:double"&gt;-9.200466&lt;/D&gt;&lt;D xsi:type="xsd:double"&gt;3.906405&lt;/D&gt;&lt;D xsi:type="xsd:double"&gt;-2.7359068&lt;/D&gt;&lt;D xsi:type="xsd:double"&gt;-1.4569402&lt;/D&gt;&lt;D xsi:type="xsd:double"&gt;7.3018312&lt;/D&gt;&lt;D xsi:type="xsd:double"&gt;-2.8202295&lt;/D&gt;&lt;D xsi:type="xsd:double"&gt;4.7130704&lt;/D&gt;&lt;D xsi:type="xsd:double"&gt;3.452611&lt;/D&gt;&lt;D xsi:type="xsd:double"&gt;-1.8772781&lt;/D&gt;&lt;D xsi:type="xsd:double"&gt;-0.4169643&lt;/D&gt;&lt;D xsi:type="xsd:double"&gt;-1.0117412&lt;/D&gt;&lt;D xsi:type="xsd:double"&gt;-6.0777545&lt;/D&gt;&lt;D xsi:type="xsd:double"&gt;0.22426844&lt;/D&gt;&lt;D xsi:type="xsd:double"&gt;-2.4542212&lt;/D&gt;&lt;D xsi:type="xsd:double"&gt;-1.5974522&lt;/D&gt;&lt;D xsi:type="xsd:double"&gt;-5.49981&lt;/D&gt;&lt;D xsi:type="xsd:double"&gt;-3.7731767&lt;/D&gt;&lt;D xsi:type="xsd:double"&gt;8.962584&lt;/D&gt;&lt;D xsi:type="xsd:double"&gt;1.6857743&lt;/D&gt;&lt;D xsi:type="xsd:double"&gt;-2.1761239&lt;/D&gt;&lt;D xsi:type="xsd:double"&gt;-1.5384555&lt;/D&gt;&lt;D xsi:type="xsd:double"&gt;1.295197&lt;/D&gt;&lt;D xsi:type="xsd:double"&gt;4.0833592&lt;/D&gt;&lt;D xsi:type="xsd:double"&gt;-1.2770712&lt;/D&gt;&lt;D xsi:type="xsd:double"&gt;-1.935482&lt;/D&gt;&lt;D xsi:type="xsd:double"&gt;-1.4431238&lt;/D&gt;&lt;D xsi:type="xsd:double"&gt;3.7252307&lt;/D&gt;&lt;D xsi:type="xsd:double"&gt;2.2710562&lt;/D&gt;&lt;D xsi:type="xsd:double"&gt;1.2645364&lt;/D&gt;&lt;D xsi:type="xsd:double"&gt;2.1147966&lt;/D&gt;&lt;D xsi:type="xsd:double"&gt;1.4541745&lt;/D&gt;&lt;D xsi:type="xsd:double"&gt;8.13135&lt;/D&gt;&lt;D xsi:type="xsd:double"&gt;1.4822841&lt;/D&gt;&lt;D xsi:type="xsd:double"&gt;1.0545135&lt;/D&gt;&lt;D xsi:type="xsd:double"&gt;-0.089377165&lt;/D&gt;&lt;D xsi:type="xsd:double"&gt;3.3637524&lt;/D&gt;&lt;D xsi:type="xsd:double"&gt;2.2749186&lt;/D&gt;&lt;D xsi:type="xsd:double"&gt;-2.514869&lt;/D&gt;&lt;D xsi:type="xsd:double"&gt;2.143979&lt;/D&gt;&lt;D xsi:type="xsd:double"&gt;5.972886&lt;/D&gt;&lt;D xsi:type="xsd:double"&gt;-5.3424&lt;/D&gt;&lt;D xsi:type="xsd:double"&gt;0.9748578&lt;/D&gt;&lt;D xsi:type="xsd:double"&gt;1.3977528&lt;/D&gt;&lt;D xsi:type="xsd:double"&gt;1.124537&lt;/D&gt;&lt;D xsi:type="xsd:double"&gt;-1.9419074&lt;/D&gt;&lt;D xsi:type="xsd:double"&gt;-1.4971852&lt;/D&gt;&lt;D xsi:type="xsd:double"&gt;-2.4527013&lt;/D&gt;&lt;D xsi:type="xsd:double"&gt;0.71839094&lt;/D&gt;&lt;D xsi:type="xsd:double"&gt;-5.5552664&lt;/D&gt;&lt;D xsi:type="xsd:double"&gt;-1.7247915&lt;/D&gt;&lt;D xsi:type="xsd:double"&gt;-3.1822503&lt;/D&gt;&lt;D xsi:type="xsd:double"&gt;1.3233423&lt;/D&gt;&lt;D xsi:type="xsd:double"&gt;2.5727391&lt;/D&gt;&lt;D xsi:type="xsd:double"&gt;3.916645&lt;/D&gt;&lt;D xsi:type="xsd:double"&gt;3.4306884&lt;/D&gt;&lt;D xsi:type="xsd:double"&gt;-4.04405&lt;/D&gt;&lt;D xsi:type="xsd:double"&gt;2.8974533&lt;/D&gt;&lt;D xsi:type="xsd:double"&gt;1.9151449&lt;/D&gt;&lt;D xsi:type="xsd:double"&gt;-4.3105006&lt;/D&gt;&lt;D xsi:type="xsd:double"&gt;4.122925&lt;/D&gt;&lt;D xsi:type="xsd:double"&gt;-0.44981837&lt;/D&gt;&lt;D xsi:type="xsd:double"&gt;3.9829612&lt;/D&gt;&lt;D xsi:type="xsd:double"&gt;3.1355739&lt;/D&gt;&lt;D xsi:type="xsd:double"&gt;1.6297579&lt;/D&gt;&lt;D xsi:type="xsd:double"&gt;-0.0854671&lt;/D&gt;&lt;D xsi:type="xsd:double"&gt;-25.337898&lt;/D&gt;&lt;D xsi:type="xsd:double"&gt;3.1998634&lt;/D&gt;&lt;D xsi:type="xsd:double"&gt;0.11175871&lt;/D&gt;&lt;D xsi:type="xsd:double"&gt;11.766016&lt;/D&gt;&lt;D xsi:type="xsd:double"&gt;3.3750653&lt;/D&gt;&lt;D xsi:type="xsd:double"&gt;6.459141&lt;/D&gt;&lt;D xsi:type="xsd:double"&gt;-0.9685695&lt;/D&gt;&lt;D xsi:type="xsd:double"&gt;0.22609234&lt;/D&gt;&lt;D xsi:type="xsd:double"&gt;5.4814816&lt;/D&gt;&lt;D xsi:type="xsd:double"&gt;3.9501429&lt;/D&gt;&lt;D xsi:type="xsd:double"&gt;5.1917076&lt;/D&gt;&lt;D xsi:type="xsd:double"&gt;1.3895631&lt;/D&gt;&lt;D xsi:type="xsd:double"&gt;1.4183283&lt;/D&gt;&lt;D xsi:type="xsd:double"&gt;3.032744&lt;/D&gt;&lt;D xsi:type="xsd:double"&gt;2.1595955&lt;/D&gt;&lt;D xsi:type="xsd:double"&gt;5.2024007&lt;/D&gt;&lt;D xsi:type="xsd:double"&gt;-2.137816&lt;/D&gt;&lt;D xsi:type="xsd:double"&gt;3.6066532&lt;/D&gt;&lt;D xsi:type="xsd:double"&gt;-1.4776945&lt;/D&gt;&lt;D xsi:type="xsd:double"&gt;-2.8761744&lt;/D&gt;&lt;D xsi:type="xsd:double"&gt;3.8984299&lt;/D&gt;&lt;D xsi:type="xsd:double"&gt;-4.312825&lt;/D&gt;&lt;D xsi:type="xsd:double"&gt;3.9495945&lt;/D&gt;&lt;D xsi:type="xsd:double"&gt;-4.8189282&lt;/D&gt;&lt;D xsi:type="xsd:double"&gt;-10.908252&lt;/D&gt;&lt;D xsi:type="xsd:double"&gt;6.695938&lt;/D&gt;&lt;D xsi:type="xsd:double"&gt;-8.443874&lt;/D&gt;&lt;D xsi:type="xsd:double"&gt;-4.5936346&lt;/D&gt;&lt;D xsi:type="xsd:double"&gt;-2.8772533&lt;/D&gt;&lt;D xsi:type="xsd:double"&gt;9.546959&lt;/D&gt;&lt;D xsi:type="xsd:double"&gt;-8.6972&lt;/D&gt;&lt;D xsi:type="xsd:double"&gt;-8.061844&lt;/D&gt;&lt;D xsi:type="xsd:double"&gt;17.816948&lt;/D&gt;&lt;D xsi:type="xsd:double"&gt;4.1095853&lt;/D&gt;&lt;D xsi:type="xsd:double"&gt;5.1169515&lt;/D&gt;&lt;D xsi:type="xsd:double"&gt;1.0783076&lt;/D&gt;&lt;D xsi:type="xsd:double"&gt;-4.398489&lt;/D&gt;&lt;D xsi:type="xsd:double"&gt;8.792114&lt;/D&gt;&lt;D xsi:type="xsd:double"&gt;-0.93443394&lt;/D&gt;&lt;D xsi:type="xsd:double"&gt;-0.46362877&lt;/D&gt;&lt;D xsi:type="xsd:double"&gt;3.7711263&lt;/D&gt;&lt;D xsi:type="xsd:double"&gt;-2.7887225&lt;/D&gt;&lt;D xsi:type="xsd:double"&gt;-3.4521878&lt;/D&gt;&lt;D xsi:type="xsd:double"&gt;-2.9004693&lt;/D&gt;&lt;D xsi:type="xsd:double"&gt;1.5454054&lt;/D&gt;&lt;D xsi:type="xsd:double"&gt;8.515728&lt;/D&gt;&lt;D xsi:type="xsd:double"&gt;0.977087&lt;/D&gt;&lt;D xsi:type="xsd:double"&gt;-1.5089571&lt;/D&gt;&lt;/FQL&gt;&lt;FQL&gt;&lt;Q&gt;TLT^FG_TOTAL_RETURNC(-10AY,0,AM)&lt;/Q&gt;&lt;R&gt;121&lt;/R&gt;&lt;C&gt;1&lt;/C&gt;&lt;D xsi:type="xsd:double"&gt;1.7711878&lt;/D&gt;&lt;D xsi:type="xsd:double"&gt;2.1047592&lt;/D&gt;&lt;D xsi:type="xsd:double"&gt;2.320373&lt;/D&gt;&lt;D xsi:type="xsd:double"&gt;1.1637807&lt;/D&gt;&lt;D xsi:type="xsd:double"&gt;0.61900616&lt;/D&gt;&lt;D xsi:type="xsd:double"&gt;1.5382767&lt;/D&gt;&lt;D xsi:type="xsd:double"&gt;1.9653916&lt;/D&gt;&lt;D xsi:type="xsd:double"&gt;-1.6161084&lt;/D&gt;&lt;D xsi:type="xsd:double"&gt;6.787443&lt;/D&gt;&lt;D xsi:type="xsd:double"&gt;-1.3082623&lt;/D&gt;&lt;D xsi:type="xsd:double"&gt;6.456554&lt;/D&gt;&lt;D xsi:type="xsd:double"&gt;4.590559&lt;/D&gt;&lt;D xsi:type="xsd:double"&gt;-2.5563896&lt;/D&gt;&lt;D xsi:type="xsd:double"&gt;-0.9503186&lt;/D&gt;&lt;D xsi:type="xsd:double"&gt;2.64225&lt;/D&gt;&lt;D xsi:type="xsd:double"&gt;-8.222318&lt;/D&gt;&lt;D xsi:type="xsd:double"&gt;-0.56577325&lt;/D&gt;&lt;D xsi:type="xsd:double"&gt;-1.6970515&lt;/D&gt;&lt;D xsi:type="xsd:double"&gt;7.129121&lt;/D&gt;&lt;D xsi:type="xsd:double"&gt;-1.6323328&lt;/D&gt;&lt;D xsi:type="xsd:double"&gt;1.8827319&lt;/D&gt;&lt;D xsi:type="xsd:double"&gt;-2.8183103&lt;/D&gt;&lt;D xsi:type="xsd:double"&gt;3.6250591&lt;/D&gt;&lt;D xsi:type="xsd:double"&gt;1.204443&lt;/D&gt;&lt;D xsi:type="xsd:double"&gt;5.408621&lt;/D&gt;&lt;D xsi:type="xsd:double"&gt;-2.960962&lt;/D&gt;&lt;D xsi:type="xsd:double"&gt;3.3776999&lt;/D&gt;&lt;D xsi:type="xsd:double"&gt;0.8823037&lt;/D&gt;&lt;D xsi:type="xsd:double"&gt;2.5532484&lt;/D&gt;&lt;D xsi:type="xsd:double"&gt;4.8213363&lt;/D&gt;&lt;D xsi:type="xsd:double"&gt;-0.92571974&lt;/D&gt;&lt;D xsi:type="xsd:double"&gt;-4.1306553&lt;/D&gt;&lt;D xsi:type="xsd:double"&gt;-0.26034117&lt;/D&gt;&lt;D xsi:type="xsd:double"&gt;-8.382475&lt;/D&gt;&lt;D xsi:type="xsd:double"&gt;-2.9978156&lt;/D&gt;&lt;D xsi:type="xsd:double"&gt;2.9522061&lt;/D&gt;&lt;D xsi:type="xsd:double"&gt;-0.55069923&lt;/D&gt;&lt;D xsi:type="xsd:double"&gt;-3.025347&lt;/D&gt;&lt;D xsi:type="xsd:double"&gt;6.19545&lt;/D&gt;&lt;D xsi:type="xsd:double"&gt;-1.4777184&lt;/D&gt;&lt;D xsi:type="xsd:double"&gt;2.6801825&lt;/D&gt;&lt;D xsi:type="xsd:double"&gt;-0.7597685&lt;/D&gt;&lt;D xsi:type="xsd:double"&gt;2.859652&lt;/D&gt;&lt;D xsi:type="xsd:double"&gt;0.09624958&lt;/D&gt;&lt;D xsi:type="xsd:double"&gt;-0.14603734&lt;/D&gt;&lt;D xsi:type="xsd:double"&gt;-0.9755671&lt;/D&gt;&lt;D xsi:type="xsd:double"&gt;2.594304&lt;/D&gt;&lt;D xsi:type="xsd:double"&gt;-2.0015836&lt;/D&gt;&lt;D xsi:type="xsd:double"&gt;-4.2395234&lt;/D&gt;&lt;D xsi:type="xsd:double"&gt;0.36871433&lt;/D&gt;&lt;D xsi:type="xsd:double"&gt;1.6514301&lt;/D&gt;&lt;D xsi:type="xsd:double"&gt;-1.1630237&lt;/D&gt;&lt;D xsi:type="xsd:double"&gt;0.27534962&lt;/D&gt;&lt;D xsi:type="xsd:double"&gt;3.1170845&lt;/D&gt;&lt;D xsi:type="xsd:double"&gt;-1.6613424&lt;/D&gt;&lt;D xsi:type="xsd:double"&gt;-0.84688663&lt;/D&gt;&lt;D xsi:type="xsd:double"&gt;-3.687805&lt;/D&gt;&lt;D xsi:type="xsd:double"&gt;-0.15186071&lt;/D&gt;&lt;D xsi:type="xsd:double"&gt;3.790462&lt;/D&gt;&lt;D xsi:type="xsd:double"&gt;2.6636958&lt;/D&gt;&lt;D xsi:type="xsd:double"&gt;0.3681183&lt;/D&gt;&lt;D xsi:type="xsd:double"&gt;0.8175492&lt;/D&gt;&lt;D xsi:type="xsd:double"&gt;0.9147048&lt;/D&gt;&lt;D xsi:type="xsd:double"&gt;2.7086854&lt;/D&gt;&lt;D xsi:type="xsd:double"&gt;4.507172&lt;/D&gt;&lt;D xsi:type="xsd:double"&gt;-0.4985988&lt;/D&gt;&lt;D xsi:type="xsd:double"&gt;9.628344&lt;/D&gt;&lt;D xsi:type="xsd:double"&gt;-3.9996266&lt;/D&gt;&lt;D xsi:type="xsd:double"&gt;3.0358672&lt;/D&gt;&lt;D xsi:type="xsd:double"&gt;-2.635622&lt;/D&gt;&lt;D xsi:type="xsd:double"&gt;2.0379305&lt;/D&gt;&lt;D xsi:type="xsd:double"&gt;-0.57530403&lt;/D&gt;&lt;D xsi:type="xsd:double"&gt;4.448092&lt;/D&gt;&lt;D xsi:type="xsd:double"&gt;7.1214914&lt;/D&gt;&lt;D xsi:type="xsd:double"&gt;6.6087484&lt;/D&gt;&lt;D xsi:type="xsd:double"&gt;1.1307597&lt;/D&gt;&lt;D xsi:type="xsd:double"&gt;-1.8183827&lt;/D&gt;&lt;D xsi:type="xsd:double"&gt;2.9425263&lt;/D&gt;&lt;D xsi:type="xsd:double"&gt;-1.7238259&lt;/D&gt;&lt;D xsi:type="xsd:double"&gt;0.5149603&lt;/D&gt;&lt;D xsi:type="xsd:double"&gt;-1.5579998&lt;/D&gt;&lt;D xsi:type="xsd:double"&gt;-2.1149874&lt;/D&gt;&lt;D xsi:type="xsd:double"&gt;0.48958063&lt;/D&gt;&lt;D xsi:type="xsd:double"&gt;-3.754127&lt;/D&gt;&lt;D xsi:type="xsd:double"&gt;-3.5177767&lt;/D&gt;&lt;D xsi:type="xsd:double"&gt;-7.398796&lt;/D&gt;&lt;D xsi:type="xsd:double"&gt;1.9156098&lt;/D&gt;&lt;D xsi:type="xsd:double"&gt;-1.7843008&lt;/D&gt;&lt;D xsi:type="xsd:double"&gt;4.937184&lt;/D&gt;&lt;D xsi:type="xsd:double"&gt;2.1775484&lt;/D&gt;&lt;D xsi:type="xsd:double"&gt;2.4164438&lt;/D&gt;&lt;D xsi:type="xsd:double"&gt;0.6327033&lt;/D&gt;&lt;D xsi:type="xsd:double"&gt;-2.5297582&lt;/D&gt;&lt;D xsi:type="xsd:double"&gt;1.499486&lt;/D&gt;&lt;D xsi:type="xsd:double"&gt;2.655685&lt;/D&gt;&lt;D xsi:type="xsd:double"&gt;-4.3809414&lt;/D&gt;&lt;D xsi:type="xsd:double"&gt;-4.045415&lt;/D&gt;&lt;D xsi:type="xsd:double"&gt;-2.2883415&lt;/D&gt;&lt;D xsi:type="xsd:double"&gt;-8.52586&lt;/D&gt;&lt;D xsi:type="xsd:double"&gt;-5.7125034&lt;/D&gt;&lt;D xsi:type="xsd:double"&gt;-4.814023&lt;/D&gt;&lt;D xsi:type="xsd:double"&gt;5.869484&lt;/D&gt;&lt;D xsi:type="xsd:double"&gt;-0.5882263&lt;/D&gt;&lt;D xsi:type="xsd:double"&gt;-6.618798&lt;/D&gt;&lt;D xsi:type="xsd:double"&gt;-7.473135&lt;/D&gt;&lt;D xsi:type="xsd:double"&gt;-1.2693703&lt;/D&gt;&lt;D xsi:type="xsd:double"&gt;10.275531&lt;/D&gt;&lt;D xsi:type="xsd:double"&gt;-0.6431937&lt;/D&gt;&lt;D xsi:type="xsd:double"&gt;-2.08382&lt;/D&gt;&lt;D xsi:type="xsd:double"&gt;1.7584443&lt;/D&gt;&lt;D xsi:type="xsd:double"&gt;0.46052933&lt;/D&gt;&lt;D xsi:type="xsd:double"&gt;-1.4229536&lt;/D&gt;&lt;D xsi:type="xsd:double"&gt;-2.677673&lt;/D&gt;&lt;D xsi:type="xsd:double"&gt;0.9457588&lt;/D&gt;&lt;D xsi:type="xsd:double"&gt;-6.136501&lt;/D&gt;&lt;D xsi:type="xsd:double"&gt;-0.9157717&lt;/D&gt;&lt;D xsi:type="xsd:double"&gt;-6.706071&lt;/D&gt;&lt;D xsi:type="xsd:double"&gt;0.54255724&lt;/D&gt;&lt;D xsi:type="xsd:double"&gt;10.651422&lt;/D&gt;&lt;D xsi:type="xsd:double"&gt;-0.017935038&lt;/D&gt;&lt;D xsi:type="xsd:double"&gt;-4.0183067&lt;/D&gt;&lt;/FQL&gt;&lt;FQL&gt;&lt;Q&gt;OIL^FG_TOTAL_RETURNC(-10AY,0,AM)&lt;/Q&gt;&lt;R&gt;121&lt;/R&gt;&lt;C&gt;1&lt;/C&gt;&lt;D xsi:type="xsd:double"&gt;8.00761&lt;/D&gt;&lt;D xsi:type="xsd:double"&gt;-0.7637203&lt;/D&gt;&lt;D xsi:type="xsd:double"&gt;3.8006186&lt;/D&gt;&lt;D xsi:type="xsd:double"&gt;0.18250942&lt;/D&gt;&lt;D xsi:type="xsd:double"&gt;5.430937&lt;/D&gt;&lt;D xsi:type="xsd:double"&gt;-3.887689&lt;/D&gt;&lt;D xsi:type="xsd:double"&gt;-2.7977526&lt;/D&gt;&lt;D xsi:type="xsd:double"&gt;-5.4213405&lt;/D&gt;&lt;D xsi:type="xsd:double"&gt;-7.3576093&lt;/D&gt;&lt;D xsi:type="xsd:double"&gt;-8.654362&lt;/D&gt;&lt;D xsi:type="xsd:double"&gt;-22.305023&lt;/D&gt;&lt;D xsi:type="xsd:double"&gt;-17.257792&lt;/D&gt;&lt;D xsi:type="xsd:double"&gt;12.643778&lt;/D&gt;&lt;D xsi:type="xsd:double"&gt;-11.049461&lt;/D&gt;&lt;D xsi:type="xsd:double"&gt;6.2336683&lt;/D&gt;&lt;D xsi:type="xsd:double"&gt;10.679603&lt;/D&gt;&lt;D xsi:type="xsd:double"&gt;-2.2540033&lt;/D&gt;&lt;D xsi:type="xsd:double"&gt;-11.974716&lt;/D&gt;&lt;D xsi:type="xsd:double"&gt;-17.375887&lt;/D&gt;&lt;D xsi:type="xsd:double"&gt;1.019311&lt;/D&gt;&lt;D xsi:type="xsd:double"&gt;3.0047774&lt;/D&gt;&lt;D xsi:type="xsd:double"&gt;-12.223268&lt;/D&gt;&lt;D xsi:type="xsd:double"&gt;-11.036712&lt;/D&gt;&lt;D xsi:type="xsd:double"&gt;-18.029177&lt;/D&gt;&lt;D xsi:type="xsd:double"&gt;0.4405856&lt;/D&gt;&lt;D xsi:type="xsd:double"&gt;18.042505&lt;/D&gt;&lt;D xsi:type="xsd:double"&gt;4.7833204&lt;/D&gt;&lt;D xsi:type="xsd:double"&gt;7.0409775&lt;/D&gt;&lt;D xsi:type="xsd:double"&gt;5.3064823&lt;/D&gt;&lt;D xsi:type="xsd:double"&gt;-9.444904&lt;/D&gt;&lt;D xsi:type="xsd:double"&gt;-2.4682462&lt;/D&gt;&lt;D xsi:type="xsd:double"&gt;-1.0120213&lt;/D&gt;&lt;D xsi:type="xsd:double"&gt;9.673691&lt;/D&gt;&lt;D xsi:type="xsd:double"&gt;-13.6793375&lt;/D&gt;&lt;D xsi:type="xsd:double"&gt;20.88046&lt;/D&gt;&lt;D xsi:type="xsd:double"&gt;-2.7289867&lt;/D&gt;&lt;D xsi:type="xsd:double"&gt;-2.2458553&lt;/D&gt;&lt;D xsi:type="xsd:double"&gt;-8.585257&lt;/D&gt;&lt;D xsi:type="xsd:double"&gt;7.903445&lt;/D&gt;&lt;D xsi:type="xsd:double"&gt;-10.756975&lt;/D&gt;&lt;D xsi:type="xsd:double"&gt;-3.3997297&lt;/D&gt;&lt;D xsi:type="xsd:double"&gt;-1.6708136&lt;/D&gt;&lt;D xsi:type="xsd:double"&gt;4.4830084&lt;/D&gt;&lt;D xsi:type="xsd:double"&gt;2.5536418&lt;/D&gt;&lt;D xsi:type="xsd:double"&gt;3.2458305&lt;/D&gt;&lt;D xsi:type="xsd:double"&gt;9.869278&lt;/D&gt;&lt;D xsi:type="xsd:double"&gt;-1.011306&lt;/D&gt;&lt;D xsi:type="xsd:double"&gt;13.281261&lt;/D&gt;&lt;D xsi:type="xsd:double"&gt;-7.9575596&lt;/D&gt;&lt;D xsi:type="xsd:double"&gt;5.1873207&lt;/D&gt;&lt;D xsi:type="xsd:double"&gt;9.369862&lt;/D&gt;&lt;D xsi:type="xsd:double"&gt;6.9639325&lt;/D&gt;&lt;D xsi:type="xsd:double"&gt;-5.3395867&lt;/D&gt;&lt;D xsi:type="xsd:double"&gt;3.2657146&lt;/D&gt;&lt;D xsi:type="xsd:double"&gt;-2.15621&lt;/D&gt;&lt;D xsi:type="xsd:double"&gt;4.456413&lt;/D&gt;&lt;D xsi:type="xsd:double"&gt;4.2428493&lt;/D&gt;&lt;D xsi:type="xsd:double"&gt;-21.812456&lt;/D&gt;&lt;D xsi:type="xsd:double"&gt;-4.285306&lt;/D&gt;&lt;D xsi:type="xsd:double"&gt;-1.8437445&lt;/D&gt;&lt;D xsi:type="xsd:double"&gt;4.322481&lt;/D&gt;&lt;D xsi:type="xsd:double"&gt;6.270838&lt;/D&gt;&lt;D xsi:type="xsd:double"&gt;6.7286253&lt;/D&gt;&lt;D xsi:type="xsd:double"&gt;-4.248661&lt;/D&gt;&lt;D xsi:type="xsd:double"&gt;-13.401783&lt;/D&gt;&lt;D xsi:type="xsd:double"&gt;14.197195&lt;/D&gt;&lt;D xsi:type="xsd:double"&gt;-5.9316635&lt;/D&gt;&lt;D xsi:type="xsd:double"&gt;-2.8086603&lt;/D&gt;&lt;D xsi:type="xsd:double"&gt;1.2007475&lt;/D&gt;&lt;D xsi:type="xsd:double"&gt;4.877758&lt;/D&gt;&lt;D xsi:type="xsd:double"&gt;4.30851&lt;/D&gt;&lt;D xsi:type="xsd:double"&gt;-1.4473915&lt;/D&gt;&lt;D xsi:type="xsd:double"&gt;-9.110981&lt;/D&gt;&lt;D xsi:type="xsd:double"&gt;-34.176125&lt;/D&gt;&lt;D xsi:type="xsd:double"&gt;-1.1161625&lt;/D&gt;&lt;D xsi:type="xsd:double"&gt;-20.325207&lt;/D&gt;&lt;D xsi:type="xsd:double"&gt;31.67218&lt;/D&gt;&lt;D xsi:type="xsd:double"&gt;7.7196&lt;/D&gt;&lt;D xsi:type="xsd:double"&gt;7.2589755&lt;/D&gt;&lt;D xsi:type="xsd:double"&gt;-11.390286&lt;/D&gt;&lt;D xsi:type="xsd:double"&gt;4.7115684&lt;/D&gt;&lt;D xsi:type="xsd:double"&gt;-1.2144327&lt;/D&gt;&lt;D xsi:type="xsd:double"&gt;14.101398&lt;/D&gt;&lt;D xsi:type="xsd:double"&gt;11.833466&lt;/D&gt;&lt;D xsi:type="xsd:double"&gt;11.52842&lt;/D&gt;&lt;D xsi:type="xsd:double"&gt;11.508047&lt;/D&gt;&lt;D xsi:type="xsd:double"&gt;-5.7247877&lt;/D&gt;&lt;D xsi:type="xsd:double"&gt;5.7610035&lt;/D&gt;&lt;D xsi:type="xsd:double"&gt;9.618044&lt;/D&gt;&lt;D xsi:type="xsd:double"&gt;6.054783&lt;/D&gt;&lt;D xsi:type="xsd:double"&gt;-7.3855877&lt;/D&gt;&lt;D xsi:type="xsd:double"&gt;4.7455907&lt;/D&gt;&lt;D xsi:type="xsd:double"&gt;13.545073&lt;/D&gt;&lt;D xsi:type="xsd:double"&gt;-0.8638382&lt;/D&gt;&lt;D xsi:type="xsd:double"&gt;-8.3817425&lt;/D&gt;&lt;D xsi:type="xsd:double"&gt;14.039862&lt;/D&gt;&lt;D xsi:type="xsd:double"&gt;12.39078&lt;/D&gt;&lt;D xsi:type="xsd:double"&gt;16.961134&lt;/D&gt;&lt;D xsi:type="xsd:double"&gt;1.7824769&lt;/D&gt;&lt;D xsi:type="xsd:double"&gt;3.6509395&lt;/D&gt;&lt;D xsi:type="xsd:double"&gt;11.197031&lt;/D&gt;&lt;D xsi:type="xsd:double"&gt;-19.727022&lt;/D&gt;&lt;D xsi:type="xsd:double"&gt;3.496945&lt;/D&gt;&lt;D xsi:type="xsd:double"&gt;-3.812766&lt;/D&gt;&lt;D xsi:type="xsd:double"&gt;1.730907&lt;/D&gt;&lt;D xsi:type="xsd:double"&gt;3.2403946&lt;/D&gt;&lt;D xsi:type="xsd:double"&gt;-12.120283&lt;/D&gt;&lt;D xsi:type="xsd:double"&gt;6.2849164&lt;/D&gt;&lt;D xsi:type="xsd:double"&gt;-1.4454663&lt;/D&gt;&lt;D xsi:type="xsd:double"&gt;-5.402666&lt;/D&gt;&lt;D xsi:type="xsd:double"&gt;9.305406&lt;/D&gt;&lt;D xsi:type="xsd:double"&gt;-12.991619&lt;/D&gt;&lt;D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xsi:type="xsd:string"&gt;@NA&lt;/D&gt;&lt;/FQL&gt;&lt;FQL&gt;&lt;Q&gt;DBA^FG_TOTAL_RETURNC(-10AY,0,AM)&lt;/Q&gt;&lt;R&gt;121&lt;/R&gt;&lt;C&gt;1&lt;/C&gt;&lt;D xsi:type="xsd:double"&gt;5.0700665&lt;/D&gt;&lt;D xsi:type="xsd:double"&gt;12.907028&lt;/D&gt;&lt;D xsi:type="xsd:double"&gt;-0.7644236&lt;/D&gt;&lt;D xsi:type="xsd:double"&gt;0.105047226&lt;/D&gt;&lt;D xsi:type="xsd:double"&gt;-3.0080497&lt;/D&gt;&lt;D xsi:type="xsd:double"&gt;-5.805981&lt;/D&gt;&lt;D xsi:type="xsd:double"&gt;-0.34456253&lt;/D&gt;&lt;D xsi:type="xsd:double"&gt;-2.0361125&lt;/D&gt;&lt;D xsi:type="xsd:double"&gt;3.686273&lt;/D&gt;&lt;D xsi:type="xsd:double"&gt;-2.042365&lt;/D&gt;&lt;D xsi:type="xsd:double"&gt;-2.702701&lt;/D&gt;&lt;D xsi:type="xsd:double"&gt;-3.0952394&lt;/D&gt;&lt;D xsi:type="xsd:double"&gt;-3.4807563&lt;/D&gt;&lt;D xsi:type="xsd:double"&gt;-6.3640237&lt;/D&gt;&lt;D xsi:type="xsd:double"&gt;0.27185678&lt;/D&gt;&lt;D xsi:type="xsd:double"&gt;1.1748791&lt;/D&gt;&lt;D xsi:type="xsd:double"&gt;-1.8311739&lt;/D&gt;&lt;D xsi:type="xsd:double"&gt;5.4595113&lt;/D&gt;&lt;D xsi:type="xsd:double"&gt;-7.7221813&lt;/D&gt;&lt;D xsi:type="xsd:double"&gt;-1.8232763&lt;/D&gt;&lt;D xsi:type="xsd:double"&gt;2.4285674&lt;/D&gt;&lt;D xsi:type="xsd:double"&gt;-5.1138997&lt;/D&gt;&lt;D xsi:type="xsd:double"&gt;0.39196014&lt;/D&gt;&lt;D xsi:type="xsd:double"&gt;-2.3914099&lt;/D&gt;&lt;D xsi:type="xsd:double"&gt;-1.4999986&lt;/D&gt;&lt;D xsi:type="xsd:double"&gt;5.68527&lt;/D&gt;&lt;D xsi:type="xsd:double"&gt;-2.3535073&lt;/D&gt;&lt;D xsi:type="xsd:double"&gt;4.623711&lt;/D&gt;&lt;D xsi:type="xsd:double"&gt;6.62905&lt;/D&gt;&lt;D xsi:type="xsd:double"&gt;-4.40917&lt;/D&gt;&lt;D xsi:type="xsd:double"&gt;-4.5202913&lt;/D&gt;&lt;D xsi:type="xsd:double"&gt;-2.9468656&lt;/D&gt;&lt;D xsi:type="xsd:double"&gt;-0.04977584&lt;/D&gt;&lt;D xsi:type="xsd:double"&gt;0.49800873&lt;/D&gt;&lt;D xsi:type="xsd:double"&gt;-0.2973199&lt;/D&gt;&lt;D xsi:type="xsd:double"&gt;3.0318022&lt;/D&gt;&lt;D xsi:type="xsd:double"&gt;-1.2542248&lt;/D&gt;&lt;D xsi:type="xsd:double"&gt;-2.0517826&lt;/D&gt;&lt;D xsi:type="xsd:double"&gt;-1.7456293&lt;/D&gt;&lt;D xsi:type="xsd:double"&gt;2.4365425&lt;/D&gt;&lt;D xsi:type="xsd:double"&gt;-1.7343938&lt;/D&gt;&lt;D xsi:type="xsd:double"&gt;0.6051421&lt;/D&gt;&lt;D xsi:type="xsd:double"&gt;-3.759396&lt;/D&gt;&lt;D xsi:type="xsd:double"&gt;-1.8229187&lt;/D&gt;&lt;D xsi:type="xsd:double"&gt;1.5384555&lt;/D&gt;&lt;D xsi:type="xsd:double"&gt;0.7837057&lt;/D&gt;&lt;D xsi:type="xsd:double"&gt;-5.3914013&lt;/D&gt;&lt;D xsi:type="xsd:double"&gt;1.6986251&lt;/D&gt;&lt;D xsi:type="xsd:double"&gt;2.0474195&lt;/D&gt;&lt;D xsi:type="xsd:double"&gt;2.3759127&lt;/D&gt;&lt;D xsi:type="xsd:double"&gt;-2.4755&lt;/D&gt;&lt;D xsi:type="xsd:double"&gt;0.21153688&lt;/D&gt;&lt;D xsi:type="xsd:double"&gt;-1.4775753&lt;/D&gt;&lt;D xsi:type="xsd:double"&gt;-7.016599&lt;/D&gt;&lt;D xsi:type="xsd:double"&gt;-1.6129076&lt;/D&gt;&lt;D xsi:type="xsd:double"&gt;0&lt;/D&gt;&lt;D xsi:type="xsd:double"&gt;2.7517557&lt;/D&gt;&lt;D xsi:type="xsd:double"&gt;-1.8233597&lt;/D&gt;&lt;D xsi:type="xsd:double"&gt;1.0446906&lt;/D&gt;&lt;D xsi:type="xsd:double"&gt;0.07476807&lt;/D&gt;&lt;D xsi:type="xsd:double"&gt;-2.2041738&lt;/D&gt;&lt;D xsi:type="xsd:double"&gt;-2.9062867&lt;/D&gt;&lt;D xsi:type="xsd:double"&gt;3.1154394&lt;/D&gt;&lt;D xsi:type="xsd:double"&gt;-7.8791437&lt;/D&gt;&lt;D xsi:type="xsd:double"&gt;7.845664&lt;/D&gt;&lt;D xsi:type="xsd:double"&gt;0.71555376&lt;/D&gt;&lt;D xsi:type="xsd:double"&gt;-10.124331&lt;/D&gt;&lt;D xsi:type="xsd:double"&gt;1.7127752&lt;/D&gt;&lt;D xsi:type="xsd:double"&gt;2.9792786&lt;/D&gt;&lt;D xsi:type="xsd:double"&gt;1.886797&lt;/D&gt;&lt;D xsi:type="xsd:double"&gt;2.098763&lt;/D&gt;&lt;D xsi:type="xsd:double"&gt;0.7217765&lt;/D&gt;&lt;D xsi:type="xsd:double"&gt;-2.987802&lt;/D&gt;&lt;D xsi:type="xsd:double"&gt;-10.433685&lt;/D&gt;&lt;D xsi:type="xsd:double"&gt;-4.7017574&lt;/D&gt;&lt;D xsi:type="xsd:double"&gt;-0.2209127&lt;/D&gt;&lt;D xsi:type="xsd:double"&gt;0.4428029&lt;/D&gt;&lt;D xsi:type="xsd:double"&gt;-1.2490809&lt;/D&gt;&lt;D xsi:type="xsd:double"&gt;6.25&lt;/D&gt;&lt;D xsi:type="xsd:double"&gt;4.0616274&lt;/D&gt;&lt;D xsi:type="xsd:double"&gt;-0.33646822&lt;/D&gt;&lt;D xsi:type="xsd:double"&gt;1.4179587&lt;/D&gt;&lt;D xsi:type="xsd:double"&gt;3.062582&lt;/D&gt;&lt;D xsi:type="xsd:double"&gt;5.4909587&lt;/D&gt;&lt;D xsi:type="xsd:double"&gt;2.2045374&lt;/D&gt;&lt;D xsi:type="xsd:double"&gt;3.6548734&lt;/D&gt;&lt;D xsi:type="xsd:double"&gt;-0.057792664&lt;/D&gt;&lt;D xsi:type="xsd:double"&gt;7.171774&lt;/D&gt;&lt;D xsi:type="xsd:double"&gt;2.7522922&lt;/D&gt;&lt;D xsi:type="xsd:double"&gt;-5.1470637&lt;/D&gt;&lt;D xsi:type="xsd:double"&gt;7.03212&lt;/D&gt;&lt;D xsi:type="xsd:double"&gt;-4.0869055&lt;/D&gt;&lt;D xsi:type="xsd:double"&gt;2.750802&lt;/D&gt;&lt;D xsi:type="xsd:double"&gt;3.674543&lt;/D&gt;&lt;D xsi:type="xsd:double"&gt;0.10126829&lt;/D&gt;&lt;D xsi:type="xsd:double"&gt;-0.35406947&lt;/D&gt;&lt;D xsi:type="xsd:double"&gt;7.106602&lt;/D&gt;&lt;D xsi:type="xsd:double"&gt;3.5071135&lt;/D&gt;&lt;D xsi:type="xsd:double"&gt;3.8461566&lt;/D&gt;&lt;D xsi:type="xsd:double"&gt;-2.204585&lt;/D&gt;&lt;D xsi:type="xsd:double"&gt;-1.8935978&lt;/D&gt;&lt;D xsi:type="xsd:double"&gt;-9.191179&lt;/D&gt;&lt;D xsi:type="xsd:double"&gt;4.554653&lt;/D&gt;&lt;D xsi:type="xsd:double"&gt;0.096809864&lt;/D&gt;&lt;D xsi:type="xsd:double"&gt;-2.4177969&lt;/D&gt;&lt;D xsi:type="xsd:double"&gt;-0.4955411&lt;/D&gt;&lt;D xsi:type="xsd:double"&gt;-1.1454165&lt;/D&gt;&lt;D xsi:type="xsd:double"&gt;-1.1297524&lt;/D&gt;&lt;D xsi:type="xsd:double"&gt;3.9426446&lt;/D&gt;&lt;D xsi:type="xsd:double"&gt;-1.8226564&lt;/D&gt;&lt;D xsi:type="xsd:double"&gt;4.7165155&lt;/D&gt;&lt;D xsi:type="xsd:double"&gt;-0.1916647&lt;/D&gt;&lt;D xsi:type="xsd:double"&gt;2.2563577&lt;/D&gt;&lt;D xsi:type="xsd:double"&gt;0.23474693&lt;/D&gt;&lt;D xsi:type="xsd:double"&gt;0.28102398&lt;/D&gt;&lt;D xsi:type="xsd:double"&gt;3.2695055&lt;/D&gt;&lt;D xsi:type="xsd:double"&gt;-1.809144&lt;/D&gt;&lt;D xsi:type="xsd:double"&gt;2.9940248&lt;/D&gt;&lt;D xsi:type="xsd:double"&gt;-2.8622627&lt;/D&gt;&lt;D xsi:type="xsd:double"&gt;-0.77477694&lt;/D&gt;&lt;D xsi:type="xsd:double"&gt;6.695771&lt;/D&gt;&lt;/FQL&gt;&lt;FQL&gt;&lt;Q&gt;QQQ^FG_TOTAL_RETURNC(-10AY,0,AM)&lt;/Q&gt;&lt;R&gt;121&lt;/R&gt;&lt;C&gt;1&lt;/C&gt;&lt;D xsi:type="xsd:double"&gt;4.208803&lt;/D&gt;&lt;D xsi:type="xsd:double"&gt;0.020480156&lt;/D&gt;&lt;D xsi:type="xsd:double"&gt;-5.572641&lt;/D&gt;&lt;D xsi:type="xsd:double"&gt;4.9696803&lt;/D&gt;&lt;D xsi:type="xsd:double"&gt;4.5645&lt;/D&gt;&lt;D xsi:type="xsd:double"&gt;3.472495&lt;/D&gt;&lt;D xsi:type="xsd:double"&gt;1.2175918&lt;/D&gt;&lt;D xsi:type="xsd:double"&gt;3.1629205&lt;/D&gt;&lt;D xsi:type="xsd:double"&gt;-6.331831&lt;/D&gt;&lt;D xsi:type="xsd:double"&gt;10.692776&lt;/D&gt;&lt;D xsi:type="xsd:double"&gt;-0.22352338&lt;/D&gt;&lt;D xsi:type="xsd:double"&gt;-0.7534504&lt;/D&gt;&lt;D xsi:type="xsd:double"&gt;5.3093076&lt;/D&gt;&lt;D xsi:type="xsd:double"&gt;-1.4685333&lt;/D&gt;&lt;D xsi:type="xsd:double"&gt;2.264738&lt;/D&gt;&lt;D xsi:type="xsd:double"&gt;0.4838109&lt;/D&gt;&lt;D xsi:type="xsd:double"&gt;0.6944418&lt;/D&gt;&lt;D xsi:type="xsd:double"&gt;0.9594083&lt;/D&gt;&lt;D xsi:type="xsd:double"&gt;0.7303238&lt;/D&gt;&lt;D xsi:type="xsd:double"&gt;-4.323&lt;/D&gt;&lt;D xsi:type="xsd:double"&gt;0.7500887&lt;/D&gt;&lt;D xsi:type="xsd:double"&gt;3.524971&lt;/D&gt;&lt;D xsi:type="xsd:double"&gt;0.86489916&lt;/D&gt;&lt;D xsi:type="xsd:double"&gt;-7.7375116&lt;/D&gt;&lt;D xsi:type="xsd:double"&gt;-3.807658&lt;/D&gt;&lt;D xsi:type="xsd:double"&gt;8.6411&lt;/D&gt;&lt;D xsi:type="xsd:double"&gt;4.4588923&lt;/D&gt;&lt;D xsi:type="xsd:double"&gt;-4.8778296&lt;/D&gt;&lt;D xsi:type="xsd:double"&gt;2.3980975&lt;/D&gt;&lt;D xsi:type="xsd:double"&gt;3.2300234&lt;/D&gt;&lt;D xsi:type="xsd:double"&gt;5.3767323&lt;/D&gt;&lt;D xsi:type="xsd:double"&gt;-1.6296923&lt;/D&gt;&lt;D xsi:type="xsd:double"&gt;1.7374873&lt;/D&gt;&lt;D xsi:type="xsd:double"&gt;-1.025641&lt;/D&gt;&lt;D xsi:type="xsd:double"&gt;4.024172&lt;/D&gt;&lt;D xsi:type="xsd:double"&gt;2.5448322&lt;/D&gt;&lt;D xsi:type="xsd:double"&gt;4.011047&lt;/D&gt;&lt;D xsi:type="xsd:double"&gt;2.7400374&lt;/D&gt;&lt;D xsi:type="xsd:double"&gt;-0.7131219&lt;/D&gt;&lt;D xsi:type="xsd:double"&gt;6.2883496&lt;/D&gt;&lt;D xsi:type="xsd:double"&gt;1.2698412&lt;/D&gt;&lt;D xsi:type="xsd:double"&gt;0.73827505&lt;/D&gt;&lt;D xsi:type="xsd:double"&gt;0.7730007&lt;/D&gt;&lt;D xsi:type="xsd:double"&gt;3.040111&lt;</t>
        </r>
      </text>
    </comment>
    <comment ref="A9" authorId="0" shapeId="0" xr:uid="{CEFB82D7-2DC3-4AF5-B7E7-2E61C5F167B1}">
      <text>
        <r>
          <rPr>
            <b/>
            <sz val="9"/>
            <color indexed="81"/>
            <rFont val="Tahoma"/>
            <family val="2"/>
          </rPr>
          <t>/D&gt;&lt;D xsi:type="xsd:double"&gt;1.5336037&lt;/D&gt;&lt;D xsi:type="xsd:double"&gt;3.7279248&lt;/D&gt;&lt;D xsi:type="xsd:double"&gt;1.3777971&lt;/D&gt;&lt;D xsi:type="xsd:double"&gt;5.668032&lt;/D&gt;&lt;D xsi:type="xsd:double"&gt;-2.9181123&lt;/D&gt;&lt;D xsi:type="xsd:double"&gt;7.527089&lt;/D&gt;&lt;D xsi:type="xsd:double"&gt;-5.8662534&lt;/D&gt;&lt;D xsi:type="xsd:double"&gt;5.0133348&lt;/D&gt;&lt;D xsi:type="xsd:double"&gt;3.7531018&lt;/D&gt;&lt;D xsi:type="xsd:double"&gt;2.3746014&lt;/D&gt;&lt;D xsi:type="xsd:double"&gt;0.39530993&lt;/D&gt;&lt;D xsi:type="xsd:double"&gt;2.3347378&lt;/D&gt;&lt;D xsi:type="xsd:double"&gt;-5.363578&lt;/D&gt;&lt;D xsi:type="xsd:double"&gt;-4.5032144&lt;/D&gt;&lt;D xsi:type="xsd:double"&gt;-0.8229673&lt;/D&gt;&lt;D xsi:type="xsd:double"&gt;-2.3858309&lt;/D&gt;&lt;D xsi:type="xsd:double"&gt;6.422293&lt;/D&gt;&lt;D xsi:type="xsd:double"&gt;3.5085678&lt;/D&gt;&lt;D xsi:type="xsd:double"&gt;5.1735163&lt;/D&gt;&lt;D xsi:type="xsd:double"&gt;-3.901416&lt;/D&gt;&lt;D xsi:type="xsd:double"&gt;2.710271&lt;/D&gt;&lt;D xsi:type="xsd:double"&gt;5.744982&lt;/D&gt;&lt;D xsi:type="xsd:double"&gt;-2.6559174&lt;/D&gt;&lt;D xsi:type="xsd:double"&gt;2.2028685&lt;/D&gt;&lt;D xsi:type="xsd:double"&gt;-0.5425453&lt;/D&gt;&lt;D xsi:type="xsd:double"&gt;5.4837465&lt;/D&gt;&lt;D xsi:type="xsd:double"&gt;2.7779222&lt;/D&gt;&lt;D xsi:type="xsd:double"&gt;6.8716526&lt;/D&gt;&lt;D xsi:type="xsd:double"&gt;5.8927417&lt;/D&gt;&lt;D xsi:type="xsd:double"&gt;-17.792881&lt;/D&gt;&lt;D xsi:type="xsd:double"&gt;5.782461&lt;/D&gt;&lt;D xsi:type="xsd:double"&gt;8.033299&lt;/D&gt;&lt;D xsi:type="xsd:double"&gt;7.54081&lt;/D&gt;&lt;D xsi:type="xsd:double"&gt;9.795057&lt;/D&gt;&lt;D xsi:type="xsd:double"&gt;5.3918123&lt;/D&gt;&lt;D xsi:type="xsd:double"&gt;-0.7450104&lt;/D&gt;&lt;D xsi:type="xsd:double"&gt;9.0580225&lt;/D&gt;&lt;D xsi:type="xsd:double"&gt;-1.2189329&lt;/D&gt;&lt;D xsi:type="xsd:double"&gt;3.7534833&lt;/D&gt;&lt;D xsi:type="xsd:double"&gt;4.8912644&lt;/D&gt;&lt;D xsi:type="xsd:double"&gt;6.458044&lt;/D&gt;&lt;D xsi:type="xsd:double"&gt;-6.238675&lt;/D&gt;&lt;D xsi:type="xsd:double"&gt;8.103073&lt;/D&gt;&lt;D xsi:type="xsd:double"&gt;-6.2419295&lt;/D&gt;&lt;D xsi:type="xsd:double"&gt;6.857896&lt;/D&gt;&lt;D xsi:type="xsd:double"&gt;6.329155&lt;/D&gt;&lt;D xsi:type="xsd:double"&gt;1.7659068&lt;/D&gt;&lt;D xsi:type="xsd:double"&gt;2.0362139&lt;/D&gt;&lt;D xsi:type="xsd:double"&gt;-4.231&lt;/D&gt;&lt;D xsi:type="xsd:double"&gt;9.638893&lt;/D&gt;&lt;D xsi:type="xsd:double"&gt;-0.6181896&lt;/D&gt;&lt;D xsi:type="xsd:double"&gt;-3.5977483&lt;/D&gt;&lt;D xsi:type="xsd:double"&gt;-8.1025305&lt;/D&gt;&lt;D xsi:type="xsd:double"&gt;-6.5291286&lt;/D&gt;&lt;D xsi:type="xsd:double"&gt;6.898606&lt;/D&gt;&lt;D xsi:type="xsd:double"&gt;-12.8222885&lt;/D&gt;&lt;D xsi:type="xsd:double"&gt;-8.786511&lt;/D&gt;&lt;D xsi:type="xsd:double"&gt;3.9126992&lt;/D&gt;&lt;D xsi:type="xsd:double"&gt;15.662527&lt;/D&gt;&lt;D xsi:type="xsd:double"&gt;-11.105061&lt;/D&gt;&lt;D xsi:type="xsd:double"&gt;-8.308154&lt;/D&gt;&lt;D xsi:type="xsd:double"&gt;7.1200013&lt;/D&gt;&lt;D xsi:type="xsd:double"&gt;0.2396226&lt;/D&gt;&lt;D xsi:type="xsd:double"&gt;-2.4241567&lt;/D&gt;&lt;D xsi:type="xsd:double"&gt;8.374559&lt;/D&gt;&lt;D xsi:type="xsd:double"&gt;-4.5353055&lt;/D&gt;&lt;D xsi:type="xsd:double"&gt;9.966839&lt;/D&gt;&lt;D xsi:type="xsd:double"&gt;1.8360019&lt;/D&gt;&lt;D xsi:type="xsd:double"&gt;11.761999&lt;/D&gt;&lt;D xsi:type="xsd:double"&gt;4.5176506&lt;/D&gt;&lt;D xsi:type="xsd:double"&gt;-3.4049869&lt;/D&gt;&lt;D xsi:type="xsd:double"&gt;2.1761656&lt;/D&gt;&lt;D xsi:type="xsd:double"&gt;-2.2453249&lt;/D&gt;&lt;D xsi:type="xsd:double"&gt;3.2659888&lt;/D&gt;&lt;D xsi:type="xsd:double"&gt;7.033217&lt;/D&gt;&lt;D xsi:type="xsd:double"&gt;1.6962409&lt;/D&gt;&lt;D xsi:type="xsd:double"&gt;4.636681&lt;/D&gt;&lt;/FQL&gt;&lt;FQL&gt;&lt;Q&gt;UUP^FG_TOTAL_RETURNC(-10AY,0,AM)&lt;/Q&gt;&lt;R&gt;121&lt;/R&gt;&lt;C&gt;1&lt;/C&gt;&lt;D xsi:type="xsd:double"&gt;-0.4162848&lt;/D&gt;&lt;D xsi:type="xsd:double"&gt;-0.9289384&lt;/D&gt;&lt;D xsi:type="xsd:double"&gt;-0.2812922&lt;/D&gt;&lt;D xsi:type="xsd:double"&gt;0.7052183&lt;/D&gt;&lt;D xsi:type="xsd:double"&gt;0.56022406&lt;/D&gt;&lt;D xsi:type="xsd:double"&gt;-0.74281096&lt;/D&gt;&lt;D xsi:type="xsd:double"&gt;1.730597&lt;/D&gt;&lt;D xsi:type="xsd:double"&gt;3.1264424&lt;/D&gt;&lt;D xsi:type="xsd:double"&gt;1.3374925&lt;/D&gt;&lt;D xsi:type="xsd:double"&gt;2.5516987&lt;/D&gt;&lt;D xsi:type="xsd:double"&gt;0.5148053&lt;/D&gt;&lt;D xsi:type="xsd:double"&gt;4.353392&lt;/D&gt;&lt;D xsi:type="xsd:double"&gt;1.8813848&lt;/D&gt;&lt;D xsi:type="xsd:double"&gt;6.3428283&lt;/D&gt;&lt;D xsi:type="xsd:double"&gt;-1.0570049&lt;/D&gt;&lt;D xsi:type="xsd:double"&gt;-6.028235&lt;/D&gt;&lt;D xsi:type="xsd:double"&gt;1.0556221&lt;/D&gt;&lt;D xsi:type="xsd:double"&gt;1.8481374&lt;/D&gt;&lt;D xsi:type="xsd:double"&gt;-0.7100582&lt;/D&gt;&lt;D xsi:type="xsd:double"&gt;-1.3508141&lt;/D&gt;&lt;D xsi:type="xsd:double"&gt;-0.6846547&lt;/D&gt;&lt;D xsi:type="xsd:double"&gt;4.4606686&lt;/D&gt;&lt;D xsi:type="xsd:double"&gt;-1.5916169&lt;/D&gt;&lt;D xsi:type="xsd:double"&gt;1.3017774&lt;/D&gt;&lt;D xsi:type="xsd:double"&gt;-2.9595017&lt;/D&gt;&lt;D xsi:type="xsd:double"&gt;0.12038946&lt;/D&gt;&lt;D xsi:type="xsd:double"&gt;-1.60321&lt;/D&gt;&lt;D xsi:type="xsd:double"&gt;-0.24439692&lt;/D&gt;&lt;D xsi:type="xsd:double"&gt;-0.20416379&lt;/D&gt;&lt;D xsi:type="xsd:double"&gt;1.9639969&lt;/D&gt;&lt;D xsi:type="xsd:double"&gt;-0.6821811&lt;/D&gt;&lt;D xsi:type="xsd:double"&gt;-0.20201802&lt;/D&gt;&lt;D xsi:type="xsd:double"&gt;2.1457434&lt;/D&gt;&lt;D xsi:type="xsd:double"&gt;1.4268756&lt;/D&gt;&lt;D xsi:type="xsd:double"&gt;2.0711184&lt;/D&gt;&lt;D xsi:type="xsd:double"&gt;0.15313625&lt;/D&gt;&lt;D xsi:type="xsd:double"&gt;-0.26758313&lt;/D&gt;&lt;D xsi:type="xsd:double"&gt;0.38329363&lt;/D&gt;&lt;D xsi:type="xsd:double"&gt;-0.80183744&lt;/D&gt;&lt;D xsi:type="xsd:double"&gt;-1.4241695&lt;/D&gt;&lt;D xsi:type="xsd:double"&gt;-2.069509&lt;/D&gt;&lt;D xsi:type="xsd:double"&gt;-1.2360454&lt;/D&gt;&lt;D xsi:type="xsd:double"&gt;-2.6645124&lt;/D&gt;&lt;D xsi:type="xsd:double"&gt;-0.49772263&lt;/D&gt;&lt;D xsi:type="xsd:double"&gt;0.7920027&lt;/D&gt;&lt;D xsi:type="xsd:double"&gt;1.571548&lt;/D&gt;&lt;D xsi:type="xsd:double"&gt;-1.0179162&lt;/D&gt;&lt;D xsi:type="xsd:double"&gt;-2.3759902&lt;/D&gt;&lt;D xsi:type="xsd:double"&gt;-1.2652874&lt;/D&gt;&lt;D xsi:type="xsd:double"&gt;0.21357536&lt;/D&gt;&lt;D xsi:type="xsd:double"&gt;0.3410101&lt;/D&gt;&lt;D xsi:type="xsd:double"&gt;3.3135056&lt;/D&gt;&lt;D xsi:type="xsd:double"&gt;1.4391422&lt;/D&gt;&lt;D xsi:type="xsd:double"&gt;1.3376594&lt;/D&gt;&lt;D xsi:type="xsd:double"&gt;1.9600034&lt;/D&gt;&lt;D xsi:type="xsd:double"&gt;-1.5692413&lt;/D&gt;&lt;D xsi:type="xsd:double"&gt;0.9565592&lt;/D&gt;&lt;D xsi:type="xsd:double"&gt;2.3687363&lt;/D&gt;&lt;D xsi:type="xsd:double"&gt;0.038564205&lt;/D&gt;&lt;D xsi:type="xsd:double"&gt;-1.1803806&lt;/D&gt;&lt;D xsi:type="xsd:double"&gt;2.0110369&lt;/D&gt;&lt;D xsi:type="xsd:double"&gt;-0.4252076&lt;/D&gt;&lt;D xsi:type="xsd:double"&gt;0.7763982&lt;/D&gt;&lt;D xsi:type="xsd:double"&gt;0.73189735&lt;/D&gt;&lt;D xsi:type="xsd:double"&gt;0.07648468&lt;/D&gt;&lt;D xsi:type="xsd:double"&gt;0.076425076&lt;/D&gt;&lt;D xsi:type="xsd:double"&gt;1.4127493&lt;/D&gt;&lt;D xsi:type="xsd:double"&gt;0.6024122&lt;/D&gt;&lt;D xsi:type="xsd:double"&gt;0.37425756&lt;/D&gt;&lt;D xsi:type="xsd:double"&gt;0.26099682&lt;/D&gt;&lt;D xsi:type="xsd:double"&gt;-0.8553326&lt;/D&gt;&lt;D xsi:type="xsd:double"&gt;0.32001734&lt;/D&gt;&lt;D xsi:type="xsd:double"&gt;2.0976424&lt;/D&gt;&lt;D xsi:type="xsd:double"&gt;2.502799&lt;/D&gt;&lt;D xsi:type="xsd:double"&gt;-1.9314885&lt;/D&gt;&lt;D xsi:type="xsd:double"&gt;0.8175373&lt;/D&gt;&lt;D xsi:type="xsd:double"&gt;-3.2067776&lt;/D&gt;&lt;D xsi:type="xsd:double"&gt;-0.7235348&lt;/D&gt;&lt;D xsi:type="xsd:double"&gt;-3.2604516&lt;/D&gt;&lt;D xsi:type="xsd:double"&gt;-0.158602&lt;/D&gt;&lt;D xsi:type="xsd:double"&gt;0.3177166&lt;/D&gt;&lt;D xsi:type="xsd:double"&gt;-0.9105265&lt;/D&gt;&lt;D xsi:type="xsd:double"&gt;-1.957649&lt;/D&gt;&lt;D xsi:type="xsd:double"&gt;-0.692749&lt;/D&gt;&lt;D xsi:type="xsd:double"&gt;0.082063675&lt;/D&gt;&lt;D xsi:type="xsd:double"&gt;1.2300134&lt;/D&gt;&lt;D xsi:type="xsd:double"&gt;0.08100271&lt;/D&gt;&lt;D xsi:type="xsd:double"&gt;-1.2950182&lt;/D&gt;&lt;D xsi:type="xsd:double"&gt;-0.16399622&lt;/D&gt;&lt;D xsi:type="xsd:double"&gt;2.464068&lt;/D&gt;&lt;D xsi:type="xsd:double"&gt;-0.36072135&lt;/D&gt;&lt;D xsi:type="xsd:double"&gt;0.040221214&lt;/D&gt;&lt;D xsi:type="xsd:double"&gt;1.4475226&lt;/D&gt;&lt;D xsi:type="xsd:double"&gt;1.0701537&lt;/D&gt;&lt;D xsi:type="xsd:double"&gt;1.2941122&lt;/D&gt;&lt;D xsi:type="xsd:double"&gt;-1.5485883&lt;/D&gt;&lt;D xsi:type="xsd:double"&gt;1.1403799&lt;/D&gt;&lt;D xsi:type="xsd:double"&gt;3.0715466&lt;/D&gt;&lt;D xsi:type="xsd:double"&gt;0.7544279&lt;/D&gt;&lt;D xsi:type="xsd:double"&gt;4.717338&lt;/D&gt;&lt;D xsi:type="xsd:double"&gt;0.4647851&lt;/D&gt;&lt;D xsi:type="xsd:double"&gt;2.5978684&lt;/D&gt;&lt;D xsi:type="xsd:double"&gt;-2.0117939&lt;/D&gt;&lt;D xsi:type="xsd:double"&gt;4.2123914&lt;/D&gt;&lt;D xsi:type="xsd:double"&gt;2.7513623&lt;/D&gt;&lt;D xsi:type="xsd:double"&gt;-5.2892566&lt;/D&gt;&lt;D xsi:type="xsd:double"&gt;-1.8150091&lt;/D&gt;&lt;D xsi:type="xsd:double"&gt;-1.4883399&lt;/D&gt;&lt;D xsi:type="xsd:double"&gt;1.5653491&lt;/D&gt;&lt;D xsi:type="xsd:double"&gt;0.6810069&lt;/D&gt;&lt;D xsi:type="xsd:double"&gt;-2.0291924&lt;/D&gt;&lt;D xsi:type="xsd:double"&gt;2.1075606&lt;/D&gt;&lt;D xsi:type="xsd:double"&gt;1.0676146&lt;/D&gt;&lt;D xsi:type="xsd:double"&gt;-2.922535&lt;/D&gt;&lt;D xsi:type="xsd:double"&gt;3.6271334&lt;/D&gt;&lt;D xsi:type="xsd:double"&gt;2.4151206&lt;/D&gt;&lt;D xsi:type="xsd:double"&gt;2.2898197&lt;/D&gt;&lt;D xsi:type="xsd:double"&gt;-0.43435097&lt;/D&gt;&lt;D xsi:type="xsd:double"&gt;-2.1140933&lt;/D&gt;&lt;D xsi:type="xsd:double"&gt;0.11160374&lt;/D&gt;&lt;D xsi:type="xsd:double"&gt;2.8779507&lt;/D&gt;&lt;/FQL&gt;&lt;FQL&gt;&lt;Q&gt;GLD^FG_TOTAL_RETURNC(-10AY,0,AM)&lt;/Q&gt;&lt;R&gt;121&lt;/R&gt;&lt;C&gt;1&lt;/C&gt;&lt;D xsi:type="xsd:double"&gt;3.6936045&lt;/D&gt;&lt;D xsi:type="xsd:double"&gt;5.3550124&lt;/D&gt;&lt;D xsi:type="xsd:double"&gt;-3.9936483&lt;/D&gt;&lt;D xsi:type="xsd:double"&gt;-1.8356562&lt;/D&gt;&lt;D xsi:type="xsd:double"&gt;-1.3162136&lt;/D&gt;&lt;D xsi:type="xsd:double"&gt;4.7332406&lt;/D&gt;&lt;D xsi:type="xsd:double"&gt;-2.0034194&lt;/D&gt;&lt;D xsi:type="xsd:double"&gt;-6.196511&lt;/D&gt;&lt;D xsi:type="xsd:double"&gt;0.118267536&lt;/D&gt;&lt;D xsi:type="xsd:double"&gt;-5.779612&lt;/D&gt;&lt;D xsi:type="xsd:double"&gt;5.1401496&lt;/D&gt;&lt;D xsi:type="xsd:double"&gt;0.638783&lt;/D&gt;&lt;D xsi:type="xsd:double"&gt;-0.15233755&lt;/D&gt;&lt;D xsi:type="xsd:double"&gt;-6.0179768&lt;/D&gt;&lt;D xsi:type="xsd:double"&gt;3.8419962&lt;/D&gt;&lt;D xsi:type="xsd:double"&gt;1.2246013&lt;/D&gt;&lt;D xsi:type="xsd:double"&gt;-2.8485596&lt;/D&gt;&lt;D xsi:type="xsd:double"&gt;-1.9782782&lt;/D&gt;&lt;D xsi:type="xsd:double"&gt;-3.7210524&lt;/D&gt;&lt;D xsi:type="xsd:double"&gt;-0.655061&lt;/D&gt;&lt;D xsi:type="xsd:double"&gt;5.369246&lt;/D&gt;&lt;D xsi:type="xsd:double"&gt;-7.4199915&lt;/D&gt;&lt;D xsi:type="xsd:double"&gt;-0.43452978&lt;/D&gt;&lt;D xsi:type="xsd:double"&gt;1.561439&lt;/D&gt;&lt;D xsi:type="xsd:double"&gt;13.025212&lt;/D&gt;&lt;D xsi:type="xsd:double"&gt;0.8871317&lt;/D&gt;&lt;D xsi:type="xsd:double"&gt;-0.5359769&lt;/D&gt;&lt;D xsi:type="xsd:double"&gt;2.475369&lt;/D&gt;&lt;D xsi:type="xsd:double"&gt;0.7641077&lt;/D&gt;&lt;D xsi:type="xsd:double"&gt;4.631448&lt;/D&gt;&lt;D xsi:type="xsd:double"&gt;-0.71696043&lt;/D&gt;&lt;D xsi:type="xsd:double"&gt;-1.2951374&lt;/D&gt;&lt;D xsi:type="xsd:double"&gt;-4.548711&lt;/D&gt;&lt;D xsi:type="xsd:double"&gt;-2.4410546&lt;/D&gt;&lt;D xsi:type="xsd:double"&gt;-5.6789103&lt;/D&gt;&lt;D xsi:type="xsd:double"&gt;3.4042597&lt;/D&gt;&lt;D xsi:type="xsd:double"&gt;2.267754&lt;/D&gt;&lt;D xsi:type="xsd:double"&gt;-1.7637014&lt;/D&gt;&lt;D xsi:type="xsd:double"&gt;6.8502665&lt;/D&gt;&lt;D xsi:type="xsd:double"&gt;-4.706359&lt;/D&gt;&lt;D xsi:type="xsd:double"&gt;3.1242013&lt;/D&gt;&lt;D xsi:type="xsd:double"&gt;-3.8678646&lt;/D&gt;&lt;D xsi:type="xsd:double"&gt;6.017959&lt;/D&gt;&lt;D xsi:type="xsd:double"&gt;2.2966027&lt;/D&gt;&lt;D xsi:type="xsd:double"&gt;-1.4250457&lt;/D&gt;&lt;D xsi:type="xsd:double"&gt;-2.027136&lt;/D&gt;&lt;D xsi:type="xsd:double"&gt;-1.764077&lt;/D&gt;&lt;D xsi:type="xsd:double"&gt;6.536877&lt;/D&gt;&lt;D xsi:type="xsd:double"&gt;-0.6931305&lt;/D&gt;&lt;D xsi:type="xsd:double"&gt;-0.2379477&lt;/D&gt;&lt;D xsi:type="xsd:double"&gt;1.3277173&lt;/D&gt;&lt;D xsi:type="xsd:double"&gt;-1.9223213&lt;/D&gt;&lt;D xsi:type="xsd:double"&gt;-1.4479995&lt;/D&gt;&lt;D xsi:type="xsd:double"&gt;-4.5295897&lt;/D&gt;&lt;D xsi:type="xsd:double"&gt;-3.953749&lt;/D&gt;&lt;D xsi:type="xsd:double"&gt;0.7082224&lt;/D&gt;&lt;D xsi:type="xsd:double"&gt;1.2921929&lt;/D&gt;&lt;D xsi:type="xsd:double"&gt;-1.3277829&lt;/D&gt;&lt;D xsi:type="xsd:double"&gt;3.3685207&lt;/D&gt;&lt;D xsi:type="xsd:double"&gt;3.6331177&lt;/D&gt;&lt;D xsi:type="xsd:double"&gt;1.2889981&lt;/D&gt;&lt;D xsi:type="xsd:double"&gt;0.38095713&lt;/D&gt;&lt;D xsi:type="xsd:double"&gt;-1.6230583&lt;/D&gt;&lt;D xsi:type="xsd:double"&gt;0.6894827&lt;/D&gt;&lt;D xsi:type="xsd:double"&gt;3.203714&lt;/D&gt;&lt;D xsi:type="xsd:double"&gt;5.4739356&lt;/D&gt;&lt;D xsi:type="xsd:double"&gt;6.178391&lt;/D&gt;&lt;D xsi:type="xsd:double"&gt;-1.1496723&lt;/D&gt;&lt;D xsi:type="xsd:double"&gt;-0.08561611&lt;/D&gt;&lt;D xsi:type="xsd:double"&gt;-1.4639735&lt;/D&gt;&lt;D xsi:type="xsd:double"&gt;0.7754803&lt;/D&gt;&lt;D xsi:type="xsd:double"&gt;4.8687577&lt;/D&gt;&lt;D xsi:type="xsd:double"&gt;1.7555833&lt;/D&gt;&lt;D xsi:type="xsd:double"&gt;-3.4371257&lt;/D&gt;&lt;D xsi:type="xsd:double"&gt;12.653553&lt;/D&gt;&lt;D xsi:type="xsd:double"&gt;0.10532141&lt;/D&gt;&lt;D xsi:type="xsd:double"&gt;0.6436348&lt;/D&gt;&lt;D xsi:type="xsd:double"&gt;4.1692257&lt;/D&gt;&lt;D xsi:type="xsd:double"&gt;8.223141&lt;/D&gt;&lt;D xsi:type="xsd:double"&gt;-0.4800141&lt;/D&gt;&lt;D xsi:type="xsd:double"&gt;-2.5924861&lt;/D&gt;&lt;D xsi:type="xsd:double"&gt;-0.31509995&lt;/D&gt;&lt;D xsi:type="xsd:double"&gt;-2.6360333&lt;/D&gt;&lt;D xsi:type="xsd:double"&gt;0.5101681&lt;/D&gt;&lt;D xsi:type="xsd:double"&gt;-1.5458226&lt;/D&gt;&lt;D xsi:type="xsd:double"&gt;-5.389887&lt;/D&gt;&lt;D xsi:type="xsd:double"&gt;1.2013078&lt;/D&gt;&lt;D xsi:type="xsd:double"&gt;4.7115088&lt;/D&gt;&lt;D xsi:type="xsd:double"&gt;2.6938558&lt;/D&gt;&lt;D xsi:type="xsd:double"&gt;-3.7100255&lt;/D&gt;&lt;D xsi:type="xsd:double"&gt;-1.6723812&lt;/D&gt;&lt;D xsi:type="xsd:double"&gt;0.81135035&lt;/D&gt;&lt;D xsi:type="xsd:double"&gt;-0.08943081&lt;/D&gt;&lt;D xsi:type="xsd:double"&gt;4.093325&lt;/D&gt;&lt;D xsi:type="xsd:double"&gt;-4.2705655&lt;/D&gt;&lt;D xsi:type="xsd:double"&gt;1.892221&lt;/D&gt;&lt;D xsi:type="xsd:double"&gt;2.14504&lt;/D&gt;&lt;D xsi:type="xsd:double"&gt;6.489849&lt;/D&gt;&lt;D xsi:type="xsd:double"&gt;-0.2377212&lt;/D&gt;&lt;D xsi:type="xsd:double"&gt;-8.589226&lt;/D&gt;&lt;D xsi:type="xsd:double"&gt;0.67539215&lt;/D&gt;&lt;D xsi:type="xsd:double"&gt;-4.902011&lt;/D&gt;&lt;D xsi:type="xsd:double"&gt;3.8799405&lt;/D&gt;&lt;D xsi:type="xsd:double"&gt;-5.557871&lt;/D&gt;&lt;D xsi:type="xsd:double"&gt;-2.289635&lt;/D&gt;&lt;D xsi:type="xsd:double"&gt;6.2294245&lt;/D&gt;&lt;D xsi:type="xsd:double"&gt;2.4003386&lt;/D&gt;&lt;D xsi:type="xsd:double"&gt;6.0827255&lt;/D&gt;&lt;D xsi:type="xsd:double"&gt;-3.5130918&lt;/D&gt;&lt;D xsi:type="xsd:double"&gt;3.1192064&lt;/D&gt;&lt;D xsi:type="xsd:double"&gt;6.6681623&lt;/D&gt;&lt;D xsi:type="xsd:double"&gt;-1.5338421&lt;/D&gt;&lt;D xsi:type="xsd:double"&gt;-3.3563554&lt;/D&gt;&lt;D xsi:type="xsd:double"&gt;0.8142233&lt;/D&gt;&lt;D xsi:type="xsd:double"&gt;-2.4229348&lt;/D&gt;&lt;D xsi:type="xsd:double"&gt;-0.2927959&lt;/D&gt;&lt;D xsi:type="xsd:double"&gt;0.98825693&lt;/D&gt;&lt;D xsi:type="xsd:double"&gt;0.9394407&lt;/D&gt;&lt;D xsi:type="xsd:double"&gt;3.944385&lt;/D&gt;&lt;D xsi:type="xsd:double"&gt;1.108563&lt;/D&gt;&lt;D xsi:type="xsd:double"&gt;-2.7304888&lt;/D&gt;&lt;/FQL&gt;&lt;FQL&gt;&lt;Q&gt;SPY^FG_TOTAL_RETURNC(-10AY,0,AM)&lt;/Q&gt;&lt;R&gt;121&lt;/R&gt;&lt;C&gt;1&lt;/C&gt;&lt;D xsi:type="xsd:double"&gt;0.7292867&lt;/D&gt;&lt;D xsi:type="xsd:double"&gt;1.1857271&lt;/D&gt;&lt;D xsi:type="xsd:double"&gt;-1.5477657&lt;/D&gt;&lt;D xsi:type="xsd:double"&gt;4.655397&lt;/D&gt;&lt;D xsi:type="xsd:double"&gt;2.1952033&lt;/D&gt;&lt;D xsi:type="xsd:double"&gt;1.7616391&lt;/D&gt;&lt;D xsi:type="xsd:double"&gt;-0.9002626&lt;/D&gt;&lt;D xsi:type="xsd:double"&gt;2.2018075&lt;/D&gt;&lt;D xsi:type="xsd:double"&gt;-5.445242&lt;/D&gt;&lt;D xsi:type="xsd:double"&gt;8.953691&lt;/D&gt;&lt;D xsi:type="xsd:double"&gt;-1.6161442&lt;/D&gt;&lt;D xsi:type="xsd:double"&gt;1.1451602&lt;/D&gt;&lt;D xsi:type="xsd:double"&gt;3.81037&lt;/D&gt;&lt;D xsi:type="xsd:double"&gt;-1.8842638&lt;/D&gt;&lt;D xsi:type="xsd:double"&gt;2.0346045&lt;/D&gt;&lt;D xsi:type="xsd:double"&gt;0.4447937&lt;/D&gt;&lt;D xsi:type="xsd:double"&gt;-0.0047683716&lt;/D&gt;&lt;D xsi:type="xsd:double"&gt;0.37379265&lt;/D&gt;&lt;D xsi:type="xsd:double"&gt;-0.52915215&lt;/D&gt;&lt;D xsi:type="xsd:double"&gt;-5.7126403&lt;/D&gt;&lt;D xsi:type="xsd:double"&gt;2.3222566&lt;/D&gt;&lt;D xsi:type="xsd:double"&gt;1.1435628&lt;/D&gt;&lt;D xsi:type="xsd:double"&gt;-0.3258586&lt;/D&gt;&lt;D xsi:type="xsd:double"&gt;-5.897677&lt;/D&gt;&lt;D xsi:type="xsd:double"&gt;-1.1650681&lt;/D&gt;&lt;D xsi:type="xsd:double"&gt;8.642769&lt;/D&gt;&lt;D xsi:type="xsd:double"&gt;3.1115532&lt;/D&gt;&lt;D xsi:type="xsd:double"&gt;-1.5580714&lt;/D&gt;&lt;D xsi:type="xsd:double"&gt;1.8017292&lt;/D&gt;&lt;D xsi:type="xsd:double"&gt;3.6426663&lt;/D&gt;&lt;D xsi:type="xsd:double"&gt;1.6471267&lt;/D&gt;&lt;D xsi:type="xsd:double"&gt;-2.3940384&lt;/D&gt;&lt;D xsi:type="xsd:double"&gt;0.40344&lt;/D&gt;&lt;D xsi:type="xsd:double"&gt;1.6008615&lt;/D&gt;&lt;D xsi:type="xsd:double"&gt;5.2398086&lt;/D&gt;&lt;D xsi:type="xsd:double"&gt;0.27695894&lt;/D&gt;&lt;D xsi:type="xsd:double"&gt;2.5192738&lt;/D&gt;&lt;D xsi:type="xsd:double"&gt;2.1652222&lt;/D&gt;&lt;D xsi:type="xsd:double"&gt;-1.802522&lt;/D&gt;&lt;D xsi:type="xsd:double"&gt;2.7826786&lt;/D&gt;&lt;D xsi:type="xsd:double"&gt;2.3307443&lt;/D&gt;&lt;D xsi:type="xsd:double"&gt;0.43418407&lt;/D&gt;&lt;D xsi:type="xsd:double"&gt;-0.122737885&lt;/D&gt;&lt;D xsi:type="xsd:double"&gt;2.4782896&lt;/D&gt;&lt;D xsi:type="xsd:double"&gt;2.4156094&lt;/D&gt;&lt;D xsi:type="xsd:double"&gt;1.3257504&lt;/D&gt;&lt;D xsi:type="xsd:double"&gt;3.2593966&lt;/D&gt;&lt;D xsi:type="xsd:double"&gt;4.7157288&lt;/D&gt;&lt;D xsi:type="xsd:double"&gt;-4.289007&lt;/D&gt;&lt;D xsi:type="xsd:double"&gt;4.0300727&lt;/D&gt;&lt;D xsi:type="xsd:double"&gt;-3.797859&lt;/D&gt;&lt;D xsi:type="xsd:double"&gt;2.9040217&lt;/D&gt;&lt;D xsi:type="xsd:double"&gt;1.8984795&lt;/D&gt;&lt;D xsi:type="xsd:double"&gt;1.0130644&lt;/D&gt;&lt;D xsi:type="xsd:double"&gt;0.8977413&lt;/D&gt;&lt;D xsi:type="xsd:double"&gt;3.0946374&lt;/D&gt;&lt;D xsi:type="xsd:double"&gt;-4.6865883&lt;/D&gt;&lt;D xsi:type="xsd:double"&gt;-1.4096797&lt;/D&gt;&lt;D xsi:type="xsd:double"&gt;-2.4590194&lt;/D&gt;&lt;D xsi:type="xsd:double"&gt;-1.8259525&lt;/D&gt;&lt;D xsi:type="xsd:double"&gt;6.1819315&lt;/D&gt;&lt;D xsi:type="xsd:double"&gt;2.3091793&lt;/D&gt;&lt;D xsi:type="xsd:double"&gt;3.587091&lt;/D&gt;&lt;D xsi:type="xsd:double"&gt;-3.2051325&lt;/D&gt;&lt;D xsi:type="xsd:double"&gt;3.1047463&lt;/D&gt;&lt;D xsi:type="xsd:double"&gt;4.3283463&lt;/D&gt;&lt;D xsi:type="xsd:double"&gt;-2.6941657&lt;/D&gt;&lt;D xsi:type="xsd:double"&gt;2.9191613&lt;/D&gt;&lt;D xsi:type="xsd:double"&gt;-1.1410773&lt;/D&gt;&lt;D xsi:type="xsd:double"&gt;4.3269873&lt;/D&gt;&lt;D xsi:type="xsd:double"&gt;2.6593328&lt;/D&gt;&lt;D xsi:type="xsd:double"&gt;3.8558364&lt;/D&gt;&lt;D xsi:type="xsd:double"&gt;2.7778625&lt;/D&gt;&lt;D xsi:type="xsd:double"&gt;-20.09731&lt;/D&gt;&lt;D xsi:type="xsd:double"&gt;2.982843&lt;/D&gt;&lt;D xsi:type="xsd:double"&gt;2.154827&lt;/D&gt;&lt;D xsi:type="xsd:double"&gt;8.029116&lt;/D&gt;&lt;D xsi:type="xsd:double"&gt;3.9524317&lt;/D&gt;&lt;D xsi:type="xsd:double"&gt;6.984496&lt;/D&gt;&lt;D xsi:type="xsd:double"&gt;-0.82237124&lt;/D&gt;&lt;D xsi:type="xsd:double"&gt;5.2350283&lt;/D&gt;&lt;D xsi:type="xsd:double"&gt;2.2763014&lt;/D&gt;&lt;D xsi:type="xsd:double"&gt;2.2898555&lt;/D&gt;&lt;D xsi:type="xsd:double"&gt;4.126525&lt;/D&gt;&lt;D xsi:type="xsd:double"&gt;3.3834456999999998&lt;/D&gt;&lt;D xsi:type="xsd:double"&gt;0.36164522&lt;/D&gt;&lt;D xsi:type="xsd:double"&gt;5.1145673&lt;/D&gt;&lt;D xsi:type="xsd:double"&gt;-0.624907&lt;/D&gt;&lt;D xsi:type="xsd:double"&gt;3.4196138&lt;/D&gt;&lt;D xsi:type="xsd:double"&gt;2.9988527&lt;/D&gt;&lt;D xsi:type="xsd:double"&gt;2.371502&lt;/D&gt;&lt;D xsi:type="xsd:double"&gt;0.14799833&lt;/D&gt;&lt;D xsi:type="xsd:double"&gt;-2.237451&lt;/D&gt;&lt;D xsi:type="xsd:double"&gt;7.373965&lt;/D&gt;&lt;D xsi:type="xsd:double"&gt;-0.14980435&lt;/D&gt;&lt;D xsi:type="xsd:double"&gt;-0.08294582&lt;/D&gt;&lt;D xsi:type="xsd:double"&gt;-5.1815805&lt;/D&gt;&lt;D xsi:type="xsd:double"&gt;-4.6292486&lt;/D&gt;&lt;D xsi:type="xsd:double"&gt;5.8567047&lt;/D&gt;&lt;D xsi:type="xsd:double"&gt;-9.381694&lt;/D&gt;&lt;D xsi:type="xsd:double"&gt;-6.6514015&lt;/D&gt;&lt;D xsi:type="xsd:double"&gt;1.4567375&lt;/D&gt;&lt;D xsi:type="xsd:double"&gt;12.741863&lt;/D&gt;&lt;D xsi:type="xsd:double"&gt;-7.960665&lt;/D&gt;&lt;D xsi:type="xsd:double"&gt;-6.516081&lt;/D&gt;&lt;D xsi:type="xsd:double"&gt;8.891439&lt;/D&gt;&lt;D xsi:type="xsd:double"&gt;0.868237&lt;/D&gt;&lt;D xsi:type="xsd:double"&gt;-0.4024744&lt;/D&gt;&lt;D xsi:type="xsd:double"&gt;3.595984&lt;/D&gt;&lt;D xsi:type="xsd:double"&gt;-6.654072&lt;/D&gt;&lt;D xsi:type="xsd:double"&gt;7.7088594&lt;/D&gt;&lt;D xsi:type="xsd:double"&gt;-0.45468807&lt;/D&gt;&lt;D xsi:type="xsd:double"&gt;6.0910106&lt;/D&gt;&lt;D xsi:type="xsd:double"&gt;3.3380628&lt;/D&gt;&lt;D xsi:type="xsd:double"&gt;-0.86973906&lt;/D&gt;&lt;D xsi:type="xsd:double"&gt;0.192976&lt;/D&gt;&lt;D xsi:type="xsd:double"&gt;-3.0165553&lt;/D&gt;&lt;D xsi:type="xsd:double"&gt;2.0139098&lt;/D&gt;&lt;D xsi:type="xsd:double"&gt;6.8856597&lt;/D&gt;&lt;D xsi:type="xsd:double"&gt;1.7249584&lt;/D&gt;&lt;D xsi:type="xsd:double"&gt;3.650248&lt;/D&gt;&lt;/FQL&gt;&lt;FQL&gt;&lt;Q&gt;VWO^FG_TOTAL_RETURNC(-10AY,0,AM)&lt;/Q&gt;&lt;R&gt;121&lt;/R&gt;&lt;C&gt;1&lt;/C&gt;&lt;D xsi:type="xsd:double"&gt;-1.8795967&lt;/D&gt;&lt;D xsi:type="xsd:double"&gt;-2.2521436&lt;/D&gt;&lt;D xsi:type="xsd:double"&gt;9.718943&lt;/D&gt;&lt;D xsi:type="xsd:double"&gt;2.1055102&lt;/D&gt;&lt;D xsi:type="xsd:double"&gt;3.3657312&lt;/D&gt;&lt;D xsi:type="xsd:double"&gt;1.8303633&lt;/D&gt;&lt;D xsi:type="xsd:double"&gt;1.4324665&lt;/D&gt;&lt;D xsi:type="xsd:double"&gt;-0.7845819&lt;/D&gt;&lt;D xsi:type="xsd:double"&gt;-5.428976&lt;/D&gt;&lt;D xsi:type="xsd:double"&gt;0.6275654&lt;/D&gt;&lt;D xsi:type="xsd:double"&gt;-6.83617&lt;/D&gt;&lt;D xsi:type="xsd:double"&gt;3.486216&lt;/D&gt;&lt;D xsi:type="xsd:double"&gt;4.3977976&lt;/D&gt;&lt;D xsi:type="xsd:double"&gt;-6.175196&lt;/D&gt;&lt;D xsi:type="xsd:double"&gt;11.5486145&lt;/D&gt;&lt;D xsi:type="xsd:double"&gt;-0.32073855&lt;/D&gt;&lt;D xsi:type="xsd:double"&gt;-4.50471&lt;/D&gt;&lt;D xsi:type="xsd:double"&gt;-2.8781831&lt;/D&gt;&lt;D xsi:type="xsd:double"&gt;-8.179092&lt;/D&gt;&lt;D xsi:type="xsd:double"&gt;-7.191497&lt;/D&gt;&lt;D xsi:type="xsd:double"&gt;4.6794176&lt;/D&gt;&lt;D xsi:type="xsd:double"&gt;-4.2069316&lt;/D&gt;&lt;D xsi:type="xsd:double"&gt;-6.350154&lt;/D&gt;&lt;D xsi:type="xsd:double"&gt;-5.627137&lt;/D&gt;&lt;D xsi:type="xsd:double"&gt;-0.03373623&lt;/D&gt;&lt;D xsi:type="xsd:double"&gt;13.432336&lt;/D&gt;&lt;D xsi:type="xsd:double"&gt;5.806875&lt;/D&gt;&lt;D xsi:type="xsd:double"&gt;-7.436615&lt;/D&gt;&lt;D xsi:type="xsd:double"&gt;2.7693272&lt;/D&gt;&lt;D xsi:type="xsd:double"&gt;7.8805566&lt;/D&gt;&lt;D xsi:type="xsd:double"&gt;5.498767&lt;/D&gt;&lt;D xsi:type="xsd:double"&gt;-3.6406517&lt;/D&gt;&lt;D xsi:type="xsd:double"&gt;2.4215817&lt;/D&gt;&lt;D xsi:type="xsd:double"&gt;-5.2928567&lt;/D&gt;&lt;D xsi:type="xsd:double"&gt;4.3120623&lt;/D&gt;&lt;D xsi:type="xsd:double"&gt;1.7659664&lt;/D&gt;&lt;D xsi:type="xsd:double"&gt;4.8872113&lt;/D&gt;&lt;D xsi:type="xsd:double"&gt;0.20481348&lt;/D&gt;&lt;D xsi:type="xsd:double"&gt;1.7384052&lt;/D&gt;&lt;D xsi:type="xsd:double"&gt;2.9685497&lt;/D&gt;&lt;D xsi:type="xsd:double"&gt;0.19545555&lt;/D&gt;&lt;D xsi:type="xsd:double"&gt;3.275764&lt;/D&gt;&lt;D xsi:type="xsd:double"&gt;0.76026917&lt;/D&gt;&lt;D xsi:type="xsd:double"&gt;5.3289294&lt;/D&gt;&lt;D xsi:type="xsd:double"&gt;2.3305297&lt;/D&gt;&lt;D xsi:type="xsd:double"&gt;-1.5050888&lt;/D&gt;&lt;D xsi:type="xsd:double"&gt;0.20225048&lt;/D&gt;&lt;D xsi:type="xsd:double"&gt;9.213173&lt;/D&gt;&lt;D xsi:type="xsd:double"&gt;-3.7961602&lt;/D&gt;&lt;D xsi:type="xsd:double"&gt;3.216815&lt;/D&gt;&lt;D xsi:type="xsd:double"&gt;-3.1218886&lt;/D&gt;&lt;D xsi:type="xsd:double"&gt;-0.92393756&lt;/D&gt;&lt;D xsi:type="xsd:double"&gt;-3.1012774&lt;/D&gt;&lt;D xsi:type="xsd:double"&gt;-3.5931945&lt;/D&gt;&lt;D xsi:type="xsd:double"&gt;-2.6168227&lt;/D&gt;&lt;D xsi:type="xsd:double"&gt;-2.1353126&lt;/D&gt;&lt;D xsi:type="xsd:double"&gt;-3.9796948&lt;/D&gt;&lt;D xsi:type="xsd:double"&gt;-0.8522749&lt;/D&gt;&lt;D xsi:type="xsd:double"&gt;2.109933&lt;/D&gt;&lt;D xsi:type="xsd:double"&gt;2.1841288&lt;/D&gt;&lt;D xsi:type="xsd:double"&gt;2.6897907&lt;/D&gt;&lt;D xsi:type="xsd:double"&gt;3.3537388&lt;/D&gt;&lt;D xsi:type="xsd:double"&gt;3.7779212&lt;/D&gt;&lt;D xsi:type="xsd:double"&gt;-7.889324&lt;/D&gt;&lt;D xsi:type="xsd:double"&gt;2.4577975&lt;/D&gt;&lt;D xsi:type="xsd:double"&gt;4.273212&lt;/D&gt;&lt;D xsi:type="xsd:double"&gt;-6.153488&lt;/D&gt;&lt;D xsi:type="xsd:double"&gt;5.185735&lt;/D&gt;&lt;D xsi:type="xsd:double"&gt;-1.3881266&lt;/D&gt;&lt;D xsi:type="xsd:double"&gt;2.2882104&lt;/D&gt;&lt;D xsi:type="xsd:double"&gt;3.9742947&lt;/D&gt;&lt;D xsi:type="xsd:double"&gt;6.363499&lt;/D&gt;&lt;D xsi:type="xsd:double"&gt;-4.4236183&lt;/D&gt;&lt;D xsi:type="xsd:double"&gt;-18.148655&lt;/D&gt;&lt;D xsi:type="xsd:double"&gt;-2.4605513&lt;/D&gt;&lt;D xsi:type="xsd:double"&gt;3.290403&lt;/D&gt;&lt;D xsi:type="xsd:double"&gt;9.085882&lt;/D&gt;&lt;D xsi:type="xsd:double"&gt;9.324217&lt;/D&gt;&lt;D xsi:type="xsd:double"&gt;1.772809&lt;/D&gt;&lt;D xsi:type="xsd:double"&gt;-0.3208816&lt;/D&gt;&lt;D xsi:type="xsd:double"&gt;4.7670245&lt;/D&gt;&lt;D xsi:type="xsd:double"&gt;4.4547915&lt;/D&gt;&lt;D xsi:type="xsd:double"&gt;4.455757&lt;/D&gt;&lt;D xsi:type="xsd:double"&gt;7.4802995&lt;/D&gt;&lt;D xsi:type="xsd:double"&gt;6.8454027&lt;/D&gt;&lt;D xsi:type="xsd:double"&gt;-5.908525&lt;/D&gt;&lt;D xsi:type="xsd:double"&gt;-1.763922&lt;/D&gt;&lt;D xsi:type="xsd:double"&gt;-1.7543852&lt;/D&gt;&lt;D xsi:type="xsd:double"&gt;7.2605968&lt;/D&gt;&lt;D xsi:type="xsd:double"&gt;-2.4567068&lt;/D&gt;&lt;D xsi:type="xsd:double"&gt;-3.1108618&lt;/D&gt;&lt;D xsi:type="xsd:double"&gt;2.5491357&lt;/D&gt;&lt;D xsi:type="xsd:double"&gt;-1.977694&lt;/D&gt;&lt;D xsi:type="xsd:double"&gt;1.778388&lt;/D&gt;&lt;D xsi:type="xsd:double"&gt;-5.0307274&lt;/D&gt;&lt;D xsi:type="xsd:double"&gt;3.3073068&lt;/D&gt;&lt;D xsi:type="xsd:double"&gt;-1.937139&lt;/D&gt;&lt;D xsi:type="xsd:double"&gt;-11.590404&lt;/D&gt;&lt;D xsi:type="xsd:double"&gt;5.0715804&lt;/D&gt;&lt;D xsi:type="xsd:double"&gt;-9.727966&lt;/D&gt;&lt;D xsi:type="xsd:double"&gt;-0.24107695&lt;/D&gt;&lt;D xsi:type="xsd:double"&gt;-2.0437539&lt;/D&gt;&lt;D xsi:type="xsd:double"&gt;5.715704&lt;/D&gt;&lt;D xsi:type="xsd:double"&gt;-5.1951113&lt;/D&gt;&lt;D xsi:type="xsd:double"&gt;-9.056526&lt;/D&gt;&lt;D xsi:type="xsd:double"&gt;7.5987816&lt;/D&gt;&lt;D xsi:type="xsd:double"&gt;3.415513&lt;/D&gt;&lt;D xsi:type="xsd:double"&gt;6.3488483&lt;/D&gt;&lt;D xsi:type="xsd:double"&gt;-1.6611338&lt;/D&gt;&lt;D xsi:type="xsd:double"&gt;-5.6949735&lt;/D&gt;&lt;D xsi:type="xsd:double"&gt;4.6817303&lt;/D&gt;&lt;D xsi:type="xsd:double"&gt;-3.1066537&lt;/D&gt;&lt;D xsi:type="xsd:double"&gt;4.266596&lt;/D&gt;&lt;D xsi:type="xsd:double"&gt;2.720213&lt;/D&gt;&lt;D xsi:type="xsd:double"&gt;-3.2235026&lt;/D&gt;&lt;D xsi:type="xsd:double"&gt;-0.78374743&lt;/D&gt;&lt;D xsi:type="xsd:double"&gt;-2.8675258&lt;/D&gt;&lt;D xsi:type="xsd:double"&gt;1.0761023&lt;/D&gt;&lt;D xsi:type="xsd:double"&gt;3.346002&lt;/D&gt;&lt;D xsi:type="xsd:double"&gt;1.2494922&lt;/D&gt;&lt;D xsi:type="xsd:double"&gt;-0.86612105&lt;/D&gt;&lt;/FQL&gt;&lt;FQL&gt;&lt;Q&gt;VWO^JULIAN(FG_TOTAL_RETURNC(-10AY,0,AM).DATES)&lt;/Q&gt;&lt;R&gt;121&lt;/R&gt;&lt;C&gt;1&lt;/C&gt;&lt;D xsi:type="xsd:long"&gt;41683&lt;/D&gt;&lt;D xsi:type="xsd:long"&gt;41711&lt;/D&gt;&lt;D xsi:type="xsd:long"&gt;41740&lt;/D&gt;&lt;D xsi:type="xsd:long"&gt;41772&lt;/D&gt;&lt;D xsi:type="xsd:long"&gt;41803&lt;/D&gt;&lt;D xsi:type="xsd:long"&gt;41831&lt;/D&gt;&lt;D xsi:type="xsd:long"&gt;41864&lt;/D&gt;&lt;D xsi:type="xsd:long"&gt;41894&lt;/D&gt;&lt;D xsi:type="xsd:long"&gt;41925&lt;/D&gt;&lt;D xsi:type="xsd:long"&gt;41956&lt;/D&gt;&lt;D xsi:type="xsd:long"&gt;41985&lt;/D&gt;&lt;D xsi:type="xsd:long"&gt;42017&lt;/D&gt;&lt;D xsi:type="xsd:long"&gt;42048&lt;/D&gt;&lt;D xsi:type="xsd:long"&gt;42076&lt;/D&gt;&lt;D xsi:type="xsd:long"&gt;42107&lt;/D&gt;&lt;D xsi:type="xsd:long"&gt;42137&lt;/D&gt;&lt;D xsi:type="xsd:long"&gt;42167&lt;/D&gt;&lt;D xsi:type="xsd:long"&gt;42198&lt;/D&gt;&lt;D xsi:type="xsd:long"&gt;42229&lt;/D&gt;&lt;D xsi:type="xsd:long"&gt;42258&lt;/D&gt;&lt;D xsi:type="xsd:long"&gt;42290&lt;/D&gt;&lt;D xsi:type="xsd:long"&gt;42321&lt;/D&gt;&lt;D xsi:type="xsd:long"&gt;42349&lt;/D&gt;&lt;D xsi:type="xsd:long"&gt;42382&lt;/D&gt;&lt;D xsi:type="xsd:long"&gt;42412&lt;/D&gt;&lt;D xsi:type="xsd:long"&gt;42440&lt;/D&gt;&lt;D xsi:type="xsd:long"&gt;42473&lt;/D&gt;&lt;D xsi:type="xsd:long"&gt;42503&lt;/D&gt;&lt;D xsi:type="xsd:long"&gt;42534&lt;/D&gt;&lt;D xsi:type="xsd:long"&gt;42564&lt;/D&gt;&lt;D xsi:type="xsd:long"&gt;42594&lt;/D&gt;&lt;D xsi:type="xsd:long"&gt;42626&lt;/D&gt;&lt;D xsi:type="xsd:long"&gt;42656&lt;/D&gt;&lt;D xsi:type="xsd:long"&gt;42685&lt;/D&gt;&lt;D xsi:type="xsd:long"&gt;42717&lt;/D&gt;&lt;D xsi:type="xsd:long"&gt;42748&lt;/D&gt;&lt;D xsi:type="xsd:long"&gt;42779&lt;/D&gt;&lt;D xsi:type="xsd:long"&gt;42807&lt;/D&gt;&lt;D xsi:type="xsd:long"&gt;42838&lt;/D&gt;&lt;D xsi:type="xsd:long"&gt;42867&lt;/D&gt;&lt;D xsi:type="xsd:long"&gt;42899&lt;/D&gt;&lt;D xsi:type="xsd:long"&gt;42929&lt;/D&gt;&lt;D xsi:type="xsd:long"&gt;42958&lt;/D&gt;&lt;D xsi:type="xsd:long"&gt;42991&lt;/D&gt;&lt;D xsi:type="xsd:long"&gt;43021&lt;/D&gt;&lt;D xsi:type="xsd:long"&gt;43052&lt;/D&gt;&lt;D xsi:type="xsd:long"&gt;43082&lt;/D&gt;&lt;D xsi:type="xsd:long"&gt;43112&lt;/D&gt;&lt;D xsi:type="xsd:long"&gt;43144&lt;/D&gt;&lt;D xsi:type="xsd:long"&gt;43172&lt;/D&gt;&lt;D xsi:type="xsd:long"&gt;43203&lt;/D&gt;&lt;D xsi:type="xsd:long"&gt;43231&lt;/D&gt;&lt;D xsi:type="xsd:long"&gt;43264&lt;/D&gt;&lt;D xsi:type="xsd:long"&gt;43294&lt;/D&gt;&lt;D xsi:type="xsd:long"&gt;43325&lt;/D&gt;&lt;D xsi:type="xsd:long"&gt;43356&lt;/D&gt;&lt;D xsi:type="xsd:long"&gt;43385&lt;/D&gt;&lt;D xsi:type="xsd:long"&gt;43417&lt;/D&gt;&lt;D xsi:type="xsd:long"&gt;43447&lt;/D&gt;&lt;D xsi:type="xsd:long"&gt;43476&lt;/D&gt;&lt;D xsi:type="xsd:long"&gt;43509&lt;/D&gt;&lt;D xsi:type="xsd:long"&gt;43537&lt;/D&gt;&lt;D xsi:type="xsd:long"&gt;43567&lt;/D&gt;&lt;D xsi:type="xsd:long"&gt;43598&lt;/D&gt;&lt;D xsi:type="xsd:long"&gt;43629&lt;/D&gt;&lt;D xsi:type="xsd:long"&gt;43658&lt;/D&gt;&lt;D xsi:type="xsd:long"&gt;43690&lt;/D&gt;&lt;D xsi:type="xsd:long"&gt;43721&lt;/D&gt;&lt;D xsi:type="xsd:long"&gt;43749&lt;/D&gt;&lt;D xsi:type="xsd:long"&gt;43782&lt;/D&gt;&lt;D xsi:type="xsd:long"&gt;43812&lt;/D&gt;&lt;D xsi:type="xsd:long"&gt;43843&lt;/D&gt;&lt;D xsi:type="xsd:long"&gt;43874&lt;/D&gt;&lt;D xsi:type="xsd:long"&gt;43903&lt;/D&gt;&lt;D xsi:type="xsd:long"&gt;43934&lt;/D&gt;&lt;D xsi:type="xsd:long"&gt;43964&lt;/D&gt;&lt;D xsi:type="xsd:long"&gt;43994&lt;/D&gt;&lt;D xsi:type="xsd:long"&gt;44025&lt;/D&gt;&lt;D xsi:type="xsd:long"&gt;44056&lt;/D&gt;&lt;D xsi:type="xsd:long"&gt;44085&lt;/D&gt;&lt;D xsi:type="xsd:long"&gt;44117&lt;/D&gt;&lt;D xsi:type="xsd:long"&gt;44148&lt;/D&gt;&lt;D xsi:type="xsd:long"&gt;44176&lt;/D&gt;&lt;D xsi:type="xsd:long"&gt;44209&lt;/D&gt;&lt;D xsi:type="xsd:long"&gt;44239&lt;/D&gt;&lt;D xsi:type="xsd:long"&gt;44267&lt;/D&gt;&lt;D xsi:type="xsd:long"&gt;44299&lt;/D&gt;&lt;D xsi:type="xsd:long"&gt;44329&lt;/D&gt;&lt;D xsi:type="xsd:long"&gt;44358&lt;/D&gt;&lt;D xsi:type="xsd:long"&gt;44390&lt;/D&gt;&lt;D xsi:type="xsd:long"&gt;44421&lt;/D&gt;&lt;D xsi:type="xsd:long"&gt;44452&lt;/D&gt;&lt;D xsi:type="xsd:long"&gt;44482&lt;/D&gt;&lt;D xsi:type="xsd:long"&gt;44512&lt;/D&gt;&lt;D xsi:type="xsd:long"&gt;44543&lt;/D&gt;&lt;D xsi:type="xsd:long"&gt;44574&lt;/D&gt;&lt;D xsi:type="xsd:long"&gt;44603&lt;/D&gt;&lt;D xsi:type="xsd:long"&gt;44631&lt;/D&gt;&lt;D xsi:type="xsd:long"&gt;44664&lt;/D&gt;&lt;D xsi:type="xsd:long"&gt;44694&lt;/D&gt;&lt;D xsi:type="xsd:long"&gt;44725&lt;/D&gt;&lt;D xsi:type="xsd:long"&gt;44755&lt;/D&gt;&lt;D xsi:type="xsd:long"&gt;44785&lt;/D&gt;&lt;D xsi:type="xsd:long"&gt;44817&lt;/D&gt;&lt;D xsi:type="xsd:long"&gt;44847&lt;/D&gt;&lt;D xsi:type="xsd:long"&gt;44876&lt;/D&gt;&lt;D xsi:type="xsd:long"&gt;44908&lt;/D&gt;&lt;D xsi:type="xsd:long"&gt;44939&lt;/D&gt;&lt;D xsi:type="xsd:long"&gt;44970&lt;/D&gt;&lt;D xsi:type="xsd:long"&gt;44998&lt;/D&gt;&lt;D xsi:type="xsd:long"&gt;45029&lt;/D&gt;&lt;D xsi:type="xsd:long"&gt;45058&lt;/D&gt;&lt;D xsi:type="xsd:long"&gt;45090&lt;/D&gt;&lt;D xsi:type="xsd:long"&gt;45120&lt;/D&gt;&lt;D xsi:type="xsd:long"&gt;45149&lt;/D&gt;&lt;D xsi:type="xsd:long"&gt;45182&lt;/D&gt;&lt;D xsi:type="xsd:long"&gt;45212&lt;/D&gt;&lt;D xsi:type="xsd:long"&gt;45243&lt;/D&gt;&lt;D xsi:type="xsd:long"&gt;45273&lt;/D&gt;&lt;D xsi:type="xsd:long"&gt;45303&lt;/D&gt;&lt;D xsi:type="xsd:long"&gt;45335&lt;/D&gt;&lt;/FQL&gt;&lt;FQL&gt;&lt;Q&gt;CPALM-FDS^MAX(FG_PRICE(0,-5AY))&lt;/Q&gt;&lt;R&gt;1&lt;/R&gt;&lt;C&gt;1&lt;/C&gt;&lt;D xsi:type="xsd:double"&gt;8163&lt;/D&gt;&lt;/FQL&gt;&lt;FQL&gt;&lt;Q&gt;CPALM-FDS^FG_PRICE(0)/MAX(FG_PRICE(0,-1AY))&lt;/Q&gt;&lt;R&gt;1&lt;/R&gt;&lt;C&gt;1&lt;/C&gt;&lt;D xsi:type="xsd:double"&gt;0.905939449965334&lt;/D&gt;&lt;/FQL&gt;&lt;FQL&gt;&lt;Q&gt;CPALM-FDS^FG_PRICE_CHANGE(0,-1AY)&lt;/Q&gt;&lt;R&gt;1&lt;/R&gt;&lt;C&gt;1&lt;/C&gt;&lt;D xsi:type="xsd:double"&gt;1.81818181818181&lt;/D&gt;&lt;/FQL&gt;&lt;FQL&gt;&lt;Q&gt;CPALM-FDS^FG_PRICE_CHANGE(0,-6AM)&lt;/Q&gt;&lt;R&gt;1&lt;/R&gt;&lt;C&gt;1&lt;/C&gt;&lt;D xsi:type="xsd:double"&gt;5.17842768983097&lt;/D&gt;&lt;/FQL&gt;&lt;FQL&gt;&lt;Q&gt;CPALM-FDS^FG_PRICE_CHANGE(0,-3AM)&lt;/Q&gt;&lt;R&gt;1&lt;/R&gt;&lt;C&gt;1&lt;/C&gt;&lt;D xsi:type="xsd:double"&gt;6.72474816226518&lt;/D&gt;&lt;/FQL&gt;&lt;FQL&gt;&lt;Q&gt;CPALM-FDS^FG_PRICE_CHANGE(0,-1AM)&lt;/Q&gt;&lt;R&gt;1&lt;/R&gt;&lt;C&gt;1&lt;/C&gt;&lt;D xsi:type="xsd:double"&gt;3.7037037037037&lt;/D&gt;&lt;/FQL&gt;&lt;FQL&gt;&lt;Q&gt;CPALM-FDS^FG_PRICE_MAVG(0,,,,30)&lt;/Q&gt;&lt;R&gt;1&lt;/R&gt;&lt;C&gt;1&lt;/C&gt;&lt;D xsi:type="xsd:double"&gt;3843.9333&lt;/D&gt;&lt;/FQL&gt;&lt;FQL&gt;&lt;Q&gt;CPALM-FDS^FG_PRICE(0)&lt;/Q&gt;&lt;R&gt;1&lt;/R&gt;&lt;C&gt;1&lt;/C&gt;&lt;D xsi:type="xsd:double"&gt;3920&lt;/D&gt;&lt;/FQL&gt;&lt;FQL&gt;&lt;Q&gt;W-FDS^MAX(FG_PRICE(0,-5AY))&lt;/Q&gt;&lt;R&gt;1&lt;/R&gt;&lt;C&gt;1&lt;/C&gt;&lt;D xsi:type="xsd:double"&gt;14.2525&lt;/D&gt;&lt;/FQL&gt;&lt;FQL&gt;&lt;Q&gt;W-FDS^FG_PRICE(0)/MAX(FG_PRICE(0,-1AY))&lt;/Q&gt;&lt;R&gt;1&lt;/R&gt;&lt;C&gt;1&lt;/C&gt;&lt;D xsi:type="xsd:double"&gt;0.754419191919192&lt;/D&gt;&lt;/FQL&gt;&lt;FQL&gt;&lt;Q&gt;W-FDS^FG_PRICE_CHANGE(0,-1AY)&lt;/Q&gt;&lt;R&gt;1&lt;/R&gt;&lt;C&gt;1&lt;/C&gt;&lt;D xsi:type="xsd:double"&gt;-24.5580808080808&lt;/D&gt;&lt;/FQL&gt;&lt;FQL&gt;&lt;Q&gt;W-FDS^FG_PRICE_CHANGE(0,-6AM)&lt;/Q&gt;&lt;R&gt;1&lt;/R&gt;&lt;C&gt;1&lt;/C&gt;&lt;D xsi:type="xsd:double"&gt;-4.6669325887515&lt;/D&gt;&lt;/FQL&gt;&lt;FQL&gt;&lt;Q&gt;W-FDS^FG_PRICE_CHANGE(0,-3AM)&lt;/Q&gt;&lt;R&gt;1&lt;/R&gt;&lt;C&gt;1&lt;/C&gt;&lt;D xsi:type="xsd:double"&gt;3.1951640759931&lt;/D&gt;&lt;/FQL&gt;&lt;FQL&gt;&lt;Q&gt;W-FDS^FG_PRICE_CHANGE(0,-1AM)&lt;/Q&gt;&lt;R&gt;1&lt;/R&gt;&lt;C&gt;1&lt;/C&gt;&lt;D xsi:type="xsd:double"&gt;0.251677852348986&lt;/D&gt;&lt;/FQL&gt;&lt;FQL&gt;&lt;Q&gt;W-FDS^FG_PRICE_MAVG(0,,,,30)&lt;/Q&gt;&lt;R&gt;1&lt;/R&gt;&lt;C&gt;1&lt;/C&gt;&lt;D xsi:type="xsd:double"&gt;5.9919167&lt;/D&gt;&lt;/FQL&gt;&lt;FQL&gt;&lt;Q&gt;W-FDS^FG_PRICE(0)&lt;/Q&gt;&lt;R&gt;1&lt;/R&gt;&lt;C&gt;1&lt;/C&gt;&lt;D xsi:type="xsd:double"&gt;5.975&lt;/D&gt;&lt;/FQL&gt;&lt;FQL&gt;&lt;Q&gt;PASP-FDS^MAX(FG_PRICE(0,-5AY))&lt;/Q&gt;&lt;R&gt;1&lt;/R&gt;&lt;C&gt;1&lt;/C&gt;&lt;D xsi:type="xsd:double"&gt;3158.12&lt;/D&gt;&lt;/FQL&gt;&lt;FQL&gt;&lt;Q&gt;PASP-FDS^FG_PRICE(0)/MAX(FG_PRICE(0,-1AY))&lt;/Q&gt;&lt;R&gt;1&lt;/R&gt;&lt;C&gt;1&lt;/C&gt;&lt;D xsi:type="xsd:double"&gt;0.554878048780488&lt;/D&gt;&lt;/FQL&gt;&lt;FQL&gt;&lt;Q&gt;PASP-FDS^FG_PRICE_CHANGE(0,-1AY)&lt;/Q&gt;&lt;R&gt;1&lt;/R&gt;&lt;C&gt;1&lt;/C&gt;&lt;D xsi:type="xsd:double"&gt;-42.0382165605096&lt;/D&gt;&lt;/FQL&gt;&lt;FQL&gt;&lt;Q&gt;PASP-FDS^FG_PRICE_CHANGE(0,-6AM)&lt;/Q&gt;&lt;R&gt;1&lt;/R&gt;&lt;C&gt;1&lt;/C&gt;&lt;D xsi:type="xsd:double"&gt;-32.089552238806&lt;/D&gt;&lt;/FQL&gt;&lt;FQL&gt;&lt;Q&gt;PASP-FDS^FG_PRICE_CHANGE(0,-3AM)&lt;/Q&gt;&lt;R&gt;1&lt;/R&gt;&lt;C&gt;1&lt;/C&gt;&lt;D xsi:type="xsd:double"&gt;-6.85772773797338&lt;/D&gt;&lt;/FQL&gt;&lt;FQL&gt;&lt;Q&gt;PASP-FDS^FG_PRICE_CHANGE(0,-1AM)&lt;/Q&gt;&lt;R&gt;1&lt;/R&gt;&lt;C&gt;1&lt;/C&gt;&lt;D xsi:type="xsd:double"&gt;-9.45273631840796&lt;/D&gt;&lt;/FQL&gt;&lt;FQL&gt;&lt;Q&gt;PASP-FDS^FG_PRICE_MAVG(0,,,,30)&lt;/Q&gt;&lt;R&gt;1&lt;/R&gt;&lt;C&gt;1&lt;/C&gt;&lt;D xsi:type="xsd:double"&gt;975.6667&lt;/D&gt;&lt;/FQL&gt;&lt;FQL&gt;&lt;Q&gt;PASP-FDS^FG_PRICE(0)&lt;/Q&gt;&lt;R&gt;1&lt;/R&gt;&lt;C&gt;1&lt;/C&gt;&lt;D xsi:type="xsd:double"&gt;910&lt;/D&gt;&lt;/FQL&gt;&lt;FQL&gt;&lt;Q&gt;NI-FDS^MAX(FG_PRICE(0,-5AY))&lt;/Q&gt;&lt;R&gt;1&lt;/R&gt;&lt;C&gt;1&lt;/C&gt;&lt;D xsi:type="xsd:double"&gt;48241&lt;/D&gt;&lt;/FQL&gt;&lt;FQL&gt;&lt;Q&gt;NI-FDS^FG_PRICE(0)/MAX(FG_PRICE(0,-1AY))&lt;/Q&gt;&lt;R&gt;1&lt;/R&gt;&lt;C&gt;1&lt;/C&gt;&lt;D xsi:type="xsd:double"&gt;0.592936802973978&lt;/D&gt;&lt;/FQL&gt;&lt;FQL&gt;&lt;Q&gt;NI-FDS^FG_PRICE_CHANGE(0,-1AY)&lt;/Q&gt;&lt;R&gt;1&lt;/R&gt;&lt;C&gt;1&lt;/C&gt;&lt;D xsi:type="xsd:double"&gt;-40.3849747710708&lt;/D&gt;&lt;/FQL&gt;&lt;FQL&gt;&lt;Q&gt;NI-FDS^FG_PRICE_CHANGE(0,-6AM)&lt;/Q&gt;&lt;R&gt;1&lt;/R&gt;&lt;C&gt;1&lt;/C&gt;&lt;D xsi:type="xsd:double"&gt;-20.25&lt;/D&gt;&lt;/FQL&gt;&lt;FQL&gt;&lt;Q&gt;NI-FDS^FG_PRICE_CHANGE(0,-3AM)&lt;/Q&gt;&lt;R&gt;1&lt;/R&gt;&lt;C&gt;1&lt;/C&gt;&lt;D xsi:type="xsd:double"&gt;-6.17647058823529&lt;/D&gt;&lt;/FQL&gt;&lt;FQL&gt;&lt;Q&gt;NI-FDS^FG_PRICE_CHANGE(0,-1AM)&lt;/Q&gt;&lt;R&gt;1&lt;/R&gt;&lt;C&gt;1&lt;/C&gt;&lt;D xsi:type="xsd:double"&gt;-0.777604976671853&lt;/D&gt;&lt;/FQL&gt;&lt;FQL&gt;&lt;Q&gt;NI-FDS^FG_PRICE_MAVG(0,,,,30)&lt;/Q&gt;&lt;R&gt;1&lt;/R&gt;&lt;C&gt;1&lt;/C&gt;&lt;D xsi:type="xsd:double"&gt;16007&lt;/D&gt;&lt;/FQL&gt;&lt;FQL&gt;&lt;Q&gt;NI-FDS^FG_PRICE(0)&lt;/Q&gt;&lt;R&gt;1&lt;/R&gt;&lt;C&gt;1&lt;/C&gt;&lt;D xsi:type="xsd:double"&gt;15950&lt;/D&gt;&lt;/FQL&gt;&lt;FQL&gt;&lt;Q&gt;PLATI-FDS^MAX(FG_PRICE(0,-5AY))&lt;/Q&gt;&lt;R&gt;1&lt;/R&gt;&lt;C&gt;1&lt;/C&gt;&lt;D xsi:type="xsd:double"&gt;1272.59&lt;/D&gt;&lt;/FQL&gt;&lt;FQL&gt;&lt;Q&gt;PLATI-FDS^FG_PRICE(0)/MAX(FG_PRICE(0,-1AY))&lt;/Q&gt;&lt;R&gt;1&lt;/R&gt;&lt;C&gt;1&lt;/C&gt;&lt;D xsi:type="xsd:double"&gt;0.784140969162996&lt;/D&gt;&lt;/FQL&gt;&lt;FQL&gt;&lt;Q&gt;PLATI-FDS^FG_PRICE_CHANGE(0,-1AY)&lt;/Q&gt;&lt;R&gt;1&lt;/R&gt;&lt;C&gt;1&lt;/C&gt;&lt;D xsi:type="xsd:double"&gt;-6.31578947368421&lt;/D&gt;&lt;/FQL&gt;&lt;FQL&gt;&lt;Q&gt;PLATI-FDS^FG_PRICE_CHANGE(0,-6AM)&lt;/Q&gt;&lt;R&gt;1&lt;/R&gt;&lt;C&gt;1&lt;/C&gt;&lt;D xsi:type="xsd:double"&gt;-2.73224043715847&lt;/D&gt;&lt;/FQL&gt;&lt;FQL&gt;&lt;Q&gt;PLATI-FDS^FG_PRICE_CHANGE(0,-3AM)&lt;/Q&gt;&lt;R&gt;1&lt;/R&gt;&lt;C&gt;1&lt;/C&gt;&lt;D xsi:type="xsd:double"&gt;3.97196261682242&lt;/D&gt;&lt;/FQL&gt;&lt;FQL&gt;&lt;Q&gt;PLATI-FDS^FG_PRICE_CHANGE(0,-1AM)&lt;/Q&gt;&lt;R&gt;1&lt;/R&gt;&lt;C&gt;1&lt;/C&gt;&lt;D xsi:type="xsd:double"&gt;-4.71092077087795&lt;/D&gt;&lt;/FQL&gt;&lt;FQL&gt;&lt;Q&gt;PLATI-FDS^FG_PRICE_MAVG(0,,,,30)&lt;/Q&gt;&lt;R&gt;1&lt;/R&gt;&lt;C&gt;1&lt;/C&gt;&lt;D xsi:type="xsd:double"&gt;921.4667&lt;/D&gt;&lt;/FQL&gt;&lt;FQL&gt;&lt;Q&gt;PLATI-FDS^FG_PRICE(0)&lt;/Q&gt;&lt;R&gt;1&lt;/R&gt;&lt;C&gt;1&lt;/C&gt;&lt;D xsi:type="xsd:double"&gt;890&lt;/D&gt;&lt;/FQL&gt;&lt;FQL&gt;&lt;Q&gt;BRENT-FDS^MAX(FG_PRICE(0,-5AY))&lt;/Q&gt;&lt;R&gt;1&lt;/R&gt;&lt;C&gt;1&lt;/C&gt;&lt;D xsi:type="xsd:double"&gt;140.85&lt;/D&gt;&lt;/FQL&gt;&lt;FQL&gt;&lt;Q&gt;BRENT-FDS^FG_PRICE(0)/MAX(FG_PRICE(0,-1AY))&lt;/Q&gt;&lt;R&gt;1&lt;/R&gt;&lt;C&gt;1&lt;/C&gt;&lt;D xsi:type="xsd:double"&gt;0.870614479821537&lt;/D&gt;&lt;/FQL&gt;&lt;FQL&gt;&lt;Q&gt;BRENT-FDS^FG_PRICE_CHANGE(0,-1AY)&lt;/Q&gt;&lt;R&gt;1&lt;/R&gt;&lt;C&gt;1&lt;/C&gt;&lt;D xsi:type="xsd:double"&gt;-1.98630136986301&lt;/D&gt;&lt;/FQL&gt;&lt;FQL&gt;&lt;Q&gt;BRENT-FDS^FG_PRICE_CHANGE(0,-6AM)&lt;/Q&gt;&lt;R&gt;1&lt;/R&gt;&lt;C&gt;1&lt;/C&gt;&lt;D xsi:type="xsd:double"&gt;-3.61472833408172&lt;/D&gt;&lt;/FQL&gt;&lt;FQL&gt;&lt;Q&gt;BRENT-FDS^FG_PRICE_CHANGE(0,-3AM)&lt;/Q&gt;&lt;R&gt;1&lt;/R&gt;&lt;C&gt;1&lt;/C&gt;&lt;D xsi:type="xsd:double"&gt;0&lt;/D&gt;&lt;/FQL&gt;&lt;FQL&gt;&lt;Q&gt;BRENT-FDS^FG_PRICE_CHANGE(0,-1AM)&lt;/Q&gt;&lt;R&gt;1&lt;/R&gt;&lt;C&gt;1&lt;/C&gt;&lt;D xsi:type="xsd:double"&gt;0&lt;/D&gt;&lt;/FQL&gt;&lt;FQL&gt;&lt;Q&gt;BRENT-FDS^FG_PRICE_MAVG(0,,,,30)&lt;/Q&gt;&lt;R&gt;1&lt;/R&gt;&lt;C&gt;1&lt;/C&gt;&lt;D xsi:type="xsd:double"&gt;85.86&lt;/D&gt;&lt;/FQL&gt;&lt;FQL&gt;&lt;Q&gt;BRENT-FDS^FG_PRICE(0)&lt;/Q&gt;&lt;R&gt;1&lt;/R&gt;&lt;C&gt;1&lt;/C&gt;&lt;D xsi:type="xsd:double"&gt;85.86&lt;/D&gt;&lt;/FQL&gt;&lt;FQL&gt;&lt;Q&gt;COPP-FDS^MAX(FG_PRICE(0,-5AY))&lt;/Q&gt;&lt;R&gt;1&lt;/R&gt;&lt;C&gt;1&lt;/C&gt;&lt;D xsi:type="xsd:double"&gt;4.929&lt;/D&gt;&lt;/FQL&gt;&lt;FQL&gt;&lt;Q&gt;COPP-FDS^FG_PRICE(0)/MAX(FG_PRICE(0,-1AY))&lt;/Q&gt;&lt;R&gt;1&lt;/R&gt;&lt;C&gt;1&lt;/C&gt;&lt;D xsi:type="xsd:double"&gt;0.880505372535128&lt;/D&gt;&lt;/FQL&gt;&lt;FQL&gt;&lt;Q&gt;COPP-FDS^FG_PRICE_CHANGE(0,-1AY)&lt;/Q&gt;&lt;R&gt;1&lt;/R&gt;&lt;C&gt;1&lt;/C&gt;&lt;D xsi:type="xsd:double"&gt;-8.7717151945192&lt;/D&gt;&lt;/FQL&gt;&lt;FQL&gt;&lt;Q&gt;COPP-FDS^FG_PRICE_CHANGE(0,-6AM)&lt;/Q&gt;&lt;R&gt;1&lt;/R&gt;&lt;C&gt;1&lt;/C&gt;&lt;D xsi:type="xsd:double"&gt;0.376901332615431&lt;/D&gt;&lt;/FQL&gt;&lt;FQL&gt;&lt;Q&gt;COPP-FDS^FG_PRICE_CHANGE(0,-3AM)&lt;/Q&gt;&lt;R&gt;1&lt;/R&gt;&lt;C&gt;1&lt;/C&gt;&lt;D xsi:type="xsd:double"&gt;1.80204778156996&lt;/D&gt;&lt;/FQL&gt;&lt;FQL&gt;&lt;Q&gt;COPP-FDS^FG_PRICE_CHANGE(0,-1AM)&lt;/Q&gt;&lt;R&gt;1&lt;/R&gt;&lt;C&gt;1&lt;/C&gt;&lt;D xsi:type="xsd:double"&gt;-0.307486631016052&lt;/D&gt;&lt;/FQL&gt;&lt;FQL&gt;&lt;Q&gt;COPP-FDS^FG_PRICE_MAVG(0,,,,30)&lt;/Q&gt;&lt;R&gt;1&lt;/R&gt;&lt;C&gt;1&lt;/C&gt;&lt;D xsi:type="xsd:double"&gt;3.7956&lt;/D&gt;&lt;/FQL&gt;&lt;FQL&gt;&lt;Q&gt;COPP-FDS^FG_PRICE(0)&lt;/Q&gt;&lt;R&gt;1&lt;/R&gt;&lt;C&gt;1&lt;/C&gt;&lt;D xsi:type="xsd:double"&gt;3.7285&lt;/D&gt;&lt;/FQL&gt;&lt;FQL&gt;&lt;Q&gt;TIOS-FDS^MAX(FG_PRICE(0,-5AY))&lt;/Q&gt;&lt;R&gt;1&lt;/R&gt;&lt;C&gt;1&lt;/C&gt;&lt;D xsi:type="xsd:double"&gt;219.77&lt;/D&gt;&lt;/FQL&gt;&lt;FQL&gt;&lt;Q&gt;TIOS-FDS^FG_PRICE(0)/MAX(FG_PRICE(0,-1AY))&lt;/Q&gt;&lt;R&gt;1&lt;/R&gt;&lt;C&gt;1&lt;/C&gt;&lt;D xsi:type="xsd:double"&gt;0.893937291897891&lt;/D&gt;&lt;/FQL&gt;&lt;FQL&gt;&lt;Q&gt;TIOS-FDS^FG_PRICE_CHANGE(0,-1AY)&lt;/Q&gt;&lt;R&gt;1&lt;/R&gt;&lt;C&gt;1&lt;/C&gt;&lt;D xsi:type="xsd:double"&gt;4.12895927601811&lt;/D&gt;&lt;/FQL&gt;&lt;FQL&gt;&lt;Q&gt;TIOS-FDS^FG_PRICE_CHANGE(0,-6AM)&lt;/Q&gt;&lt;R&gt;1&lt;/R&gt;&lt;C&gt;1&lt;/C&gt;&lt;D xsi:type="xsd:double"&gt;22.302363101452&lt;/D&gt;&lt;/FQL&gt;&lt;FQL&gt;&lt;Q&gt;TIOS-FDS^FG_PRICE_CHANGE(0,-3AM)&lt;/Q&gt;&lt;R&gt;1&lt;/R&gt;&lt;C&gt;1&lt;/C&gt;&lt;D xsi:type="xsd:double"&gt;0.412965560230649&lt;/D&gt;&lt;/FQL&gt;&lt;FQL&gt;&lt;Q&gt;TIOS-FDS^FG_PRICE_CHANGE(0,-1AM)&lt;/Q&gt;&lt;R&gt;1&lt;/R&gt;&lt;C&gt;1&lt;/C&gt;&lt;D xsi:type="xsd:double"&gt;-6.08511878734878&lt;/D&gt;&lt;/FQL&gt;&lt;FQL&gt;&lt;Q&gt;TIOS-FDS^FG_PRICE_MAVG(0,,,,30)&lt;/Q&gt;&lt;R&gt;1&lt;/R&gt;&lt;C&gt;1&lt;/C&gt;&lt;D xsi:type="xsd:double"&gt;134.968&lt;/D&gt;&lt;/FQL&gt;&lt;FQL&gt;&lt;Q&gt;TIOS-FDS^FG_PRICE(0)&lt;/Q&gt;&lt;R&gt;1&lt;/R&gt;&lt;C&gt;1&lt;/C&gt;&lt;D xsi:type="xsd:double"&gt;128.87&lt;/D&gt;&lt;/FQL&gt;&lt;FQL&gt;&lt;Q&gt;FC0000US^FG_PRICE(0)&lt;/Q&gt;&lt;R&gt;1&lt;/R&gt;&lt;C&gt;1&lt;/C&gt;&lt;D xsi:type="xsd:double"&gt;378.47925&lt;/D&gt;&lt;/FQL&gt;&lt;FQL&gt;&lt;Q&gt;FC0000GB^FG_PRICE(0)&lt;/Q&gt;&lt;R&gt;1&lt;/R&gt;&lt;C&gt;1&lt;/C&gt;&lt;D xsi:type="xsd:double"&gt;116.99395&lt;/D&gt;&lt;/FQL&gt;&lt;FQL&gt;&lt;Q&gt;FC0000CH^FG_PRICE(0)&lt;/Q&gt;&lt;R&gt;1&lt;/R&gt;&lt;C&gt;1&lt;/C&gt;&lt;D xsi:type="xsd:double"&gt;</t>
        </r>
      </text>
    </comment>
    <comment ref="A10" authorId="0" shapeId="0" xr:uid="{1C31A62E-1859-4BB1-AA37-C6A29537E6DB}">
      <text>
        <r>
          <rPr>
            <b/>
            <sz val="9"/>
            <color indexed="81"/>
            <rFont val="Tahoma"/>
            <family val="2"/>
          </rPr>
          <t>321.42175&lt;/D&gt;&lt;/FQL&gt;&lt;FQL&gt;&lt;Q&gt;FC0000JP^FG_PRICE(0)&lt;/Q&gt;&lt;R&gt;1&lt;/R&gt;&lt;C&gt;1&lt;/C&gt;&lt;D xsi:type="xsd:double"&gt;170.1679&lt;/D&gt;&lt;/FQL&gt;&lt;FQL&gt;&lt;Q&gt;FC0000GR^FG_PRICE(0)&lt;/Q&gt;&lt;R&gt;1&lt;/R&gt;&lt;C&gt;1&lt;/C&gt;&lt;D xsi:type="xsd:double"&gt;9.517317&lt;/D&gt;&lt;/FQL&gt;&lt;FQL&gt;&lt;Q&gt;FC0000CA^FG_PRICE(0)&lt;/Q&gt;&lt;R&gt;1&lt;/R&gt;&lt;C&gt;1&lt;/C&gt;&lt;D xsi:type="xsd:double"&gt;280.1769&lt;/D&gt;&lt;/FQL&gt;&lt;FQL&gt;&lt;Q&gt;FC0000AU^FG_PRICE(0)&lt;/Q&gt;&lt;R&gt;1&lt;/R&gt;&lt;C&gt;1&lt;/C&gt;&lt;D xsi:type="xsd:double"&gt;347.78094&lt;/D&gt;&lt;/FQL&gt;&lt;FQL&gt;&lt;Q&gt;FC0000NZ^FG_PRICE(0)&lt;/Q&gt;&lt;R&gt;1&lt;/R&gt;&lt;C&gt;1&lt;/C&gt;&lt;D xsi:type="xsd:double"&gt;392.03592&lt;/D&gt;&lt;/FQL&gt;&lt;FQL&gt;&lt;Q&gt;EWI^FG_PRICE_MAVG(0,,,,200)&lt;/Q&gt;&lt;R&gt;1&lt;/R&gt;&lt;C&gt;1&lt;/C&gt;&lt;D xsi:type="xsd:double"&gt;31.89295&lt;/D&gt;&lt;/FQL&gt;&lt;FQL&gt;&lt;Q&gt;EWI^FG_PRICE_MAVG(0,,,,60)&lt;/Q&gt;&lt;R&gt;1&lt;/R&gt;&lt;C&gt;1&lt;/C&gt;&lt;D xsi:type="xsd:double"&gt;33.426334&lt;/D&gt;&lt;/FQL&gt;&lt;FQL&gt;&lt;Q&gt;EWI^FG_PRICE_MAVG(0,,,,30)&lt;/Q&gt;&lt;R&gt;1&lt;/R&gt;&lt;C&gt;1&lt;/C&gt;&lt;D xsi:type="xsd:double"&gt;33.567665&lt;/D&gt;&lt;/FQL&gt;&lt;FQL&gt;&lt;Q&gt;EWI^FG_PRICE(0)&lt;/Q&gt;&lt;R&gt;1&lt;/R&gt;&lt;C&gt;1&lt;/C&gt;&lt;D xsi:type="xsd:double"&gt;33.43&lt;/D&gt;&lt;/FQL&gt;&lt;FQL&gt;&lt;Q&gt;EWD^FG_PRICE_MAVG(0,,,,200)&lt;/Q&gt;&lt;R&gt;1&lt;/R&gt;&lt;C&gt;1&lt;/C&gt;&lt;D xsi:type="xsd:double"&gt;35.18035&lt;/D&gt;&lt;/FQL&gt;&lt;FQL&gt;&lt;Q&gt;EWD^FG_PRICE_MAVG(0,,,,60)&lt;/Q&gt;&lt;R&gt;1&lt;/R&gt;&lt;C&gt;1&lt;/C&gt;&lt;D xsi:type="xsd:double"&gt;37.483166&lt;/D&gt;&lt;/FQL&gt;&lt;FQL&gt;&lt;Q&gt;EWD^FG_PRICE_MAVG(0,,,,30)&lt;/Q&gt;&lt;R&gt;1&lt;/R&gt;&lt;C&gt;1&lt;/C&gt;&lt;D xsi:type="xsd:double"&gt;37.372334&lt;/D&gt;&lt;/FQL&gt;&lt;FQL&gt;&lt;Q&gt;EWD^FG_PRICE(0)&lt;/Q&gt;&lt;R&gt;1&lt;/R&gt;&lt;C&gt;1&lt;/C&gt;&lt;D xsi:type="xsd:double"&gt;36.9&lt;/D&gt;&lt;/FQL&gt;&lt;FQL&gt;&lt;Q&gt;EWN^FG_PRICE_MAVG(0,,,,200)&lt;/Q&gt;&lt;R&gt;1&lt;/R&gt;&lt;C&gt;1&lt;/C&gt;&lt;D xsi:type="xsd:double"&gt;41.98358&lt;/D&gt;&lt;/FQL&gt;&lt;FQL&gt;&lt;Q&gt;EWN^FG_PRICE_MAVG(0,,,,60)&lt;/Q&gt;&lt;R&gt;1&lt;/R&gt;&lt;C&gt;1&lt;/C&gt;&lt;D xsi:type="xsd:double"&gt;43.995365&lt;/D&gt;&lt;/FQL&gt;&lt;FQL&gt;&lt;Q&gt;EWN^FG_PRICE_MAVG(0,,,,30)&lt;/Q&gt;&lt;R&gt;1&lt;/R&gt;&lt;C&gt;1&lt;/C&gt;&lt;D xsi:type="xsd:double"&gt;44.763&lt;/D&gt;&lt;/FQL&gt;&lt;FQL&gt;&lt;Q&gt;EWN^FG_PRICE(0)&lt;/Q&gt;&lt;R&gt;1&lt;/R&gt;&lt;C&gt;1&lt;/C&gt;&lt;D xsi:type="xsd:double"&gt;46.01&lt;/D&gt;&lt;/FQL&gt;&lt;FQL&gt;&lt;Q&gt;EWQ^FG_PRICE_MAVG(0,,,,200)&lt;/Q&gt;&lt;R&gt;1&lt;/R&gt;&lt;C&gt;1&lt;/C&gt;&lt;D xsi:type="xsd:double"&gt;37.532726&lt;/D&gt;&lt;/FQL&gt;&lt;FQL&gt;&lt;Q&gt;EWQ^FG_PRICE_MAVG(0,,,,60)&lt;/Q&gt;&lt;R&gt;1&lt;/R&gt;&lt;C&gt;1&lt;/C&gt;&lt;D xsi:type="xsd:double"&gt;38.316917&lt;/D&gt;&lt;/FQL&gt;&lt;FQL&gt;&lt;Q&gt;EWQ^FG_PRICE_MAVG(0,,,,30)&lt;/Q&gt;&lt;R&gt;1&lt;/R&gt;&lt;C&gt;1&lt;/C&gt;&lt;D xsi:type="xsd:double"&gt;38.378666&lt;/D&gt;&lt;/FQL&gt;&lt;FQL&gt;&lt;Q&gt;EWQ^FG_PRICE(0)&lt;/Q&gt;&lt;R&gt;1&lt;/R&gt;&lt;C&gt;1&lt;/C&gt;&lt;D xsi:type="xsd:double"&gt;38.13&lt;/D&gt;&lt;/FQL&gt;&lt;FQL&gt;&lt;Q&gt;SPY^FG_PRICE_MAVG(0,,,,200)&lt;/Q&gt;&lt;R&gt;1&lt;/R&gt;&lt;C&gt;1&lt;/C&gt;&lt;D xsi:type="xsd:double"&gt;446.15585&lt;/D&gt;&lt;/FQL&gt;&lt;FQL&gt;&lt;Q&gt;SPY^FG_PRICE_MAVG(0,,,,60)&lt;/Q&gt;&lt;R&gt;1&lt;/R&gt;&lt;C&gt;1&lt;/C&gt;&lt;D xsi:type="xsd:double"&gt;473.43616&lt;/D&gt;&lt;/FQL&gt;&lt;FQL&gt;&lt;Q&gt;SPY^FG_PRICE_MAVG(0,,,,30)&lt;/Q&gt;&lt;R&gt;1&lt;/R&gt;&lt;C&gt;1&lt;/C&gt;&lt;D xsi:type="xsd:double"&gt;483.92633&lt;/D&gt;&lt;/FQL&gt;&lt;FQL&gt;&lt;Q&gt;SPY^FG_PRICE(0)&lt;/Q&gt;&lt;R&gt;1&lt;/R&gt;&lt;C&gt;1&lt;/C&gt;&lt;D xsi:type="xsd:double"&gt;494.08&lt;/D&gt;&lt;/FQL&gt;&lt;FQL&gt;&lt;Q&gt;QQQ^FG_PRICE_MAVG(0,,,,200)&lt;/Q&gt;&lt;R&gt;1&lt;/R&gt;&lt;C&gt;1&lt;/C&gt;&lt;D xsi:type="xsd:double"&gt;374.96295&lt;/D&gt;&lt;/FQL&gt;&lt;FQL&gt;&lt;Q&gt;QQQ^FG_PRICE_MAVG(0,,,,60)&lt;/Q&gt;&lt;R&gt;1&lt;/R&gt;&lt;C&gt;1&lt;/C&gt;&lt;D xsi:type="xsd:double"&gt;407.54218&lt;/D&gt;&lt;/FQL&gt;&lt;FQL&gt;&lt;Q&gt;QQQ^FG_PRICE_MAVG(0,,,,30)&lt;/Q&gt;&lt;R&gt;1&lt;/R&gt;&lt;C&gt;1&lt;/C&gt;&lt;D xsi:type="xsd:double"&gt;418.241&lt;/D&gt;&lt;/FQL&gt;&lt;FQL&gt;&lt;Q&gt;QQQ^FG_PRICE(0)&lt;/Q&gt;&lt;R&gt;1&lt;/R&gt;&lt;C&gt;1&lt;/C&gt;&lt;D xsi:type="xsd:double"&gt;428.55&lt;/D&gt;&lt;/FQL&gt;&lt;FQL&gt;&lt;Q&gt;EWU^FG_PRICE_MAVG(0,,,,200)&lt;/Q&gt;&lt;R&gt;1&lt;/R&gt;&lt;C&gt;1&lt;/C&gt;&lt;D xsi:type="xsd:double"&gt;32.2712&lt;/D&gt;&lt;/FQL&gt;&lt;FQL&gt;&lt;Q&gt;EWU^FG_PRICE_MAVG(0,,,,60)&lt;/Q&gt;&lt;R&gt;1&lt;/R&gt;&lt;C&gt;1&lt;/C&gt;&lt;D xsi:type="xsd:double"&gt;32.533&lt;/D&gt;&lt;/FQL&gt;&lt;FQL&gt;&lt;Q&gt;EWU^FG_PRICE_MAVG(0,,,,30)&lt;/Q&gt;&lt;R&gt;1&lt;/R&gt;&lt;C&gt;1&lt;/C&gt;&lt;D xsi:type="xsd:double"&gt;32.43&lt;/D&gt;&lt;/FQL&gt;&lt;FQL&gt;&lt;Q&gt;EWU^FG_PRICE(0)&lt;/Q&gt;&lt;R&gt;1&lt;/R&gt;&lt;C&gt;1&lt;/C&gt;&lt;D xsi:type="xsd:double"&gt;31.68&lt;/D&gt;&lt;/FQL&gt;&lt;FQL&gt;&lt;Q&gt;EWL^FG_PRICE_MAVG(0,,,,200)&lt;/Q&gt;&lt;R&gt;1&lt;/R&gt;&lt;C&gt;1&lt;/C&gt;&lt;D xsi:type="xsd:double"&gt;45.9403&lt;/D&gt;&lt;/FQL&gt;&lt;FQL&gt;&lt;Q&gt;EWL^FG_PRICE_MAVG(0,,,,60)&lt;/Q&gt;&lt;R&gt;1&lt;/R&gt;&lt;C&gt;1&lt;/C&gt;&lt;D xsi:type="xsd:double"&gt;46.7235&lt;/D&gt;&lt;/FQL&gt;&lt;FQL&gt;&lt;Q&gt;EWL^FG_PRICE_MAVG(0,,,,30)&lt;/Q&gt;&lt;R&gt;1&lt;/R&gt;&lt;C&gt;1&lt;/C&gt;&lt;D xsi:type="xsd:double"&gt;47.307667&lt;/D&gt;&lt;/FQL&gt;&lt;FQL&gt;&lt;Q&gt;EWL^FG_PRICE(0)&lt;/Q&gt;&lt;R&gt;1&lt;/R&gt;&lt;C&gt;1&lt;/C&gt;&lt;D xsi:type="xsd:double"&gt;45.63&lt;/D&gt;&lt;/FQL&gt;&lt;FQL&gt;&lt;Q&gt;EWJ^FG_PRICE_MAVG(0,,,,200)&lt;/Q&gt;&lt;R&gt;1&lt;/R&gt;&lt;C&gt;1&lt;/C&gt;&lt;D xsi:type="xsd:double"&gt;61.957&lt;/D&gt;&lt;/FQL&gt;&lt;FQL&gt;&lt;Q&gt;EWJ^FG_PRICE_MAVG(0,,,,60)&lt;/Q&gt;&lt;R&gt;1&lt;/R&gt;&lt;C&gt;1&lt;/C&gt;&lt;D xsi:type="xsd:double"&gt;64.271835&lt;/D&gt;&lt;/FQL&gt;&lt;FQL&gt;&lt;Q&gt;EWJ^FG_PRICE_MAVG(0,,,,30)&lt;/Q&gt;&lt;R&gt;1&lt;/R&gt;&lt;C&gt;1&lt;/C&gt;&lt;D xsi:type="xsd:double"&gt;65.656&lt;/D&gt;&lt;/FQL&gt;&lt;FQL&gt;&lt;Q&gt;EWJ^FG_PRICE(0)&lt;/Q&gt;&lt;R&gt;1&lt;/R&gt;&lt;C&gt;1&lt;/C&gt;&lt;D xsi:type="xsd:double"&gt;66.74&lt;/D&gt;&lt;/FQL&gt;&lt;FQL&gt;&lt;Q&gt;EWG^FG_PRICE_MAVG(0,,,,200)&lt;/Q&gt;&lt;R&gt;1&lt;/R&gt;&lt;C&gt;1&lt;/C&gt;&lt;D xsi:type="xsd:double"&gt;28.04515&lt;/D&gt;&lt;/FQL&gt;&lt;FQL&gt;&lt;Q&gt;EWG^FG_PRICE_MAVG(0,,,,60)&lt;/Q&gt;&lt;R&gt;1&lt;/R&gt;&lt;C&gt;1&lt;/C&gt;&lt;D xsi:type="xsd:double"&gt;29.005667&lt;/D&gt;&lt;/FQL&gt;&lt;FQL&gt;&lt;Q&gt;EWG^FG_PRICE_MAVG(0,,,,30)&lt;/Q&gt;&lt;R&gt;1&lt;/R&gt;&lt;C&gt;1&lt;/C&gt;&lt;D xsi:type="xsd:double"&gt;29.137333&lt;/D&gt;&lt;/FQL&gt;&lt;FQL&gt;&lt;Q&gt;EWG^FG_PRICE(0)&lt;/Q&gt;&lt;R&gt;1&lt;/R&gt;&lt;C&gt;1&lt;/C&gt;&lt;D xsi:type="xsd:double"&gt;28.81&lt;/D&gt;&lt;/FQL&gt;&lt;FQL&gt;&lt;Q&gt;EWC^FG_PRICE_MAVG(0,,,,200)&lt;/Q&gt;&lt;R&gt;1&lt;/R&gt;&lt;C&gt;1&lt;/C&gt;&lt;D xsi:type="xsd:double"&gt;34.6784&lt;/D&gt;&lt;/FQL&gt;&lt;FQL&gt;&lt;Q&gt;EWC^FG_PRICE_MAVG(0,,,,60)&lt;/Q&gt;&lt;R&gt;1&lt;/R&gt;&lt;C&gt;1&lt;/C&gt;&lt;D xsi:type="xsd:double"&gt;35.814&lt;/D&gt;&lt;/FQL&gt;&lt;FQL&gt;&lt;Q&gt;EWC^FG_PRICE_MAVG(0,,,,30)&lt;/Q&gt;&lt;R&gt;1&lt;/R&gt;&lt;C&gt;1&lt;/C&gt;&lt;D xsi:type="xsd:double"&gt;36.22333&lt;/D&gt;&lt;/FQL&gt;&lt;FQL&gt;&lt;Q&gt;EWC^FG_PRICE(0)&lt;/Q&gt;&lt;R&gt;1&lt;/R&gt;&lt;C&gt;1&lt;/C&gt;&lt;D xsi:type="xsd:double"&gt;35.29&lt;/D&gt;&lt;/FQL&gt;&lt;FQL&gt;&lt;Q&gt;EWA^FG_PRICE_MAVG(0,,,,200)&lt;/Q&gt;&lt;R&gt;1&lt;/R&gt;&lt;C&gt;1&lt;/C&gt;&lt;D xsi:type="xsd:double"&gt;22.52325&lt;/D&gt;&lt;/FQL&gt;&lt;FQL&gt;&lt;Q&gt;EWA^FG_PRICE_MAVG(0,,,,60)&lt;/Q&gt;&lt;R&gt;1&lt;/R&gt;&lt;C&gt;1&lt;/C&gt;&lt;D xsi:type="xsd:double"&gt;23.365667&lt;/D&gt;&lt;/FQL&gt;&lt;FQL&gt;&lt;Q&gt;EWA^FG_PRICE_MAVG(0,,,,30)&lt;/Q&gt;&lt;R&gt;1&lt;/R&gt;&lt;C&gt;1&lt;/C&gt;&lt;D xsi:type="xsd:double"&gt;23.574333&lt;/D&gt;&lt;/FQL&gt;&lt;FQL&gt;&lt;Q&gt;EWA^FG_PRICE(0)&lt;/Q&gt;&lt;R&gt;1&lt;/R&gt;&lt;C&gt;1&lt;/C&gt;&lt;D xsi:type="xsd:double"&gt;22.98&lt;/D&gt;&lt;/FQL&gt;&lt;FQL&gt;&lt;Q&gt;ENZL^FG_PRICE_MAVG(0,,,,200)&lt;/Q&gt;&lt;R&gt;1&lt;/R&gt;&lt;C&gt;1&lt;/C&gt;&lt;D xsi:type="xsd:double"&gt;46.746994&lt;/D&gt;&lt;/FQL&gt;&lt;FQL&gt;&lt;Q&gt;ENZL^FG_PRICE_MAVG(0,,,,60)&lt;/Q&gt;&lt;R&gt;1&lt;/R&gt;&lt;C&gt;1&lt;/C&gt;&lt;D xsi:type="xsd:double"&gt;46.735&lt;/D&gt;&lt;/FQL&gt;&lt;FQL&gt;&lt;Q&gt;ENZL^FG_PRICE_MAVG(0,,,,30)&lt;/Q&gt;&lt;R&gt;1&lt;/R&gt;&lt;C&gt;1&lt;/C&gt;&lt;D xsi:type="xsd:double"&gt;46.833&lt;/D&gt;&lt;/FQL&gt;&lt;FQL&gt;&lt;Q&gt;ENZL^FG_PRICE(0)&lt;/Q&gt;&lt;R&gt;1&lt;/R&gt;&lt;C&gt;1&lt;/C&gt;&lt;D xsi:type="xsd:double"&gt;44.52&lt;/D&gt;&lt;/FQL&gt;&lt;FQL&gt;&lt;Q&gt;EWI^FG_COMPANY_NAME&lt;/Q&gt;&lt;R&gt;1&lt;/R&gt;&lt;C&gt;1&lt;/C&gt;&lt;D xsi:type="xsd:string"&gt;iShares MSCI Italy ETF&lt;/D&gt;&lt;/FQL&gt;&lt;FQL&gt;&lt;Q&gt;EWD^FG_COMPANY_NAME&lt;/Q&gt;&lt;R&gt;1&lt;/R&gt;&lt;C&gt;1&lt;/C&gt;&lt;D xsi:type="xsd:string"&gt;iShares MSCI Sweden ETF&lt;/D&gt;&lt;/FQL&gt;&lt;FQL&gt;&lt;Q&gt;EWN^FG_COMPANY_NAME&lt;/Q&gt;&lt;R&gt;1&lt;/R&gt;&lt;C&gt;1&lt;/C&gt;&lt;D xsi:type="xsd:string"&gt;iShares MSCI Netherlands ETF&lt;/D&gt;&lt;/FQL&gt;&lt;FQL&gt;&lt;Q&gt;EWQ^FG_COMPANY_NAME&lt;/Q&gt;&lt;R&gt;1&lt;/R&gt;&lt;C&gt;1&lt;/C&gt;&lt;D xsi:type="xsd:string"&gt;iShares MSCI France ETF&lt;/D&gt;&lt;/FQL&gt;&lt;FQL&gt;&lt;Q&gt;SPY^FG_COMPANY_NAME&lt;/Q&gt;&lt;R&gt;1&lt;/R&gt;&lt;C&gt;1&lt;/C&gt;&lt;D xsi:type="xsd:string"&gt;SPDR S&amp;amp;P 500 ETF Trust&lt;/D&gt;&lt;/FQL&gt;&lt;FQL&gt;&lt;Q&gt;QQQ^FG_COMPANY_NAME&lt;/Q&gt;&lt;R&gt;1&lt;/R&gt;&lt;C&gt;1&lt;/C&gt;&lt;D xsi:type="xsd:string"&gt;Invesco QQQ Trust Series I&lt;/D&gt;&lt;/FQL&gt;&lt;FQL&gt;&lt;Q&gt;EWU^FG_COMPANY_NAME&lt;/Q&gt;&lt;R&gt;1&lt;/R&gt;&lt;C&gt;1&lt;/C&gt;&lt;D xsi:type="xsd:string"&gt;iShares MSCI United Kingdom ETF&lt;/D&gt;&lt;/FQL&gt;&lt;FQL&gt;&lt;Q&gt;EWL^FG_COMPANY_NAME&lt;/Q&gt;&lt;R&gt;1&lt;/R&gt;&lt;C&gt;1&lt;/C&gt;&lt;D xsi:type="xsd:string"&gt;iShares MSCI Switzerland ETF&lt;/D&gt;&lt;/FQL&gt;&lt;FQL&gt;&lt;Q&gt;EWJ^FG_COMPANY_NAME&lt;/Q&gt;&lt;R&gt;1&lt;/R&gt;&lt;C&gt;1&lt;/C&gt;&lt;D xsi:type="xsd:string"&gt;iShares MSCI Japan ETF&lt;/D&gt;&lt;/FQL&gt;&lt;FQL&gt;&lt;Q&gt;EWG^FG_COMPANY_NAME&lt;/Q&gt;&lt;R&gt;1&lt;/R&gt;&lt;C&gt;1&lt;/C&gt;&lt;D xsi:type="xsd:string"&gt;iShares MSCI Germany ETF&lt;/D&gt;&lt;/FQL&gt;&lt;FQL&gt;&lt;Q&gt;EWC^FG_COMPANY_NAME&lt;/Q&gt;&lt;R&gt;1&lt;/R&gt;&lt;C&gt;1&lt;/C&gt;&lt;D xsi:type="xsd:string"&gt;iShares MSCI Canada ETF&lt;/D&gt;&lt;/FQL&gt;&lt;FQL&gt;&lt;Q&gt;EWA^FG_COMPANY_NAME&lt;/Q&gt;&lt;R&gt;1&lt;/R&gt;&lt;C&gt;1&lt;/C&gt;&lt;D xsi:type="xsd:string"&gt;iShares MSCI Australia ETF&lt;/D&gt;&lt;/FQL&gt;&lt;FQL&gt;&lt;Q&gt;ENZL^FG_COMPANY_NAME&lt;/Q&gt;&lt;R&gt;1&lt;/R&gt;&lt;C&gt;1&lt;/C&gt;&lt;D xsi:type="xsd:string"&gt;iShares MSCI New Zealand ETF&lt;/D&gt;&lt;/FQL&gt;&lt;FQL&gt;&lt;Q&gt;FXI^P_PRICE(0)/P_PRICE_LOW_PR(0,,,USD,,,"PRICE","INTRA","52W")-1&lt;/Q&gt;&lt;R&gt;1&lt;/R&gt;&lt;C&gt;1&lt;/C&gt;&lt;D xsi:type="xsd:double"&gt;0.06423783&lt;/D&gt;&lt;/FQL&gt;&lt;FQL&gt;&lt;Q&gt;FXI^P_PRICE(0)/P_PRICE_HIGH_PR(0,,,USD,,,"PRICE","INTRA","52W")&lt;/Q&gt;&lt;R&gt;1&lt;/R&gt;&lt;C&gt;1&lt;/C&gt;&lt;D xsi:type="xsd:double"&gt;0.72691554&lt;/D&gt;&lt;/FQL&gt;&lt;FQL&gt;&lt;Q&gt;FXI^FG_TOTAL_RETURNC(0,-6AM)&lt;/Q&gt;&lt;R&gt;1&lt;/R&gt;&lt;C&gt;1&lt;/C&gt;&lt;D xsi:type="xsd:double"&gt;-18.378878&lt;/D&gt;&lt;/FQL&gt;&lt;FQL&gt;&lt;Q&gt;FXI^FG_TOTAL_RETURNC(0,-3AM)&lt;/Q&gt;&lt;R&gt;1&lt;/R&gt;&lt;C&gt;1&lt;/C&gt;&lt;D xsi:type="xsd:double"&gt;-12.418842&lt;/D&gt;&lt;/FQL&gt;&lt;FQL&gt;&lt;Q&gt;IWM^P_PRICE(0)/P_PRICE_LOW_PR(0,,,USD,,,"PRICE","INTRA","52W")-1&lt;/Q&gt;&lt;R&gt;1&lt;/R&gt;&lt;C&gt;1&lt;/C&gt;&lt;D xsi:type="xsd:double"&gt;0.20374835&lt;/D&gt;&lt;/FQL&gt;&lt;FQL&gt;&lt;Q&gt;IWM^P_PRICE(0)/P_PRICE_HIGH_PR(0,,,USD,,,"PRICE","INTRA","52W")&lt;/Q&gt;&lt;R&gt;1&lt;/R&gt;&lt;C&gt;1&lt;/C&gt;&lt;D xsi:type="xsd:double"&gt;0.9470534&lt;/D&gt;&lt;/FQL&gt;&lt;FQL&gt;&lt;Q&gt;IWM^FG_TOTAL_RETURNC(0,-6AM)&lt;/Q&gt;&lt;R&gt;1&lt;/R&gt;&lt;C&gt;1&lt;/C&gt;&lt;D xsi:type="xsd:double"&gt;2.762568&lt;/D&gt;&lt;/FQL&gt;&lt;FQL&gt;&lt;Q&gt;IWM^FG_TOTAL_RETURNC(0,-3AM)&lt;/Q&gt;&lt;R&gt;1&lt;/R&gt;&lt;C&gt;1&lt;/C&gt;&lt;D xsi:type="xsd:double"&gt;15.468252&lt;/D&gt;&lt;/FQL&gt;&lt;FQL&gt;&lt;Q&gt;QQQ^P_PRICE(0)/P_PRICE_LOW_PR(0,,,USD,,,"PRICE","INTRA","52W")-1&lt;/Q&gt;&lt;R&gt;1&lt;/R&gt;&lt;C&gt;1&lt;/C&gt;&lt;D xsi:type="xsd:double"&gt;0.5026823&lt;/D&gt;&lt;/FQL&gt;&lt;FQL&gt;&lt;Q&gt;QQQ^P_PRICE(0)/P_PRICE_HIGH_PR(0,,,USD,,,"PRICE","INTRA","52W")&lt;/Q&gt;&lt;R&gt;1&lt;/R&gt;&lt;C&gt;1&lt;/C&gt;&lt;D xsi:type="xsd:double"&gt;0.9758846&lt;/D&gt;&lt;/FQL&gt;&lt;FQL&gt;&lt;Q&gt;QQQ^FG_TOTAL_RETURNC(0,-6AM)&lt;/Q&gt;&lt;R&gt;1&lt;/R&gt;&lt;C&gt;1&lt;/C&gt;&lt;D xsi:type="xsd:double"&gt;17.476738&lt;/D&gt;&lt;/FQL&gt;&lt;FQL&gt;&lt;Q&gt;QQQ^FG_TOTAL_RETURNC(0,-3AM)&lt;/Q&gt;&lt;R&gt;1&lt;/R&gt;&lt;C&gt;1&lt;/C&gt;&lt;D xsi:type="xsd:double"&gt;13.895726&lt;/D&gt;&lt;/FQL&gt;&lt;FQL&gt;&lt;Q&gt;EMXC^P_PRICE(0)/P_PRICE_LOW_PR(0,,,USD,,,"PRICE","INTRA","52W")-1&lt;/Q&gt;&lt;R&gt;1&lt;/R&gt;&lt;C&gt;1&lt;/C&gt;&lt;D xsi:type="xsd:double"&gt;0.18205297&lt;/D&gt;&lt;/FQL&gt;&lt;FQL&gt;&lt;Q&gt;EMXC^P_PRICE(0)/P_PRICE_HIGH_PR(0,,,USD,,,"PRICE","INTRA","52W")&lt;/Q&gt;&lt;R&gt;1&lt;/R&gt;&lt;C&gt;1&lt;/C&gt;&lt;D xsi:type="xsd:double"&gt;0.97643787&lt;/D&gt;&lt;/FQL&gt;&lt;FQL&gt;&lt;Q&gt;EMXC^FG_TOTAL_RETURNC(0,-6AM)&lt;/Q&gt;&lt;R&gt;1&lt;/R&gt;&lt;C&gt;1&lt;/C&gt;&lt;D xsi:type="xsd:double"&gt;7.7649236&lt;/D&gt;&lt;/FQL&gt;&lt;FQL&gt;&lt;Q&gt;EMXC^FG_TOTAL_RETURNC(0,-3AM)&lt;/Q&gt;&lt;R&gt;1&lt;/R&gt;&lt;C&gt;1&lt;/C&gt;&lt;D xsi:type="xsd:double"&gt;9.765303&lt;/D&gt;&lt;/FQL&gt;&lt;FQL&gt;&lt;Q&gt;INDA^P_PRICE(0)/P_PRICE_LOW_PR(0,,,USD,,,"PRICE","INTRA","52W")-1&lt;/Q&gt;&lt;R&gt;1&lt;/R&gt;&lt;C&gt;1&lt;/C&gt;&lt;D xsi:type="xsd:double"&gt;0.32318294&lt;/D&gt;&lt;/FQL&gt;&lt;FQL&gt;&lt;Q&gt;INDA^P_PRICE(0)/P_PRICE_HIGH_PR(0,,,USD,,,"PRICE","INTRA","52W")&lt;/Q&gt;&lt;R&gt;1&lt;/R&gt;&lt;C&gt;1&lt;/C&gt;&lt;D xsi:type="xsd:double"&gt;0.97999805&lt;/D&gt;&lt;/FQL&gt;&lt;FQL&gt;&lt;Q&gt;INDA^FG_TOTAL_RETURNC(0,-6AM)&lt;/Q&gt;&lt;R&gt;1&lt;/R&gt;&lt;C&gt;1&lt;/C&gt;&lt;D xsi:type="xsd:double"&gt;14.557552&lt;/D&gt;&lt;/FQL&gt;&lt;FQL&gt;&lt;Q&gt;INDA^FG_TOTAL_RETURNC(0,-3AM)&lt;/Q&gt;&lt;R&gt;1&lt;/R&gt;&lt;C&gt;1&lt;/C&gt;&lt;D xsi:type="xsd:double"&gt;12.494385&lt;/D&gt;&lt;/FQL&gt;&lt;FQL&gt;&lt;Q&gt;SPY^P_PRICE(0)/P_PRICE_LOW_PR(0,,,USD,,,"PRICE","INTRA","52W")-1&lt;/Q&gt;&lt;R&gt;1&lt;/R&gt;&lt;C&gt;1&lt;/C&gt;&lt;D xsi:type="xsd:double"&gt;0.29799032&lt;/D&gt;&lt;/FQL&gt;&lt;FQL&gt;&lt;Q&gt;SPY^P_PRICE(0)/P_PRICE_HIGH_PR(0,,,USD,,,"PRICE","INTRA","52W")&lt;/Q&gt;&lt;R&gt;1&lt;/R&gt;&lt;C&gt;1&lt;/C&gt;&lt;D xsi:type="xsd:double"&gt;0.98129094&lt;/D&gt;&lt;/FQL&gt;&lt;FQL&gt;&lt;Q&gt;SPY^FG_TOTAL_RETURNC(0,-6AM)&lt;/Q&gt;&lt;R&gt;1&lt;/R&gt;&lt;C&gt;1&lt;/C&gt;&lt;D xsi:type="xsd:double"&gt;11.715019&lt;/D&gt;&lt;/FQL&gt;&lt;FQL&gt;&lt;Q&gt;SPY^FG_TOTAL_RETURNC(0,-3AM)&lt;/Q&gt;&lt;R&gt;1&lt;/R&gt;&lt;C&gt;1&lt;/C&gt;&lt;D xsi:type="xsd:double"&gt;12.698293&lt;/D&gt;&lt;/FQL&gt;&lt;FQL&gt;&lt;Q&gt;EWJ^P_PRICE(0)/P_PRICE_LOW_PR(0,,,USD,,,"PRICE","INTRA","52W")-1&lt;/Q&gt;&lt;R&gt;1&lt;/R&gt;&lt;C&gt;1&lt;/C&gt;&lt;D xsi:type="xsd:double"&gt;0.22335255&lt;/D&gt;&lt;/FQL&gt;&lt;FQL&gt;&lt;Q&gt;EWJ^P_PRICE(0)/P_PRICE_HIGH_PR(0,,,USD,,,"PRICE","INTRA","52W")&lt;/Q&gt;&lt;R&gt;1&lt;/R&gt;&lt;C&gt;1&lt;/C&gt;&lt;D xsi:type="xsd:double"&gt;0.99249005&lt;/D&gt;&lt;/FQL&gt;&lt;FQL&gt;&lt;Q&gt;EWJ^FG_TOTAL_RETURNC(0,-6AM)&lt;/Q&gt;&lt;R&gt;1&lt;/R&gt;&lt;C&gt;1&lt;/C&gt;&lt;D xsi:type="xsd:double"&gt;10.283041&lt;/D&gt;&lt;/FQL&gt;&lt;FQL&gt;&lt;Q&gt;EWJ^FG_TOTAL_RETURNC(0,-3AM)&lt;/Q&gt;&lt;R&gt;1&lt;/R&gt;&lt;C&gt;1&lt;/C&gt;&lt;D xsi:type="xsd:double"&gt;11.979973&lt;/D&gt;&lt;/FQL&gt;&lt;FQL&gt;&lt;Q&gt;URTH^P_PRICE(0)/P_PRICE_LOW_PR(0,,,USD,,,"PRICE","INTRA","52W")-1&lt;/Q&gt;&lt;R&gt;1&lt;/R&gt;&lt;C&gt;1&lt;/C&gt;&lt;D xsi:type="xsd:double"&gt;0.24159658&lt;/D&gt;&lt;/FQL&gt;&lt;FQL&gt;&lt;Q&gt;URTH^P_PRICE(0)/P_PRICE_HIGH_PR(0,,,USD,,,"PRICE","INTRA","52W")&lt;/Q&gt;&lt;R&gt;1&lt;/R&gt;&lt;C&gt;1&lt;/C&gt;&lt;D xsi:type="xsd:double"&gt;0.9810423&lt;/D&gt;&lt;/FQL&gt;&lt;FQL&gt;&lt;Q&gt;URTH^FG_TOTAL_RETURNC(0,-6AM)&lt;/Q&gt;&lt;R&gt;1&lt;/R&gt;&lt;C&gt;1&lt;/C&gt;&lt;D xsi:type="xsd:double"&gt;9.765005&lt;/D&gt;&lt;/FQL&gt;&lt;FQL&gt;&lt;Q&gt;URTH^FG_TOTAL_RETURNC(0,-3AM)&lt;/Q&gt;&lt;R&gt;1&lt;/R&gt;&lt;C&gt;1&lt;/C&gt;&lt;D xsi:type="xsd:double"&gt;11.542606&lt;/D&gt;&lt;/FQL&gt;&lt;FQL&gt;&lt;Q&gt;VWO^P_PRICE(0)/P_PRICE_LOW_PR(0,,,USD,,,"PRICE","INTRA","52W")-1&lt;/Q&gt;&lt;R&gt;1&lt;/R&gt;&lt;C&gt;1&lt;/C&gt;&lt;D xsi:type="xsd:double"&gt;0.06955016&lt;/D&gt;&lt;/FQL&gt;&lt;FQL&gt;&lt;Q&gt;VWO^P_PRICE(0)/P_PRICE_HIGH_PR(0,,,USD,,,"PRICE","INTRA","52W")&lt;/Q&gt;&lt;R&gt;1&lt;/R&gt;&lt;C&gt;1&lt;/C&gt;&lt;D xsi:type="xsd:double"&gt;0.9294664&lt;/D&gt;&lt;/FQL&gt;&lt;FQL&gt;&lt;Q&gt;VWO^FG_TOTAL_RETURNC(0,-6AM)&lt;/Q&gt;&lt;R&gt;1&lt;/R&gt;&lt;C&gt;1&lt;/C&gt;&lt;D xsi:type="xsd:double"&gt;1.0425687&lt;/D&gt;&lt;/FQL&gt;&lt;FQL&gt;&lt;Q&gt;VWO^FG_TOTAL_RETURNC(0,-3AM)&lt;/Q&gt;&lt;R&gt;1&lt;/R&gt;&lt;C&gt;1&lt;/C&gt;&lt;D xsi:type="xsd:double"&gt;3.7310243&lt;/D&gt;&lt;/FQL&gt;&lt;FQL&gt;&lt;Q&gt;VGK^P_PRICE(0)/P_PRICE_LOW_PR(0,,,USD,,,"PRICE","INTRA","52W")-1&lt;/Q&gt;&lt;R&gt;1&lt;/R&gt;&lt;C&gt;1&lt;/C&gt;&lt;D xsi:type="xsd:double"&gt;0.13803124&lt;/D&gt;&lt;/FQL&gt;&lt;FQL&gt;&lt;Q&gt;VGK^P_PRICE(0)/P_PRICE_HIGH_PR(0,,,USD,,,"PRICE","INTRA","52W")&lt;/Q&gt;&lt;R&gt;1&lt;/R&gt;&lt;C&gt;1&lt;/C&gt;&lt;D xsi:type="xsd:double"&gt;0.96526223&lt;/D&gt;&lt;/FQL&gt;&lt;FQL&gt;&lt;Q&gt;VGK^FG_TOTAL_RETURNC(0,-6AM)&lt;/Q&gt;&lt;R&gt;1&lt;/R&gt;&lt;C&gt;1&lt;/C&gt;&lt;D xsi:type="xsd:double"&gt;2.7382493&lt;/D&gt;&lt;/FQL&gt;&lt;FQL&gt;&lt;Q&gt;VGK^FG_TOTAL_RETURNC(0,-3AM)&lt;/Q&gt;&lt;R&gt;1&lt;/R&gt;&lt;C&gt;1&lt;/C&gt;&lt;D xsi:type="xsd:double"&gt;7.922578&lt;/D&gt;&lt;/FQL&gt;&lt;FQL&gt;&lt;Q&gt;EWI^P_PRICE(0)/P_PRICE_LOW_PR(0,,,USD,,,"PRICE","INTRA","52W")-1&lt;/Q&gt;&lt;R&gt;1&lt;/R&gt;&lt;C&gt;1&lt;/C&gt;&lt;D xsi:type="xsd:double"&gt;0.2012217&lt;/D&gt;&lt;/FQL&gt;&lt;FQL&gt;&lt;Q&gt;EWI^P_PRICE(0)/P_PRICE_HIGH_PR(0,,,USD,,,"PRICE","INTRA","52W")&lt;/Q&gt;&lt;R&gt;1&lt;/R&gt;&lt;C&gt;1&lt;/C&gt;&lt;D xsi:type="xsd:double"&gt;0.9752042&lt;/D&gt;&lt;/FQL&gt;&lt;FQL&gt;&lt;Q&gt;EWI^FG_TOTAL_RETURNC(0,-6AM)&lt;/Q&gt;&lt;R&gt;1&lt;/R&gt;&lt;C&gt;1&lt;/C&gt;&lt;D xsi:type="xsd:double"&gt;5.9854507&lt;/D&gt;&lt;/FQL&gt;&lt;FQL&gt;&lt;Q&gt;EWI^FG_TOTAL_RETURNC(0,-3AM)&lt;/Q&gt;&lt;R&gt;1&lt;/R&gt;&lt;C&gt;1&lt;/C&gt;&lt;D xsi:type="xsd:double"&gt;7.876849&lt;/D&gt;&lt;/FQL&gt;&lt;FQL&gt;&lt;Q&gt;EWD^P_PRICE(0)/P_PRICE_LOW_PR(0,,,USD,,,"PRICE","INTRA","52W")-1&lt;/Q&gt;&lt;R&gt;1&lt;/R&gt;&lt;C&gt;1&lt;/C&gt;&lt;D xsi:type="xsd:double"&gt;0.20254207&lt;/D&gt;&lt;/FQL&gt;&lt;FQL&gt;&lt;Q&gt;EWD^P_PRICE(0)/P_PRICE_HIGH_PR(0,,,USD,,,"PRICE","INTRA","52W")&lt;/Q&gt;&lt;R&gt;1&lt;/R&gt;&lt;C&gt;1&lt;/C&gt;&lt;D xsi:type="xsd:double"&gt;0.921857&lt;/D&gt;&lt;/FQL&gt;&lt;FQL&gt;&lt;Q&gt;EWD^FG_TOTAL_RETURNC(0,-6AM)&lt;/Q&gt;&lt;R&gt;1&lt;/R&gt;&lt;C&gt;1&lt;/C&gt;&lt;D xsi:type="xsd:double"&gt;11.046171&lt;/D&gt;&lt;/FQL&gt;&lt;FQL&gt;&lt;Q&gt;EWD^FG_TOTAL_RETURNC(0,-3AM)&lt;/Q&gt;&lt;R&gt;1&lt;/R&gt;&lt;C&gt;1&lt;/C&gt;&lt;D xsi:type="xsd:double"&gt;14.267815&lt;/D&gt;&lt;/FQL&gt;&lt;FQL&gt;&lt;Q&gt;EWN^P_PRICE(0)/P_PRICE_LOW_PR(0,,,USD,,,"PRICE","INTRA","52W")-1&lt;/Q&gt;&lt;R&gt;1&lt;/R&gt;&lt;C&gt;1&lt;/C&gt;&lt;D xsi:type="xsd:double"&gt;0.2678423&lt;/D&gt;&lt;/FQL&gt;&lt;FQL&gt;&lt;Q&gt;EWN^P_PRICE(0)/P_PRICE_HIGH_PR(0,,,USD,,,"PRICE","INTRA","52W")&lt;/Q&gt;&lt;R&gt;1&lt;/R&gt;&lt;C&gt;1&lt;/C&gt;&lt;D xsi:type="xsd:double"&gt;0.96924365&lt;/D&gt;&lt;/FQL&gt;&lt;FQL&gt;&lt;Q&gt;EWN^FG_TOTAL_RETURNC(0,-6AM)&lt;/Q&gt;&lt;R&gt;1&lt;/R&gt;&lt;C&gt;1&lt;/C&gt;&lt;D xsi:type="xsd:double"&gt;8.23518&lt;/D&gt;&lt;/FQL&gt;&lt;FQL&gt;&lt;Q&gt;EWN^FG_TOTAL_RETURNC(0,-3AM)&lt;/Q&gt;&lt;R&gt;1&lt;/R&gt;&lt;C&gt;1&lt;/C&gt;&lt;D xsi:type="xsd:double"&gt;15.258896&lt;/D&gt;&lt;/FQL&gt;&lt;FQL&gt;&lt;Q&gt;EWQ^P_PRICE(0)/P_PRICE_LOW_PR(0,,,USD,,,"PRICE","INTRA","52W")-1&lt;/Q&gt;&lt;R&gt;1&lt;/R&gt;&lt;C&gt;1&lt;/C&gt;&lt;D xsi:type="xsd:double"&gt;0.13279855&lt;/D&gt;&lt;/FQL&gt;&lt;FQL&gt;&lt;Q&gt;EWQ^P_PRICE(0)/P_PRICE_HIGH_PR(0,,,USD,,,"PRICE","INTRA","52W")&lt;/Q&gt;&lt;R&gt;1&lt;/R&gt;&lt;C&gt;1&lt;/C&gt;&lt;D xsi:type="xsd:double"&gt;0.95444304&lt;/D&gt;&lt;/FQL&gt;&lt;FQL&gt;&lt;Q&gt;EWQ^FG_TOTAL_RETURNC(0,-6AM)&lt;/Q&gt;&lt;R&gt;1&lt;/R&gt;&lt;C&gt;1&lt;/C&gt;&lt;D xsi:type="xsd:double"&gt;0.38802624&lt;/D&gt;&lt;/FQL&gt;&lt;FQL&gt;&lt;Q&gt;EWQ^FG_TOTAL_RETURNC(0,-3AM)&lt;/Q&gt;&lt;R&gt;1&lt;/R&gt;&lt;C&gt;1&lt;/C&gt;&lt;D xsi:type="xsd:double"&gt;7.3219895&lt;/D&gt;&lt;/FQL&gt;&lt;FQL&gt;&lt;Q&gt;EWU^P_PRICE(0)/P_PRICE_LOW_PR(0,,,USD,,,"PRICE","INTRA","52W")-1&lt;/Q&gt;&lt;R&gt;1&lt;/R&gt;&lt;C&gt;1&lt;/C&gt;&lt;D xsi:type="xsd:double"&gt;0.055999994&lt;/D&gt;&lt;/FQL&gt;&lt;FQL&gt;&lt;Q&gt;EWU^P_PRICE(0)/P_PRICE_HIGH_PR(0,,,USD,,,"PRICE","INTRA","52W")&lt;/Q&gt;&lt;R&gt;1&lt;/R&gt;&lt;C&gt;1&lt;/C&gt;&lt;D xsi:type="xsd:double"&gt;0.9305332&lt;/D&gt;&lt;/FQL&gt;&lt;FQL&gt;&lt;Q&gt;EWU^FG_TOTAL_RETURNC(0,-6AM)&lt;/Q&gt;&lt;R&gt;1&lt;/R&gt;&lt;C&gt;1&lt;/C&gt;&lt;D xsi:type="xsd:double"&gt;-0.27900934&lt;/D&gt;&lt;/FQL&gt;&lt;FQL&gt;&lt;Q&gt;EWU^FG_TOTAL_RETURNC(0,-3AM)&lt;/Q&gt;&lt;R&gt;1&lt;/R&gt;&lt;C&gt;1&lt;/C&gt;&lt;D xsi:type="xsd:double"&gt;3.6435008&lt;/D&gt;&lt;/FQL&gt;&lt;FQL&gt;&lt;Q&gt;EWL^P_PRICE(0)/P_PRICE_LOW_PR(0,,,USD,,,"PRICE","INTRA","52W")-1&lt;/Q&gt;&lt;R&gt;1&lt;/R&gt;&lt;C&gt;1&lt;/C&gt;&lt;D xsi:type="xsd:double"&gt;0.09819496&lt;/D&gt;&lt;/FQL&gt;&lt;FQL&gt;&lt;Q&gt;EWL^P_PRICE(0)/P_PRICE_HIGH_PR(0,,,USD,,,"PRICE","INTRA","52W")&lt;/Q&gt;&lt;R&gt;1&lt;/R&gt;&lt;C&gt;1&lt;/C&gt;&lt;D xsi:type="xsd:double"&gt;0.93246144&lt;/D&gt;&lt;/FQL&gt;&lt;FQL&gt;&lt;Q&gt;EWL^FG_TOTAL_RETURNC(0,-6AM)&lt;/Q&gt;&lt;R&gt;1&lt;/R&gt;&lt;C&gt;1&lt;/C&gt;&lt;D xsi:type="xsd:double"&gt;-1.870966&lt;/D&gt;&lt;/FQL&gt;&lt;FQL&gt;&lt;Q&gt;EWL^FG_TOTAL_RETURNC(0,-3AM)&lt;/Q&gt;&lt;R&gt;1&lt;/R&gt;&lt;C&gt;1&lt;/C&gt;&lt;D xsi:type="xsd:double"&gt;5.919218&lt;/D&gt;&lt;/FQL&gt;&lt;FQL&gt;&lt;Q&gt;EWG^P_PRICE(0)/P_PRICE_LOW_PR(0,,,USD,,,"PRICE","INTRA","52W")-1&lt;/Q&gt;&lt;R&gt;1&lt;/R&gt;&lt;C&gt;1&lt;/C&gt;&lt;D xsi:type="xsd:double"&gt;0.1661607&lt;/D&gt;&lt;/FQL&gt;&lt;FQL&gt;&lt;Q&gt;EWG^P_PRICE(0)/P_PRICE_HIGH_PR(0,,,USD,,,"PRICE","INTRA","52W")&lt;/Q&gt;&lt;R&gt;1&lt;/R&gt;&lt;C&gt;1&lt;/C&gt;&lt;D xsi:type="xsd:double"&gt;0.96354514&lt;/D&gt;&lt;/FQL&gt;&lt;FQL&gt;&lt;Q&gt;EWG^FG_TOTAL_RETURNC(0,-6AM)&lt;/Q&gt;&lt;R&gt;1&lt;/R&gt;&lt;C&gt;1&lt;/C&gt;&lt;D xsi:type="xsd:double"&gt;2.495575&lt;/D&gt;&lt;/FQL&gt;&lt;FQL&gt;&lt;Q&gt;EWG^FG_TOTAL_RETURNC(0,-3AM)&lt;/Q&gt;&lt;R&gt;1&lt;/R&gt;&lt;C&gt;1&lt;/C&gt;&lt;D xsi:type="xsd:double"&gt;9.093178&lt;/D&gt;&lt;/FQL&gt;&lt;FQL&gt;&lt;Q&gt;EWC^P_PRICE(0)/P_PRICE_LOW_PR(0,,,USD,,,"PRICE","INTRA","52W")-1&lt;/Q&gt;&lt;R&gt;1&lt;/R&gt;&lt;C&gt;1&lt;/C&gt;&lt;D xsi:type="xsd:double"&gt;0.12352753&lt;/D&gt;&lt;/FQL&gt;&lt;FQL&gt;&lt;Q&gt;EWC^P_PRICE(0)/P_PRICE_HIGH_PR(0,,,USD,,,"PRICE","INTRA","52W")&lt;/Q&gt;&lt;R&gt;1&lt;/R&gt;&lt;C&gt;1&lt;/C&gt;&lt;D xsi:type="xsd:double"&gt;0.9540416&lt;/D&gt;&lt;/FQL&gt;&lt;FQL&gt;&lt;Q&gt;EWC^FG_TOTAL_RETURNC(0,-6AM)&lt;/Q&gt;&lt;R&gt;1&lt;/R&gt;&lt;C&gt;1&lt;/C&gt;&lt;D xsi:type="xsd:double"&gt;2.319312&lt;/D&gt;&lt;/FQL&gt;&lt;FQL&gt;&lt;Q&gt;EWC^FG_TOTAL_RETURNC(0,-3AM)&lt;/Q&gt;&lt;R&gt;1&lt;/R&gt;&lt;C&gt;1&lt;/C&gt;&lt;D xsi:type="xsd:double"&gt;6.906259&lt;/D&gt;&lt;/FQL&gt;&lt;FQL&gt;&lt;Q&gt;EWA^P_PRICE(0)/P_PRICE_LOW_PR(0,,,USD,,,"PRICE","INTRA","52W")-1&lt;/Q&gt;&lt;R&gt;1&lt;/R&gt;&lt;C&gt;1&lt;/C&gt;&lt;D xsi:type="xsd:double"&gt;0.12316716&lt;/D&gt;&lt;/FQL&gt;&lt;FQL&gt;&lt;Q&gt;EWA^P_PRICE(0)/P_PRICE_HIGH_PR(0,,,USD,,,"PRICE","INTRA","52W")&lt;/Q&gt;&lt;R&gt;1&lt;/R&gt;&lt;C&gt;1&lt;/C&gt;&lt;D xsi:type="xsd:double"&gt;0.9314957&lt;/D&gt;&lt;/FQL&gt;&lt;FQL&gt;&lt;Q&gt;EWA^FG_TOTAL_RETURNC(0,-6AM)&lt;/Q&gt;&lt;R&gt;1&lt;/R&gt;&lt;C&gt;1&lt;/C&gt;&lt;D xsi:type="xsd:double"&gt;5.4088354&lt;/D&gt;&lt;/FQL&gt;&lt;FQL&gt;&lt;Q&gt;EWA^FG_TOTAL_RETURNC(0,-3AM)&lt;/Q&gt;&lt;R&gt;1&lt;/R&gt;&lt;C&gt;1&lt;/C&gt;&lt;D xsi:type="xsd:double"&gt;9.136653&lt;/D&gt;&lt;/FQL&gt;&lt;FQL&gt;&lt;Q&gt;ENZL^P_PRICE(0)/P_PRICE_LOW_PR(0,,,USD,,,"PRICE","INTRA","52W")-1&lt;/Q&gt;&lt;R&gt;1&lt;/R&gt;&lt;C&gt;1&lt;/C&gt;&lt;D xsi:type="xsd:double"&gt;0.08505702&lt;/D&gt;&lt;/FQL&gt;&lt;FQL&gt;&lt;Q&gt;ENZL^P_PRICE(0)/P_PRICE_HIGH_PR(0,,,USD,,,"PRICE","INTRA","52W")&lt;/Q&gt;&lt;R&gt;1&lt;/R&gt;&lt;C&gt;1&lt;/C&gt;&lt;D xsi:type="xsd:double"&gt;0.86435694&lt;/D&gt;&lt;/FQL&gt;&lt;FQL&gt;&lt;Q&gt;ENZL^FG_TOTAL_RETURNC(0,-6AM)&lt;/Q&gt;&lt;R&gt;1&lt;/R&gt;&lt;C&gt;1&lt;/C&gt;&lt;D xsi:type="xsd:double"&gt;-3.5106778&lt;/D&gt;&lt;/FQL&gt;&lt;FQL&gt;&lt;Q&gt;ENZL^FG_TOTAL_RETURNC(0,-3AM)&lt;/Q&gt;&lt;R&gt;1&lt;/R&gt;&lt;C&gt;1&lt;/C&gt;&lt;D xsi:type="xsd:double"&gt;5.322051&lt;/D&gt;&lt;/FQL&gt;&lt;FQL&gt;&lt;Q&gt;FXI^PERCENT_CHANGE(FMA_EPS(+1,0,,,,"PORTAGG","MEAN"),FMA_EPS(+1,-3AM,,,,"PORTAGG","MEAN"))&lt;/Q&gt;&lt;R&gt;1&lt;/R&gt;&lt;C&gt;1&lt;/C&gt;&lt;D xsi:type="xsd:double"&gt;-6.78225685073716&lt;/D&gt;&lt;/FQL&gt;&lt;FQL&gt;&lt;Q&gt;FXI^PERCENT_CHANGE(FMA_EPS(+1,0,,,,"PORTAGG","MEAN"),FMA_EPS(+1,-1AM,,,,"PORTAGG","MEAN"))&lt;/Q&gt;&lt;R&gt;1&lt;/R&gt;&lt;C&gt;1&lt;/C&gt;&lt;D xsi:type="xsd:double"&gt;-2.3144201187151&lt;/D&gt;&lt;/FQL&gt;&lt;FQL&gt;&lt;Q&gt;FXI^FMA_PCT_ABOVE_MAVG(200,0,,,,"PORTAGG")&lt;/Q&gt;&lt;R&gt;1&lt;/R&gt;&lt;C&gt;1&lt;/C&gt;&lt;D xsi:type="xsd:double"&gt;26.9230769230769&lt;/D&gt;&lt;/FQL&gt;&lt;FQL&gt;&lt;Q&gt;IWM^PERCENT_CHANGE(FMA_EPS(+1,0,,,,"PORTAGG","MEAN"),FMA_EPS(+1,-3AM,,,,"PORTAGG","MEAN"))&lt;/Q&gt;&lt;R&gt;1&lt;/R&gt;&lt;C&gt;1&lt;/C&gt;&lt;D xsi:type="xsd:double"&gt;-5.6017758324225&lt;/D&gt;&lt;/FQL&gt;&lt;FQL&gt;&lt;Q&gt;IWM^PERCENT_CHANGE(FMA_EPS(+1,0,,,,"PORTAGG","MEAN"),FMA_EPS(+1,-1AM,,,,"PORTAGG","MEAN"))&lt;/Q&gt;&lt;R&gt;1&lt;/R&gt;&lt;C&gt;1&lt;/C&gt;&lt;D xsi:type="xsd:double"&gt;-0.689098613452678&lt;/D&gt;&lt;/FQL&gt;&lt;FQL&gt;&lt;Q&gt;IWM^FMA_PCT_ABOVE_MAVG(200,0,,,,"PORTAGG")&lt;/Q&gt;&lt;R&gt;1&lt;/R&gt;&lt;C&gt;1&lt;/C&gt;&lt;D xsi:type="xsd:double"&gt;59.8237428719544&lt;/D&gt;&lt;/FQL&gt;&lt;FQL&gt;&lt;Q&gt;QQQ^PERCENT_CHANGE(FMA_EPS(+1,0,,,,"PORTAGG","MEAN"),FMA_EPS(+1,-3AM,,,,"PORTAGG","MEAN"))&lt;/Q&gt;&lt;R&gt;1&lt;/R&gt;&lt;C&gt;1&lt;/C&gt;&lt;D xsi:type="xsd:double"&gt;1.06403645205293&lt;/D&gt;&lt;/FQL&gt;&lt;FQL&gt;&lt;Q&gt;QQQ^PERCENT_CHANGE(FMA_EPS(+1,0,,,,"PORTAGG","MEAN"),FMA_EPS(+1,-1AM,,,,"PORTAGG","MEAN"))&lt;/Q&gt;&lt;R&gt;1&lt;/R&gt;&lt;C&gt;1&lt;/C&gt;&lt;D xsi:type="xsd:double"&gt;-0.0841037471970391&lt;/D&gt;&lt;/FQL&gt;&lt;FQL&gt;&lt;Q&gt;QQQ^FMA_PCT_ABOVE_MAVG(200,0,,,,"PORTAGG")&lt;/Q&gt;&lt;R&gt;1&lt;/R&gt;&lt;C&gt;1&lt;/C&gt;&lt;D xsi:type="xsd:double"&gt;75.4901960784314&lt;/D&gt;&lt;/FQL&gt;&lt;FQL&gt;&lt;Q&gt;EMXC^PERCENT_CHANGE(FMA_EPS(+1,0,,,,"PORTAGG","MEAN"),FMA_EPS(+1,-3AM,,,,"PORTAGG","MEAN"))&lt;/Q&gt;&lt;R&gt;1&lt;/R&gt;&lt;C&gt;1&lt;/C&gt;&lt;D xsi:type="xsd:double"&gt;-2.30825641765035&lt;/D&gt;&lt;/FQL&gt;&lt;FQL&gt;&lt;Q&gt;EMXC^PERCENT_CHANGE(FMA_EPS(+1,0,,,,"PORTAGG","MEAN"),FMA_EPS(+1,-1AM,,,,"PORTAGG","MEAN"))&lt;/Q&gt;&lt;R&gt;1&lt;/R&gt;&lt;C&gt;1&lt;/C&gt;&lt;D xsi:type="xsd:double"&gt;-2.25934755751139&lt;/D&gt;&lt;/FQL&gt;&lt;FQL&gt;&lt;Q&gt;EMXC^FMA_PCT_ABOVE_MAVG(200,0,,,,"PORTAGG")&lt;/Q&gt;&lt;R&gt;1&lt;/R&gt;&lt;C&gt;1&lt;/C&gt;&lt;D xsi:type="xsd:double"&gt;61.2759643916914&lt;/D&gt;&lt;/FQL&gt;&lt;FQL&gt;&lt;Q&gt;INDA^PERCENT_CHANGE(FMA_EPS(+1,0,,,,"PORTAGG","MEAN"),FMA_EPS(+1,-3AM,,,,"PORTAGG","MEAN"))&lt;/Q&gt;&lt;R&gt;1&lt;/R&gt;&lt;C&gt;1&lt;/C&gt;&lt;D xsi:type="xsd:double"&gt;-2.0462688028666&lt;/D&gt;&lt;/FQL&gt;&lt;FQL&gt;&lt;Q&gt;INDA^PERCENT_CHANGE(FMA_EPS(+1,0,,,,"PORTAGG","MEAN"),FMA_EPS(+1,-1AM,,,,"PORTAGG","MEAN"))&lt;/Q&gt;&lt;R&gt;1&lt;/R&gt;&lt;C&gt;1&lt;/C&gt;&lt;D xsi:type="xsd:double"&gt;-1.01720796253756&lt;/D&gt;&lt;/FQL&gt;&lt;FQL&gt;&lt;Q&gt;INDA^FMA_PCT_ABOVE_MAVG(200,0,,,,"PORTAGG")&lt;/Q&gt;&lt;R&gt;1&lt;/R&gt;&lt;C&gt;1&lt;/C&gt;&lt;D xsi:type="xsd:double"&gt;77.8625954198473&lt;/D&gt;&lt;/FQL&gt;&lt;FQL&gt;&lt;Q&gt;SPY^PERCENT_CHANGE(FMA_EPS(+1,0,,,,"PORTAGG","MEAN"),FMA_EPS(+1,-3AM,,,,"PORTAGG","MEAN"))&lt;/Q&gt;&lt;R&gt;1&lt;/R&gt;&lt;C&gt;1&lt;/C&gt;&lt;D xsi:type="xsd:double"&gt;-0.923449211704923&lt;/D&gt;&lt;/FQL&gt;&lt;FQL&gt;&lt;Q&gt;SPY^PERCENT_CHANGE(FMA_EPS(+1,0,,,,"PORTAGG","MEAN"),FMA_EPS(+1,-1AM,,,,"PORTAGG","MEAN"))&lt;/Q&gt;&lt;R&gt;1&lt;/R&gt;&lt;C&gt;1&lt;/C&gt;&lt;D xsi:type="xsd:double"&gt;-0.00702767554657206&lt;/D&gt;&lt;/FQL&gt;&lt;FQL&gt;&lt;Q&gt;SPY^FMA_PCT_ABOVE_MAVG(200,0,,,,"PORTAGG")&lt;/Q&gt;&lt;R&gt;1&lt;/R&gt;&lt;C&gt;1&lt;/C&gt;&lt;D xsi:type="xsd:double"&gt;70.7753479125249&lt;/D&gt;&lt;/FQL&gt;&lt;FQL&gt;&lt;Q&gt;EWJ^PERCENT_CHANGE(FMA_EPS(+1,0,,,,"PORTAGG","MEAN"),FMA_EPS(+1,-3AM,,,,"PORTAGG","MEAN"))&lt;/Q&gt;&lt;R&gt;1&lt;/R&gt;&lt;C&gt;1&lt;/C&gt;&lt;D xsi:type="xsd:double"&gt;1.42647733658266&lt;/D&gt;&lt;/FQL&gt;&lt;FQL&gt;&lt;Q&gt;EWJ^PERCENT_CHANGE(FMA_EPS(+1,0,,,,"PORTAGG","MEAN"),FMA_EPS(+1,-1AM,,,,"PORTAGG","MEAN"))&lt;/Q&gt;&lt;R&gt;1&lt;/R&gt;&lt;C&gt;1&lt;/C&gt;&lt;D xsi:type="xsd:double"&gt;-2.40290739162168&lt;/D&gt;&lt;/FQL&gt;&lt;FQL&gt;&lt;Q&gt;EWJ^FMA_PCT_ABOVE_MAVG(200,0,,,,"PORTAGG")&lt;/Q&gt;&lt;R&gt;1&lt;/R&gt;&lt;C&gt;1&lt;/C&gt;&lt;D xsi:type="xsd:double"&gt;71.6814159292035&lt;/D&gt;&lt;/FQL&gt;&lt;FQL&gt;&lt;Q&gt;URTH^PERCENT_CHANGE(FMA_EPS(+1,0,,,,"PORTAGG","MEAN"),FMA_EPS(+1,-3AM,,,,"PORTAGG","MEAN"))&lt;/Q&gt;&lt;R&gt;1&lt;/R&gt;&lt;C&gt;1&lt;/C&gt;&lt;D xsi:type="xsd:double"&gt;-1.6035512419857&lt;/D&gt;&lt;/FQL&gt;&lt;FQL&gt;&lt;Q&gt;URTH^PERCENT_CHANGE(FMA_EPS(+1,0,,,,"PORTAGG","MEAN"),FMA_EPS(+1,-1AM,,,,"PORTAGG","MEAN"))&lt;/Q&gt;&lt;R&gt;1&lt;/R&gt;&lt;C&gt;1&lt;/C&gt;&lt;D xsi:type="xsd:double"&gt;-0.9753482148845&lt;/D&gt;&lt;/FQL&gt;&lt;FQL&gt;&lt;Q&gt;URTH^FMA_PCT_ABOVE_MAVG(200,0,,,,"PORTAGG")&lt;/Q&gt;&lt;R&gt;1&lt;/R&gt;&lt;C&gt;1&lt;/C&gt;&lt;D xsi:type="xsd:double"&gt;65.1525423728814&lt;/D&gt;&lt;/FQL&gt;&lt;FQL&gt;&lt;Q&gt;VWO^PERCENT_CHANGE(FMA_EPS(+1,0,,,,"PORTAGG","MEAN"),FMA_EPS(+1,-3AM,,,,"PORTAGG","MEAN"))&lt;/Q&gt;&lt;R&gt;1&lt;/R&gt;&lt;C&gt;1&lt;/C&gt;&lt;D xsi:type="xsd:double"&gt;0.142451990558968&lt;/D&gt;&lt;/FQL&gt;&lt;FQL&gt;&lt;Q&gt;VWO^PERCENT_CHANGE(FMA_EPS(+1,0,,,,"PORTAGG","MEAN"),FMA_EPS(+1,-1AM,,,,"PORTAGG","MEAN"))&lt;/Q&gt;&lt;R&gt;1&lt;/R&gt;&lt;C&gt;1&lt;/C&gt;&lt;D xsi:type="xsd:double"&gt;0&lt;/D&gt;&lt;/FQL&gt;&lt;FQL&gt;&lt;Q&gt;VWO^FMA_PCT_ABOVE_MAVG(200,0,,,,"PORTAGG")&lt;/Q&gt;&lt;R&gt;1&lt;/R&gt;&lt;C&gt;1&lt;/C&gt;&lt;D xsi:type="xsd:double"&gt;43.1467606875275&lt;/D&gt;&lt;/FQL&gt;&lt;FQL&gt;&lt;Q&gt;VGK^PERCENT_CHANGE(FMA_EPS(+1,0,,,,"PORTAGG","MEAN"),FMA_EPS(+1,-3AM,,,,"PORTAGG","MEAN"))&lt;/Q&gt;&lt;R&gt;1&lt;/R&gt;&lt;C&gt;1&lt;/C&gt;&lt;D xsi:type="xsd:double"&gt;1.9236426339422&lt;/D&gt;&lt;/FQL&gt;&lt;FQL&gt;&lt;Q&gt;VGK^PERCENT_CHANGE(FMA_EPS(+1,0,,,,"PORTAGG","MEAN"),FMA_EPS(+1,-1AM,,,,"PORTAGG","MEAN"))&lt;/Q&gt;&lt;R&gt;1&lt;/R&gt;&lt;C&gt;1&lt;/C&gt;&lt;D xsi:type="xsd:double"&gt;0&lt;/D&gt;&lt;/FQL&gt;&lt;FQL&gt;&lt;Q&gt;VGK^FMA_PCT_ABOVE_MAVG(200,0,,,,"PORTAGG")&lt;/Q&gt;&lt;R&gt;1&lt;/R&gt;&lt;C&gt;1&lt;/C&gt;&lt;D xsi:type="xsd:double"&gt;64.5440251572327&lt;/D&gt;&lt;/FQL&gt;&lt;FQL&gt;&lt;Q&gt;EWI^PERCENT_CHANGE(FMA_EPS(+1,0,,,,"PORTAGG","MEAN"),FMA_EPS(+1,-3AM,,,,"PORTAGG","MEAN"))&lt;/Q&gt;&lt;R&gt;1&lt;/R&gt;&lt;C&gt;1&lt;/C&gt;&lt;D xsi:type="xsd:double"&gt;-2.04868690891841&lt;/D&gt;&lt;/FQL&gt;&lt;FQL&gt;&lt;Q&gt;EWI^PERCENT_CHANGE(FMA_EPS(+1,0,,,,"PORTAGG","MEAN"),FMA_EPS(+1,-1AM,,,,"PORTAGG","MEAN"))&lt;/Q&gt;&lt;R&gt;1&lt;/R&gt;&lt;C&gt;1&lt;/C&gt;&lt;D xsi:type="xsd:double"&gt;-0.603438244270429&lt;/D&gt;&lt;/FQL&gt;&lt;FQL&gt;&lt;Q&gt;EWI^FMA_PCT_ABOVE_MAVG(200,0,,,,"PORTAGG")&lt;/Q&gt;&lt;R&gt;1&lt;/R&gt;&lt;C&gt;1&lt;/C&gt;&lt;D xsi:type="xsd:double"&gt;64&lt;/D&gt;&lt;/FQL&gt;&lt;FQL&gt;&lt;Q&gt;EWD^PERCENT_CHANGE(FMA_EPS(+1,0,,,,"PORTAGG","MEAN"),FMA_EPS(+1,-3AM,,,,"PORTAGG","MEAN"))&lt;/Q&gt;&lt;R&gt;1&lt;/R&gt;&lt;C&gt;1&lt;/C&gt;&lt;D xsi:type="xsd:double"&gt;-9.25790707866738&lt;/D&gt;&lt;/FQL&gt;&lt;FQL&gt;&lt;Q&gt;EWD^PERCENT_CHANGE(FMA_EPS(+1,0,,,,"PORTAGG","MEAN"),FMA_EPS(+1,-1AM,,,,"PORTAGG","MEAN"))&lt;/Q&gt;&lt;R&gt;1&lt;/R&gt;&lt;C&gt;1&lt;/C&gt;&lt;D xsi:type="xsd:double"&gt;-3.20554995334952&lt;/D&gt;&lt;/FQL&gt;&lt;FQL&gt;&lt;Q&gt;EWD^FMA_PCT_ABOVE_MAVG(200,0,,,,"PORTAGG")&lt;/Q&gt;&lt;R&gt;1&lt;/R&gt;&lt;C&gt;1&lt;/C&gt;&lt;D xsi:type="xsd:double"&gt;67.4418604651163&lt;/D&gt;&lt;/FQL&gt;&lt;FQL&gt;&lt;Q&gt;EWN^PERCENT_CHANGE(FMA_EPS(+1,0,,,,"PORTAGG","MEAN"),FMA_EPS(+1,-3AM,,,,"PORTAGG","MEAN"))&lt;/Q&gt;&lt;R&gt;1&lt;/R&gt;&lt;C&gt;1&lt;/C&gt;&lt;D xsi:type="xsd:double"&gt;-0.261055924524631&lt;/D&gt;&lt;/FQL&gt;&lt;FQL&gt;&lt;Q&gt;EWN^PERCENT_CHANGE(FMA_EPS(+1,0,,,,"PORTAGG","MEAN"),FMA_EPS(+1,-1AM,,,,"PORTAGG","MEAN"))&lt;/Q&gt;&lt;R&gt;1&lt;/R&gt;&lt;C&gt;1&lt;/C&gt;&lt;D xsi:type="xsd:double"&gt;-2.55875221664414&lt;/D&gt;&lt;/FQL&gt;&lt;FQL&gt;&lt;Q&gt;EWN^FMA_PCT_ABOVE_MAVG(200,0,,,,"PORTAGG")&lt;/Q&gt;&lt;R&gt;1&lt;/R&gt;&lt;C&gt;1&lt;/C&gt;&lt;D xsi:type="xsd:double"&gt;55.5555555555556&lt;/D&gt;&lt;/FQL&gt;&lt;FQL&gt;&lt;Q&gt;EWQ^PERCENT_CHANGE(FMA_EPS(+1,0,,,,"PORTAGG","MEAN"),FMA_EPS(+1,-3AM,,,,"PORTAGG","MEAN"))&lt;/Q&gt;&lt;R&gt;1&lt;/R&gt;&lt;C&gt;1&lt;/C&gt;&lt;D xsi:type="xsd:double"&gt;-3.43137562287118&lt;/D&gt;&lt;/FQL&gt;&lt;FQL&gt;&lt;Q&gt;EWQ^PERCENT_CHANGE(FMA_EPS(+1,0,,,,"PORTAGG","MEAN"),FMA_EPS(+1,-1AM,,,,"PORTAGG","MEAN"))&lt;/Q&gt;&lt;R&gt;1&lt;/R&gt;&lt;C&gt;1&lt;/C&gt;&lt;D xsi:type="xsd:double"&gt;-3.33668947877947&lt;/D&gt;&lt;/FQL&gt;&lt;FQL&gt;&lt;Q&gt;EWQ^FMA_PCT_ABOVE_MAVG(200,0,,,,"PORTAGG")&lt;/Q&gt;&lt;R&gt;1&lt;/R&gt;&lt;C&gt;1&lt;/C&gt;&lt;D xsi:type="xsd:double"&gt;67.741935483871&lt;/D&gt;&lt;/FQL&gt;&lt;FQL&gt;&lt;Q&gt;EWU^PERCENT_CHANGE(FMA_EPS(+1,0,,,,"PORTAGG","MEAN"),FMA_EPS(+1,-3AM,,,,"PORTAGG","MEAN"))&lt;/Q&gt;&lt;R&gt;1&lt;/R&gt;&lt;C&gt;1&lt;/C&gt;&lt;D xsi:type="xsd:double"&gt;-5.72170825055405&lt;/D&gt;&lt;/FQL&gt;&lt;FQL&gt;&lt;Q&gt;EWU^PERCENT_CHANGE(FMA_EPS(+1,0,,,,"PORTAGG","MEAN"),FMA_EPS(+1,-1AM,,,,"PORTAGG","MEAN"))&lt;/Q&gt;&lt;R&gt;1&lt;/R&gt;&lt;C&gt;1&lt;/C&gt;&lt;D xsi:type="xsd:double"&gt;-2.10584239413306&lt;/D&gt;&lt;/FQL&gt;&lt;FQL&gt;&lt;Q&gt;EWU^FMA_PCT_ABOVE_MAVG(200,0,,,,"PORTAGG")&lt;/Q&gt;&lt;R&gt;1&lt;/R&gt;&lt;C&gt;1&lt;/C&gt;&lt;D xsi:type="xsd:double"&gt;58.3333333333333&lt;/D&gt;&lt;/FQL&gt;&lt;FQL&gt;&lt;Q&gt;EWL^PERCENT_CHANGE(FMA_EPS(+1,0,,,,"PORTAGG","MEAN"),FMA_EPS(+1,-3AM,,,,"PORTAGG","MEAN"))&lt;/Q&gt;&lt;R&gt;1&lt;/R&gt;&lt;C&gt;1&lt;/C&gt;&lt;D xsi:type="xsd:double"&gt;-2.83786134676335&lt;/D&gt;&lt;/FQL&gt;&lt;FQL&gt;&lt;Q&gt;EWL^PERCENT_CHANGE(FMA_EPS(+1,0,,,,"PORTAGG","MEAN"),FMA_EPS(+1,-1AM,,,,"PORTAGG","MEAN"))&lt;/Q&gt;&lt;R&gt;1&lt;/R&gt;&lt;C&gt;1&lt;/C&gt;&lt;D xsi:type="xsd:double"&gt;-3.94144806292292&lt;/D&gt;&lt;/FQL&gt;&lt;FQL&gt;&lt;Q&gt;EWL^FMA_PCT_ABOVE_MAVG(200,0,,,,"PORTAGG")&lt;/Q&gt;&lt;R&gt;1&lt;/R&gt;&lt;C&gt;1&lt;/C&gt;&lt;D xsi:type="xsd:double"&gt;57.7777777777778&lt;/D&gt;&lt;/FQL&gt;&lt;FQL&gt;&lt;Q&gt;EWG^PERCENT_CHANGE(FMA_EPS(+1,0,,,,"PORTAGG","MEAN"),FMA_EPS(+1,-3AM,,,,"PORTAGG","MEAN"))&lt;/Q&gt;&lt;R&gt;1&lt;/R&gt;&lt;C&gt;1&lt;/C&gt;&lt;D xsi:type="xsd:double"&gt;-2.95772978794453&lt;/D&gt;&lt;/FQL&gt;&lt;FQL&gt;&lt;Q&gt;EWG^PERCENT_CHANGE(FMA_EPS(+1,0,,,,"PORTAGG","MEAN"),FMA_EPS(+1,-1AM,,,,"PORTAGG","MEAN"))&lt;/Q&gt;&lt;R&gt;1&lt;/R&gt;&lt;C&gt;1&lt;/C&gt;&lt;D xsi:type="xsd:double"&gt;-4.44089996906085&lt;/D&gt;&lt;/FQL&gt;&lt;FQL&gt;&lt;Q&gt;EWG^FMA_PCT_ABOVE_MAVG(200,0,,,,"PORTAGG")&lt;/Q&gt;&lt;R&gt;1&lt;/R&gt;&lt;C&gt;1&lt;/C&gt;&lt;D xsi:type="xsd:double"&gt;58.6206896551724&lt;/D&gt;&lt;/FQL&gt;&lt;FQL&gt;&lt;Q&gt;EWC^PERCENT_CHANGE(FMA_EPS(+1,0,,,,"PORTAGG","MEAN"),FMA_EPS(+1,-3AM,,,,"PORTAGG","MEAN"))&lt;/Q&gt;&lt;R&gt;1&lt;/R&gt;&lt;C&gt;1&lt;/C&gt;&lt;D xsi:type="xsd:double"&gt;-4.27785100049021&lt;/D&gt;&lt;/FQL&gt;&lt;FQL&gt;&lt;Q&gt;EWC^PERCENT_CHANGE(FMA_EPS(+1,0,,,,"PORTAGG","MEAN"),FMA_EPS(+1,-1AM,,,,"PORTAGG","MEAN"))&lt;/Q&gt;&lt;R&gt;1&lt;/R&gt;&lt;C&gt;1&lt;/C&gt;&lt;D xsi:type="xsd:double"&gt;-2.57326679923233&lt;/D&gt;&lt;/FQL&gt;&lt;FQL&gt;&lt;Q&gt;EWC^FMA_PCT_ABOVE_MAVG(200,0,,,,"PORTAGG")&lt;/Q&gt;&lt;R&gt;1&lt;/R&gt;&lt;C&gt;1&lt;/C&gt;&lt;D xsi:type="xsd:double"&gt;59.5505617977528&lt;/D&gt;&lt;/FQL&gt;&lt;FQL&gt;&lt;Q&gt;EWA^PERCENT_CHANGE(FMA_EPS(+1,0,,,,"PORTAGG","MEAN"),FMA_EPS(+1,-3AM,,,,"PORTAGG","MEAN"))&lt;/Q&gt;&lt;R&gt;1&lt;/R&gt;&lt;C&gt;1&lt;/C&gt;&lt;D xsi:type="xsd:double"&gt;-2.07062088471518&lt;/D&gt;&lt;/FQL&gt;&lt;FQL&gt;&lt;Q&gt;EWA^PERCENT_CHANGE(FMA_EPS(+1,0,,,,"PORTAGG","MEAN"),FMA_EPS(+1,-1AM,,,,"PORTAGG","MEAN"))&lt;/Q&gt;&lt;R&gt;1&lt;/R&gt;&lt;C&gt;1&lt;/C&gt;&lt;D xsi:type="xsd:double"&gt;-2.21110654718674&lt;/D&gt;&lt;/FQL&gt;&lt;FQL&gt;&lt;Q&gt;EWA^FMA_PCT_ABOVE_MAVG(200,0,,,,"PORTAGG")&lt;/Q&gt;&lt;R&gt;1&lt;/R&gt;&lt;C&gt;1&lt;/C&gt;&lt;D xsi:type="xsd:double"&gt;66.1016949152542&lt;/D&gt;&lt;/FQL&gt;&lt;FQL&gt;&lt;Q&gt;ENZL^PERCENT_CHANGE(FMA_EPS(+1,0,,,,"PORTAGG","MEAN"),FMA_EPS(+1,-3AM,,,,"PORTAGG","MEAN"))&lt;/Q&gt;&lt;R&gt;1&lt;/R&gt;&lt;C&gt;1&lt;/C&gt;&lt;D xsi:type="xsd:double"&gt;-5.71556238085831&lt;/D&gt;&lt;/FQL&gt;&lt;FQL&gt;&lt;Q&gt;ENZL^PERCENT_CHANGE(FMA_EPS(+1,0,,,,"PORTAGG","MEAN"),FMA_EPS(+1,-1AM,,,,"PORTAGG","MEAN"))&lt;/Q&gt;&lt;R&gt;1&lt;/R&gt;&lt;C&gt;1&lt;/C&gt;&lt;D xsi:type="xsd:double"&gt;-2.08503242671743&lt;/D&gt;&lt;/FQL&gt;&lt;FQL&gt;&lt;Q&gt;ENZL^FMA_PCT_ABOVE_MAVG(200,0,,,,"PORTAGG")&lt;/Q&gt;&lt;R&gt;1&lt;/R&gt;&lt;C&gt;1&lt;/C&gt;&lt;D xsi:type="xsd:double"&gt;50&lt;/D&gt;&lt;/FQL&gt;&lt;FQL&gt;&lt;Q&gt;FXI^SIZE(FG_CONSTITUENTS)&lt;/Q&gt;&lt;R&gt;1&lt;/R&gt;&lt;C&gt;1&lt;/C&gt;&lt;D xsi:type="xsd:long"&gt;52&lt;/D&gt;&lt;/FQL&gt;&lt;FQL&gt;&lt;Q&gt;FXI^FMA_COS_DOWN("EPS","1M",+1,0,,,"PORTAGG","MEANR")&lt;/Q&gt;&lt;R&gt;1&lt;/R&gt;&lt;C&gt;1&lt;/C&gt;&lt;D xsi:type="xsd:double"&gt;25&lt;/D&gt;&lt;/FQL&gt;&lt;FQL&gt;&lt;Q&gt;FXI^FMA_COS_UP("EPS","1M",+1,0,,,"PORTAGG","MEANR")&lt;/Q&gt;&lt;R&gt;1&lt;/R&gt;&lt;C&gt;1&lt;/C&gt;&lt;D xsi:type="xsd:double"&gt;17&lt;/D&gt;&lt;/FQL&gt;&lt;FQL&gt;&lt;Q&gt;IWM^SIZE(FG_CONSTITUENTS)&lt;/Q&gt;&lt;R&gt;1&lt;/R&gt;&lt;C&gt;1&lt;/C&gt;&lt;D xsi:type="xsd:long"&gt;1948&lt;/D&gt;&lt;/FQL&gt;&lt;FQL&gt;&lt;Q&gt;IWM^FMA_COS_DOWN("EPS","1M",+1,0,,,"PORTAGG","MEANR")&lt;/Q&gt;&lt;R&gt;1&lt;/R&gt;&lt;C&gt;1&lt;/C&gt;&lt;D xsi:type="xsd:double"&gt;431&lt;/D&gt;&lt;/FQL&gt;&lt;FQL&gt;&lt;Q&gt;IWM^FMA_COS_UP("EPS","1M",+1,0,,,"PORTAGG","MEANR")&lt;/Q&gt;&lt;R&gt;1&lt;/R&gt;&lt;C&gt;1&lt;/C&gt;&lt;D xsi:type="xsd:double"&gt;486&lt;/D&gt;&lt;/FQL&gt;&lt;FQL&gt;&lt;Q&gt;QQQ^SIZE(FG_CONSTITUENTS)&lt;/Q&gt;&lt;R&gt;1&lt;/R&gt;&lt;C&gt;1&lt;/C&gt;&lt;D xsi:type="xsd:long"&gt;102&lt;/D&gt;&lt;/FQL&gt;&lt;FQL&gt;&lt;Q&gt;QQQ^FMA_COS_DOWN("EPS","1M",+1,0,,,"PORTAGG","MEANR")&lt;/Q&gt;&lt;R&gt;1&lt;/R&gt;&lt;C&gt;1&lt;/C&gt;&lt;D xsi:type="xsd:double"&gt;21&lt;/D&gt;&lt;/FQL&gt;&lt;FQL&gt;&lt;Q&gt;QQQ^FMA_COS_UP("EPS","1M",+1,0,,,"PORTAGG","MEANR")&lt;/Q&gt;&lt;R&gt;1&lt;/R&gt;&lt;C&gt;1&lt;/C&gt;&lt;D xsi:type="xsd:double"&gt;56&lt;/D&gt;&lt;/FQL&gt;&lt;FQL&gt;&lt;Q&gt;EMXC^SIZE(FG_CONSTITUENTS)&lt;/Q&gt;&lt;R&gt;1&lt;/R&gt;&lt;C&gt;1&lt;/C&gt;&lt;D xsi:type="xsd:long"&gt;702&lt;/D&gt;&lt;/FQL&gt;&lt;FQL&gt;&lt;Q&gt;EMXC^FMA_COS_DOWN("EPS","1M",+1,0,,,"PORTAGG","MEANR")&lt;/Q&gt;&lt;R&gt;1&lt;/R&gt;&lt;C&gt;1&lt;/C&gt;&lt;D xsi:type="xsd:double"&gt;309&lt;/D&gt;&lt;/FQL&gt;&lt;FQL&gt;&lt;Q&gt;EMXC^FMA_COS_UP("EPS","1M",+1,0,,,"PORTAGG","MEANR")&lt;/Q&gt;&lt;R&gt;1&lt;/R&gt;&lt;C&gt;1&lt;/C&gt;&lt;D xsi:type="xsd:double"&gt;217&lt;/D&gt;&lt;/FQL&gt;&lt;FQL&gt;&lt;Q&gt;INDA^SIZE(FG_CONSTITUENTS)&lt;/Q&gt;&lt;R&gt;1&lt;/R&gt;&lt;C&gt;1&lt;/C&gt;&lt;D xsi:type="xsd:long"&gt;133&lt;/D&gt;&lt;/FQL&gt;&lt;FQL&gt;&lt;Q&gt;INDA^FMA_COS_DOWN("EPS","1M",+1,0,,,"PORTAGG","MEANR")&lt;/Q&gt;&lt;R&gt;1&lt;/R&gt;&lt;C&gt;1&lt;/C&gt;&lt;D xsi:type="xsd:double"&gt;63&lt;/D&gt;&lt;/FQL&gt;&lt;FQL&gt;&lt;Q&gt;INDA^FMA_COS_UP("EPS","1M",+1,0,,,"PORTAGG","MEANR")&lt;/Q&gt;&lt;R&gt;1&lt;/R&gt;&lt;C&gt;1&lt;/C&gt;&lt;D xsi:type="xsd:double"&gt;54&lt;/D&gt;&lt;/FQL&gt;&lt;FQL&gt;&lt;Q&gt;SPY^SIZE(FG_CONSTITUENTS)&lt;/Q&gt;&lt;R&gt;1&lt;/R&gt;&lt;C&gt;1&lt;/C&gt;&lt;D xsi:type="xsd:long"&gt;504&lt;/D&gt;&lt;/FQL&gt;&lt;FQL&gt;&lt;Q&gt;SPY^FMA_COS_DOWN("EPS","1M",+1,0,,,"PORTAGG","MEANR")&lt;/Q&gt;&lt;R&gt;1&lt;/R&gt;&lt;C&gt;1&lt;/C&gt;&lt;D xsi:type="xsd:double"&gt;133&lt;/D&gt;&lt;/FQL&gt;&lt;FQL&gt;&lt;Q&gt;SPY^FMA_COS_UP("EPS","1M",+1,0,,,"PORTAGG","MEANR")&lt;/Q&gt;&lt;R&gt;1&lt;/R&gt;&lt;C&gt;1&lt;/C&gt;&lt;D xsi:type="xsd:double"&gt;285&lt;/D&gt;&lt;/FQL&gt;&lt;FQL&gt;&lt;Q&gt;EWJ^SIZE(FG_CONSTITUENTS)&lt;/Q&gt;&lt;R&gt;1&lt;/R&gt;&lt;C&gt;1&lt;/C&gt;&lt;D xsi:type="xsd:long"&gt;226&lt;/D&gt;&lt;/FQL&gt;&lt;FQL&gt;&lt;Q&gt;EWJ^FMA_COS_DOWN("EPS","1M",+1,0,,,"PORTAGG","MEANR")&lt;/Q&gt;&lt;R&gt;1&lt;/R&gt;&lt;C&gt;1&lt;/C&gt;&lt;D xsi:type="xsd:double"&gt;87&lt;/D&gt;&lt;/FQL&gt;&lt;FQL&gt;&lt;Q&gt;EWJ^FMA_COS_UP("EPS","1M",+1,0,,,"PORTAGG","MEANR")&lt;/Q&gt;&lt;R&gt;1&lt;/R&gt;&lt;C&gt;1&lt;/C&gt;&lt;D xsi:type="xsd:double"&gt;95&lt;/D&gt;&lt;/FQL&gt;&lt;FQL&gt;&lt;Q&gt;URTH^SIZE(FG_CONSTITUENTS)&lt;/Q&gt;&lt;R&gt;1&lt;/R&gt;&lt;C&gt;1&lt;/C&gt;&lt;D xsi:type="xsd:long"&gt;1482&lt;/D&gt;&lt;/FQL&gt;&lt;FQL&gt;&lt;Q&gt;URTH^FMA_COS_DOWN("EPS","1M",+1,0,,,"PORTAGG","MEANR")&lt;/Q&gt;&lt;R&gt;1&lt;/R&gt;&lt;C&gt;1&lt;/C&gt;&lt;D xsi:type="xsd:double"&gt;572&lt;/D&gt;&lt;/FQL&gt;&lt;FQL&gt;&lt;Q&gt;URTH^FMA_COS_UP("EPS","1M",+1,0,,,"PORTAGG","MEANR")&lt;/Q&gt;&lt;R&gt;1&lt;/R&gt;&lt;C&gt;1&lt;/C&gt;&lt;D xsi:type="xsd:double"&gt;645&lt;/D&gt;&lt;/FQL&gt;&lt;FQL&gt;&lt;Q&gt;VWO^SIZE(FG_CONSTITUENTS)&lt;/Q&gt;&lt;R&gt;1&lt;/R&gt;&lt;C&gt;1&lt;/C&gt;&lt;D xsi:type="xsd:long"&gt;4684&lt;/D&gt;&lt;/FQL&gt;&lt;FQL&gt;&lt;Q&gt;VWO^FMA_COS_DOWN("EPS","1M",+1,0,,,"PORTAGG","MEANR")&lt;/Q&gt;&lt;R&gt;1&lt;/R&gt;&lt;C&gt;1&lt;/C&gt;&lt;D xsi:type="xsd:double"&gt;1279&lt;/D&gt;&lt;/FQL&gt;&lt;FQL&gt;&lt;Q&gt;VWO^FMA_COS_UP("EPS","1M",+1,0,,,"PORTAGG","MEANR")&lt;/Q&gt;&lt;R&gt;1&lt;/R&gt;&lt;C&gt;1&lt;/C&gt;&lt;D xsi:type="xsd:double"&gt;728&lt;/D&gt;&lt;/FQL&gt;&lt;FQL&gt;&lt;Q&gt;VGK^SIZE(FG_CONSTITUENTS)&lt;/Q&gt;&lt;R&gt;1&lt;/R&gt;&lt;C&gt;1&lt;/C&gt;&lt;D xsi:type="xsd:long"&gt;1294&lt;/D&gt;&lt;/FQL&gt;&lt;FQL&gt;&lt;Q&gt;VGK^FMA_COS_DOWN("EPS","1M",+1,0,,,"PORTAGG","MEANR")&lt;/Q&gt;&lt;R&gt;1&lt;/R&gt;&lt;C&gt;1&lt;/C&gt;&lt;D xsi:type="xsd:double"&gt;378&lt;/D&gt;&lt;/FQL&gt;&lt;FQL&gt;&lt;Q&gt;VGK^FMA_COS_UP("EPS","1M",+1,0,,,"PORTAGG","MEANR")&lt;/Q&gt;&lt;R&gt;1&lt;/R&gt;&lt;C&gt;1&lt;/C&gt;&lt;D xsi:type="xsd:double"&gt;383&lt;/D&gt;&lt;/FQL&gt;&lt;FQL&gt;&lt;Q&gt;EWI^SIZE(FG_CONSTITUENTS)&lt;/Q&gt;&lt;R&gt;1&lt;/R&gt;&lt;C&gt;1&lt;/C&gt;&lt;D xsi:type="xsd:long"&gt;26&lt;/D&gt;&lt;/FQL&gt;&lt;FQL&gt;&lt;Q&gt;EWI^FMA_COS_DOWN("EPS","1M",+1,0,,,"PORTAGG","MEANR")&lt;/Q&gt;&lt;R&gt;1&lt;/R&gt;&lt;C&gt;1&lt;/C&gt;&lt;D xsi:type="xsd:double"&gt;11&lt;/D&gt;&lt;/FQL&gt;&lt;FQL&gt;&lt;Q&gt;EWI^FMA_COS_UP("EPS","1M",+1,0,,,"PORTAGG","MEANR")&lt;/Q&gt;&lt;R&gt;1&lt;/R&gt;&lt;C&gt;1&lt;/C&gt;&lt;D xsi:type="xsd:double"&gt;10&lt;/D&gt;&lt;/FQL&gt;&lt;FQL&gt;&lt;Q&gt;EWD^SIZE(FG_CONSTITUENTS)&lt;/Q&gt;&lt;R&gt;1&lt;/R&gt;&lt;C&gt;1&lt;/C&gt;&lt;D xsi:type="xsd:long"&gt;44&lt;/D&gt;&lt;/FQL&gt;&lt;FQL&gt;&lt;Q&gt;EWD^FMA_COS_DOWN("EPS","1M",+1,0,,,"PORTAGG","MEANR")&lt;/Q&gt;&lt;R&gt;1&lt;/R&gt;&lt;C&gt;1&lt;/C&gt;&lt;D xsi:type="xsd:double"&gt;25&lt;/D&gt;&lt;/FQL&gt;&lt;FQL&gt;&lt;Q&gt;EWD^FMA_COS_UP("EPS","1M",+1,0,,,"PORTAGG","MEANR")&lt;/Q&gt;&lt;R&gt;1&lt;/R&gt;&lt;C&gt;1&lt;/C&gt;&lt;D xsi:type="xsd:double"&gt;10&lt;/D&gt;&lt;/FQL&gt;&lt;FQL&gt;&lt;Q&gt;EWN^SIZE(FG_CONSTITUENTS)&lt;/Q&gt;&lt;R&gt;1&lt;/R&gt;&lt;C&gt;1&lt;/C&gt;&lt;D xsi:type="xsd:long"&gt;54&lt;/D&gt;&lt;/FQL&gt;&lt;FQL&gt;&lt;Q&gt;EWN^FMA_COS_DOWN("EPS","1M",+1,0,,,"PORTAGG","MEANR")&lt;/Q&gt;&lt;R&gt;1&lt;/R&gt;&lt;C&gt;1&lt;/C&gt;&lt;D xsi:type="xsd:double"&gt;27&lt;/D&gt;&lt;/FQL&gt;&lt;FQL&gt;&lt;Q&gt;EWN^FMA_COS_UP("EPS","1M",+1,0,,,"PORTAGG","MEANR")&lt;/Q&gt;&lt;R&gt;1&lt;/R&gt;&lt;C&gt;1&lt;/C&gt;&lt;D xsi:type="xsd:double"&gt;15&lt;/D&gt;&lt;/FQL&gt;&lt;FQL&gt;&lt;Q&gt;EWQ^SIZE(FG_CONSTITUENTS)&lt;/Q&gt;&lt;R&gt;1&lt;/R&gt;&lt;C&gt;1&lt;/C&gt;&lt;D xsi:type="xsd:long"&gt;63&lt;/D&gt;&lt;/FQL&gt;&lt;FQL&gt;&lt;Q&gt;EWQ^FMA_COS_DOWN("EPS","1M",+1,0,,,"PORTAGG","MEANR")&lt;/Q&gt;&lt;R&gt;1&lt;/R&gt;&lt;C&gt;1&lt;/C&gt;&lt;D xsi:type="xsd:double"&gt;32&lt;/D&gt;&lt;/FQL&gt;&lt;FQL&gt;&lt;Q&gt;EWQ^FMA_COS_UP("EPS","1M",+1,0,,,"PORTAGG","MEANR")&lt;/Q&gt;&lt;R&gt;1&lt;/R&gt;&lt;C&gt;1&lt;/C&gt;&lt;D xsi:type="xsd:double"&gt;23&lt;/D&gt;&lt;/FQL&gt;&lt;FQL&gt;&lt;Q&gt;EWU^SIZE(FG_CONSTITUENTS)&lt;/Q&gt;&lt;R&gt;1&lt;/R&gt;&lt;C&gt;1&lt;/C&gt;&lt;D xsi:type="xsd:long"&gt;85&lt;/D&gt;&lt;/FQL&gt;&lt;FQL&gt;&lt;Q&gt;EWU^FMA_COS_DOWN("EPS","1M",+1,0,,,"PORTAGG","MEANR")&lt;/Q&gt;&lt;R&gt;1&lt;/R&gt;&lt;C&gt;1&lt;/C&gt;&lt;D xsi:type="xsd:double"&gt;39&lt;/D&gt;&lt;/FQL&gt;&lt;FQL&gt;&lt;Q&gt;EWU^FMA_COS_UP("EPS","1M",+1,0,,,"PORTAGG","MEANR")&lt;/Q&gt;&lt;R&gt;1&lt;/R&gt;&lt;C&gt;1&lt;/C&gt;&lt;D xsi:type="xsd:double"&gt;34&lt;/D&gt;&lt;/FQL&gt;&lt;FQL&gt;&lt;Q&gt;EWL^SIZE(FG_CONSTITUENTS)&lt;/Q&gt;&lt;R&gt;1&lt;/R&gt;&lt;C&gt;1&lt;/C&gt;&lt;D xsi:type="xsd:long"&gt;46&lt;/D&gt;&lt;/FQL&gt;&lt;FQL&gt;&lt;Q&gt;EWL^FMA_COS_DOWN("EPS","1M",+1,0,,,"PORTAGG","MEANR")&lt;/Q&gt;&lt;R&gt;1&lt;/R&gt;&lt;C&gt;1&lt;/C&gt;&lt;D xsi:type="xsd:double"&gt;27&lt;/D&gt;&lt;/FQL&gt;&lt;FQL&gt;&lt;Q&gt;EWL^FMA_COS_UP("EPS","1M",+1,0,,,"PORTAGG","MEANR")&lt;/Q&gt;&lt;R&gt;1&lt;/R&gt;&lt;C&gt;1&lt;/C&gt;&lt;D xsi:type="xsd:double"&gt;14&lt;/D&gt;&lt;/FQL&gt;&lt;FQL&gt;&lt;Q&gt;EWG^SIZE(FG_CONSTITUENTS)&lt;/Q&gt;&lt;R&gt;1&lt;/R&gt;&lt;C&gt;1&lt;/C&gt;&lt;D xsi:type="xsd:long"&gt;58&lt;/D&gt;&lt;/FQL&gt;&lt;FQL&gt;&lt;Q&gt;EWG^FMA_COS_DOWN("EPS","1M",+1,0,,,"PORTAGG","MEANR")&lt;/Q&gt;&lt;R&gt;1&lt;/R&gt;&lt;C&gt;1&lt;/C&gt;&lt;D xsi:type="xsd:double"&gt;27&lt;/D&gt;&lt;/FQL&gt;&lt;FQL&gt;&lt;Q&gt;EWG^FMA_COS_UP("EPS","1M",+1,0,,,"PORTAGG","MEANR")&lt;/Q&gt;&lt;R&gt;1&lt;/R&gt;&lt;C&gt;1&lt;/C&gt;&lt;D xsi:type="xsd:double"&gt;25&lt;/D&gt;&lt;/FQL&gt;&lt;FQL&gt;&lt;Q&gt;EWC^SIZE(FG_CONSTITUENTS)&lt;/Q&gt;&lt;R&gt;1&lt;/R&gt;&lt;C&gt;1&lt;/C&gt;&lt;D xsi:type="xsd:long"&gt;89&lt;/D&gt;&lt;/FQL&gt;&lt;FQL&gt;&lt;Q&gt;EWC^FMA_COS_DOWN("EPS","1M",+1,0,,,"PORTAGG","MEANR")&lt;/Q&gt;&lt;R&gt;1&lt;/R&gt;&lt;C&gt;1&lt;/C&gt;&lt;D xsi:type="xsd:double"&gt;34&lt;/D&gt;&lt;/FQL&gt;&lt;FQL&gt;&lt;Q&gt;EWC^FMA_COS_UP("EPS","1M",+1,0,,,"PORTAGG","MEANR")&lt;/Q&gt;&lt;R&gt;1&lt;/R&gt;&lt;C&gt;1&lt;/C&gt;&lt;D xsi:type="xsd:double"&gt;32&lt;/D&gt;&lt;/FQL&gt;&lt;FQL&gt;&lt;Q&gt;EWA^SIZE(FG_CONSTITUENTS)&lt;/Q&gt;&lt;R&gt;1&lt;/R&gt;&lt;C&gt;1&lt;/C&gt;&lt;D xsi:type="xsd:long"&gt;59&lt;/D&gt;&lt;/FQL&gt;&lt;FQL&gt;&lt;Q&gt;EWA^FMA_COS_DOWN("EPS","1M",+1,0,,,"PORTAGG","MEANR")&lt;/Q&gt;&lt;R&gt;1&lt;/R&gt;&lt;C&gt;1&lt;/C&gt;&lt;D xsi:type="xsd:double"&gt;23&lt;/D&gt;&lt;/FQL&gt;&lt;FQL&gt;&lt;Q&gt;EWA^FMA_COS_UP("EPS","1M",+1,0,,,"PORTAGG","MEANR")&lt;/Q&gt;&lt;R&gt;1&lt;/R&gt;&lt;C&gt;1&lt;/C&gt;&lt;D xsi:type="xsd:double"&gt;24&lt;/D&gt;&lt;/FQL&gt;&lt;FQL&gt;&lt;Q&gt;ENZL^SIZE(FG_CONSTITUENTS)&lt;/Q&gt;&lt;R&gt;1&lt;/R&gt;&lt;C&gt;1&lt;/C&gt;&lt;D xsi:type="xsd:long"&gt;16&lt;/D&gt;&lt;/FQL&gt;&lt;FQL&gt;&lt;Q&gt;ENZL^FMA_COS_DOWN("EPS","1M",+1,0,,,"PORTAGG","MEANR")&lt;/Q&gt;&lt;R&gt;1&lt;/R&gt;&lt;C&gt;1&lt;/C&gt;&lt;D xsi:type="xsd:double"&gt;8&lt;/D&gt;&lt;/FQL&gt;&lt;FQL&gt;&lt;Q&gt;ENZL^FMA_COS_UP("EPS","1M",+1,0,,,"PORTAGG","MEANR")&lt;/Q&gt;&lt;R&gt;1&lt;/R&gt;&lt;C&gt;1&lt;/C&gt;&lt;D xsi:type="xsd:double"&gt;2&lt;/D&gt;&lt;/FQL&gt;&lt;FQL&gt;&lt;Q&gt;FXI^FG_TOTAL_RETURNC(0,-1AM)&lt;/Q&gt;&lt;R&gt;1&lt;/R&gt;&lt;C&gt;1&lt;/C&gt;&lt;D xsi:type="xsd:double"&gt;-2.3317158&lt;/D&gt;&lt;/FQL&gt;&lt;FQL&gt;&lt;Q&gt;EWJ^FG_TOTAL_RETURNC(0,-1AM)&lt;/Q&gt;&lt;R&gt;1&lt;/R&gt;&lt;C&gt;1&lt;/C&gt;&lt;D xsi:type="xsd:double"&gt;0.46665668&lt;/D&gt;&lt;/FQL&gt;&lt;FQL&gt;&lt;Q&gt;EMXC^FG_TOTAL_RETURNC(0,-1AM)&lt;/Q&gt;&lt;R&gt;1&lt;/R&gt;&lt;C&gt;1&lt;/C&gt;&lt;D xsi:type="xsd:double"&gt;0.6966114&lt;/D&gt;&lt;/FQL&gt;&lt;FQL&gt;&lt;Q&gt;VGK^FG_TOTAL_RETURNC(0,-1AM)&lt;/Q&gt;&lt;R&gt;1&lt;/R&gt;&lt;C&gt;1&lt;/C&gt;&lt;D xsi:type="xsd:double"&gt;-1.5089571&lt;/D&gt;&lt;/FQL&gt;&lt;FQL&gt;&lt;Q&gt;TLT^P_PRICE(0)/P_PRICE_HIGH_PR(0,,,USD,,,"PRICE","INTRA","52W")&lt;/Q&gt;&lt;R&gt;1&lt;/R&gt;&lt;C&gt;1&lt;/C&gt;&lt;D xsi:type="xsd:double"&gt;0.84647113&lt;/D&gt;&lt;/FQL&gt;&lt;FQL&gt;&lt;Q&gt;TLT^FG_TOTAL_RETURNC(0,-6AM)&lt;/Q&gt;&lt;R&gt;1&lt;/R&gt;&lt;C&gt;1&lt;/C&gt;&lt;D xsi:type="xsd:double"&gt;-1.309514&lt;/D&gt;&lt;/FQL&gt;&lt;FQL&gt;&lt;Q&gt;TLT^FG_TOTAL_RETURNC(0,-3AM)&lt;/Q&gt;&lt;R&gt;1&lt;/R&gt;&lt;C&gt;1&lt;/C&gt;&lt;D xsi:type="xsd:double"&gt;6.186056&lt;/D&gt;&lt;/FQL&gt;&lt;FQL&gt;&lt;Q&gt;TLT^FG_TOTAL_RETURNC(0,-1AM)&lt;/Q&gt;&lt;R&gt;1&lt;/R&gt;&lt;C&gt;1&lt;/C&gt;&lt;D xsi:type="xsd:double"&gt;-4.0183067&lt;/D&gt;&lt;/FQL&gt;&lt;FQL&gt;&lt;Q&gt;USO^P_PRICE(0)/P_PRICE_HIGH_PR(0,,,USD,,,"PRICE","INTRA","52W")&lt;/</t>
        </r>
      </text>
    </comment>
    <comment ref="A11" authorId="0" shapeId="0" xr:uid="{C2012F58-82E4-4700-ADB7-BFAE2C635E49}">
      <text>
        <r>
          <rPr>
            <b/>
            <sz val="9"/>
            <color indexed="81"/>
            <rFont val="Tahoma"/>
            <family val="2"/>
          </rPr>
          <t>Q&gt;&lt;R&gt;1&lt;/R&gt;&lt;C&gt;1&lt;/C&gt;&lt;D xsi:type="xsd:double"&gt;0.8722536&lt;/D&gt;&lt;/FQL&gt;&lt;FQL&gt;&lt;Q&gt;USO^FG_TOTAL_RETURNC(0,-6AM)&lt;/Q&gt;&lt;R&gt;1&lt;/R&gt;&lt;C&gt;1&lt;/C&gt;&lt;D xsi:type="xsd:double"&gt;-2.1548808&lt;/D&gt;&lt;/FQL&gt;&lt;FQL&gt;&lt;Q&gt;USO^FG_TOTAL_RETURNC(0,-3AM)&lt;/Q&gt;&lt;R&gt;1&lt;/R&gt;&lt;C&gt;1&lt;/C&gt;&lt;D xsi:type="xsd:double"&gt;-0.37026405&lt;/D&gt;&lt;/FQL&gt;&lt;FQL&gt;&lt;Q&gt;USO^FG_TOTAL_RETURNC(0,-1AM)&lt;/Q&gt;&lt;R&gt;1&lt;/R&gt;&lt;C&gt;1&lt;/C&gt;&lt;D xsi:type="xsd:double"&gt;6.8068266&lt;/D&gt;&lt;/FQL&gt;&lt;FQL&gt;&lt;Q&gt;DBA^P_PRICE(0)/P_PRICE_HIGH_PR(0,,,USD,,,"PRICE","INTRA","52W")&lt;/Q&gt;&lt;R&gt;1&lt;/R&gt;&lt;C&gt;1&lt;/C&gt;&lt;D xsi:type="xsd:double"&gt;0.9777679&lt;/D&gt;&lt;/FQL&gt;&lt;FQL&gt;&lt;Q&gt;DBA^FG_TOTAL_RETURNC(0,-6AM)&lt;/Q&gt;&lt;R&gt;1&lt;/R&gt;&lt;C&gt;1&lt;/C&gt;&lt;D xsi:type="xsd:double"&gt;7.4020147&lt;/D&gt;&lt;/FQL&gt;&lt;FQL&gt;&lt;Q&gt;DBA^FG_TOTAL_RETURNC(0,-3AM)&lt;/Q&gt;&lt;R&gt;1&lt;/R&gt;&lt;C&gt;1&lt;/C&gt;&lt;D xsi:type="xsd:double"&gt;2.838862&lt;/D&gt;&lt;/FQL&gt;&lt;FQL&gt;&lt;Q&gt;DBA^FG_TOTAL_RETURNC(0,-1AM)&lt;/Q&gt;&lt;R&gt;1&lt;/R&gt;&lt;C&gt;1&lt;/C&gt;&lt;D xsi:type="xsd:double"&gt;6.695771&lt;/D&gt;&lt;/FQL&gt;&lt;FQL&gt;&lt;Q&gt;QQQ^FG_TOTAL_RETURNC(0,-1AM)&lt;/Q&gt;&lt;R&gt;1&lt;/R&gt;&lt;C&gt;1&lt;/C&gt;&lt;D xsi:type="xsd:double"&gt;4.636681&lt;/D&gt;&lt;/FQL&gt;&lt;FQL&gt;&lt;Q&gt;UUP^P_PRICE(0)/P_PRICE_HIGH_PR(0,,,USD,,,"PRICE","INTRA","52W")&lt;/Q&gt;&lt;R&gt;1&lt;/R&gt;&lt;C&gt;1&lt;/C&gt;&lt;D xsi:type="xsd:double"&gt;0.9361843&lt;/D&gt;&lt;/FQL&gt;&lt;FQL&gt;&lt;Q&gt;UUP^FG_TOTAL_RETURNC(0,-6AM)&lt;/Q&gt;&lt;R&gt;1&lt;/R&gt;&lt;C&gt;1&lt;/C&gt;&lt;D xsi:type="xsd:double"&gt;5.1557302&lt;/D&gt;&lt;/FQL&gt;&lt;FQL&gt;&lt;Q&gt;UUP^FG_TOTAL_RETURNC(0,-3AM)&lt;/Q&gt;&lt;R&gt;1&lt;/R&gt;&lt;C&gt;1&lt;/C&gt;&lt;D xsi:type="xsd:double"&gt;0.8154154&lt;/D&gt;&lt;/FQL&gt;&lt;FQL&gt;&lt;Q&gt;UUP^FG_TOTAL_RETURNC(0,-1AM)&lt;/Q&gt;&lt;R&gt;1&lt;/R&gt;&lt;C&gt;1&lt;/C&gt;&lt;D xsi:type="xsd:double"&gt;2.8779507&lt;/D&gt;&lt;/FQL&gt;&lt;FQL&gt;&lt;Q&gt;GLD^P_PRICE(0)/P_PRICE_HIGH_PR(0,,,USD,,,"PRICE","INTRA","52W")&lt;/Q&gt;&lt;R&gt;1&lt;/R&gt;&lt;C&gt;1&lt;/C&gt;&lt;D xsi:type="xsd:double"&gt;0.95521176&lt;/D&gt;&lt;/FQL&gt;&lt;FQL&gt;&lt;Q&gt;GLD^FG_TOTAL_RETURNC(0,-6AM)&lt;/Q&gt;&lt;R&gt;1&lt;/R&gt;&lt;C&gt;1&lt;/C&gt;&lt;D xsi:type="xsd:double"&gt;3.902018&lt;/D&gt;&lt;/FQL&gt;&lt;FQL&gt;&lt;Q&gt;GLD^FG_TOTAL_RETURNC(0,-3AM)&lt;/Q&gt;&lt;R&gt;1&lt;/R&gt;&lt;C&gt;1&lt;/C&gt;&lt;D xsi:type="xsd:double"&gt;2.2270203&lt;/D&gt;&lt;/FQL&gt;&lt;FQL&gt;&lt;Q&gt;GLD^FG_TOTAL_RETURNC(0,-1AM)&lt;/Q&gt;&lt;R&gt;1&lt;/R&gt;&lt;C&gt;1&lt;/C&gt;&lt;D xsi:type="xsd:double"&gt;-2.7304888&lt;/D&gt;&lt;/FQL&gt;&lt;FQL&gt;&lt;Q&gt;SPY^FG_TOTAL_RETURNC(0,-1AM)&lt;/Q&gt;&lt;R&gt;1&lt;/R&gt;&lt;C&gt;1&lt;/C&gt;&lt;D xsi:type="xsd:double"&gt;3.650248&lt;/D&gt;&lt;/FQL&gt;&lt;FQL&gt;&lt;Q&gt;VWO^FG_TOTAL_RETURNC(0,-1AM)&lt;/Q&gt;&lt;R&gt;1&lt;/R&gt;&lt;C&gt;1&lt;/C&gt;&lt;D xsi:type="xsd:double"&gt;-0.86612105&lt;/D&gt;&lt;/FQL&gt;&lt;FQL&gt;&lt;Q&gt;CC_SA^IMF_IFS_RCPI_Q(0)&lt;/Q&gt;&lt;R&gt;1&lt;/R&gt;&lt;C&gt;1&lt;/C&gt;&lt;D xsi:type="xsd:double"&gt;1.5943921&lt;/D&gt;&lt;/FQL&gt;&lt;FQL&gt;&lt;Q&gt;CC_VN^IMF_IFS_RCPI_Q(0)&lt;/Q&gt;&lt;R&gt;1&lt;/R&gt;&lt;C&gt;1&lt;/C&gt;&lt;D xsi:type="xsd:double"&gt;3.5401578&lt;/D&gt;&lt;/FQL&gt;&lt;FQL&gt;&lt;Q&gt;CC_AE^IMF_IFS_RCPI_Q(0)&lt;/Q&gt;&lt;R&gt;0&lt;/R&gt;&lt;C&gt;0&lt;/C&gt;&lt;/FQL&gt;&lt;FQL&gt;&lt;Q&gt;CC_TR^IMF_IFS_RCPI_Q(0)&lt;/Q&gt;&lt;R&gt;1&lt;/R&gt;&lt;C&gt;1&lt;/C&gt;&lt;D xsi:type="xsd:double"&gt;62.72422&lt;/D&gt;&lt;/FQL&gt;&lt;FQL&gt;&lt;Q&gt;CC_TH^IMF_IFS_RCPI_Q(0)&lt;/Q&gt;&lt;R&gt;0&lt;/R&gt;&lt;C&gt;0&lt;/C&gt;&lt;/FQL&gt;&lt;FQL&gt;&lt;Q&gt;CC_QA^IMF_IFS_RCPI_Q(0)&lt;/Q&gt;&lt;R&gt;0&lt;/R&gt;&lt;C&gt;0&lt;/C&gt;&lt;/FQL&gt;&lt;FQL&gt;&lt;Q&gt;CC_CN^IMF_IFS_RCPI_Q(0)&lt;/Q&gt;&lt;R&gt;1&lt;/R&gt;&lt;C&gt;1&lt;/C&gt;&lt;D xsi:type="xsd:double"&gt;-0.322581&lt;/D&gt;&lt;/FQL&gt;&lt;FQL&gt;&lt;Q&gt;CC_IN^IMF_IFS_RCPI_Q(0)&lt;/Q&gt;&lt;R&gt;0&lt;/R&gt;&lt;C&gt;0&lt;/C&gt;&lt;/FQL&gt;&lt;FQL&gt;&lt;Q&gt;CC_GR^IMF_IFS_RCPI_Q(0)&lt;/Q&gt;&lt;R&gt;1&lt;/R&gt;&lt;C&gt;1&lt;/C&gt;&lt;D xsi:type="xsd:double"&gt;3.309465&lt;/D&gt;&lt;/FQL&gt;&lt;FQL&gt;&lt;Q&gt;CC_ZA^IMF_IFS_RCPI_Q(0)&lt;/Q&gt;&lt;R&gt;1&lt;/R&gt;&lt;C&gt;1&lt;/C&gt;&lt;D xsi:type="xsd:double"&gt;5.633361&lt;/D&gt;&lt;/FQL&gt;&lt;FQL&gt;&lt;Q&gt;CC_BR^IMF_IFS_RCPI_Q(0)&lt;/Q&gt;&lt;R&gt;1&lt;/R&gt;&lt;C&gt;1&lt;/C&gt;&lt;D xsi:type="xsd:double"&gt;4.7076507&lt;/D&gt;&lt;/FQL&gt;&lt;FQL&gt;&lt;Q&gt;CC_KR^IMF_IFS_RCPI_Q(0)&lt;/Q&gt;&lt;R&gt;1&lt;/R&gt;&lt;C&gt;1&lt;/C&gt;&lt;D xsi:type="xsd:double"&gt;3.404687&lt;/D&gt;&lt;/FQL&gt;&lt;FQL&gt;&lt;Q&gt;CC_MX^IMF_IFS_RCPI_Q(0)&lt;/Q&gt;&lt;R&gt;1&lt;/R&gt;&lt;C&gt;1&lt;/C&gt;&lt;D xsi:type="xsd:double"&gt;4.4145546&lt;/D&gt;&lt;/FQL&gt;&lt;FQL&gt;&lt;Q&gt;CC_TW^IMF_IFS_RCPI_Q(0)&lt;/Q&gt;&lt;R&gt;0&lt;/R&gt;&lt;C&gt;0&lt;/C&gt;&lt;/FQL&gt;&lt;FQL&gt;&lt;Q&gt;CC_MY^IMF_IFS_RCPI_Q(0)&lt;/Q&gt;&lt;R&gt;0&lt;/R&gt;&lt;C&gt;0&lt;/C&gt;&lt;/FQL&gt;&lt;FQL&gt;&lt;Q&gt;CC_PE^IMF_IFS_RCPI_Q(0)&lt;/Q&gt;&lt;R&gt;1&lt;/R&gt;&lt;C&gt;1&lt;/C&gt;&lt;D xsi:type="xsd:double"&gt;3.9030175&lt;/D&gt;&lt;/FQL&gt;&lt;FQL&gt;&lt;Q&gt;CC_PL^IMF_IFS_RCPI_Q(0)&lt;/Q&gt;&lt;R&gt;1&lt;/R&gt;&lt;C&gt;1&lt;/C&gt;&lt;D xsi:type="xsd:double"&gt;6.202308&lt;/D&gt;&lt;/FQL&gt;&lt;FQL&gt;&lt;Q&gt;CC_PH^IMF_IFS_RCPI_Q(0)&lt;/Q&gt;&lt;R&gt;0&lt;/R&gt;&lt;C&gt;0&lt;/C&gt;&lt;/FQL&gt;&lt;FQL&gt;&lt;Q&gt;CC_ID^IMF_IFS_RCPI_Q(0)&lt;/Q&gt;&lt;R&gt;1&lt;/R&gt;&lt;C&gt;1&lt;/C&gt;&lt;D xsi:type="xsd:double"&gt;2.681245&lt;/D&gt;&lt;/FQL&gt;&lt;FQL&gt;&lt;Q&gt;CC_CL^IMF_IFS_RCPI_Q(0)&lt;/Q&gt;&lt;R&gt;1&lt;/R&gt;&lt;C&gt;1&lt;/C&gt;&lt;D xsi:type="xsd:double"&gt;4.586063&lt;/D&gt;&lt;/FQL&gt;&lt;FQL&gt;&lt;Q&gt;VWO^FMA_EVAL_EBIT(LTMA,NOW,NOW,M,"PORTAGG","MEANR")&lt;/Q&gt;&lt;R&gt;1&lt;/R&gt;&lt;C&gt;1&lt;/C&gt;&lt;D xsi:type="xsd:double"&gt;14.2305122229297&lt;/D&gt;&lt;/FQL&gt;&lt;FQL&gt;&lt;Q&gt;VWO^FMA_EVAL_EBITDA(NTMA,0,,,"PORTAGG","MEANR")&lt;/Q&gt;&lt;R&gt;1&lt;/R&gt;&lt;C&gt;1&lt;/C&gt;&lt;D xsi:type="xsd:double"&gt;7.47388528442588&lt;/D&gt;&lt;/FQL&gt;&lt;FQL&gt;&lt;Q&gt;VWO^FG_FCF_YIELD_NTM(0)&lt;/Q&gt;&lt;R&gt;1&lt;/R&gt;&lt;C&gt;1&lt;/C&gt;&lt;D xsi:type="xsd:double"&gt;6.68133618499077&lt;/D&gt;&lt;/FQL&gt;&lt;FQL&gt;&lt;Q&gt;VWO^FMA_DIV_YLD(NTMA,NOW,NOW,M,"PORTAGG","MEANR")&lt;/Q&gt;&lt;R&gt;1&lt;/R&gt;&lt;C&gt;1&lt;/C&gt;&lt;D xsi:type="xsd:double"&gt;3.05637582417096&lt;/D&gt;&lt;/FQL&gt;&lt;FQL&gt;&lt;Q&gt;VWO^FG_PE_NTM(0,,,90,0)&lt;/Q&gt;&lt;R&gt;1&lt;/R&gt;&lt;C&gt;1&lt;/C&gt;&lt;D xsi:type="xsd:double"&gt;10.6259248395197&lt;/D&gt;&lt;/FQL&gt;&lt;FQL&gt;&lt;Q&gt;VWO^FG_PE(0)&lt;/Q&gt;&lt;R&gt;1&lt;/R&gt;&lt;C&gt;1&lt;/C&gt;&lt;D xsi:type="xsd:double"&gt;13.3668245835043&lt;/D&gt;&lt;/FQL&gt;&lt;FQL&gt;&lt;Q&gt;VWO^JULIAN(FMA_DIV_YLD(NTMA,NOW,NOW,M,"PORTAGG","MEANR").DATES)&lt;/Q&gt;&lt;R&gt;1&lt;/R&gt;&lt;C&gt;1&lt;/C&gt;&lt;D xsi:type="xsd:long"&gt;45289&lt;/D&gt;&lt;/FQL&gt;&lt;FQL&gt;&lt;Q&gt;VGK^FMA_EVAL_EBIT(LTMA,NOW,NOW,M,"PORTAGG","MEANR")&lt;/Q&gt;&lt;R&gt;1&lt;/R&gt;&lt;C&gt;1&lt;/C&gt;&lt;D xsi:type="xsd:double"&gt;12.8162051158573&lt;/D&gt;&lt;/FQL&gt;&lt;FQL&gt;&lt;Q&gt;VGK^FMA_EVAL_EBITDA(NTMA,0,,,"PORTAGG","MEANR")&lt;/Q&gt;&lt;R&gt;1&lt;/R&gt;&lt;C&gt;1&lt;/C&gt;&lt;D xsi:type="xsd:double"&gt;8.08589299912181&lt;/D&gt;&lt;/FQL&gt;&lt;FQL&gt;&lt;Q&gt;VGK^FG_FCF_YIELD_NTM(0)&lt;/Q&gt;&lt;R&gt;1&lt;/R&gt;&lt;C&gt;1&lt;/C&gt;&lt;D xsi:type="xsd:double"&gt;6.34561937548131&lt;/D&gt;&lt;/FQL&gt;&lt;FQL&gt;&lt;Q&gt;VGK^FMA_DIV_YLD(NTMA,NOW,NOW,M,"PORTAGG","MEANR")&lt;/Q&gt;&lt;R&gt;1&lt;/R&gt;&lt;C&gt;1&lt;/C&gt;&lt;D xsi:type="xsd:double"&gt;3.62641778699979&lt;/D&gt;&lt;/FQL&gt;&lt;FQL&gt;&lt;Q&gt;VGK^FG_PE_NTM(0,,,90,0)&lt;/Q&gt;&lt;R&gt;1&lt;/R&gt;&lt;C&gt;1&lt;/C&gt;&lt;D xsi:type="xsd:double"&gt;11.6198720084479&lt;/D&gt;&lt;/FQL&gt;&lt;FQL&gt;&lt;Q&gt;VGK^FG_PE(0)&lt;/Q&gt;&lt;R&gt;1&lt;/R&gt;&lt;C&gt;1&lt;/C&gt;&lt;D xsi:type="xsd:double"&gt;12.6284569939819&lt;/D&gt;&lt;/FQL&gt;&lt;FQL&gt;&lt;Q&gt;VGK^JULIAN(FMA_DIV_YLD(NTMA,NOW,NOW,M,"PORTAGG","MEANR").DATES)&lt;/Q&gt;&lt;R&gt;1&lt;/R&gt;&lt;C&gt;1&lt;/C&gt;&lt;D xsi:type="xsd:long"&gt;45289&lt;/D&gt;&lt;/FQL&gt;&lt;FQL&gt;&lt;Q&gt;KSA^FMA_EVAL_EBIT(LTMA,NOW,NOW,M,"PORTAGG","MEANR")&lt;/Q&gt;&lt;R&gt;1&lt;/R&gt;&lt;C&gt;1&lt;/C&gt;&lt;D xsi:type="xsd:double"&gt;21.5901346651468&lt;/D&gt;&lt;/FQL&gt;&lt;FQL&gt;&lt;Q&gt;KSA^FMA_EVAL_EBITDA(NTMA,0,,,"PORTAGG","MEANR")&lt;/Q&gt;&lt;R&gt;1&lt;/R&gt;&lt;C&gt;1&lt;/C&gt;&lt;D xsi:type="xsd:double"&gt;10.8966642513099&lt;/D&gt;&lt;/FQL&gt;&lt;FQL&gt;&lt;Q&gt;KSA^FG_FCF_YIELD_NTM(0)&lt;/Q&gt;&lt;R&gt;1&lt;/R&gt;&lt;C&gt;1&lt;/C&gt;&lt;D xsi:type="xsd:double"&gt;4.01812428627538&lt;/D&gt;&lt;/FQL&gt;&lt;FQL&gt;&lt;Q&gt;KSA^FMA_DIV_YLD(NTMA,NOW,NOW,M,"PORTAGG","MEANR")&lt;/Q&gt;&lt;R&gt;1&lt;/R&gt;&lt;C&gt;1&lt;/C&gt;&lt;D xsi:type="xsd:double"&gt;3.50092524513295&lt;/D&gt;&lt;/FQL&gt;&lt;FQL&gt;&lt;Q&gt;KSA^FMA_PE(NTMA,0,,,"PORTAGG","MEANR")&lt;/Q&gt;&lt;R&gt;1&lt;/R&gt;&lt;C&gt;1&lt;/C&gt;&lt;D xsi:type="xsd:double"&gt;18.5689288336225&lt;/D&gt;&lt;/FQL&gt;&lt;FQL&gt;&lt;Q&gt;KSA^FMA_PE(LTM,0,,,"PORTAGG","MEANR")&lt;/Q&gt;&lt;R&gt;1&lt;/R&gt;&lt;C&gt;1&lt;/C&gt;&lt;D xsi:type="xsd:double"&gt;22.6365952853746&lt;/D&gt;&lt;/FQL&gt;&lt;FQL&gt;&lt;Q&gt;KSA^JULIAN(FMA_DIV_YLD(NTMA,NOW,NOW,M,"PORTAGG","MEANR").DATES)&lt;/Q&gt;&lt;R&gt;1&lt;/R&gt;&lt;C&gt;1&lt;/C&gt;&lt;D xsi:type="xsd:long"&gt;45322&lt;/D&gt;&lt;/FQL&gt;&lt;FQL&gt;&lt;Q&gt;VNM^FMA_EVAL_EBIT(LTMA,NOW,NOW,M,"PORTAGG","MEANR")&lt;/Q&gt;&lt;R&gt;1&lt;/R&gt;&lt;C&gt;1&lt;/C&gt;&lt;D xsi:type="xsd:double"&gt;16.7451488048434&lt;/D&gt;&lt;/FQL&gt;&lt;FQL&gt;&lt;Q&gt;VNM^FMA_EVAL_EBITDA(NTMA,0,,,"PORTAGG","MEANR")&lt;/Q&gt;&lt;R&gt;1&lt;/R&gt;&lt;C&gt;1&lt;/C&gt;&lt;D xsi:type="xsd:double"&gt;9.36395310186876&lt;/D&gt;&lt;/FQL&gt;&lt;FQL&gt;&lt;Q&gt;VNM^FG_FCF_YIELD_NTM(0)&lt;/Q&gt;&lt;R&gt;1&lt;/R&gt;&lt;C&gt;1&lt;/C&gt;&lt;D xsi:type="xsd:double"&gt;7.52955106394237&lt;/D&gt;&lt;/FQL&gt;&lt;FQL&gt;&lt;Q&gt;VNM^FMA_DIV_YLD(NTMA,NOW,NOW,M,"PORTAGG","MEANR")&lt;/Q&gt;&lt;R&gt;1&lt;/R&gt;&lt;C&gt;1&lt;/C&gt;&lt;D xsi:type="xsd:double"&gt;2.79774072506923&lt;/D&gt;&lt;/FQL&gt;&lt;FQL&gt;&lt;Q&gt;VNM^FMA_PE(NTMA,0,,,"PORTAGG","MEANR")&lt;/Q&gt;&lt;R&gt;1&lt;/R&gt;&lt;C&gt;1&lt;/C&gt;&lt;D xsi:type="xsd:double"&gt;14.6261563109456&lt;/D&gt;&lt;/FQL&gt;&lt;FQL&gt;&lt;Q&gt;VNM^FMA_PE(LTM,0,,,"PORTAGG","MEANR")&lt;/Q&gt;&lt;R&gt;1&lt;/R&gt;&lt;C&gt;1&lt;/C&gt;&lt;D xsi:type="xsd:double"&gt;20.0192730308059&lt;/D&gt;&lt;/FQL&gt;&lt;FQL&gt;&lt;Q&gt;VNM^JULIAN(FMA_DIV_YLD(NTMA,NOW,NOW,M,"PORTAGG","MEANR").DATES)&lt;/Q&gt;&lt;R&gt;1&lt;/R&gt;&lt;C&gt;1&lt;/C&gt;&lt;D xsi:type="xsd:long"&gt;45322&lt;/D&gt;&lt;/FQL&gt;&lt;FQL&gt;&lt;Q&gt;UAE^FMA_EVAL_EBIT(LTMA,NOW,NOW,M,"PORTAGG","MEANR")&lt;/Q&gt;&lt;R&gt;1&lt;/R&gt;&lt;C&gt;1&lt;/C&gt;&lt;D xsi:type="xsd:double"&gt;10.076405626847&lt;/D&gt;&lt;/FQL&gt;&lt;FQL&gt;&lt;Q&gt;UAE^FMA_EVAL_EBITDA(NTMA,0,,,"PORTAGG","MEANR")&lt;/Q&gt;&lt;R&gt;1&lt;/R&gt;&lt;C&gt;1&lt;/C&gt;&lt;D xsi:type="xsd:double"&gt;6.84062716720457&lt;/D&gt;&lt;/FQL&gt;&lt;FQL&gt;&lt;Q&gt;UAE^FG_FCF_YIELD_NTM(0)&lt;/Q&gt;&lt;R&gt;1&lt;/R&gt;&lt;C&gt;1&lt;/C&gt;&lt;D xsi:type="xsd:double"&gt;8.63243558046118&lt;/D&gt;&lt;/FQL&gt;&lt;FQL&gt;&lt;Q&gt;UAE^FMA_DIV_YLD(NTMA,NOW,NOW,M,"PORTAGG","MEANR")&lt;/Q&gt;&lt;R&gt;1&lt;/R&gt;&lt;C&gt;1&lt;/C&gt;&lt;D xsi:type="xsd:double"&gt;4.64085475416123&lt;/D&gt;&lt;/FQL&gt;&lt;FQL&gt;&lt;Q&gt;UAE^FMA_PE(NTMA,0,,,"PORTAGG","MEANR")&lt;/Q&gt;&lt;R&gt;1&lt;/R&gt;&lt;C&gt;1&lt;/C&gt;&lt;D xsi:type="xsd:double"&gt;10.0733804939412&lt;/D&gt;&lt;/FQL&gt;&lt;FQL&gt;&lt;Q&gt;UAE^FMA_PE(LTM,0,,,"PORTAGG","MEANR")&lt;/Q&gt;&lt;R&gt;1&lt;/R&gt;&lt;C&gt;1&lt;/C&gt;&lt;D xsi:type="xsd:double"&gt;9.50111014135227&lt;/D&gt;&lt;/FQL&gt;&lt;FQL&gt;&lt;Q&gt;UAE^JULIAN(FMA_DIV_YLD(NTMA,NOW,NOW,M,"PORTAGG","MEANR").DATES)&lt;/Q&gt;&lt;R&gt;1&lt;/R&gt;&lt;C&gt;1&lt;/C&gt;&lt;D xsi:type="xsd:long"&gt;45322&lt;/D&gt;&lt;/FQL&gt;&lt;FQL&gt;&lt;Q&gt;TUR^FMA_EVAL_EBIT(LTMA,NOW,NOW,M,"PORTAGG","MEANR")&lt;/Q&gt;&lt;R&gt;1&lt;/R&gt;&lt;C&gt;1&lt;/C&gt;&lt;D xsi:type="xsd:double"&gt;6.58677583124406&lt;/D&gt;&lt;/FQL&gt;&lt;FQL&gt;&lt;Q&gt;TUR^FMA_EVAL_EBITDA(NTMA,0,,,"PORTAGG","MEANR")&lt;/Q&gt;&lt;R&gt;1&lt;/R&gt;&lt;C&gt;1&lt;/C&gt;&lt;D xsi:type="xsd:double"&gt;4.1662232081893&lt;/D&gt;&lt;/FQL&gt;&lt;FQL&gt;&lt;Q&gt;TUR^FG_FCF_YIELD_NTM(0)&lt;/Q&gt;&lt;R&gt;1&lt;/R&gt;&lt;C&gt;1&lt;/C&gt;&lt;D xsi:type="xsd:double"&gt;13.321577934391&lt;/D&gt;&lt;/FQL&gt;&lt;FQL&gt;&lt;Q&gt;TUR^FMA_DIV_YLD(NTMA,NOW,NOW,M,"PORTAGG","MEANR")&lt;/Q&gt;&lt;R&gt;1&lt;/R&gt;&lt;C&gt;1&lt;/C&gt;&lt;D xsi:type="xsd:double"&gt;4.41554574340865&lt;/D&gt;&lt;/FQL&gt;&lt;FQL&gt;&lt;Q&gt;TUR^FMA_PE(NTMA,0,,,"PORTAGG","MEANR")&lt;/Q&gt;&lt;R&gt;1&lt;/R&gt;&lt;C&gt;1&lt;/C&gt;&lt;D xsi:type="xsd:double"&gt;5.21493878166399&lt;/D&gt;&lt;/FQL&gt;&lt;FQL&gt;&lt;Q&gt;TUR^FMA_PE(LTM,0,,,"PORTAGG","MEANR")&lt;/Q&gt;&lt;R&gt;1&lt;/R&gt;&lt;C&gt;1&lt;/C&gt;&lt;D xsi:type="xsd:double"&gt;6.80893798561061&lt;/D&gt;&lt;/FQL&gt;&lt;FQL&gt;&lt;Q&gt;TUR^JULIAN(FMA_DIV_YLD(NTMA,NOW,NOW,M,"PORTAGG","MEANR").DATES)&lt;/Q&gt;&lt;R&gt;1&lt;/R&gt;&lt;C&gt;1&lt;/C&gt;&lt;D xsi:type="xsd:long"&gt;45322&lt;/D&gt;&lt;/FQL&gt;&lt;FQL&gt;&lt;Q&gt;SET-BKK^FMA_EVAL_EBIT(LTMA,NOW,NOW,M,"PORTAGG","MEANR")&lt;/Q&gt;&lt;R&gt;1&lt;/R&gt;&lt;C&gt;1&lt;/C&gt;&lt;D xsi:type="xsd:double"&gt;19.4563674592377&lt;/D&gt;&lt;/FQL&gt;&lt;FQL&gt;&lt;Q&gt;SET-BKK^FMA_EVAL_EBITDA(NTMA,0,,,"PORTAGG","MEANR")&lt;/Q&gt;&lt;R&gt;1&lt;/R&gt;&lt;C&gt;1&lt;/C&gt;&lt;D xsi:type="xsd:double"&gt;9.64926468175776&lt;/D&gt;&lt;/FQL&gt;&lt;FQL&gt;&lt;Q&gt;SET-BKK^FG_FCF_YIELD_NTM(0)&lt;/Q&gt;&lt;R&gt;1&lt;/R&gt;&lt;C&gt;1&lt;/C&gt;&lt;D xsi:type="xsd:double"&gt;4.43415854750693&lt;/D&gt;&lt;/FQL&gt;&lt;FQL&gt;&lt;Q&gt;SET-BKK^FMA_DIV_YLD(NTMA,NOW,NOW,M,"PORTAGG","MEANR")&lt;/Q&gt;&lt;R&gt;1&lt;/R&gt;&lt;C&gt;1&lt;/C&gt;&lt;D xsi:type="xsd:double"&gt;3.53910904495459&lt;/D&gt;&lt;/FQL&gt;&lt;FQL&gt;&lt;Q&gt;SET-BKK^FMA_PE(NTMA,0,,,"PORTAGG","MEANR")&lt;/Q&gt;&lt;R&gt;1&lt;/R&gt;&lt;C&gt;1&lt;/C&gt;&lt;D xsi:type="xsd:double"&gt;14.3399402388186&lt;/D&gt;&lt;/FQL&gt;&lt;FQL&gt;&lt;Q&gt;SET-BKK^FMA_PE(LTM,0,,,"PORTAGG","MEANR")&lt;/Q&gt;&lt;R&gt;1&lt;/R&gt;&lt;C&gt;1&lt;/C&gt;&lt;D xsi:type="xsd:double"&gt;17.4563323841678&lt;/D&gt;&lt;/FQL&gt;&lt;FQL&gt;&lt;Q&gt;SET-BKK^JULIAN(FMA_DIV_YLD(NTMA,NOW,NOW,M,"PORTAGG","MEANR").DATES)&lt;/Q&gt;&lt;R&gt;1&lt;/R&gt;&lt;C&gt;1&lt;/C&gt;&lt;D xsi:type="xsd:long"&gt;45322&lt;/D&gt;&lt;/FQL&gt;&lt;FQL&gt;&lt;Q&gt;QAT^FMA_EVAL_EBIT(LTMA,NOW,NOW,M,"PORTAGG","MEANR")&lt;/Q&gt;&lt;R&gt;1&lt;/R&gt;&lt;C&gt;1&lt;/C&gt;&lt;D xsi:type="xsd:double"&gt;16.384883617584&lt;/D&gt;&lt;/FQL&gt;&lt;FQL&gt;&lt;Q&gt;QAT^FMA_EVAL_EBITDA(NTMA,0,,,"PORTAGG","MEANR")&lt;/Q&gt;&lt;R&gt;1&lt;/R&gt;&lt;C&gt;1&lt;/C&gt;&lt;D xsi:type="xsd:double"&gt;8.97956376925642&lt;/D&gt;&lt;/FQL&gt;&lt;FQL&gt;&lt;Q&gt;QAT^FG_FCF_YIELD_NTM(0)&lt;/Q&gt;&lt;R&gt;0&lt;/R&gt;&lt;C&gt;0&lt;/C&gt;&lt;/FQL&gt;&lt;FQL&gt;&lt;Q&gt;QAT^FMA_DIV_YLD(NTMA,NOW,NOW,M,"PORTAGG","MEANR")&lt;/Q&gt;&lt;R&gt;1&lt;/R&gt;&lt;C&gt;1&lt;/C&gt;&lt;D xsi:type="xsd:double"&gt;4.90779467463808&lt;/D&gt;&lt;/FQL&gt;&lt;FQL&gt;&lt;Q&gt;QAT^FMA_PE(NTMA,0,,,"PORTAGG","MEANR")&lt;/Q&gt;&lt;R&gt;1&lt;/R&gt;&lt;C&gt;1&lt;/C&gt;&lt;D xsi:type="xsd:double"&gt;10.2139322759616&lt;/D&gt;&lt;/FQL&gt;&lt;FQL&gt;&lt;Q&gt;QAT^FMA_PE(LTM,0,,,"PORTAGG","MEANR")&lt;/Q&gt;&lt;R&gt;1&lt;/R&gt;&lt;C&gt;1&lt;/C&gt;&lt;D xsi:type="xsd:double"&gt;12.2890031032347&lt;/D&gt;&lt;/FQL&gt;&lt;FQL&gt;&lt;Q&gt;QAT^JULIAN(FMA_DIV_YLD(NTMA,NOW,NOW,M,"PORTAGG","MEANR").DATES)&lt;/Q&gt;&lt;R&gt;1&lt;/R&gt;&lt;C&gt;1&lt;/C&gt;&lt;D xsi:type="xsd:long"&gt;45322&lt;/D&gt;&lt;/FQL&gt;&lt;FQL&gt;&lt;Q&gt;MCHI^FMA_EVAL_EBIT(LTMA,NOW,NOW,M,"PORTAGG","MEANR")&lt;/Q&gt;&lt;R&gt;1&lt;/R&gt;&lt;C&gt;1&lt;/C&gt;&lt;D xsi:type="xsd:double"&gt;12.6575008439993&lt;/D&gt;&lt;/FQL&gt;&lt;FQL&gt;&lt;Q&gt;MCHI^FMA_EVAL_EBITDA(NTMA,0,,,"PORTAGG","MEANR")&lt;/Q&gt;&lt;R&gt;1&lt;/R&gt;&lt;C&gt;1&lt;/C&gt;&lt;D xsi:type="xsd:double"&gt;7.82388563223936&lt;/D&gt;&lt;/FQL&gt;&lt;FQL&gt;&lt;Q&gt;MCHI^FG_FCF_YIELD_NTM(0)&lt;/Q&gt;&lt;R&gt;1&lt;/R&gt;&lt;C&gt;1&lt;/C&gt;&lt;D xsi:type="xsd:double"&gt;7.74019914899654&lt;/D&gt;&lt;/FQL&gt;&lt;FQL&gt;&lt;Q&gt;MCHI^FMA_DIV_YLD(NTMA,NOW,NOW,M,"PORTAGG","MEANR")&lt;/Q&gt;&lt;R&gt;1&lt;/R&gt;&lt;C&gt;1&lt;/C&gt;&lt;D xsi:type="xsd:double"&gt;2.98300620266355&lt;/D&gt;&lt;/FQL&gt;&lt;FQL&gt;&lt;Q&gt;MCHI^FMA_PE(NTMA,0,,,"PORTAGG","MEANR")&lt;/Q&gt;&lt;R&gt;1&lt;/R&gt;&lt;C&gt;1&lt;/C&gt;&lt;D xsi:type="xsd:double"&gt;8.78305659088078&lt;/D&gt;&lt;/FQL&gt;&lt;FQL&gt;&lt;Q&gt;MCHI^FMA_PE(LTM,0,,,"PORTAGG","MEANR")&lt;/Q&gt;&lt;R&gt;1&lt;/R&gt;&lt;C&gt;1&lt;/C&gt;&lt;D xsi:type="xsd:double"&gt;10.919445252811&lt;/D&gt;&lt;/FQL&gt;&lt;FQL&gt;&lt;Q&gt;MCHI^JULIAN(FMA_DIV_YLD(NTMA,NOW,NOW,M,"PORTAGG","MEANR").DATES)&lt;/Q&gt;&lt;R&gt;1&lt;/R&gt;&lt;C&gt;1&lt;/C&gt;&lt;D xsi:type="xsd:long"&gt;45322&lt;/D&gt;&lt;/FQL&gt;&lt;FQL&gt;&lt;Q&gt;INDA^FMA_EVAL_EBIT(LTMA,NOW,NOW,M,"PORTAGG","MEANR")&lt;/Q&gt;&lt;R&gt;1&lt;/R&gt;&lt;C&gt;1&lt;/C&gt;&lt;D xsi:type="xsd:double"&gt;22.6024397647548&lt;/D&gt;&lt;/FQL&gt;&lt;FQL&gt;&lt;Q&gt;INDA^FMA_EVAL_EBITDA(NTMA,0,,,"PORTAGG","MEANR")&lt;/Q&gt;&lt;R&gt;1&lt;/R&gt;&lt;C&gt;1&lt;/C&gt;&lt;D xsi:type="xsd:double"&gt;14.9292244408335&lt;/D&gt;&lt;/FQL&gt;&lt;FQL&gt;&lt;Q&gt;INDA^FG_FCF_YIELD_NTM(0)&lt;/Q&gt;&lt;R&gt;1&lt;/R&gt;&lt;C&gt;1&lt;/C&gt;&lt;D xsi:type="xsd:double"&gt;2.85832012537474&lt;/D&gt;&lt;/FQL&gt;&lt;FQL&gt;&lt;Q&gt;INDA^FMA_DIV_YLD(NTMA,NOW,NOW,M,"PORTAGG","MEANR")&lt;/Q&gt;&lt;R&gt;1&lt;/R&gt;&lt;C&gt;1&lt;/C&gt;&lt;D xsi:type="xsd:double"&gt;1.37663399119166&lt;/D&gt;&lt;/FQL&gt;&lt;FQL&gt;&lt;Q&gt;INDA^FMA_PE(NTMA,0,,,"PORTAGG","MEANR")&lt;/Q&gt;&lt;R&gt;1&lt;/R&gt;&lt;C&gt;1&lt;/C&gt;&lt;D xsi:type="xsd:double"&gt;22.4372041416185&lt;/D&gt;&lt;/FQL&gt;&lt;FQL&gt;&lt;Q&gt;INDA^FMA_PE(LTM,0,,,"PORTAGG","MEANR")&lt;/Q&gt;&lt;R&gt;1&lt;/R&gt;&lt;C&gt;1&lt;/C&gt;&lt;D xsi:type="xsd:double"&gt;26.0561601796812&lt;/D&gt;&lt;/FQL&gt;&lt;FQL&gt;&lt;Q&gt;INDA^JULIAN(FMA_DIV_YLD(NTMA,NOW,NOW,M,"PORTAGG","MEANR").DATES)&lt;/Q&gt;&lt;R&gt;1&lt;/R&gt;&lt;C&gt;1&lt;/C&gt;&lt;D xsi:type="xsd:long"&gt;45322&lt;/D&gt;&lt;/FQL&gt;&lt;FQL&gt;&lt;Q&gt;GREK^FMA_EVAL_EBIT(LTMA,NOW,NOW,M,"PORTAGG","MEANR")&lt;/Q&gt;&lt;R&gt;1&lt;/R&gt;&lt;C&gt;1&lt;/C&gt;&lt;D xsi:type="xsd:double"&gt;7.09539174842116&lt;/D&gt;&lt;/FQL&gt;&lt;FQL&gt;&lt;Q&gt;GREK^FMA_EVAL_EBITDA(NTMA,0,,,"PORTAGG","MEANR")&lt;/Q&gt;&lt;R&gt;1&lt;/R&gt;&lt;C&gt;1&lt;/C&gt;&lt;D xsi:type="xsd:double"&gt;5.25415557233222&lt;/D&gt;&lt;/FQL&gt;&lt;FQL&gt;&lt;Q&gt;GREK^FG_FCF_YIELD_NTM(0)&lt;/Q&gt;&lt;R&gt;1&lt;/R&gt;&lt;C&gt;1&lt;/C&gt;&lt;D xsi:type="xsd:double"&gt;2.90961024994862&lt;/D&gt;&lt;/FQL&gt;&lt;FQL&gt;&lt;Q&gt;GREK^FMA_DIV_YLD(NTMA,NOW,NOW,M,"PORTAGG","MEANR")&lt;/Q&gt;&lt;R&gt;1&lt;/R&gt;&lt;C&gt;1&lt;/C&gt;&lt;D xsi:type="xsd:double"&gt;4.62658149844072&lt;/D&gt;&lt;/FQL&gt;&lt;FQL&gt;&lt;Q&gt;GREK^FMA_PE(NTMA,0,,,"PORTAGG","MEANR")&lt;/Q&gt;&lt;R&gt;1&lt;/R&gt;&lt;C&gt;1&lt;/C&gt;&lt;D xsi:type="xsd:double"&gt;7.05919777121075&lt;/D&gt;&lt;/FQL&gt;&lt;FQL&gt;&lt;Q&gt;GREK^FMA_PE(LTM,0,,,"PORTAGG","MEANR")&lt;/Q&gt;&lt;R&gt;1&lt;/R&gt;&lt;C&gt;1&lt;/C&gt;&lt;D xsi:type="xsd:double"&gt;7.67027976543453&lt;/D&gt;&lt;/FQL&gt;&lt;FQL&gt;&lt;Q&gt;GREK^JULIAN(FMA_DIV_YLD(NTMA,NOW,NOW,M,"PORTAGG","MEANR").DATES)&lt;/Q&gt;&lt;R&gt;1&lt;/R&gt;&lt;C&gt;1&lt;/C&gt;&lt;D xsi:type="xsd:long"&gt;45322&lt;/D&gt;&lt;/FQL&gt;&lt;FQL&gt;&lt;Q&gt;EZA^FMA_EVAL_EBIT(LTMA,NOW,NOW,M,"PORTAGG","MEANR")&lt;/Q&gt;&lt;R&gt;1&lt;/R&gt;&lt;C&gt;1&lt;/C&gt;&lt;D xsi:type="xsd:double"&gt;12.0774219143985&lt;/D&gt;&lt;/FQL&gt;&lt;FQL&gt;&lt;Q&gt;EZA^FMA_EVAL_EBITDA(NTMA,0,,,"PORTAGG","MEANR")&lt;/Q&gt;&lt;R&gt;1&lt;/R&gt;&lt;C&gt;1&lt;/C&gt;&lt;D xsi:type="xsd:double"&gt;7.04575418793499&lt;/D&gt;&lt;/FQL&gt;&lt;FQL&gt;&lt;Q&gt;EZA^FG_FCF_YIELD_NTM(0)&lt;/Q&gt;&lt;R&gt;1&lt;/R&gt;&lt;C&gt;1&lt;/C&gt;&lt;D xsi:type="xsd:double"&gt;4.85258035608783&lt;/D&gt;&lt;/FQL&gt;&lt;FQL&gt;&lt;Q&gt;EZA^FMA_DIV_YLD(NTMA,NOW,NOW,M,"PORTAGG","MEANR")&lt;/Q&gt;&lt;R&gt;1&lt;/R&gt;&lt;C&gt;1&lt;/C&gt;&lt;D xsi:type="xsd:double"&gt;4.27586786554541&lt;/D&gt;&lt;/FQL&gt;&lt;FQL&gt;&lt;Q&gt;EZA^FMA_PE(NTMA,0,,,"PORTAGG","MEANR")&lt;/Q&gt;&lt;R&gt;1&lt;/R&gt;&lt;C&gt;1&lt;/C&gt;&lt;D xsi:type="xsd:double"&gt;9.39505183017214&lt;/D&gt;&lt;/FQL&gt;&lt;FQL&gt;&lt;Q&gt;EZA^FMA_PE(LTM,0,,,"PORTAGG","MEANR")&lt;/Q&gt;&lt;R&gt;1&lt;/R&gt;&lt;C&gt;1&lt;/C&gt;&lt;D xsi:type="xsd:double"&gt;8.85072920886036&lt;/D&gt;&lt;/FQL&gt;&lt;FQL&gt;&lt;Q&gt;EZA^JULIAN(FMA_DIV_YLD(NTMA,NOW,NOW,M,"PORTAGG","MEANR").DATES)&lt;/Q&gt;&lt;R&gt;1&lt;/R&gt;&lt;C&gt;1&lt;/C&gt;&lt;D xsi:type="xsd:long"&gt;45322&lt;/D&gt;&lt;/FQL&gt;&lt;FQL&gt;&lt;Q&gt;EWZ^FMA_EVAL_EBIT(LTMA,NOW,NOW,M,"PORTAGG","MEANR")&lt;/Q&gt;&lt;R&gt;1&lt;/R&gt;&lt;C&gt;1&lt;/C&gt;&lt;D xsi:type="xsd:double"&gt;6.89946735038058&lt;/D&gt;&lt;/FQL&gt;&lt;FQL&gt;&lt;Q&gt;EWZ^FMA_EVAL_EBITDA(NTMA,0,,,"PORTAGG","MEANR")&lt;/Q&gt;&lt;R&gt;1&lt;/R&gt;&lt;C&gt;1&lt;/C&gt;&lt;D xsi:type="xsd:double"&gt;4.8671933901731&lt;/D&gt;&lt;/FQL&gt;&lt;FQL&gt;&lt;Q&gt;EWZ^FG_FCF_YIELD_NTM(0)&lt;/Q&gt;&lt;R&gt;1&lt;/R&gt;&lt;C&gt;1&lt;/C&gt;&lt;D xsi:type="xsd:double"&gt;9.91361868699478&lt;/D&gt;&lt;/FQL&gt;&lt;FQL&gt;&lt;Q&gt;EWZ^FMA_DIV_YLD(NTMA,NOW,NOW,M,"PORTAGG","MEANR")&lt;/Q&gt;&lt;R&gt;1&lt;/R&gt;&lt;C&gt;1&lt;/C&gt;&lt;D xsi:type="xsd:double"&gt;5.87982729139727&lt;/D&gt;&lt;/FQL&gt;&lt;FQL&gt;&lt;Q&gt;EWZ^FMA_PE(NTMA,0,,,"PORTAGG","MEANR")&lt;/Q&gt;&lt;R&gt;1&lt;/R&gt;&lt;C&gt;1&lt;/C&gt;&lt;D xsi:type="xsd:double"&gt;7.86703788121138&lt;/D&gt;&lt;/FQL&gt;&lt;FQL&gt;&lt;Q&gt;EWZ^FMA_PE(LTM,0,,,"PORTAGG","MEANR")&lt;/Q&gt;&lt;R&gt;1&lt;/R&gt;&lt;C&gt;1&lt;/C&gt;&lt;D xsi:type="xsd:double"&gt;7.35608164930406&lt;/D&gt;&lt;/FQL&gt;&lt;FQL&gt;&lt;Q&gt;EWZ^JULIAN(FMA_DIV_YLD(NTMA,NOW,NOW,M,"PORTAGG","MEANR").DATES)&lt;/Q&gt;&lt;R&gt;1&lt;/R&gt;&lt;C&gt;1&lt;/C&gt;&lt;D xsi:type="xsd:long"&gt;45322&lt;/D&gt;&lt;/FQL&gt;&lt;FQL&gt;&lt;Q&gt;EWY^FMA_EVAL_EBIT(LTMA,NOW,NOW,M,"PORTAGG","MEANR")&lt;/Q&gt;&lt;R&gt;1&lt;/R&gt;&lt;C&gt;1&lt;/C&gt;&lt;D xsi:type="xsd:double"&gt;20.8181465669046&lt;/D&gt;&lt;/FQL&gt;&lt;FQL&gt;&lt;Q&gt;EWY^FMA_EVAL_EBITDA(NTMA,0,,,"PORTAGG","MEANR")&lt;/Q&gt;&lt;R&gt;1&lt;/R&gt;&lt;C&gt;1&lt;/C&gt;&lt;D xsi:type="xsd:double"&gt;6.72881850153964&lt;/D&gt;&lt;/FQL&gt;&lt;FQL&gt;&lt;Q&gt;EWY^FG_FCF_YIELD_NTM(0)&lt;/Q&gt;&lt;R&gt;1&lt;/R&gt;&lt;C&gt;1&lt;/C&gt;&lt;D xsi:type="xsd:double"&gt;4.68702333972086&lt;/D&gt;&lt;/FQL&gt;&lt;FQL&gt;&lt;Q&gt;EWY^FMA_DIV_YLD(NTMA,NOW,NOW,M,"PORTAGG","MEANR")&lt;/Q&gt;&lt;R&gt;1&lt;/R&gt;&lt;C&gt;1&lt;/C&gt;&lt;D xsi:type="xsd:double"&gt;2.39201420131506&lt;/D&gt;&lt;/FQL&gt;&lt;FQL&gt;&lt;Q&gt;EWY^FMA_PE(NTMA,0,,,"PORTAGG","MEANR")&lt;/Q&gt;&lt;R&gt;1&lt;/R&gt;&lt;C&gt;1&lt;/C&gt;&lt;D xsi:type="xsd:double"&gt;10.4863035631523&lt;/D&gt;&lt;/FQL&gt;&lt;FQL&gt;&lt;Q&gt;EWY^FMA_PE(LTM,0,,,"PORTAGG","MEANR")&lt;/Q&gt;&lt;R&gt;1&lt;/R&gt;&lt;C&gt;1&lt;/C&gt;&lt;D xsi:type="xsd:double"&gt;17.277710001607&lt;/D&gt;&lt;/FQL&gt;&lt;FQL&gt;&lt;Q&gt;EWY^JULIAN(FMA_DIV_YLD(NTMA,NOW,NOW,M,"PORTAGG","MEANR").DATES)&lt;/Q&gt;&lt;R&gt;1&lt;/R&gt;&lt;C&gt;1&lt;/C&gt;&lt;D xsi:type="xsd:long"&gt;45322&lt;/D&gt;&lt;/FQL&gt;&lt;FQL&gt;&lt;Q&gt;EWW^FMA_EVAL_EBIT(LTMA,NOW,NOW,M,"PORTAGG","MEANR")&lt;/Q&gt;&lt;R&gt;1&lt;/R&gt;&lt;C&gt;1&lt;/C&gt;&lt;D xsi:type="xsd:double"&gt;10.6187533691714&lt;/D&gt;&lt;/FQL&gt;&lt;FQL&gt;&lt;Q&gt;EWW^FMA_EVAL_EBITDA(NTMA,0,,,"PORTAGG","MEANR")&lt;/Q&gt;&lt;R&gt;1&lt;/R&gt;&lt;C&gt;1&lt;/C&gt;&lt;D xsi:type="xsd:double"&gt;6.31319997863635&lt;/D&gt;&lt;/FQL&gt;&lt;FQL&gt;&lt;Q&gt;EWW^FG_FCF_YIELD_NTM(0)&lt;/Q&gt;&lt;R&gt;1&lt;/R&gt;&lt;C&gt;1&lt;/C&gt;&lt;D xsi:type="xsd:double"&gt;7.69907636091451&lt;/D&gt;&lt;/FQL&gt;&lt;FQL&gt;&lt;Q&gt;EWW^FMA_DIV_YLD(NTMA,NOW,NOW,M,"PORTAGG","MEANR")&lt;/Q&gt;&lt;R&gt;1&lt;/R&gt;&lt;C&gt;1&lt;/C&gt;&lt;D xsi:type="xsd:double"&gt;3.75061516366443&lt;/D&gt;&lt;/FQL&gt;&lt;FQL&gt;&lt;Q&gt;EWW^FMA_PE(NTMA,0,,,"PORTAGG","MEANR")&lt;/Q&gt;&lt;R&gt;1&lt;/R&gt;&lt;C&gt;1&lt;/C&gt;&lt;D xsi:type="xsd:double"&gt;13.0295042052313&lt;/D&gt;&lt;/FQL&gt;&lt;FQL&gt;&lt;Q&gt;EWW^FMA_PE(LTM,0,,,"PORTAGG","MEANR")&lt;/Q&gt;&lt;R&gt;1&lt;/R&gt;&lt;C&gt;1&lt;/C&gt;&lt;D xsi:type="xsd:double"&gt;12.8872644803769&lt;/D&gt;&lt;/FQL&gt;&lt;FQL&gt;&lt;Q&gt;EWW^JULIAN(FMA_DIV_YLD(NTMA,NOW,NOW,M,"PORTAGG","MEANR").DATES)&lt;/Q&gt;&lt;R&gt;1&lt;/R&gt;&lt;C&gt;1&lt;/C&gt;&lt;D xsi:type="xsd:long"&gt;45322&lt;/D&gt;&lt;/FQL&gt;&lt;FQL&gt;&lt;Q&gt;EWT^FMA_EVAL_EBIT(LTMA,NOW,NOW,M,"PORTAGG","MEANR")&lt;/Q&gt;&lt;R&gt;1&lt;/R&gt;&lt;C&gt;1&lt;/C&gt;&lt;D xsi:type="xsd:double"&gt;19.9614696216411&lt;/D&gt;&lt;/FQL&gt;&lt;FQL&gt;&lt;Q&gt;EWT^FMA_EVAL_EBITDA(NTMA,0,,,"PORTAGG","MEANR")&lt;/Q&gt;&lt;R&gt;1&lt;/R&gt;&lt;C&gt;1&lt;/C&gt;&lt;D xsi:type="xsd:double"&gt;9.29634273572439&lt;/D&gt;&lt;/FQL&gt;&lt;FQL&gt;&lt;Q&gt;EWT^FG_FCF_YIELD_NTM(0)&lt;/Q&gt;&lt;R&gt;1&lt;/R&gt;&lt;C&gt;1&lt;/C&gt;&lt;D xsi:type="xsd:double"&gt;4.0211679427439&lt;/D&gt;&lt;/FQL&gt;&lt;FQL&gt;&lt;Q&gt;EWT^FMA_DIV_YLD(NTMA,NOW,NOW,M,"PORTAGG","MEANR")&lt;/Q&gt;&lt;R&gt;1&lt;/R&gt;&lt;C&gt;1&lt;/C&gt;&lt;D xsi:type="xsd:double"&gt;3.41076065477925&lt;/D&gt;&lt;/FQL&gt;&lt;FQL&gt;&lt;Q&gt;EWT^FMA_PE(NTMA,0,,,"PORTAGG","MEANR")&lt;/Q&gt;&lt;R&gt;1&lt;/R&gt;&lt;C&gt;1&lt;/C&gt;&lt;D xsi:type="xsd:double"&gt;16.0303234752325&lt;/D&gt;&lt;/FQL&gt;&lt;FQL&gt;&lt;Q&gt;EWT^FMA_PE(LTM,0,,,"PORTAGG","MEANR")&lt;/Q&gt;&lt;R&gt;1&lt;/R&gt;&lt;C&gt;1&lt;/C&gt;&lt;D xsi:type="xsd:double"&gt;21.4324867501564&lt;/D&gt;&lt;/FQL&gt;&lt;FQL&gt;&lt;Q&gt;EWT^JULIAN(FMA_DIV_YLD(NTMA,NOW,NOW,M,"PORTAGG","MEANR").DATES)&lt;/Q&gt;&lt;R&gt;1&lt;/R&gt;&lt;C&gt;1&lt;/C&gt;&lt;D xsi:type="xsd:long"&gt;45322&lt;/D&gt;&lt;/FQL&gt;&lt;FQL&gt;&lt;Q&gt;EWM^FMA_EVAL_EBIT(LTMA,NOW,NOW,M,"PORTAGG","MEANR")&lt;/Q&gt;&lt;R&gt;1&lt;/R&gt;&lt;C&gt;1&lt;/C&gt;&lt;D xsi:type="xsd:double"&gt;17.6069866887006&lt;/D&gt;&lt;/FQL&gt;&lt;FQL&gt;&lt;Q&gt;EWM^FMA_EVAL_EBITDA(NTMA,0,,,"PORTAGG","MEANR")&lt;/Q&gt;&lt;R&gt;1&lt;/R&gt;&lt;C&gt;1&lt;/C&gt;&lt;D xsi:type="xsd:double"&gt;8.85564093202209&lt;/D&gt;&lt;/FQL&gt;&lt;FQL&gt;&lt;Q&gt;EWM^FG_FCF_YIELD_NTM(0)&lt;/Q&gt;&lt;R&gt;1&lt;/R&gt;&lt;C&gt;1&lt;/C&gt;&lt;D xsi:type="xsd:double"&gt;7.27279674305074&lt;/D&gt;&lt;/FQL&gt;&lt;FQL&gt;&lt;Q&gt;EWM^FMA_DIV_YLD(NTMA,NOW,NOW,M,"PORTAGG","MEANR")&lt;/Q&gt;&lt;R&gt;1&lt;/R&gt;&lt;C&gt;1&lt;/C&gt;&lt;D xsi:type="xsd:double"&gt;4.23444746750948&lt;/D&gt;&lt;/FQL&gt;&lt;FQL&gt;&lt;Q&gt;EWM^FMA_PE(NTMA,0,,,"PORTAGG","MEANR")&lt;/Q&gt;&lt;R&gt;1&lt;/R&gt;&lt;C&gt;1&lt;/C&gt;&lt;D xsi:type="xsd:double"&gt;13.8497827276937&lt;/D&gt;&lt;/FQL&gt;&lt;FQL&gt;&lt;Q&gt;EWM^FMA_PE(LTM,0,,,"PORTAGG","MEANR")&lt;/Q&gt;&lt;R&gt;1&lt;/R&gt;&lt;C&gt;1&lt;/C&gt;&lt;D xsi:type="xsd:double"&gt;19.560208021077&lt;/D&gt;&lt;/FQL&gt;&lt;FQL&gt;&lt;Q&gt;EWM^JULIAN(FMA_DIV_YLD(NTMA,NOW,NOW,M,"PORTAGG","MEANR").DATES)&lt;/Q&gt;&lt;R&gt;1&lt;/R&gt;&lt;C&gt;1&lt;/C&gt;&lt;D xsi:type="xsd:long"&gt;45322&lt;/D&gt;&lt;/FQL&gt;&lt;FQL&gt;&lt;Q&gt;EPU^FMA_EVAL_EBIT(LTMA,NOW,NOW,M,"PORTAGG","MEANR")&lt;/Q&gt;&lt;R&gt;1&lt;/R&gt;&lt;C&gt;1&lt;/C&gt;&lt;D xsi:type="xsd:double"&gt;13.7248933374472&lt;/D&gt;&lt;/FQL&gt;&lt;FQL&gt;&lt;Q&gt;EPU^FMA_EVAL_EBITDA(NTMA,0,,,"PORTAGG","MEANR")&lt;/Q&gt;&lt;R&gt;1&lt;/R&gt;&lt;C&gt;1&lt;/C&gt;&lt;D xsi:type="xsd:double"&gt;6.68041290742988&lt;/D&gt;&lt;/FQL&gt;&lt;FQL&gt;&lt;Q&gt;EPU^FG_FCF_YIELD_NTM(0)&lt;/Q&gt;&lt;R&gt;1&lt;/R&gt;&lt;C&gt;1&lt;/C&gt;&lt;D xsi:type="xsd:double"&gt;4.94649533094228&lt;/D&gt;&lt;/FQL&gt;&lt;FQL&gt;&lt;Q&gt;EPU^FMA_DIV_YLD(NTMA,NOW,NOW,M,"PORTAGG","MEANR")&lt;/Q&gt;&lt;R&gt;1&lt;/R&gt;&lt;C&gt;1&lt;/C&gt;&lt;D xsi:type="xsd:double"&gt;3.56893035319268&lt;/D&gt;&lt;/FQL&gt;&lt;FQL&gt;&lt;Q&gt;EPU^FMA_PE(NTMA,0,,,"PORTAGG","MEANR")&lt;/Q&gt;&lt;R&gt;1&lt;/R&gt;&lt;C&gt;1&lt;/C&gt;&lt;D xsi:type="xsd:double"&gt;11.4469791559327&lt;/D&gt;&lt;/FQL&gt;&lt;FQL&gt;&lt;Q&gt;EPU^FMA_PE(LTM,0,,,"PORTAGG","MEANR")&lt;/Q&gt;&lt;R&gt;1&lt;/R&gt;&lt;C&gt;1&lt;/C&gt;&lt;D xsi:type="xsd:double"&gt;15.2099970095596&lt;/D&gt;&lt;/FQL&gt;&lt;FQL&gt;&lt;Q&gt;EPU^JULIAN(FMA_DIV_YLD(NTMA,NOW,NOW,M,"PORTAGG","MEANR").DATES)&lt;/Q&gt;&lt;R&gt;1&lt;/R&gt;&lt;C&gt;1&lt;/C&gt;&lt;D xsi:type="xsd:long"&gt;45322&lt;/D&gt;&lt;/FQL&gt;&lt;FQL&gt;&lt;Q&gt;EPOL^FMA_EVAL_EBIT(LTMA,NOW,NOW,M,"PORTAGG","MEANR")&lt;/Q&gt;&lt;R&gt;1&lt;/R&gt;&lt;C&gt;1&lt;/C&gt;&lt;D xsi:type="xsd:double"&gt;6.97033957773249&lt;/D&gt;&lt;/FQL&gt;&lt;FQL&gt;&lt;Q&gt;EPOL^FMA_EVAL_EBITDA(NTMA,0,,,"PORTAGG","MEANR")&lt;/Q&gt;&lt;R&gt;1&lt;/R&gt;&lt;C&gt;1&lt;/C&gt;&lt;D xsi:type="xsd:double"&gt;4.39911002338416&lt;/D&gt;&lt;/FQL&gt;&lt;FQL&gt;&lt;Q&gt;EPOL^FG_FCF_YIELD_NTM(0)&lt;/Q&gt;&lt;R&gt;1&lt;/R&gt;&lt;C&gt;1&lt;/C&gt;&lt;D xsi:type="xsd:double"&gt;3.58849447742567&lt;/D&gt;&lt;/FQL&gt;&lt;FQL&gt;&lt;Q&gt;EPOL^FMA_DIV_YLD(NTMA,NOW,NOW,M,"PORTAGG","MEANR")&lt;/Q&gt;&lt;R&gt;1&lt;/R&gt;&lt;C&gt;1&lt;/C&gt;&lt;D xsi:type="xsd:double"&gt;4.99976472202555&lt;/D&gt;&lt;/FQL&gt;&lt;FQL&gt;&lt;Q&gt;EPOL^FMA_PE(NTMA,0,,,"PORTAGG","MEANR")&lt;/Q&gt;&lt;R&gt;1&lt;/R&gt;&lt;C&gt;1&lt;/C&gt;&lt;D xsi:type="xsd:double"&gt;8.54151380560562&lt;/D&gt;&lt;/FQL&gt;&lt;FQL&gt;&lt;Q&gt;EPOL^FMA_PE(LTM,0,,,"PORTAGG","MEANR")&lt;/Q&gt;&lt;R&gt;1&lt;/R&gt;&lt;C&gt;1&lt;/C&gt;&lt;D xsi:type="xsd:double"&gt;7.28729425200002&lt;/D&gt;&lt;/FQL&gt;&lt;FQL&gt;&lt;Q&gt;EPOL^JULIAN(FMA_DIV_YLD(NTMA,NOW,NOW,M,"PORTAGG","MEANR").DATES)&lt;/Q&gt;&lt;R&gt;1&lt;/R&gt;&lt;C&gt;1&lt;/C&gt;&lt;D xsi:type="xsd:long"&gt;45322&lt;/D&gt;&lt;/FQL&gt;&lt;FQL&gt;&lt;Q&gt;EPHE^FMA_EVAL_EBIT(LTMA,NOW,NOW,M,"PORTAGG","MEANR")&lt;/Q&gt;&lt;R&gt;1&lt;/R&gt;&lt;C&gt;1&lt;/C&gt;&lt;D xsi:type="xsd:double"&gt;12.8411583501958&lt;/D&gt;&lt;/FQL&gt;&lt;FQL&gt;&lt;Q&gt;EPHE^FMA_EVAL_EBITDA(NTMA,0,,,"PORTAGG","MEANR")&lt;/Q&gt;&lt;R&gt;1&lt;/R&gt;&lt;C&gt;1&lt;/C&gt;&lt;D xsi:type="xsd:double"&gt;8.92374546750612&lt;/D&gt;&lt;/FQL&gt;&lt;FQL&gt;&lt;Q&gt;EPHE^FG_FCF_YIELD_NTM(0)&lt;/Q&gt;&lt;R&gt;1&lt;/R&gt;&lt;C&gt;1&lt;/C&gt;&lt;D xsi:type="xsd:double"&gt;6.65347088492693&lt;/D&gt;&lt;/FQL&gt;&lt;FQL&gt;&lt;Q&gt;EPHE^FMA_DIV_YLD(NTMA,NOW,NOW,M,"PORTAGG","MEANR")&lt;/Q&gt;&lt;R&gt;1&lt;/R&gt;&lt;C&gt;1&lt;/C&gt;&lt;D xsi:type="xsd:double"&gt;2.89837980095751&lt;/D&gt;&lt;/FQL&gt;&lt;FQL&gt;&lt;Q&gt;EPHE^FMA_PE(NTMA,0,,,"PORTAGG","MEANR")&lt;/Q&gt;&lt;R&gt;1&lt;/R&gt;&lt;C&gt;1&lt;/C&gt;&lt;D xsi:type="xsd:double"&gt;9.85692418906605&lt;/D&gt;&lt;/FQL&gt;&lt;FQL&gt;&lt;Q&gt;EPHE^FMA_PE(LTM,0,,,"PORTAGG","MEANR")&lt;/Q&gt;&lt;R&gt;1&lt;/R&gt;&lt;C&gt;1&lt;/C&gt;&lt;D xsi:type="xsd:double"&gt;11.6048886270952&lt;/D&gt;&lt;/FQL&gt;&lt;FQL&gt;&lt;Q&gt;EPHE^JULIAN(FMA_DIV_YLD(NTMA,NOW,NOW,M,"PORTAGG","MEANR").DATES)&lt;/Q&gt;&lt;R&gt;1&lt;/R&gt;&lt;C&gt;1&lt;/C&gt;&lt;D xsi:type="xsd:long"&gt;45322&lt;/D&gt;&lt;/FQL&gt;&lt;FQL&gt;&lt;Q&gt;EIDO^FMA_EVAL_EBIT(LTMA,NOW,NOW,M,"PORTAGG","MEANR")&lt;/Q&gt;&lt;R&gt;1&lt;/R&gt;&lt;C&gt;1&lt;/C&gt;&lt;D xsi:type="xsd:double"&gt;9.61081080329558&lt;/D&gt;&lt;/FQL&gt;&lt;FQL&gt;&lt;Q&gt;EIDO^FMA_EVAL_EBITDA(NTMA,0,,,"PORTAGG","MEANR")&lt;/Q&gt;&lt;R&gt;1&lt;/R&gt;&lt;C&gt;1&lt;/C&gt;&lt;D xsi:type="xsd:double"&gt;6.29126282198344&lt;/D&gt;&lt;/FQL&gt;&lt;FQL&gt;&lt;Q&gt;EIDO^FG_FCF_YIELD_NTM(0)&lt;/Q&gt;&lt;R&gt;1&lt;/R&gt;&lt;C&gt;1&lt;/C&gt;&lt;D xsi:type="xsd:double"&gt;8.37416074557969&lt;/D&gt;&lt;/FQL&gt;&lt;FQL&gt;&lt;Q&gt;EIDO^FMA_DIV_YLD(NTMA,NOW,NOW,M,"PORTAGG","MEANR")&lt;/Q&gt;&lt;R&gt;1&lt;/R&gt;&lt;C&gt;1&lt;/C&gt;&lt;D xsi:type="xsd:double"&gt;4.15638595925514&lt;/D&gt;&lt;/FQL&gt;&lt;FQL&gt;&lt;Q&gt;EIDO^FMA_PE(NTMA,0,,,"PORTAGG","MEANR")&lt;/Q&gt;&lt;R&gt;1&lt;/R&gt;&lt;C&gt;1&lt;/C&gt;&lt;D xsi:type="xsd:double"&gt;12.9193203964769&lt;/D&gt;&lt;/FQL&gt;&lt;FQL&gt;&lt;Q&gt;EIDO^FMA_PE(LTM,0,,,"PORTAGG","MEANR")&lt;/Q&gt;&lt;R&gt;1&lt;/R&gt;&lt;C&gt;1&lt;/C&gt;&lt;D xsi:type="xsd:double"&gt;14.5609086650012&lt;/D&gt;&lt;/FQL&gt;&lt;FQL&gt;&lt;Q&gt;EIDO^JULIAN(FMA_DIV_YLD(NTMA,NOW,NOW,M,"PORTAGG","MEANR").DATES)&lt;/Q&gt;&lt;R&gt;1&lt;/R&gt;&lt;C&gt;1&lt;/C&gt;&lt;D xsi:type="xsd:long"&gt;45322&lt;/D&gt;&lt;/FQL&gt;&lt;FQL&gt;&lt;Q&gt;ECH^FMA_EVAL_EBIT(LTMA,NOW,NOW,M,"PORTAGG","MEANR")&lt;/Q&gt;&lt;R&gt;1&lt;/R&gt;&lt;C&gt;1&lt;/C&gt;&lt;D xsi:type="xsd:double"&gt;9.77083773203686&lt;/D&gt;&lt;/FQL&gt;&lt;FQL&gt;&lt;Q&gt;ECH^FMA_EVAL_EBITDA(NTMA,0,,,"PORTAGG","MEANR")&lt;/Q&gt;&lt;R&gt;1&lt;/R&gt;&lt;C&gt;1&lt;/C&gt;&lt;D xsi:type="xsd:double"&gt;6.25043754954788&lt;/D&gt;&lt;/FQL&gt;&lt;FQL&gt;&lt;Q&gt;ECH^FG_FCF_YIELD_NTM(0)&lt;/Q&gt;&lt;R&gt;1&lt;/R&gt;&lt;C&gt;1&lt;/C&gt;&lt;D xsi:type="xsd:double"&gt;9.07905437526059&lt;/D&gt;&lt;/FQL&gt;&lt;FQL&gt;&lt;Q&gt;ECH^FMA_DIV_YLD(NTMA,NOW,NOW,M,"PORTAGG","MEANR")&lt;/Q&gt;&lt;R&gt;1&lt;/R&gt;&lt;C&gt;1&lt;/C&gt;&lt;D xsi:type="xsd:double"&gt;6.78055602961946&lt;/D&gt;&lt;/FQL&gt;&lt;FQL&gt;&lt;Q&gt;ECH^FMA_PE(NTMA,0,,,"PORTAGG","MEANR")&lt;/Q&gt;&lt;R&gt;1&lt;/R&gt;&lt;C&gt;1&lt;/C&gt;&lt;D xsi:type="xsd:double"&gt;8.0089827873617&lt;/D&gt;&lt;/FQL&gt;&lt;FQL&gt;&lt;Q&gt;ECH^FMA_PE(LTM,0,,,"PORTAGG","MEANR")&lt;/Q&gt;&lt;R&gt;1&lt;/R&gt;&lt;C&gt;1&lt;/C&gt;&lt;D xsi:type="xsd:double"&gt;7.51017402124443&lt;/D&gt;&lt;/FQL&gt;&lt;FQL&gt;&lt;Q&gt;ECH^JULIAN(FMA_DIV_YLD(NTMA,NOW,NOW,M,"PORTAGG","MEANR").DATES)&lt;/Q&gt;&lt;R&gt;1&lt;/R&gt;&lt;C&gt;1&lt;/C&gt;&lt;D xsi:type="xsd:long"&gt;45322&lt;/D&gt;&lt;/FQL&gt;&lt;FQL&gt;&lt;Q&gt;CNYA^FMA_EVAL_EBIT(LTMA,NOW,NOW,M,"PORTAGG","MEANR")&lt;/Q&gt;&lt;R&gt;1&lt;/R&gt;&lt;C&gt;1&lt;/C&gt;&lt;D xsi:type="xsd:double"&gt;15.1237223588244&lt;/D&gt;&lt;/FQL&gt;&lt;FQL&gt;&lt;Q&gt;CNYA^FMA_EVAL_EBITDA(NTMA,0,,,"PORTAGG","MEANR")&lt;/Q&gt;&lt;R&gt;1&lt;/R&gt;&lt;C&gt;1&lt;/C&gt;&lt;D xsi:type="xsd:double"&gt;9.22284240714428&lt;/D&gt;&lt;/FQL&gt;&lt;FQL&gt;&lt;Q&gt;CNYA^FG_FCF_YIELD_NTM(0)&lt;/Q&gt;&lt;R&gt;1&lt;/R&gt;&lt;C&gt;1&lt;/C&gt;&lt;D xsi:type="xsd:double"&gt;6.22425593018501&lt;/D&gt;&lt;/FQL&gt;&lt;FQL&gt;&lt;Q&gt;CNYA^FMA_DIV_YLD(NTMA,NOW,NOW,M,"PORTAGG","MEANR")&lt;/Q&gt;&lt;R&gt;1&lt;/R&gt;&lt;C&gt;1&lt;/C&gt;&lt;D xsi:type="xsd:double"&gt;2.98570569328247&lt;/D&gt;&lt;/FQL&gt;&lt;FQL&gt;&lt;Q&gt;CNYA^FMA_PE(NTMA,0,,,"PORTAGG","MEANR")&lt;/Q&gt;&lt;R&gt;1&lt;/R&gt;&lt;C&gt;1&lt;/C&gt;&lt;D xsi:type="xsd:double"&gt;11.0504621879473&lt;/D&gt;&lt;/FQL&gt;&lt;FQL&gt;&lt;Q&gt;CNYA^FMA_PE(LTM,0,,,"PORTAGG","MEANR")&lt;/Q&gt;&lt;R&gt;1&lt;/R&gt;&lt;C&gt;1&lt;/C&gt;&lt;D xsi:type="xsd:double"&gt;13.6706985154962&lt;/D&gt;&lt;/FQL&gt;&lt;FQL&gt;&lt;Q&gt;CNYA^JULIAN(FMA_DIV_YLD(NTMA,NOW,NOW,M,"PORTAGG","MEANR").DATES)&lt;/Q&gt;&lt;R&gt;1&lt;/R&gt;&lt;C&gt;1&lt;/C&gt;&lt;D xsi:type="xsd:long"&gt;45322&lt;/D&gt;&lt;/FQL&gt;&lt;FQL&gt;&lt;Q&gt;CC_US^IMF_IFS_RCPI_Q(0)&lt;/Q&gt;&lt;R&gt;1&lt;/R&gt;&lt;C&gt;1&lt;/C&gt;&lt;D xsi:type="xsd:double"&gt;3.2433991&lt;/D&gt;&lt;/FQL&gt;&lt;FQL&gt;&lt;Q&gt;CC_IT^FDS_ECON_RCPI_Q(0)&lt;/Q&gt;&lt;R&gt;1&lt;/R&gt;&lt;C&gt;1&lt;/C&gt;&lt;D xsi:type="xsd:double"&gt;0.9836987&lt;/D&gt;&lt;/FQL&gt;&lt;FQL&gt;&lt;Q&gt;CC_SE^FDS_ECON_RCPI_Q(0)&lt;/Q&gt;&lt;R&gt;1&lt;/R&gt;&lt;C&gt;1&lt;/C&gt;&lt;D xsi:type="xsd:double"&gt;5.5508466&lt;/D&gt;&lt;/FQL&gt;&lt;FQL&gt;&lt;Q&gt;CC_NL^FDS_ECON_RCPI_Q(0)&lt;/Q&gt;&lt;R&gt;1&lt;/R&gt;&lt;C&gt;1&lt;/C&gt;&lt;D xsi:type="xsd:double"&gt;0.8052127&lt;/D&gt;&lt;/FQL&gt;&lt;FQL&gt;&lt;Q&gt;CC_FR^FDS_ECON_RCPI_Q(0)&lt;/Q&gt;&lt;R&gt;1&lt;/R&gt;&lt;C&gt;1&lt;/C&gt;&lt;D xsi:type="xsd:double"&gt;3.833343&lt;/D&gt;&lt;/FQL&gt;&lt;FQL&gt;&lt;Q&gt;CC_US^FDS_ECON_RCPI_Q(0)&lt;/Q&gt;&lt;R&gt;1&lt;/R&gt;&lt;C&gt;1&lt;/C&gt;&lt;D xsi:type="xsd:double"&gt;3.2361505&lt;/D&gt;&lt;/FQL&gt;&lt;FQL&gt;&lt;Q&gt;CC_GB^FDS_ECON_RCPI_Q(0)&lt;/Q&gt;&lt;R&gt;1&lt;/R&gt;&lt;C&gt;1&lt;/C&gt;&lt;D xsi:type="xsd:double"&gt;4.1831098&lt;/D&gt;&lt;/FQL&gt;&lt;FQL&gt;&lt;Q&gt;CC_CH^FDS_ECON_RCPI_Q(0)&lt;/Q&gt;&lt;R&gt;1&lt;/R&gt;&lt;C&gt;1&lt;/C&gt;&lt;D xsi:type="xsd:double"&gt;1.6172597&lt;/D&gt;&lt;/FQL&gt;&lt;FQL&gt;&lt;Q&gt;CC_JP^FDS_ECON_RCPI_Q(0)&lt;/Q&gt;&lt;R&gt;1&lt;/R&gt;&lt;C&gt;1&lt;/C&gt;&lt;D xsi:type="xsd:double"&gt;2.919474&lt;/D&gt;&lt;/FQL&gt;&lt;FQL&gt;&lt;Q&gt;CC_DE^FDS_ECON_RCPI_Q(0)&lt;/Q&gt;&lt;R&gt;1&lt;/R&gt;&lt;C&gt;1&lt;/C&gt;&lt;D xsi:type="xsd:double"&gt;3.520094&lt;/D&gt;&lt;/FQL&gt;&lt;FQL&gt;&lt;Q&gt;CC_CA^FDS_ECON_RCPI_Q(0)&lt;/Q&gt;&lt;R&gt;1&lt;/R&gt;&lt;C&gt;1&lt;/C&gt;&lt;D xsi:type="xsd:double"&gt;3.1790657&lt;/D&gt;&lt;/FQL&gt;&lt;FQL&gt;&lt;Q&gt;CC_AU^FDS_ECON_RCPI_Q(0)&lt;/Q&gt;&lt;R&gt;1&lt;/R&gt;&lt;C&gt;1&lt;/C&gt;&lt;D xsi:type="xsd:double"&gt;4.0519876&lt;/D&gt;&lt;/FQL&gt;&lt;FQL&gt;&lt;Q&gt;CC_NZ^FDS_ECON_RCPI_Q(0)&lt;/Q&gt;&lt;R&gt;1&lt;/R&gt;&lt;C&gt;1&lt;/C&gt;&lt;D xsi:type="xsd:double"&gt;4.6770573&lt;/D&gt;&lt;/FQL&gt;&lt;FQL&gt;&lt;Q&gt;EWI^FMA_EVAL_EBIT(LTMA,NOW,NOW,M,"PORTAGG","MEANR")&lt;/Q&gt;&lt;R&gt;1&lt;/R&gt;&lt;C&gt;1&lt;/C&gt;&lt;D xsi:type="xsd:double"&gt;11.09447148843&lt;/D&gt;&lt;/FQL&gt;&lt;FQL&gt;&lt;Q&gt;EWI^FMA_EVAL_EBITDA(NTMA,0,,,"PORTAGG","MEANR")&lt;/Q&gt;&lt;R&gt;1&lt;/R&gt;&lt;C&gt;1&lt;/C&gt;&lt;D xsi:type="xsd:double"&gt;7.26621763527954&lt;/D&gt;&lt;/FQL&gt;&lt;FQL&gt;&lt;Q&gt;EWI^FG_FCF_YIELD_NTM(0)&lt;/Q&gt;&lt;R&gt;1&lt;/R&gt;&lt;C&gt;1&lt;/C&gt;&lt;D xsi:type="xsd:double"&gt;6.51482184905083&lt;/D&gt;&lt;/FQL&gt;&lt;FQL&gt;&lt;Q&gt;EWI^FMA_DIV_YLD(NTMA,NOW,NOW,M,"PORTAGG","MEANR")&lt;/Q&gt;&lt;R&gt;1&lt;/R&gt;&lt;C&gt;1&lt;/C&gt;&lt;D xsi:type="xsd:double"&gt;5.3855755721274&lt;/D&gt;&lt;/FQL&gt;&lt;FQL&gt;&lt;Q&gt;EWI^FG_PE_NTM(0,,,90,0)&lt;/Q&gt;&lt;R&gt;1&lt;/R&gt;&lt;C&gt;1&lt;/C&gt;&lt;D xsi:type="xsd:double"&gt;8.98832936775509&lt;/D&gt;&lt;/FQL&gt;&lt;FQL&gt;&lt;Q&gt;EWI^FG_PE(0)&lt;/Q&gt;&lt;R&gt;1&lt;/R&gt;&lt;C&gt;1&lt;/C&gt;&lt;D xsi:type="xsd:double"&gt;9.54205347561757&lt;/D&gt;&lt;/FQL&gt;&lt;FQL&gt;&lt;Q&gt;EWI^JULIAN(FMA_DIV_YLD(NTMA,NOW,NOW,M,"PORTAGG","MEANR").DATES)&lt;/Q&gt;&lt;R&gt;1&lt;/R&gt;&lt;C&gt;1&lt;/C&gt;&lt;D xsi:type="xsd:long"&gt;45322&lt;/D&gt;&lt;/FQL&gt;&lt;FQL&gt;&lt;Q&gt;EWD^FMA_EVAL_EBIT(LTMA,NOW,NOW,M,"PORTAGG","MEANR")&lt;/Q&gt;&lt;R&gt;1&lt;/R&gt;&lt;C&gt;1&lt;/C&gt;&lt;D xsi:type="xsd:double"&gt;15.5221305566814&lt;/D&gt;&lt;/FQL&gt;&lt;FQL&gt;&lt;Q&gt;EWD^FMA_EVAL_EBITDA(NTMA,0,,,"PORTAGG","MEANR")&lt;/Q&gt;&lt;R&gt;1&lt;/R&gt;&lt;C&gt;1&lt;/C&gt;&lt;D xsi:type="xsd:double"&gt;10.9908294479161&lt;/D&gt;&lt;/FQL&gt;&lt;FQL&gt;&lt;Q&gt;EWD^FG_FCF_YIELD_NTM(0)&lt;/Q&gt;&lt;R&gt;1&lt;/R&gt;&lt;C&gt;1&lt;/C&gt;&lt;D xsi:type="xsd:double"&gt;5.48484016811327&lt;/D&gt;&lt;/FQL&gt;&lt;FQL&gt;&lt;Q&gt;EWD^FMA_DIV_YLD(NTMA,NOW,NOW,M,"PORTAGG","MEANR")&lt;/Q&gt;&lt;R&gt;1&lt;/R&gt;&lt;C&gt;1&lt;/C&gt;&lt;D xsi:type="xsd:double"&gt;3.3228123367483&lt;/D&gt;&lt;/FQL&gt;&lt;FQL&gt;&lt;Q&gt;EWD^FG_PE_NTM(0,,,90,0)&lt;/Q&gt;&lt;R&gt;1&lt;/R&gt;&lt;C&gt;1&lt;/C&gt;&lt;D xsi:type="xsd:double"&gt;15.7165043525896&lt;/D&gt;&lt;/FQL&gt;&lt;FQL&gt;&lt;Q&gt;EWD^FG_PE(0)&lt;/Q&gt;&lt;R&gt;1&lt;/R&gt;&lt;C&gt;1&lt;/C&gt;&lt;D xsi:type="xsd:double"&gt;14.7430353142228&lt;/D&gt;&lt;/FQL&gt;&lt;FQL&gt;&lt;Q&gt;EWD^JULIAN(FMA_DIV_YLD(NTMA,NOW,NOW,M,"PORTAGG","MEANR").DATES)&lt;/Q&gt;&lt;R&gt;1&lt;/R&gt;&lt;C&gt;1&lt;/C&gt;&lt;D xsi:type="xsd:long"&gt;45322&lt;/D&gt;&lt;/FQL&gt;&lt;FQL&gt;&lt;Q&gt;EWN^FMA_EVAL_EBIT(LTMA,NOW,NOW,M,"PORTAGG","MEANR")&lt;/Q&gt;&lt;R&gt;1&lt;/R&gt;&lt;C&gt;1&lt;/C&gt;&lt;D xsi:type="xsd:double"&gt;21.0935705256721&lt;/D&gt;&lt;/FQL&gt;&lt;FQL&gt;&lt;Q&gt;EWN^FMA_EVAL_EBITDA(NTMA,0,,,"PORTAGG","MEANR")&lt;/Q&gt;&lt;R&gt;1&lt;/R&gt;&lt;C&gt;1&lt;/C&gt;&lt;D xsi:type="xsd:double"&gt;13.4131630001747&lt;/D&gt;&lt;/FQL&gt;&lt;FQL&gt;&lt;Q&gt;EWN^FG_FCF_YIELD_NTM(0)&lt;/Q&gt;&lt;R&gt;1&lt;/R&gt;&lt;C&gt;1&lt;/C&gt;&lt;D xsi:type="xsd:double"&gt;3.72728679294371&lt;/D&gt;&lt;/FQL&gt;&lt;FQL&gt;&lt;Q&gt;EWN^FMA_DIV_YLD(NTMA,NOW,NOW,M,"PORTAGG","MEANR")&lt;/Q&gt;&lt;R&gt;1&lt;/R&gt;&lt;C&gt;1&lt;/C&gt;&lt;D xsi:type="xsd:double"&gt;2.5911892548089&lt;/D&gt;&lt;/FQL&gt;&lt;FQL&gt;&lt;Q&gt;EWN^FG_PE_NTM(0,,,90,0)&lt;/Q&gt;&lt;R&gt;1&lt;/R&gt;&lt;C&gt;1&lt;/C&gt;&lt;D xsi:type="xsd:double"&gt;16.1095686062496&lt;/D&gt;&lt;/FQL&gt;&lt;FQL&gt;&lt;Q&gt;EWN^FG_PE(0)&lt;/Q&gt;&lt;R&gt;1&lt;/R&gt;&lt;C&gt;1&lt;/C&gt;&lt;D xsi:type="xsd:double"&gt;18.5338768909268&lt;/D&gt;&lt;/FQL&gt;&lt;FQL&gt;&lt;Q&gt;EWN^JULIAN(FMA_DIV_YLD(NTMA,NOW,NOW,M,"PORTAGG","MEANR").DATES)&lt;/Q&gt;&lt;R&gt;1&lt;/R&gt;&lt;C&gt;1&lt;/C&gt;&lt;D xsi:type="xsd:long"&gt;45322&lt;/D&gt;&lt;/FQL&gt;&lt;FQL&gt;&lt;Q&gt;EWQ^FMA_EVAL_EBIT(LTMA,NOW,NOW,M,"PORTAGG","MEANR")&lt;/Q&gt;&lt;R&gt;1&lt;/R&gt;&lt;C&gt;1&lt;/C&gt;&lt;D xsi:type="xsd:double"&gt;12.9504837737628&lt;/D&gt;&lt;/FQL&gt;&lt;FQL&gt;&lt;Q&gt;EWQ^FMA_EVAL_EBITDA(NTMA,0,,,"PORTAGG","MEANR")&lt;/Q&gt;&lt;R&gt;1&lt;/R&gt;&lt;C&gt;1&lt;/C&gt;&lt;D xsi:type="xsd:double"&gt;9.10525610463412&lt;/D&gt;&lt;/FQL&gt;&lt;FQL&gt;&lt;Q&gt;EWQ^FG_FCF_YIELD_NTM(0)&lt;/Q&gt;&lt;R&gt;1&lt;/R&gt;&lt;C&gt;1&lt;/C&gt;&lt;D xsi:type="xsd:double"&gt;5.92768899374074&lt;/D&gt;&lt;/FQL&gt;&lt;FQL&gt;&lt;Q&gt;EWQ^FMA_DIV_YLD(NTMA,NOW,NOW,M,"PORTAGG","MEANR")&lt;/Q&gt;&lt;R&gt;1&lt;/R&gt;&lt;C&gt;1&lt;/C&gt;&lt;D xsi:type="xsd:double"&gt;3.17629276731666&lt;/D&gt;&lt;/FQL&gt;&lt;FQL&gt;&lt;Q&gt;EWQ^FG_PE_NTM(0,,,90,0)&lt;/Q&gt;&lt;R&gt;1&lt;/R&gt;&lt;C&gt;1&lt;/C&gt;&lt;D xsi:type="xsd:double"&gt;13.7785197094028&lt;/D&gt;&lt;/FQL&gt;&lt;FQL&gt;&lt;Q&gt;EWQ^FG_PE(0)&lt;/Q&gt;&lt;R&gt;1&lt;/R&gt;&lt;C&gt;1&lt;/C&gt;&lt;D xsi:type="xsd:double"&gt;14.9935960024687&lt;/D&gt;&lt;/FQL&gt;&lt;FQL&gt;&lt;Q&gt;EWQ^JULIAN(FMA_DIV_YLD(NTMA,NOW,NOW,M,"PORTAGG","MEANR").DATES)&lt;/Q&gt;&lt;R&gt;1&lt;/R&gt;&lt;C&gt;1&lt;/C&gt;&lt;D xsi:type="xsd:long"&gt;45322&lt;/D&gt;&lt;/FQL&gt;&lt;FQL&gt;&lt;Q&gt;SPY^FMA_EVAL_EBIT(LTMA,NOW,NOW,M,"PORTAGG","MEANR")&lt;/Q&gt;&lt;R&gt;1&lt;/R&gt;&lt;C&gt;1&lt;/C&gt;&lt;D xsi:type="xsd:double"&gt;19.9607022235476&lt;/D&gt;&lt;/FQL&gt;&lt;FQL&gt;&lt;Q&gt;SPY^FMA_EVAL_EBITDA(NTMA,0,,,"PORTAGG","MEANR")&lt;/Q&gt;&lt;R&gt;1&lt;/R&gt;&lt;C&gt;1&lt;/C&gt;&lt;D xsi:type="xsd:double"&gt;13.9059627392046&lt;/D&gt;&lt;/FQL&gt;&lt;FQL&gt;&lt;Q&gt;SPY^FG_FCF_YIELD_NTM(0)&lt;/Q&gt;&lt;R&gt;1&lt;/R&gt;&lt;C&gt;1&lt;/C&gt;&lt;D xsi:type="xsd:double"&gt;4.28524376148986&lt;/D&gt;&lt;/FQL&gt;&lt;FQL&gt;&lt;Q&gt;SPY^FMA_DIV_YLD(NTMA,NOW,NOW,M,"PORTAGG","MEANR")&lt;/Q&gt;&lt;R&gt;1&lt;/R&gt;&lt;C&gt;1&lt;/C&gt;&lt;D xsi:type="xsd:double"&gt;1.52671982359584&lt;/D&gt;&lt;/FQL&gt;&lt;FQL&gt;&lt;Q&gt;SPY^FG_PE_NTM(0,,,90,0)&lt;/Q&gt;&lt;R&gt;1&lt;/R&gt;&lt;C&gt;1&lt;/C&gt;&lt;D xsi:type="xsd:double"&gt;20.3506450835596&lt;/D&gt;&lt;/FQL&gt;&lt;FQL&gt;&lt;Q&gt;SPY^FG_PE(0)&lt;/Q&gt;&lt;R&gt;1&lt;/R&gt;&lt;C&gt;1&lt;/C&gt;&lt;D xsi:type="xsd:double"&gt;24.0044618425217&lt;/D&gt;&lt;/FQL&gt;&lt;FQL&gt;&lt;Q&gt;SPY^JULIAN(FMA_DIV_YLD(NTMA,NOW,NOW,M,"PORTAGG","MEANR").DATES)&lt;/Q&gt;&lt;R&gt;1&lt;/R&gt;&lt;C&gt;1&lt;/C&gt;&lt;D xsi:type="xsd:long"&gt;45322&lt;/D&gt;&lt;/FQL&gt;&lt;FQL&gt;&lt;Q&gt;QQQ^FMA_EVAL_EBIT(LTMA,NOW,NOW,M,"PORTAGG","MEANR")&lt;/Q&gt;&lt;R&gt;1&lt;/R&gt;&lt;C&gt;1&lt;/C&gt;&lt;D xsi:type="xsd:double"&gt;24.0665389319553&lt;/D&gt;&lt;/FQL&gt;&lt;FQL&gt;&lt;Q&gt;QQQ^FMA_EVAL_EBITDA(NTMA,0,,,"PORTAGG","MEANR")&lt;/Q&gt;&lt;R&gt;1&lt;/R&gt;&lt;C&gt;1&lt;/C&gt;&lt;D xsi:type="xsd:double"&gt;16.2495390123611&lt;/D&gt;&lt;/FQL&gt;&lt;FQL&gt;&lt;Q&gt;QQQ^FG_FCF_YIELD_NTM(0)&lt;/Q&gt;&lt;R&gt;1&lt;/R&gt;&lt;C&gt;1&lt;/C&gt;&lt;D xsi:type="xsd:double"&gt;3.65298566034075&lt;/D&gt;&lt;/FQL&gt;&lt;FQL&gt;&lt;Q&gt;QQQ^FMA_DIV_YLD(NTMA,NOW,NOW,M,"PORTAGG","MEANR")&lt;/Q&gt;&lt;R&gt;1&lt;/R&gt;&lt;C&gt;1&lt;/C&gt;&lt;D xsi:type="xsd:double"&gt;0.901276158476859&lt;/D&gt;&lt;/FQL&gt;&lt;FQL&gt;&lt;Q&gt;QQQ^FG_PE_NTM(0,,,90,0)&lt;/Q&gt;&lt;R&gt;1&lt;/R&gt;&lt;C&gt;1&lt;/C&gt;&lt;D xsi:type="xsd:double"&gt;26.2423292844952&lt;/D&gt;&lt;/FQL&gt;&lt;FQL&gt;&lt;Q&gt;QQQ^FG_PE(0)&lt;/Q&gt;&lt;R&gt;1&lt;/R&gt;&lt;C&gt;1&lt;/C&gt;&lt;D xsi:type="xsd:double"&gt;32.9335766503848&lt;/D&gt;&lt;/FQL&gt;&lt;FQL&gt;&lt;Q&gt;QQQ^JULIAN(FMA_DIV_YLD(NTMA,NOW,NOW,M,"PORTAGG","MEANR").DATES)&lt;/Q&gt;&lt;R&gt;1&lt;/R&gt;&lt;C&gt;1&lt;/C&gt;&lt;D xsi:type="xsd:long"&gt;45322&lt;/D&gt;&lt;/FQL&gt;&lt;FQL&gt;&lt;Q&gt;EWU^FMA_EVAL_EBIT(LTMA,NOW,NOW,M,"PORTAGG","MEANR")&lt;/Q&gt;&lt;R&gt;1&lt;/R&gt;&lt;C&gt;1&lt;/C&gt;&lt;D xsi:type="xsd:double"&gt;10.3847176629095&lt;/D&gt;&lt;/FQL&gt;&lt;FQL&gt;&lt;Q&gt;EWU^FMA_EVAL_EBITDA(NTMA,0,,,"PORTAGG","MEANR")&lt;/Q&gt;&lt;R&gt;1&lt;/R&gt;&lt;C&gt;1&lt;/C&gt;&lt;D xsi:type="xsd:double"&gt;7.28365765141145&lt;/D&gt;&lt;/FQL&gt;&lt;FQL&gt;&lt;Q&gt;EWU^FG_FCF_YIELD_NTM(0)&lt;/Q&gt;&lt;R&gt;1&lt;/R&gt;&lt;C&gt;1&lt;/C&gt;&lt;D xsi:type="xsd:double"&gt;6.68329799880361&lt;/D&gt;&lt;/FQL&gt;&lt;FQL&gt;&lt;Q&gt;EWU^FMA_DIV_YLD(NTMA,NOW,NOW,M,"PORTAGG","MEANR")&lt;/Q&gt;&lt;R&gt;1&lt;/R&gt;&lt;C&gt;1&lt;/C&gt;&lt;D xsi:type="xsd:double"&gt;4.27602724132842&lt;/D&gt;&lt;/FQL&gt;&lt;FQL&gt;&lt;Q&gt;EWU^FG_PE_NTM(0,,,90,0)&lt;/Q&gt;&lt;R&gt;1&lt;/R&gt;&lt;C&gt;1&lt;/C&gt;&lt;D xsi:type="xsd:double"&gt;11.0222176105224&lt;/D&gt;&lt;/FQL&gt;&lt;FQL&gt;&lt;Q&gt;EWU^FG_PE(0)&lt;/Q&gt;&lt;R&gt;1&lt;/R&gt;&lt;C&gt;1&lt;/C&gt;&lt;D xsi:type="xsd:double"&gt;9.09958279565988&lt;/D&gt;&lt;/FQL&gt;&lt;FQL&gt;&lt;Q&gt;EWU^JULIAN(FMA_DIV_YLD(NTMA,NOW,NOW,M,"PORTAGG","MEANR").DATES)&lt;/Q&gt;&lt;R&gt;1&lt;/R&gt;&lt;C&gt;1&lt;/C&gt;&lt;D xsi:type="xsd:long"&gt;45322&lt;/D&gt;&lt;/FQL&gt;&lt;FQL&gt;&lt;Q&gt;EWL^FMA_EVAL_EBIT(LTMA,NOW,NOW,M,"PORTAGG","MEANR")&lt;/Q&gt;&lt;R&gt;1&lt;/R&gt;&lt;C&gt;1&lt;/C&gt;&lt;D xsi:type="xsd:double"&gt;16.7388987509017&lt;/D&gt;&lt;/FQL&gt;&lt;FQL&gt;&lt;Q&gt;EWL^FMA_EVAL_EBITDA(NTMA,0,,,"PORTAGG","MEANR")&lt;/Q&gt;&lt;R&gt;1&lt;/R&gt;&lt;C&gt;1&lt;/C&gt;&lt;D xsi:type="xsd:double"&gt;12.8940235755246&lt;/D&gt;&lt;/FQL&gt;&lt;FQL&gt;&lt;Q&gt;EWL^FG_FCF_YIELD_NTM(0)&lt;/Q&gt;&lt;R&gt;1&lt;/R&gt;&lt;C&gt;1&lt;/C&gt;&lt;D xsi:type="xsd:double"&gt;5.0162652072727&lt;/D&gt;&lt;/FQL&gt;&lt;FQL&gt;&lt;Q&gt;EWL^FMA_DIV_YLD(NTMA,NOW,NOW,M,"PORTAGG","MEANR")&lt;/Q&gt;&lt;R&gt;1&lt;/R&gt;&lt;C&gt;1&lt;/C&gt;&lt;D xsi:type="xsd:double"&gt;3.27877517216889&lt;/D&gt;&lt;/FQL&gt;&lt;FQL&gt;&lt;Q&gt;EWL^FG_PE_NTM(0,,,90,0)&lt;/Q&gt;&lt;R&gt;1&lt;/R&gt;&lt;C&gt;1&lt;/C&gt;&lt;D xsi:type="xsd:double"&gt;17.0828760530082&lt;/D&gt;&lt;/FQL&gt;&lt;FQL&gt;&lt;Q&gt;EWL^FG_PE(0)&lt;/Q&gt;&lt;R&gt;1&lt;/R&gt;&lt;C&gt;1&lt;/C&gt;&lt;D xsi:type="xsd:double"&gt;15.9054503133222&lt;/D&gt;&lt;/FQL&gt;&lt;FQL&gt;&lt;Q&gt;EWL^JULIAN(FMA_DIV_YLD(NTMA,NOW,NOW,M,"PORTAGG","MEANR").DATES)&lt;/Q&gt;&lt;R&gt;1&lt;/R&gt;&lt;C&gt;1&lt;/C&gt;&lt;D xsi:type="xsd:long"&gt;45322&lt;/D&gt;&lt;/FQL&gt;&lt;FQL&gt;&lt;Q&gt;EWJ^FMA_EVAL_EBIT(LTMA,NOW,NOW,M,"PORTAGG","MEANR")&lt;/Q&gt;&lt;R&gt;1&lt;/R&gt;&lt;C&gt;1&lt;/C&gt;&lt;D xsi:type="xsd:double"&gt;17.4345197221531&lt;/D&gt;&lt;/FQL&gt;&lt;FQL&gt;&lt;Q&gt;EWJ^FMA_EVAL_EBITDA(NTMA,0,,,"PORTAGG","MEANR")&lt;/Q&gt;&lt;R&gt;1&lt;/R&gt;&lt;C&gt;1&lt;/C&gt;&lt;D xsi:type="xsd:double"&gt;10.3600380300984&lt;/D&gt;&lt;/FQL&gt;&lt;FQL&gt;&lt;Q&gt;EWJ^FG_FCF_YIELD_NTM(0)&lt;/Q&gt;&lt;R&gt;1&lt;/R&gt;&lt;C&gt;1&lt;/C&gt;&lt;D xsi:type="xsd:double"&gt;4.14546679091487&lt;/D&gt;&lt;/FQL&gt;&lt;FQL&gt;&lt;Q&gt;EWJ^FMA_DIV_YLD(NTMA,NOW,NOW,M,"PORTAGG","MEANR")&lt;/Q&gt;&lt;R&gt;1&lt;/R&gt;&lt;C&gt;1&lt;/C&gt;&lt;D xsi:type="xsd:double"&gt;2.2636889371995&lt;/D&gt;&lt;/FQL&gt;&lt;FQL&gt;&lt;Q&gt;EWJ^FG_PE_NTM(0,,,90,0)&lt;/Q&gt;&lt;R&gt;1&lt;/R&gt;&lt;C&gt;1&lt;/C&gt;&lt;D xsi:type="xsd:double"&gt;15.085196652901&lt;/D&gt;&lt;/FQL&gt;&lt;FQL&gt;&lt;Q&gt;EWJ^FG_PE(0)&lt;/Q&gt;&lt;R&gt;1&lt;/R&gt;&lt;C&gt;1&lt;/C&gt;&lt;D xsi:type="xsd:double"&gt;15.9954799486644&lt;/D&gt;&lt;/FQL&gt;&lt;FQL&gt;&lt;Q&gt;EWJ^JULIAN(FMA_DIV_YLD(NTMA,NOW,NOW,M,"PORTAGG","MEANR").DATES)&lt;/Q&gt;&lt;R&gt;1&lt;/R&gt;&lt;C&gt;1&lt;/C&gt;&lt;D xsi:type="xsd:long"&gt;45322&lt;/D&gt;&lt;/FQL&gt;&lt;FQL&gt;&lt;Q&gt;EWG^FMA_EVAL_EBIT(LTMA,NOW,NOW,M,"PORTAGG","MEANR")&lt;/Q&gt;&lt;R&gt;1&lt;/R&gt;&lt;C&gt;1&lt;/C&gt;&lt;D xsi:type="xsd:double"&gt;13.1278181564876&lt;/D&gt;&lt;/FQL&gt;&lt;FQL&gt;&lt;Q&gt;EWG^FMA_EVAL_EBITDA(NTMA,0,,,"PORTAGG","MEANR")&lt;/Q&gt;&lt;R&gt;1&lt;/R&gt;&lt;C&gt;1&lt;/C&gt;&lt;D xsi:type="xsd:double"&gt;8.37948958154112&lt;/D&gt;&lt;/FQL&gt;&lt;FQL&gt;&lt;Q&gt;EWG^FG_FCF_YIELD_NTM(0)&lt;/Q&gt;&lt;R&gt;1&lt;/R&gt;&lt;C&gt;1&lt;/C&gt;&lt;D xsi:type="xsd:double"&gt;6.57844342116821&lt;/D&gt;&lt;/FQL&gt;&lt;FQL&gt;&lt;Q&gt;EWG^FMA_DIV_YLD(NTMA,NOW,NOW,M,"PORTAGG","MEANR")&lt;/Q&gt;&lt;R&gt;1&lt;/R&gt;&lt;C&gt;1&lt;/C&gt;&lt;D xsi:type="xsd:double"&gt;3.56615429524043&lt;/D&gt;&lt;/FQL&gt;&lt;FQL&gt;&lt;Q&gt;EWG^FG_PE_NTM(0,,,90,0)&lt;/Q&gt;&lt;R&gt;1&lt;/R&gt;&lt;C&gt;1&lt;/C&gt;&lt;D xsi:type="xsd:double"&gt;11.5477470878173&lt;/D&gt;&lt;/FQL&gt;&lt;FQL&gt;&lt;Q&gt;EWG^FG_PE(0)&lt;/Q&gt;&lt;R&gt;1&lt;/R&gt;&lt;C&gt;1&lt;/C&gt;&lt;D xsi:type="xsd:double"&gt;10.7899874974471&lt;/D&gt;&lt;/FQL&gt;&lt;FQL&gt;&lt;Q&gt;EWG^JULIAN(FMA_DIV_YLD(NTMA,NOW,NOW,M,"PORTAGG","MEANR").DATES)&lt;/Q&gt;&lt;R&gt;1&lt;/R&gt;&lt;C&gt;1&lt;/C&gt;&lt;D xsi:type="xsd:long"&gt;45322&lt;/D&gt;&lt;/FQL&gt;&lt;FQL&gt;&lt;Q&gt;EWC^FMA_EVAL_EBIT(LTMA,NOW,NOW,M,"PORTAGG","MEANR")&lt;/Q&gt;&lt;R&gt;1&lt;/R&gt;&lt;C&gt;1&lt;/C&gt;&lt;D xsi:type="xsd:double"&gt;15.7902851803177&lt;/D&gt;&lt;/FQL&gt;&lt;FQL&gt;&lt;Q&gt;EWC^FMA_EVAL_EBITDA(NTMA,0,,,"PORTAGG","MEANR")&lt;/Q&gt;&lt;R&gt;1&lt;/R&gt;&lt;C&gt;1&lt;/C&gt;&lt;D xsi:type="xsd:double"&gt;9.52666216701969&lt;/D&gt;&lt;/FQL&gt;&lt;FQL&gt;&lt;Q&gt;EWC^FG_FCF_YIELD_NTM(0)&lt;/Q&gt;&lt;R&gt;1&lt;/R&gt;&lt;C&gt;1&lt;/C&gt;&lt;D xsi:type="xsd:double"&gt;5.27339716003774&lt;/D&gt;&lt;/FQL&gt;&lt;FQL&gt;&lt;Q&gt;EWC^FMA_DIV_YLD(NTMA,NOW,NOW,M,"PORTAGG",</t>
        </r>
      </text>
    </comment>
    <comment ref="A12" authorId="0" shapeId="0" xr:uid="{DFD65839-5AAD-47E2-BEE4-8FA78144751F}">
      <text>
        <r>
          <rPr>
            <b/>
            <sz val="9"/>
            <color indexed="81"/>
            <rFont val="Tahoma"/>
            <family val="2"/>
          </rPr>
          <t>"MEANR")&lt;/Q&gt;&lt;R&gt;1&lt;/R&gt;&lt;C&gt;1&lt;/C&gt;&lt;D xsi:type="xsd:double"&gt;3.3344469777331&lt;/D&gt;&lt;/FQL&gt;&lt;FQL&gt;&lt;Q&gt;EWC^FG_PE_NTM(0,,,90,0)&lt;/Q&gt;&lt;R&gt;1&lt;/R&gt;&lt;C&gt;1&lt;/C&gt;&lt;D xsi:type="xsd:double"&gt;13.8967027859164&lt;/D&gt;&lt;/FQL&gt;&lt;FQL&gt;&lt;Q&gt;EWC^FG_PE(0)&lt;/Q&gt;&lt;R&gt;1&lt;/R&gt;&lt;C&gt;1&lt;/C&gt;&lt;D xsi:type="xsd:double"&gt;16.575521051214&lt;/D&gt;&lt;/FQL&gt;&lt;FQL&gt;&lt;Q&gt;EWC^JULIAN(FMA_DIV_YLD(NTMA,NOW,NOW,M,"PORTAGG","MEANR").DATES)&lt;/Q&gt;&lt;R&gt;1&lt;/R&gt;&lt;C&gt;1&lt;/C&gt;&lt;D xsi:type="xsd:long"&gt;45322&lt;/D&gt;&lt;/FQL&gt;&lt;FQL&gt;&lt;Q&gt;INDA^FG_PE_NTM(0,,,90,0)&lt;/Q&gt;&lt;R&gt;1&lt;/R&gt;&lt;C&gt;1&lt;/C&gt;&lt;D xsi:type="xsd:double"&gt;22.4372041416185&lt;/D&gt;&lt;/FQL&gt;&lt;FQL&gt;&lt;Q&gt;INDA^FG_PE(0)&lt;/Q&gt;&lt;R&gt;1&lt;/R&gt;&lt;C&gt;1&lt;/C&gt;&lt;D xsi:type="xsd:double"&gt;25.1840479943584&lt;/D&gt;&lt;/FQL&gt;&lt;FQL&gt;&lt;Q&gt;VWO^FG_COMPANY_NAME&lt;/Q&gt;&lt;R&gt;1&lt;/R&gt;&lt;C&gt;1&lt;/C&gt;&lt;D xsi:type="xsd:string"&gt;Vanguard FTSE Emerging Markets ETF&lt;/D&gt;&lt;/FQL&gt;&lt;FQL&gt;&lt;Q&gt;INDA^FG_COMPANY_NAME&lt;/Q&gt;&lt;R&gt;1&lt;/R&gt;&lt;C&gt;1&lt;/C&gt;&lt;D xsi:type="xsd:string"&gt;iShares MSCI India ETF&lt;/D&gt;&lt;/FQL&gt;&lt;FQL&gt;&lt;Q&gt;EWA^FMA_EVAL_EBIT(LTMA,NOW,NOW,M,"PORTAGG","MEANR")&lt;/Q&gt;&lt;R&gt;1&lt;/R&gt;&lt;C&gt;1&lt;/C&gt;&lt;D xsi:type="xsd:double"&gt;12.5082595605986&lt;/D&gt;&lt;/FQL&gt;&lt;FQL&gt;&lt;Q&gt;EWA^FMA_EVAL_EBITDA(NTMA,0,,,"PORTAGG","MEANR")&lt;/Q&gt;&lt;R&gt;1&lt;/R&gt;&lt;C&gt;1&lt;/C&gt;&lt;D xsi:type="xsd:double"&gt;8.52682856842672&lt;/D&gt;&lt;/FQL&gt;&lt;FQL&gt;&lt;Q&gt;EWA^FG_FCF_YIELD_NTM(0)&lt;/Q&gt;&lt;R&gt;1&lt;/R&gt;&lt;C&gt;1&lt;/C&gt;&lt;D xsi:type="xsd:double"&gt;4.69010388721939&lt;/D&gt;&lt;/FQL&gt;&lt;FQL&gt;&lt;Q&gt;EWA^FMA_DIV_YLD(NTMA,NOW,NOW,M,"PORTAGG","MEANR")&lt;/Q&gt;&lt;R&gt;1&lt;/R&gt;&lt;C&gt;1&lt;/C&gt;&lt;D xsi:type="xsd:double"&gt;3.95317385597796&lt;/D&gt;&lt;/FQL&gt;&lt;FQL&gt;&lt;Q&gt;EWA^FG_PE_NTM(0,,,90,0)&lt;/Q&gt;&lt;R&gt;1&lt;/R&gt;&lt;C&gt;1&lt;/C&gt;&lt;D xsi:type="xsd:double"&gt;16.3826422075845&lt;/D&gt;&lt;/FQL&gt;&lt;FQL&gt;&lt;Q&gt;EWA^FG_PE(0)&lt;/Q&gt;&lt;R&gt;1&lt;/R&gt;&lt;C&gt;1&lt;/C&gt;&lt;D xsi:type="xsd:double"&gt;15.7079246936435&lt;/D&gt;&lt;/FQL&gt;&lt;FQL&gt;&lt;Q&gt;EWA^JULIAN(FMA_DIV_YLD(NTMA,NOW,NOW,M,"PORTAGG","MEANR").DATES)&lt;/Q&gt;&lt;R&gt;1&lt;/R&gt;&lt;C&gt;1&lt;/C&gt;&lt;D xsi:type="xsd:long"&gt;45322&lt;/D&gt;&lt;/FQL&gt;&lt;FQL&gt;&lt;Q&gt;ENZL^FMA_EVAL_EBIT(LTMA,NOW,NOW,M,"PORTAGG","MEANR")&lt;/Q&gt;&lt;R&gt;1&lt;/R&gt;&lt;C&gt;1&lt;/C&gt;&lt;D xsi:type="xsd:double"&gt;19.7872792381313&lt;/D&gt;&lt;/FQL&gt;&lt;FQL&gt;&lt;Q&gt;ENZL^FMA_EVAL_EBITDA(NTMA,0,,,"PORTAGG","MEANR")&lt;/Q&gt;&lt;R&gt;1&lt;/R&gt;&lt;C&gt;1&lt;/C&gt;&lt;D xsi:type="xsd:double"&gt;11.6735099748099&lt;/D&gt;&lt;/FQL&gt;&lt;FQL&gt;&lt;Q&gt;ENZL^FG_FCF_YIELD_NTM(0)&lt;/Q&gt;&lt;R&gt;1&lt;/R&gt;&lt;C&gt;1&lt;/C&gt;&lt;D xsi:type="xsd:double"&gt;1.09261018740958&lt;/D&gt;&lt;/FQL&gt;&lt;FQL&gt;&lt;Q&gt;ENZL^FMA_DIV_YLD(NTMA,NOW,NOW,M,"PORTAGG","MEANR")&lt;/Q&gt;&lt;R&gt;1&lt;/R&gt;&lt;C&gt;1&lt;/C&gt;&lt;D xsi:type="xsd:double"&gt;3.00519985198877&lt;/D&gt;&lt;/FQL&gt;&lt;FQL&gt;&lt;Q&gt;ENZL^FG_PE_NTM(0,,,90,0)&lt;/Q&gt;&lt;R&gt;1&lt;/R&gt;&lt;C&gt;1&lt;/C&gt;&lt;D xsi:type="xsd:double"&gt;22.2869260457695&lt;/D&gt;&lt;/FQL&gt;&lt;FQL&gt;&lt;Q&gt;ENZL^FG_PE(0)&lt;/Q&gt;&lt;R&gt;1&lt;/R&gt;&lt;C&gt;1&lt;/C&gt;&lt;D xsi:type="xsd:double"&gt;23.6207030436029&lt;/D&gt;&lt;/FQL&gt;&lt;FQL&gt;&lt;Q&gt;ENZL^JULIAN(FMA_DIV_YLD(NTMA,NOW,NOW,M,"PORTAGG","MEANR").DATES)&lt;/Q&gt;&lt;R&gt;1&lt;/R&gt;&lt;C&gt;1&lt;/C&gt;&lt;D xsi:type="xsd:long"&gt;45322&lt;/D&gt;&lt;/FQL&gt;&lt;FQL&gt;&lt;Q&gt;FXI^FMA_EVAL_EBIT(LTMA,NOW,NOW,M,"PORTAGG","MEANR")&lt;/Q&gt;&lt;R&gt;1&lt;/R&gt;&lt;C&gt;1&lt;/C&gt;&lt;D xsi:type="xsd:double"&gt;10.5078240026369&lt;/D&gt;&lt;/FQL&gt;&lt;FQL&gt;&lt;Q&gt;FXI^FMA_EVAL_EBITDA(NTMA,0,,,"PORTAGG","MEANR")&lt;/Q&gt;&lt;R&gt;1&lt;/R&gt;&lt;C&gt;1&lt;/C&gt;&lt;D xsi:type="xsd:double"&gt;6.95793738085741&lt;/D&gt;&lt;/FQL&gt;&lt;FQL&gt;&lt;Q&gt;FXI^FG_FCF_YIELD_NTM(0)&lt;/Q&gt;&lt;R&gt;1&lt;/R&gt;&lt;C&gt;1&lt;/C&gt;&lt;D xsi:type="xsd:double"&gt;8.27371928253801&lt;/D&gt;&lt;/FQL&gt;&lt;FQL&gt;&lt;Q&gt;FXI^FMA_DIV_YLD(NTMA,NOW,NOW,M,"PORTAGG","MEANR")&lt;/Q&gt;&lt;R&gt;1&lt;/R&gt;&lt;C&gt;1&lt;/C&gt;&lt;D xsi:type="xsd:double"&gt;3.86219728033909&lt;/D&gt;&lt;/FQL&gt;&lt;FQL&gt;&lt;Q&gt;FXI^FG_PE_NTM(0,,,90,0)&lt;/Q&gt;&lt;R&gt;1&lt;/R&gt;&lt;C&gt;1&lt;/C&gt;&lt;D xsi:type="xsd:double"&gt;6.7751575619777&lt;/D&gt;&lt;/FQL&gt;&lt;FQL&gt;&lt;Q&gt;FXI^FG_PE(0)&lt;/Q&gt;&lt;R&gt;1&lt;/R&gt;&lt;C&gt;1&lt;/C&gt;&lt;D xsi:type="xsd:double"&gt;8.19528105787932&lt;/D&gt;&lt;/FQL&gt;&lt;FQL&gt;&lt;Q&gt;FXI^JULIAN(FMA_DIV_YLD(NTMA,NOW,NOW,M,"PORTAGG","MEANR").DATES)&lt;/Q&gt;&lt;R&gt;1&lt;/R&gt;&lt;C&gt;1&lt;/C&gt;&lt;D xsi:type="xsd:long"&gt;45322&lt;/D&gt;&lt;/FQL&gt;&lt;FQL&gt;&lt;Q&gt;FXI^FG_COMPANY_NAME&lt;/Q&gt;&lt;R&gt;1&lt;/R&gt;&lt;C&gt;1&lt;/C&gt;&lt;D xsi:type="xsd:string"&gt;iShares China Large-Cap ETF&lt;/D&gt;&lt;/FQL&gt;&lt;/Schema&gt;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tc={BE689E07-3F2E-4079-B847-2F05EF86C0AE}</author>
  </authors>
  <commentList>
    <comment ref="P3" authorId="0" shapeId="0" xr:uid="{BE689E07-3F2E-4079-B847-2F05EF86C0AE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High is good 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<sst xmlns="http://schemas.openxmlformats.org/spreadsheetml/2006/main" count="1334" uniqueCount="535">
  <si>
    <t>ETF name</t>
  </si>
  <si>
    <t>SPY</t>
  </si>
  <si>
    <t>3 month return</t>
  </si>
  <si>
    <t>6 month return</t>
  </si>
  <si>
    <t>VWO</t>
  </si>
  <si>
    <t>Price / 52 week high</t>
  </si>
  <si>
    <t>EWG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</si>
  <si>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</si>
  <si>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</si>
  <si>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INDA</t>
  </si>
  <si>
    <t>EWL</t>
  </si>
  <si>
    <t>EWA</t>
  </si>
  <si>
    <t>EWJ</t>
  </si>
  <si>
    <t>EWU</t>
  </si>
  <si>
    <t>EWC</t>
  </si>
  <si>
    <t>QQQ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</si>
  <si>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</si>
  <si>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</si>
  <si>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</si>
  <si>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</si>
  <si>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</si>
  <si>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</si>
  <si>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12 month return</t>
  </si>
  <si>
    <t>Index breadth</t>
  </si>
  <si>
    <t>upgardes %</t>
  </si>
  <si>
    <t>U/D</t>
  </si>
  <si>
    <t>Score</t>
  </si>
  <si>
    <t>Diffusiion</t>
  </si>
  <si>
    <t>Worst</t>
  </si>
  <si>
    <t>Count</t>
  </si>
  <si>
    <t>times darwdown</t>
  </si>
  <si>
    <t>%</t>
  </si>
  <si>
    <t xml:space="preserve">Freq </t>
  </si>
  <si>
    <t>12 month return -prentile</t>
  </si>
  <si>
    <t>1  month return percentile</t>
  </si>
  <si>
    <t>US</t>
  </si>
  <si>
    <t>CC_CA</t>
  </si>
  <si>
    <t>CC_JP</t>
  </si>
  <si>
    <t>CC_GB</t>
  </si>
  <si>
    <t>CC_US</t>
  </si>
  <si>
    <t>CC_AU</t>
  </si>
  <si>
    <t>CC_NZ</t>
  </si>
  <si>
    <t>Europe</t>
  </si>
  <si>
    <t>CC_SE</t>
  </si>
  <si>
    <t>CC_CH</t>
  </si>
  <si>
    <t>Rolling 12 month returns</t>
  </si>
  <si>
    <t xml:space="preserve"> 1 month revison</t>
  </si>
  <si>
    <t>3 month revsion</t>
  </si>
  <si>
    <t>Rev 1 month</t>
  </si>
  <si>
    <t>Rev 3 month</t>
  </si>
  <si>
    <t>Best</t>
  </si>
  <si>
    <t>median</t>
  </si>
  <si>
    <t>% drawdown</t>
  </si>
  <si>
    <t>Percentile 1montsh back</t>
  </si>
  <si>
    <t>Percentile 2months</t>
  </si>
  <si>
    <t xml:space="preserve">Cuurent </t>
  </si>
  <si>
    <t>Max monthly  Drawdown</t>
  </si>
  <si>
    <t>Yearly drawdown freq</t>
  </si>
  <si>
    <t>High is good , means low risk</t>
  </si>
  <si>
    <t>12 month return percentile</t>
  </si>
  <si>
    <t>ENZL</t>
  </si>
  <si>
    <t>Oil</t>
  </si>
  <si>
    <t>Average last 3 months</t>
  </si>
  <si>
    <t>Prioce / 52 week low</t>
  </si>
  <si>
    <t>Closeness - 52W- H</t>
  </si>
  <si>
    <t>Away-52W L</t>
  </si>
  <si>
    <t>Closeness - 52w L</t>
  </si>
  <si>
    <t>ETF Name</t>
  </si>
  <si>
    <t>Yearly Drawdwn</t>
  </si>
  <si>
    <t>Monthly  Drawdwin</t>
  </si>
  <si>
    <t>Overall Risk Score</t>
  </si>
  <si>
    <t>VGK</t>
  </si>
  <si>
    <t>COUNTRY</t>
  </si>
  <si>
    <t>CC_DE</t>
  </si>
  <si>
    <t>Australia</t>
  </si>
  <si>
    <t>Canada</t>
  </si>
  <si>
    <t>China</t>
  </si>
  <si>
    <t>France</t>
  </si>
  <si>
    <t>Germany</t>
  </si>
  <si>
    <t>Italy</t>
  </si>
  <si>
    <t>Japan</t>
  </si>
  <si>
    <t>Netherlands</t>
  </si>
  <si>
    <t>New Zealand</t>
  </si>
  <si>
    <t>Sweden</t>
  </si>
  <si>
    <t>Switzerland</t>
  </si>
  <si>
    <t>United Kingdom</t>
  </si>
  <si>
    <t>United States</t>
  </si>
  <si>
    <t>EM</t>
  </si>
  <si>
    <t>Top down</t>
  </si>
  <si>
    <t>URTH</t>
  </si>
  <si>
    <t>World</t>
  </si>
  <si>
    <t>max</t>
  </si>
  <si>
    <t>&gt;</t>
  </si>
  <si>
    <t>&lt;</t>
  </si>
  <si>
    <t>Monthly Return Percentile</t>
  </si>
  <si>
    <t>RISK PERCENTILE</t>
  </si>
  <si>
    <t>name</t>
  </si>
  <si>
    <t>Spot</t>
  </si>
  <si>
    <t>30day Moving Avg.</t>
  </si>
  <si>
    <t>% change 1 month</t>
  </si>
  <si>
    <t>3 Month change</t>
  </si>
  <si>
    <t>6 month  cahnge</t>
  </si>
  <si>
    <t>12 month change</t>
  </si>
  <si>
    <t>Price / 52weeek high</t>
  </si>
  <si>
    <t>5 year high</t>
  </si>
  <si>
    <t>TIOS-FDS</t>
  </si>
  <si>
    <t>Iron Ore</t>
  </si>
  <si>
    <t>COPP-FDS</t>
  </si>
  <si>
    <t>Copper</t>
  </si>
  <si>
    <t>BRENT-FDS</t>
  </si>
  <si>
    <t>W-FDS</t>
  </si>
  <si>
    <t>Wheat</t>
  </si>
  <si>
    <t>CPALM-FDS</t>
  </si>
  <si>
    <t>Palm Oil</t>
  </si>
  <si>
    <t>PLATI-FDS</t>
  </si>
  <si>
    <t>Platinum</t>
  </si>
  <si>
    <t>NI-FDS</t>
  </si>
  <si>
    <t>Nickel</t>
  </si>
  <si>
    <t>PASP-FDS</t>
  </si>
  <si>
    <t>Palaadium</t>
  </si>
  <si>
    <t>japan</t>
  </si>
  <si>
    <t>30da MA index</t>
  </si>
  <si>
    <t>Index Level</t>
  </si>
  <si>
    <t xml:space="preserve">200D MA index </t>
  </si>
  <si>
    <t>ETF Ticker</t>
  </si>
  <si>
    <t>COUNTRY CODE</t>
  </si>
  <si>
    <t>STD_DEV</t>
  </si>
  <si>
    <t>Annualized Volatility</t>
  </si>
  <si>
    <t>60D MA index</t>
  </si>
  <si>
    <t>FC0000GR</t>
  </si>
  <si>
    <t>FC0000NZ</t>
  </si>
  <si>
    <t>FC0000AU</t>
  </si>
  <si>
    <t>FC0000CA</t>
  </si>
  <si>
    <t>FC0000JP</t>
  </si>
  <si>
    <t>FC0000CH</t>
  </si>
  <si>
    <t>FC0000GB</t>
  </si>
  <si>
    <t>FC0000US</t>
  </si>
  <si>
    <t>Mcap of Underlying</t>
  </si>
  <si>
    <t>No  comp. with upward revisions (1 month)</t>
  </si>
  <si>
    <t>Market_Cap Percentile</t>
  </si>
  <si>
    <t>EWD</t>
  </si>
  <si>
    <t>EWQ</t>
  </si>
  <si>
    <t>EWI</t>
  </si>
  <si>
    <t>EWN</t>
  </si>
  <si>
    <t>CC_IT</t>
  </si>
  <si>
    <t>CC_FR</t>
  </si>
  <si>
    <t>CC_NL</t>
  </si>
  <si>
    <t>GLD</t>
  </si>
  <si>
    <t>UUP</t>
  </si>
  <si>
    <t>DBA</t>
  </si>
  <si>
    <t>TLT</t>
  </si>
  <si>
    <t>Upgrades 1 month</t>
  </si>
  <si>
    <t>Downgrades 1 month</t>
  </si>
  <si>
    <t>FXI</t>
  </si>
  <si>
    <t>Clsoeness to 52 week</t>
  </si>
  <si>
    <t>1 month</t>
  </si>
  <si>
    <t>Closeness to 52 week</t>
  </si>
  <si>
    <t>rank</t>
  </si>
  <si>
    <t>USO</t>
  </si>
  <si>
    <t xml:space="preserve"> Score</t>
  </si>
  <si>
    <t>Sum</t>
  </si>
  <si>
    <t>EMXC</t>
  </si>
  <si>
    <t>Top Down</t>
  </si>
  <si>
    <t xml:space="preserve">Above 30 D </t>
  </si>
  <si>
    <t>Above 200D</t>
  </si>
  <si>
    <t>Above 30D</t>
  </si>
  <si>
    <t>Above 60 D</t>
  </si>
  <si>
    <t>12 month rank</t>
  </si>
  <si>
    <t>Price / 5year high</t>
  </si>
  <si>
    <t>Gold</t>
  </si>
  <si>
    <t>30D MA</t>
  </si>
  <si>
    <t>60 D AM</t>
  </si>
  <si>
    <t>RTY</t>
  </si>
  <si>
    <t>IWM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</si>
  <si>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</si>
  <si>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</si>
  <si>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</si>
  <si>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</si>
  <si>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</si>
  <si>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</si>
  <si>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</si>
  <si>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</si>
  <si>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India</t>
  </si>
  <si>
    <t>FCF</t>
  </si>
  <si>
    <t>Growth in E</t>
  </si>
  <si>
    <t xml:space="preserve"> Long term Retyrn</t>
  </si>
  <si>
    <t>rates</t>
  </si>
  <si>
    <t>Above rates</t>
  </si>
  <si>
    <t>COUNTRY NAME</t>
  </si>
  <si>
    <t>Country</t>
  </si>
  <si>
    <t>PE trailing</t>
  </si>
  <si>
    <t>PE forward</t>
  </si>
  <si>
    <t>DY</t>
  </si>
  <si>
    <t>FCF yield</t>
  </si>
  <si>
    <t>EV/EBITDA</t>
  </si>
  <si>
    <t>EV/ EBIT</t>
  </si>
  <si>
    <t>ROE</t>
  </si>
  <si>
    <t>CURRENT RATES</t>
  </si>
  <si>
    <t>INFLATION RATES</t>
  </si>
  <si>
    <t>GDP AVG 5 &amp; 10 YR CAGR</t>
  </si>
  <si>
    <t>DY - Current Rates</t>
  </si>
  <si>
    <t>FCF - Current Rates</t>
  </si>
  <si>
    <t>ROE - Current Rates</t>
  </si>
  <si>
    <t>ROE- Inflation Rates</t>
  </si>
  <si>
    <t>DY - Current Rate Percentile</t>
  </si>
  <si>
    <t>FCF - Current Rate Percentile</t>
  </si>
  <si>
    <t>ROE - Current Rate  Percentile</t>
  </si>
  <si>
    <t>PE trailing Percentile</t>
  </si>
  <si>
    <t>PE forward Percentile</t>
  </si>
  <si>
    <t>ROE - Inflation Rate Percentile</t>
  </si>
  <si>
    <t>GDP Percentile</t>
  </si>
  <si>
    <t>Overall Value Score</t>
  </si>
  <si>
    <t>Value Percentile</t>
  </si>
  <si>
    <t>Other data</t>
  </si>
  <si>
    <t>CC_EUZ</t>
  </si>
  <si>
    <t>Europe ETF</t>
  </si>
  <si>
    <t>EM ETF</t>
  </si>
  <si>
    <t>CODE</t>
  </si>
  <si>
    <t>INFLATION RATE</t>
  </si>
  <si>
    <t xml:space="preserve">VWO </t>
  </si>
  <si>
    <t>EY</t>
  </si>
  <si>
    <t xml:space="preserve">Current </t>
  </si>
  <si>
    <t xml:space="preserve">History </t>
  </si>
  <si>
    <t>E To FCF Rough</t>
  </si>
  <si>
    <t>Relative ranking</t>
  </si>
  <si>
    <t>Table 1 : Equity relative to othr Assset Classes</t>
  </si>
  <si>
    <t>Table 3 : Equity Ranking :  Momnetum+ Breadth+ Upgrades</t>
  </si>
  <si>
    <t xml:space="preserve">Table 2 : Relative ranking </t>
  </si>
  <si>
    <t>Table 4 : Equity ETF - MA Signals</t>
  </si>
  <si>
    <t>Table 5 : Equity ETF - Upgrades</t>
  </si>
  <si>
    <t>Table 6 : Long Term forecasts ( above local rates )</t>
  </si>
  <si>
    <t>Nsadq</t>
  </si>
  <si>
    <t>CNYA</t>
  </si>
  <si>
    <t>CC_CN</t>
  </si>
  <si>
    <t>iShares MSCI China A ETF</t>
  </si>
  <si>
    <t>ECH</t>
  </si>
  <si>
    <t>CC_CL</t>
  </si>
  <si>
    <t>iShares MSCI Chile ETF</t>
  </si>
  <si>
    <t>Chile</t>
  </si>
  <si>
    <t>EIDO</t>
  </si>
  <si>
    <t>CC_ID</t>
  </si>
  <si>
    <t>iShares MSCI Indonesia ETF</t>
  </si>
  <si>
    <t>Indonesia</t>
  </si>
  <si>
    <t>EPHE</t>
  </si>
  <si>
    <t>CC_PH</t>
  </si>
  <si>
    <t>iShares MSCI Philippines ETF</t>
  </si>
  <si>
    <t>Philippines</t>
  </si>
  <si>
    <t>EPOL</t>
  </si>
  <si>
    <t>CC_PL</t>
  </si>
  <si>
    <t>iShares MSCI Poland ETF</t>
  </si>
  <si>
    <t>Poland</t>
  </si>
  <si>
    <t>EPU</t>
  </si>
  <si>
    <t>CC_PE</t>
  </si>
  <si>
    <t>iShares MSCI Peru ETF</t>
  </si>
  <si>
    <t>Peru</t>
  </si>
  <si>
    <t>EWM</t>
  </si>
  <si>
    <t>CC_MY</t>
  </si>
  <si>
    <t>iShares MSCI Malaysia ETF</t>
  </si>
  <si>
    <t>Malaysia</t>
  </si>
  <si>
    <t>EWT</t>
  </si>
  <si>
    <t>CC_TW</t>
  </si>
  <si>
    <t>iShares MSCI Taiwan ETF</t>
  </si>
  <si>
    <t>Taiwan</t>
  </si>
  <si>
    <t>EWW</t>
  </si>
  <si>
    <t>CC_MX</t>
  </si>
  <si>
    <t>iShares MSCI Mexico ETF</t>
  </si>
  <si>
    <t>Mexico</t>
  </si>
  <si>
    <t>EWY</t>
  </si>
  <si>
    <t>CC_KR</t>
  </si>
  <si>
    <t>iShares MSCI South Korea ETF</t>
  </si>
  <si>
    <t>Korea, Rep.</t>
  </si>
  <si>
    <t>EWZ</t>
  </si>
  <si>
    <t>CC_BR</t>
  </si>
  <si>
    <t>iShares MSCI Brazil ETF</t>
  </si>
  <si>
    <t>Brazil</t>
  </si>
  <si>
    <t>EZA</t>
  </si>
  <si>
    <t>CC_ZA</t>
  </si>
  <si>
    <t>iShares MSCI South Africa ETF</t>
  </si>
  <si>
    <t>South Africa</t>
  </si>
  <si>
    <t>GREK</t>
  </si>
  <si>
    <t>CC_GR</t>
  </si>
  <si>
    <t>Global X MSCI Greece ETF</t>
  </si>
  <si>
    <t>Greece</t>
  </si>
  <si>
    <t>CC_IN</t>
  </si>
  <si>
    <t>iShares Trust - iShares MSCI India ETF</t>
  </si>
  <si>
    <t>MCHI</t>
  </si>
  <si>
    <t>iShares MSCI China ETF</t>
  </si>
  <si>
    <t>CC_QA</t>
  </si>
  <si>
    <t>iShares MSCI Qatar ETF</t>
  </si>
  <si>
    <t>QAT</t>
  </si>
  <si>
    <t>Qatar</t>
  </si>
  <si>
    <t>SET-BKK</t>
  </si>
  <si>
    <t>CC_TH</t>
  </si>
  <si>
    <t>Thailand SET Index</t>
  </si>
  <si>
    <t>Thailand</t>
  </si>
  <si>
    <t>TUR</t>
  </si>
  <si>
    <t>CC_TR</t>
  </si>
  <si>
    <t>iShares MSCI Turkey ETF</t>
  </si>
  <si>
    <t>Turkey</t>
  </si>
  <si>
    <t>UAE</t>
  </si>
  <si>
    <t>CC_AE</t>
  </si>
  <si>
    <t>iShares MSCI UAE ETF</t>
  </si>
  <si>
    <t>United Arab Emirates</t>
  </si>
  <si>
    <t>VNM</t>
  </si>
  <si>
    <t>CC_VN</t>
  </si>
  <si>
    <t>VanEck Vietnam ETF</t>
  </si>
  <si>
    <t>Vietnam</t>
  </si>
  <si>
    <t>KSA</t>
  </si>
  <si>
    <t>CC_SA</t>
  </si>
  <si>
    <t xml:space="preserve">Saudi Arabia </t>
  </si>
  <si>
    <t>Saudi Arabia</t>
  </si>
  <si>
    <t>Min</t>
  </si>
  <si>
    <t>Current</t>
  </si>
  <si>
    <t>Country Code</t>
  </si>
  <si>
    <t>10Y Treasury</t>
  </si>
  <si>
    <t>Yield Name</t>
  </si>
  <si>
    <t>Current Long termRates</t>
  </si>
  <si>
    <t>1 month change</t>
  </si>
  <si>
    <t>3 month change</t>
  </si>
  <si>
    <t>In rate Dffe</t>
  </si>
  <si>
    <t>Policy rates</t>
  </si>
  <si>
    <t>Cb action</t>
  </si>
  <si>
    <t>3 month change%</t>
  </si>
  <si>
    <t>6 month change</t>
  </si>
  <si>
    <t>LIQUIDITY_SCORE</t>
  </si>
  <si>
    <t>CN</t>
  </si>
  <si>
    <t>TRYCN10Y-FDS</t>
  </si>
  <si>
    <t>CL</t>
  </si>
  <si>
    <t>TIPSCL10Y-FDS</t>
  </si>
  <si>
    <t>ID</t>
  </si>
  <si>
    <t>TRYID10Y-FDS</t>
  </si>
  <si>
    <t>PH</t>
  </si>
  <si>
    <t>TRYPH10Y-FDS</t>
  </si>
  <si>
    <t>PL</t>
  </si>
  <si>
    <t>TRYPL10Y-FDS</t>
  </si>
  <si>
    <t>PE</t>
  </si>
  <si>
    <t>TRYPE10Y-FDS</t>
  </si>
  <si>
    <t>MY</t>
  </si>
  <si>
    <t>TRYMY10Y-FDS</t>
  </si>
  <si>
    <t>TW</t>
  </si>
  <si>
    <t>TRYTW10Y-FDS</t>
  </si>
  <si>
    <t>MX</t>
  </si>
  <si>
    <t>TRYMX10Y-FDS</t>
  </si>
  <si>
    <t>KR</t>
  </si>
  <si>
    <t>TRYKR10Y-FDS</t>
  </si>
  <si>
    <t>BR</t>
  </si>
  <si>
    <t>TRYBR10Y-FDS</t>
  </si>
  <si>
    <t>ZA</t>
  </si>
  <si>
    <t>TRYZA10Y-FDS</t>
  </si>
  <si>
    <t>GR</t>
  </si>
  <si>
    <t>TRYGR10Y-FDS</t>
  </si>
  <si>
    <t>IN</t>
  </si>
  <si>
    <t>TRYIN10Y-FDS</t>
  </si>
  <si>
    <t>QA</t>
  </si>
  <si>
    <t>TRYQA10Y-FDS</t>
  </si>
  <si>
    <t>TH</t>
  </si>
  <si>
    <t>TRYTH10Y-FDS</t>
  </si>
  <si>
    <t>TR</t>
  </si>
  <si>
    <t>TRYTR7Y-FDS</t>
  </si>
  <si>
    <t>AE</t>
  </si>
  <si>
    <t>TRYAE10Y-FDS</t>
  </si>
  <si>
    <t>VN</t>
  </si>
  <si>
    <t>TRYVN10Y-FDS</t>
  </si>
  <si>
    <t>SA</t>
  </si>
  <si>
    <t>TRYSA10Y-FDS</t>
  </si>
  <si>
    <t>TRYUS10Y-FDS</t>
  </si>
  <si>
    <t>REFCNRMB-FDS</t>
  </si>
  <si>
    <t>REFCLMPR-FDS</t>
  </si>
  <si>
    <t>REFIDRREPO-FDS</t>
  </si>
  <si>
    <t>REFPHRREPO-FDS</t>
  </si>
  <si>
    <t>REFPL7D-FDS</t>
  </si>
  <si>
    <t>REFPEMPR-FDS</t>
  </si>
  <si>
    <t>REFMYON-FDS</t>
  </si>
  <si>
    <t>REFTWDISC-FDS</t>
  </si>
  <si>
    <t>REFMXTON-FDS</t>
  </si>
  <si>
    <t>REFKRBASE-FDS</t>
  </si>
  <si>
    <t>REFBRSELIC-FDS</t>
  </si>
  <si>
    <t>REFZAREPO-FDS</t>
  </si>
  <si>
    <t>REFEUREFI-FDS</t>
  </si>
  <si>
    <t>REFINREPO-FDS</t>
  </si>
  <si>
    <t>REFQALEND-FDS</t>
  </si>
  <si>
    <t>REFTHREPO-FDS</t>
  </si>
  <si>
    <t>REFTR1WREPO-FDS</t>
  </si>
  <si>
    <t>REFAEREPO-FDS</t>
  </si>
  <si>
    <t>REFVNDISC-FDS</t>
  </si>
  <si>
    <t>REFSAREPO-FDS</t>
  </si>
  <si>
    <t>Back to Index</t>
  </si>
  <si>
    <t>Compound Annual Growth Rates Over 3, 5, 10 year periods  - By Region</t>
  </si>
  <si>
    <r>
      <t xml:space="preserve">Data in GDP PPP Constant price terms, modified by updated Base Years and Informal Economy data. </t>
    </r>
    <r>
      <rPr>
        <b/>
        <u/>
        <sz val="11"/>
        <color indexed="30"/>
        <rFont val="Calibri"/>
        <family val="2"/>
      </rPr>
      <t>Read more</t>
    </r>
  </si>
  <si>
    <t>Compound Annual Growth Rate</t>
  </si>
  <si>
    <t>Year on Year Growth Rate</t>
  </si>
  <si>
    <t>Region</t>
  </si>
  <si>
    <t>CAGR 3 Year %</t>
  </si>
  <si>
    <t>CAGR 5 Year %</t>
  </si>
  <si>
    <t>CAGR 10 Year %</t>
  </si>
  <si>
    <t>Forcecasts</t>
  </si>
  <si>
    <t>DQR PPP Grade</t>
  </si>
  <si>
    <t>DQR PPP Index</t>
  </si>
  <si>
    <t>DQR PPP Global Rank</t>
  </si>
  <si>
    <t>DQR PPP Regional Rank</t>
  </si>
  <si>
    <t>AVG 5 &amp; 10 YR CAGR</t>
  </si>
  <si>
    <t>CAGR RANK</t>
  </si>
  <si>
    <t>Asia-Pacific</t>
  </si>
  <si>
    <t>Afghanistan</t>
  </si>
  <si>
    <t>E</t>
  </si>
  <si>
    <t>Albania</t>
  </si>
  <si>
    <t>C</t>
  </si>
  <si>
    <t>Africa</t>
  </si>
  <si>
    <t>Algeria</t>
  </si>
  <si>
    <t>B</t>
  </si>
  <si>
    <t>Angola</t>
  </si>
  <si>
    <t>Americas</t>
  </si>
  <si>
    <t>Argentina</t>
  </si>
  <si>
    <t>D</t>
  </si>
  <si>
    <t>Armenia</t>
  </si>
  <si>
    <t>A</t>
  </si>
  <si>
    <t>Austria</t>
  </si>
  <si>
    <t>Azerbaijan</t>
  </si>
  <si>
    <t>Bahamas, The</t>
  </si>
  <si>
    <t>Middle East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</si>
  <si>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</si>
  <si>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</si>
  <si>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</si>
  <si>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</si>
  <si>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</si>
  <si>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</si>
  <si>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</si>
  <si>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</si>
  <si>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</si>
  <si>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</si>
  <si>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</si>
  <si>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</si>
  <si>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</si>
  <si>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</si>
  <si>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</si>
  <si>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</si>
  <si>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</si>
  <si>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</si>
  <si>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Colombia</t>
  </si>
  <si>
    <t>Comoros</t>
  </si>
  <si>
    <t>Congo, Dem. Rep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</si>
  <si>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</si>
  <si>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</si>
  <si>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</si>
  <si>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</si>
  <si>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</si>
  <si>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</si>
  <si>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</si>
  <si>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</si>
  <si>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</si>
  <si>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</si>
  <si>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</si>
  <si>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</si>
  <si>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</si>
  <si>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</si>
  <si>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</si>
  <si>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Gabon</t>
  </si>
  <si>
    <t>Gambia</t>
  </si>
  <si>
    <t>Georgia</t>
  </si>
  <si>
    <t>Ghana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</si>
  <si>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</si>
  <si>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</si>
  <si>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</si>
  <si>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</si>
  <si>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</si>
  <si>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</si>
  <si>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</si>
  <si>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</si>
  <si>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</si>
  <si>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Ireland</t>
  </si>
  <si>
    <t>Israel</t>
  </si>
  <si>
    <t>Jamaica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</si>
  <si>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</si>
  <si>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</si>
  <si>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</si>
  <si>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</si>
  <si>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</si>
  <si>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</si>
  <si>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</si>
  <si>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</si>
  <si>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</si>
  <si>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</si>
  <si>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</si>
  <si>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</si>
  <si>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</si>
  <si>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</si>
  <si>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</si>
  <si>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Mali</t>
  </si>
  <si>
    <t>Malta</t>
  </si>
  <si>
    <t>Mauritania</t>
  </si>
  <si>
    <t>Mauritius</t>
  </si>
  <si>
    <t>Moldova</t>
  </si>
  <si>
    <t>Mongolia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</si>
  <si>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</si>
  <si>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</si>
  <si>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</si>
  <si>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</si>
  <si>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</si>
  <si>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</si>
  <si>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</si>
  <si>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</si>
  <si>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</si>
  <si>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</si>
  <si>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</si>
  <si>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</si>
  <si>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</si>
  <si>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</si>
  <si>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</si>
  <si>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Portugal</t>
  </si>
  <si>
    <t>Romania</t>
  </si>
  <si>
    <t>Russia</t>
  </si>
  <si>
    <t>Rwanda</t>
  </si>
  <si>
    <t>Senegal</t>
  </si>
  <si>
    <t>Serbia</t>
  </si>
  <si>
    <t>Sierra Leone</t>
  </si>
  <si>
    <t>Singapore</t>
  </si>
  <si>
    <t>Slovak Republic</t>
  </si>
  <si>
    <t>Slovenia</t>
  </si>
  <si>
    <t>Spain</t>
  </si>
  <si>
    <t>Sri Lanka</t>
  </si>
  <si>
    <t>Sudan</t>
  </si>
  <si>
    <t>Suriname</t>
  </si>
  <si>
    <t>Tajikistan</t>
  </si>
  <si>
    <t>Tanzania</t>
  </si>
  <si>
    <t>Togo</t>
  </si>
  <si>
    <t>Trinidad and Tobago</t>
  </si>
  <si>
    <t>Tunisia</t>
  </si>
  <si>
    <t>Turkmenistan</t>
  </si>
  <si>
    <t>Uganda</t>
  </si>
  <si>
    <t>Ukraine</t>
  </si>
  <si>
    <t>Uruguay</t>
  </si>
  <si>
    <t>Uzbekistan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</si>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</sst>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0.000"/>
    <numFmt numFmtId="170" formatCode="_(&quot;$&quot;* #,##0.00_);_(&quot;$&quot;* \(#,##0.00\);_(&quot;$&quot;* &quot;-&quot;??_);_(@_)"/>
    <numFmt numFmtId="171" formatCode="0.000000"/>
  </numFmts>
  <fonts count="3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1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sz val="14"/>
      <color rgb="FF006100"/>
      <name val="Calibri"/>
      <family val="2"/>
      <scheme val="minor"/>
    </font>
    <font>
      <b/>
      <sz val="14"/>
      <color indexed="12"/>
      <name val="Calibri"/>
      <family val="2"/>
    </font>
    <font>
      <b/>
      <sz val="16"/>
      <color indexed="8"/>
      <name val="Calibri"/>
      <family val="2"/>
    </font>
    <font>
      <b/>
      <u/>
      <sz val="11"/>
      <color indexed="30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52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8" fillId="0" borderId="0"/>
    <xf numFmtId="0" fontId="12" fillId="0" borderId="0"/>
    <xf numFmtId="0" fontId="13" fillId="0" borderId="13"/>
    <xf numFmtId="0" fontId="14" fillId="0" borderId="13"/>
    <xf numFmtId="0" fontId="15" fillId="0" borderId="6"/>
    <xf numFmtId="0" fontId="15" fillId="0" borderId="0"/>
    <xf numFmtId="0" fontId="16" fillId="11" borderId="0"/>
    <xf numFmtId="0" fontId="17" fillId="12" borderId="0"/>
    <xf numFmtId="0" fontId="18" fillId="13" borderId="0"/>
    <xf numFmtId="0" fontId="19" fillId="9" borderId="12"/>
    <xf numFmtId="0" fontId="20" fillId="14" borderId="12"/>
    <xf numFmtId="0" fontId="21" fillId="14" borderId="12"/>
    <xf numFmtId="0" fontId="22" fillId="0" borderId="14"/>
    <xf numFmtId="0" fontId="9" fillId="15" borderId="15"/>
    <xf numFmtId="0" fontId="10" fillId="0" borderId="0"/>
    <xf numFmtId="0" fontId="7" fillId="10" borderId="12"/>
    <xf numFmtId="0" fontId="23" fillId="0" borderId="0"/>
    <xf numFmtId="0" fontId="6" fillId="0" borderId="16"/>
    <xf numFmtId="0" fontId="11" fillId="16" borderId="0"/>
    <xf numFmtId="0" fontId="7" fillId="17" borderId="0"/>
    <xf numFmtId="0" fontId="7" fillId="18" borderId="0"/>
    <xf numFmtId="0" fontId="11" fillId="19" borderId="0"/>
    <xf numFmtId="0" fontId="11" fillId="20" borderId="0"/>
    <xf numFmtId="0" fontId="7" fillId="6" borderId="0"/>
    <xf numFmtId="0" fontId="7" fillId="4" borderId="0"/>
    <xf numFmtId="0" fontId="11" fillId="21" borderId="0"/>
    <xf numFmtId="0" fontId="11" fillId="22" borderId="0"/>
    <xf numFmtId="0" fontId="7" fillId="23" borderId="0"/>
    <xf numFmtId="0" fontId="7" fillId="3" borderId="0"/>
    <xf numFmtId="0" fontId="11" fillId="24" borderId="0"/>
    <xf numFmtId="0" fontId="11" fillId="25" borderId="0"/>
    <xf numFmtId="0" fontId="7" fillId="26" borderId="0"/>
    <xf numFmtId="0" fontId="7" fillId="5" borderId="0"/>
    <xf numFmtId="0" fontId="11" fillId="27" borderId="0"/>
    <xf numFmtId="0" fontId="11" fillId="28" borderId="0"/>
    <xf numFmtId="0" fontId="7" fillId="7" borderId="0"/>
    <xf numFmtId="0" fontId="7" fillId="29" borderId="0"/>
    <xf numFmtId="0" fontId="11" fillId="30" borderId="0"/>
    <xf numFmtId="0" fontId="11" fillId="31" borderId="0"/>
    <xf numFmtId="0" fontId="7" fillId="32" borderId="0"/>
    <xf numFmtId="0" fontId="7" fillId="33" borderId="0"/>
    <xf numFmtId="0" fontId="11" fillId="8" borderId="0"/>
    <xf numFmtId="0" fontId="8" fillId="0" borderId="0"/>
    <xf numFmtId="0" fontId="8" fillId="0" borderId="0"/>
    <xf numFmtId="0" fontId="7" fillId="0" borderId="0"/>
    <xf numFmtId="0" fontId="5" fillId="0" borderId="0"/>
    <xf numFmtId="0" fontId="7" fillId="0" borderId="0" applyFill="0" applyProtection="0"/>
    <xf numFmtId="0" fontId="29" fillId="34" borderId="0" applyNumberFormat="0" applyBorder="0" applyAlignment="0" applyProtection="0"/>
  </cellStyleXfs>
  <cellXfs count="122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9" fontId="1" fillId="0" borderId="0" xfId="0" applyNumberFormat="1" applyFont="1"/>
    <xf numFmtId="164" fontId="0" fillId="0" borderId="0" xfId="1" applyFont="1" applyFill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9" fontId="0" fillId="0" borderId="6" xfId="0" applyNumberFormat="1" applyBorder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168" fontId="0" fillId="0" borderId="0" xfId="0" applyNumberFormat="1"/>
    <xf numFmtId="164" fontId="0" fillId="0" borderId="0" xfId="1" applyFont="1"/>
    <xf numFmtId="2" fontId="0" fillId="2" borderId="0" xfId="0" applyNumberFormat="1" applyFill="1"/>
    <xf numFmtId="169" fontId="3" fillId="0" borderId="0" xfId="0" applyNumberFormat="1" applyFont="1"/>
    <xf numFmtId="165" fontId="3" fillId="0" borderId="0" xfId="0" applyNumberFormat="1" applyFont="1"/>
    <xf numFmtId="165" fontId="4" fillId="0" borderId="0" xfId="0" applyNumberFormat="1" applyFont="1"/>
    <xf numFmtId="167" fontId="0" fillId="0" borderId="0" xfId="1" applyNumberFormat="1" applyFont="1"/>
    <xf numFmtId="0" fontId="0" fillId="2" borderId="0" xfId="0" applyFill="1"/>
    <xf numFmtId="2" fontId="0" fillId="0" borderId="0" xfId="0" applyNumberFormat="1"/>
    <xf numFmtId="0" fontId="1" fillId="0" borderId="0" xfId="0" applyFont="1" applyAlignment="1">
      <alignment wrapText="1"/>
    </xf>
    <xf numFmtId="10" fontId="0" fillId="0" borderId="0" xfId="0" applyNumberFormat="1"/>
    <xf numFmtId="166" fontId="0" fillId="0" borderId="0" xfId="0" applyNumberFormat="1"/>
    <xf numFmtId="0" fontId="0" fillId="0" borderId="10" xfId="0" applyBorder="1"/>
    <xf numFmtId="167" fontId="0" fillId="0" borderId="11" xfId="0" applyNumberFormat="1" applyBorder="1"/>
    <xf numFmtId="167" fontId="0" fillId="0" borderId="7" xfId="0" applyNumberFormat="1" applyBorder="1"/>
    <xf numFmtId="0" fontId="0" fillId="0" borderId="2" xfId="0" applyBorder="1"/>
    <xf numFmtId="0" fontId="0" fillId="0" borderId="0" xfId="0" applyAlignment="1">
      <alignment wrapText="1"/>
    </xf>
    <xf numFmtId="10" fontId="0" fillId="0" borderId="0" xfId="2" applyNumberFormat="1" applyFont="1"/>
    <xf numFmtId="0" fontId="7" fillId="10" borderId="12" xfId="19"/>
    <xf numFmtId="164" fontId="3" fillId="0" borderId="0" xfId="1" applyFont="1" applyFill="1" applyBorder="1" applyAlignment="1"/>
    <xf numFmtId="170" fontId="0" fillId="0" borderId="0" xfId="0" applyNumberFormat="1"/>
    <xf numFmtId="2" fontId="0" fillId="0" borderId="0" xfId="1" applyNumberFormat="1" applyFont="1" applyFill="1"/>
    <xf numFmtId="167" fontId="0" fillId="0" borderId="6" xfId="0" applyNumberFormat="1" applyBorder="1"/>
    <xf numFmtId="0" fontId="24" fillId="0" borderId="2" xfId="0" applyFont="1" applyBorder="1"/>
    <xf numFmtId="9" fontId="1" fillId="3" borderId="9" xfId="0" applyNumberFormat="1" applyFont="1" applyFill="1" applyBorder="1"/>
    <xf numFmtId="0" fontId="0" fillId="0" borderId="1" xfId="0" applyBorder="1"/>
    <xf numFmtId="167" fontId="1" fillId="0" borderId="0" xfId="0" applyNumberFormat="1" applyFont="1"/>
    <xf numFmtId="0" fontId="0" fillId="0" borderId="12" xfId="0" applyBorder="1"/>
    <xf numFmtId="0" fontId="0" fillId="27" borderId="0" xfId="0" applyFill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0" borderId="8" xfId="0" applyFont="1" applyBorder="1"/>
    <xf numFmtId="0" fontId="1" fillId="0" borderId="9" xfId="0" applyFont="1" applyBorder="1"/>
    <xf numFmtId="0" fontId="1" fillId="0" borderId="20" xfId="0" applyFont="1" applyBorder="1"/>
    <xf numFmtId="0" fontId="24" fillId="0" borderId="0" xfId="0" applyFont="1"/>
    <xf numFmtId="0" fontId="0" fillId="0" borderId="8" xfId="0" applyBorder="1"/>
    <xf numFmtId="0" fontId="0" fillId="0" borderId="11" xfId="0" applyBorder="1"/>
    <xf numFmtId="0" fontId="0" fillId="0" borderId="7" xfId="0" applyBorder="1"/>
    <xf numFmtId="0" fontId="1" fillId="0" borderId="6" xfId="0" applyFont="1" applyBorder="1"/>
    <xf numFmtId="0" fontId="0" fillId="0" borderId="9" xfId="0" applyBorder="1"/>
    <xf numFmtId="171" fontId="0" fillId="0" borderId="0" xfId="0" applyNumberFormat="1"/>
    <xf numFmtId="0" fontId="25" fillId="0" borderId="0" xfId="0" applyFont="1" applyAlignment="1">
      <alignment wrapText="1"/>
    </xf>
    <xf numFmtId="167" fontId="0" fillId="0" borderId="4" xfId="0" applyNumberFormat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168" fontId="0" fillId="0" borderId="0" xfId="2" applyNumberFormat="1" applyFont="1" applyBorder="1"/>
    <xf numFmtId="171" fontId="0" fillId="0" borderId="6" xfId="0" applyNumberFormat="1" applyBorder="1"/>
    <xf numFmtId="0" fontId="26" fillId="2" borderId="2" xfId="0" applyFont="1" applyFill="1" applyBorder="1"/>
    <xf numFmtId="0" fontId="26" fillId="2" borderId="3" xfId="0" applyFont="1" applyFill="1" applyBorder="1"/>
    <xf numFmtId="0" fontId="26" fillId="2" borderId="3" xfId="0" applyFont="1" applyFill="1" applyBorder="1" applyAlignment="1">
      <alignment wrapText="1"/>
    </xf>
    <xf numFmtId="0" fontId="26" fillId="2" borderId="21" xfId="0" applyFont="1" applyFill="1" applyBorder="1"/>
    <xf numFmtId="0" fontId="27" fillId="2" borderId="21" xfId="0" applyFont="1" applyFill="1" applyBorder="1"/>
    <xf numFmtId="0" fontId="0" fillId="2" borderId="12" xfId="0" applyFill="1" applyBorder="1"/>
    <xf numFmtId="167" fontId="0" fillId="0" borderId="12" xfId="0" applyNumberFormat="1" applyBorder="1"/>
    <xf numFmtId="9" fontId="0" fillId="0" borderId="12" xfId="0" applyNumberFormat="1" applyBorder="1"/>
    <xf numFmtId="165" fontId="0" fillId="0" borderId="12" xfId="0" applyNumberFormat="1" applyBorder="1"/>
    <xf numFmtId="0" fontId="0" fillId="0" borderId="12" xfId="0" applyBorder="1" applyAlignment="1">
      <alignment horizontal="center"/>
    </xf>
    <xf numFmtId="171" fontId="1" fillId="0" borderId="0" xfId="0" applyNumberFormat="1" applyFont="1"/>
    <xf numFmtId="0" fontId="3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0" fontId="0" fillId="4" borderId="0" xfId="0" applyFill="1"/>
    <xf numFmtId="4" fontId="0" fillId="0" borderId="0" xfId="0" applyNumberForma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30" fillId="34" borderId="22" xfId="51" applyFont="1" applyBorder="1"/>
    <xf numFmtId="0" fontId="30" fillId="34" borderId="0" xfId="51" applyFont="1"/>
    <xf numFmtId="0" fontId="31" fillId="0" borderId="0" xfId="49" applyFont="1"/>
    <xf numFmtId="3" fontId="7" fillId="0" borderId="0" xfId="3" applyNumberFormat="1"/>
    <xf numFmtId="0" fontId="7" fillId="0" borderId="0" xfId="3"/>
    <xf numFmtId="0" fontId="32" fillId="0" borderId="0" xfId="3" applyFont="1"/>
    <xf numFmtId="1" fontId="7" fillId="0" borderId="0" xfId="3" applyNumberFormat="1" applyAlignment="1">
      <alignment horizontal="right"/>
    </xf>
    <xf numFmtId="0" fontId="7" fillId="35" borderId="0" xfId="49" applyFont="1" applyFill="1" applyAlignment="1">
      <alignment vertical="center"/>
    </xf>
    <xf numFmtId="0" fontId="6" fillId="0" borderId="0" xfId="3" applyFont="1"/>
    <xf numFmtId="3" fontId="34" fillId="0" borderId="0" xfId="3" applyNumberFormat="1" applyFont="1"/>
    <xf numFmtId="3" fontId="35" fillId="0" borderId="0" xfId="3" applyNumberFormat="1" applyFont="1" applyAlignment="1">
      <alignment horizontal="center"/>
    </xf>
    <xf numFmtId="1" fontId="6" fillId="36" borderId="1" xfId="3" applyNumberFormat="1" applyFont="1" applyFill="1" applyBorder="1" applyAlignment="1">
      <alignment horizontal="left" vertical="center"/>
    </xf>
    <xf numFmtId="0" fontId="6" fillId="36" borderId="26" xfId="3" applyFont="1" applyFill="1" applyBorder="1" applyAlignment="1">
      <alignment horizontal="right" vertical="center"/>
    </xf>
    <xf numFmtId="0" fontId="6" fillId="36" borderId="1" xfId="3" applyFont="1" applyFill="1" applyBorder="1" applyAlignment="1">
      <alignment horizontal="right" vertical="center"/>
    </xf>
    <xf numFmtId="0" fontId="6" fillId="36" borderId="27" xfId="3" applyFont="1" applyFill="1" applyBorder="1" applyAlignment="1">
      <alignment horizontal="right" vertical="center"/>
    </xf>
    <xf numFmtId="0" fontId="6" fillId="36" borderId="28" xfId="3" applyFont="1" applyFill="1" applyBorder="1" applyAlignment="1">
      <alignment horizontal="center" vertical="center" wrapText="1"/>
    </xf>
    <xf numFmtId="0" fontId="6" fillId="36" borderId="29" xfId="3" applyFont="1" applyFill="1" applyBorder="1" applyAlignment="1">
      <alignment horizontal="center" vertical="center" wrapText="1"/>
    </xf>
    <xf numFmtId="0" fontId="6" fillId="36" borderId="30" xfId="3" applyFont="1" applyFill="1" applyBorder="1" applyAlignment="1">
      <alignment horizontal="center" vertical="center" wrapText="1"/>
    </xf>
    <xf numFmtId="0" fontId="6" fillId="0" borderId="0" xfId="3" applyFont="1" applyAlignment="1">
      <alignment horizontal="center" vertical="center" wrapText="1"/>
    </xf>
    <xf numFmtId="1" fontId="6" fillId="36" borderId="26" xfId="3" applyNumberFormat="1" applyFont="1" applyFill="1" applyBorder="1" applyAlignment="1">
      <alignment horizontal="right" vertical="center"/>
    </xf>
    <xf numFmtId="1" fontId="6" fillId="36" borderId="1" xfId="3" applyNumberFormat="1" applyFont="1" applyFill="1" applyBorder="1" applyAlignment="1">
      <alignment horizontal="right" vertical="center"/>
    </xf>
    <xf numFmtId="1" fontId="6" fillId="36" borderId="27" xfId="3" applyNumberFormat="1" applyFont="1" applyFill="1" applyBorder="1" applyAlignment="1">
      <alignment horizontal="right" vertical="center"/>
    </xf>
    <xf numFmtId="0" fontId="34" fillId="0" borderId="0" xfId="3" applyFont="1"/>
    <xf numFmtId="165" fontId="34" fillId="0" borderId="31" xfId="3" applyNumberFormat="1" applyFont="1" applyBorder="1"/>
    <xf numFmtId="165" fontId="34" fillId="0" borderId="0" xfId="3" applyNumberFormat="1" applyFont="1"/>
    <xf numFmtId="165" fontId="34" fillId="0" borderId="32" xfId="3" applyNumberFormat="1" applyFont="1" applyBorder="1"/>
    <xf numFmtId="0" fontId="6" fillId="0" borderId="31" xfId="3" applyFont="1" applyBorder="1" applyAlignment="1">
      <alignment horizontal="center"/>
    </xf>
    <xf numFmtId="165" fontId="34" fillId="0" borderId="0" xfId="3" applyNumberFormat="1" applyFont="1" applyAlignment="1">
      <alignment horizontal="center"/>
    </xf>
    <xf numFmtId="0" fontId="34" fillId="0" borderId="0" xfId="3" applyFont="1" applyAlignment="1">
      <alignment horizontal="center"/>
    </xf>
    <xf numFmtId="0" fontId="34" fillId="0" borderId="32" xfId="3" applyFont="1" applyBorder="1" applyAlignment="1">
      <alignment horizontal="center"/>
    </xf>
    <xf numFmtId="0" fontId="35" fillId="0" borderId="31" xfId="3" applyFont="1" applyBorder="1" applyAlignment="1">
      <alignment horizontal="center"/>
    </xf>
    <xf numFmtId="0" fontId="34" fillId="0" borderId="31" xfId="3" applyFont="1" applyBorder="1"/>
    <xf numFmtId="168" fontId="0" fillId="2" borderId="0" xfId="2" applyNumberFormat="1" applyFont="1" applyFill="1" applyBorder="1"/>
    <xf numFmtId="168" fontId="0" fillId="2" borderId="6" xfId="2" applyNumberFormat="1" applyFont="1" applyFill="1" applyBorder="1"/>
    <xf numFmtId="3" fontId="35" fillId="0" borderId="0" xfId="3" applyNumberFormat="1" applyFont="1" applyAlignment="1">
      <alignment horizontal="center"/>
    </xf>
    <xf numFmtId="0" fontId="6" fillId="0" borderId="23" xfId="3" applyFont="1" applyBorder="1" applyAlignment="1">
      <alignment horizontal="center" vertical="center"/>
    </xf>
    <xf numFmtId="0" fontId="6" fillId="0" borderId="24" xfId="3" applyFont="1" applyBorder="1" applyAlignment="1">
      <alignment horizontal="center" vertical="center"/>
    </xf>
    <xf numFmtId="0" fontId="6" fillId="0" borderId="25" xfId="3" applyFont="1" applyBorder="1" applyAlignment="1">
      <alignment horizontal="center" vertical="center"/>
    </xf>
  </cellXfs>
  <cellStyles count="52">
    <cellStyle name="20% - Accent1 2" xfId="23" xr:uid="{6BF567C9-3E19-4630-AF0A-0733C7BFCE04}"/>
    <cellStyle name="20% - Accent2 2" xfId="27" xr:uid="{5F0600A4-5BB4-497F-9807-6F9D2A2A3D3D}"/>
    <cellStyle name="20% - Accent3 2" xfId="31" xr:uid="{DBF42285-B623-4F8B-BA82-E5910643416B}"/>
    <cellStyle name="20% - Accent4 2" xfId="35" xr:uid="{4DCDC153-26D1-4002-8E2D-81916D625F7E}"/>
    <cellStyle name="20% - Accent5 2" xfId="39" xr:uid="{8DAB878B-1406-49CB-A825-4A720222E27A}"/>
    <cellStyle name="20% - Accent6 2" xfId="43" xr:uid="{D7129595-6E29-4C9E-8A40-CB20ED27F2A1}"/>
    <cellStyle name="40% - Accent1 2" xfId="24" xr:uid="{EE5EFDA3-DAFB-44BD-9F41-B55E770AE017}"/>
    <cellStyle name="40% - Accent2 2" xfId="28" xr:uid="{E60B08D7-FCFC-4B75-949E-53F991A87A95}"/>
    <cellStyle name="40% - Accent3 2" xfId="32" xr:uid="{B55CEAC8-3FFC-42A0-9906-73D0C544EB86}"/>
    <cellStyle name="40% - Accent4 2" xfId="36" xr:uid="{59C4DF45-BCD5-46B6-8F9E-6EDD2098F372}"/>
    <cellStyle name="40% - Accent5 2" xfId="40" xr:uid="{B4421AFC-A7D7-4211-8102-F52CAE046248}"/>
    <cellStyle name="40% - Accent6 2" xfId="44" xr:uid="{4375B196-4796-4AEE-B670-08CF84FDA4DE}"/>
    <cellStyle name="60% - Accent1 2" xfId="25" xr:uid="{5AA6FCB0-CD17-4C34-8429-EDB769B7872A}"/>
    <cellStyle name="60% - Accent2 2" xfId="29" xr:uid="{725B5829-70DC-47F8-94AF-24E67FFE08A6}"/>
    <cellStyle name="60% - Accent3 2" xfId="33" xr:uid="{78968431-9ED7-4764-B0A6-174D90961FDE}"/>
    <cellStyle name="60% - Accent4 2" xfId="37" xr:uid="{2CDE5411-0817-42C7-9BE8-A3F5850D4E7C}"/>
    <cellStyle name="60% - Accent5 2" xfId="41" xr:uid="{AA76549F-F357-40F6-A8A0-F4D9C90E33C5}"/>
    <cellStyle name="60% - Accent6 2" xfId="45" xr:uid="{B834F776-29E6-442B-B2A4-13E499B88243}"/>
    <cellStyle name="Accent1 2" xfId="22" xr:uid="{E31E200E-E4F1-40BC-A964-614943D67F5F}"/>
    <cellStyle name="Accent2 2" xfId="26" xr:uid="{14CB3ABC-1D87-42A7-8EC9-22951DAB35B7}"/>
    <cellStyle name="Accent3 2" xfId="30" xr:uid="{FC8DFCD8-A5C1-453C-A832-7C7EEC8D3A45}"/>
    <cellStyle name="Accent4 2" xfId="34" xr:uid="{C984AEFA-60ED-4827-A0A8-CF53BC33DB1C}"/>
    <cellStyle name="Accent5 2" xfId="38" xr:uid="{C4C081E2-30E4-4FE8-9241-47C9A7D4F425}"/>
    <cellStyle name="Accent6 2" xfId="42" xr:uid="{ACBE0022-0325-4427-B342-7D198FC24C57}"/>
    <cellStyle name="Bad 2" xfId="11" xr:uid="{34FA6DDA-7C4A-4AAF-B54F-AC61B9198874}"/>
    <cellStyle name="Calculation 2" xfId="15" xr:uid="{4C103943-B964-476F-8DED-2CBBE8FF5AB3}"/>
    <cellStyle name="Check Cell 2" xfId="17" xr:uid="{A5B4E367-727F-4FF5-97CD-0B2AC393E0AC}"/>
    <cellStyle name="Comma" xfId="1" builtinId="3"/>
    <cellStyle name="Explanatory Text 2" xfId="20" xr:uid="{CA4E047B-78A0-4149-B455-DA7DEC1140AC}"/>
    <cellStyle name="Good" xfId="51" builtinId="26"/>
    <cellStyle name="Good 2" xfId="10" xr:uid="{ACD8C754-FD4D-4B70-9E33-7A7C7FD8649E}"/>
    <cellStyle name="Heading 1 2" xfId="6" xr:uid="{173B1166-3921-420C-8765-28E946828845}"/>
    <cellStyle name="Heading 2 2" xfId="7" xr:uid="{E323F497-5728-45A9-A83B-E5FFBE5F3B8D}"/>
    <cellStyle name="Heading 3 2" xfId="8" xr:uid="{842A6238-2186-496C-BA5F-D924F4DD879D}"/>
    <cellStyle name="Heading 4 2" xfId="9" xr:uid="{0E8A40DF-39D7-4BCE-B781-19E0C27BDDB5}"/>
    <cellStyle name="Hyperlink 2" xfId="49" xr:uid="{585E602A-854D-40CA-B45C-D7EC796A3C12}"/>
    <cellStyle name="Input 2" xfId="13" xr:uid="{9FB5D653-92B2-447E-A9C5-44E81D71809B}"/>
    <cellStyle name="Linked Cell 2" xfId="16" xr:uid="{4DC9DA3A-47A9-4697-9B4B-E2759465A1FF}"/>
    <cellStyle name="Neutral 2" xfId="12" xr:uid="{86A8DAC4-4E23-4DC3-8FAD-3DAEBC1B653E}"/>
    <cellStyle name="Normal" xfId="0" builtinId="0"/>
    <cellStyle name="Normal 2" xfId="4" xr:uid="{1B6474D5-B1FB-4CF3-894C-9CA566BA18CC}"/>
    <cellStyle name="Normal 2 2" xfId="46" xr:uid="{2D7C4D45-C813-4CC8-9258-BED30AB3C215}"/>
    <cellStyle name="Normal 2 2 2" xfId="47" xr:uid="{2C1E2A28-1B42-41ED-B6CB-85F988B9763D}"/>
    <cellStyle name="Normal 3" xfId="48" xr:uid="{D60CEBFB-F3B0-497F-A27B-E0BA49DFEF7C}"/>
    <cellStyle name="Normal 4" xfId="3" xr:uid="{958436DA-23C3-4F88-95CD-360D4C51F944}"/>
    <cellStyle name="Normal 5" xfId="50" xr:uid="{7B936215-C9A4-44ED-9EFF-D9C25E5F21B0}"/>
    <cellStyle name="Note 2" xfId="19" xr:uid="{DA5BF5B2-5940-424E-85C9-00F9C2454F44}"/>
    <cellStyle name="Output 2" xfId="14" xr:uid="{482649A2-BB86-4C01-9ED9-51DFAD926240}"/>
    <cellStyle name="Percent" xfId="2" builtinId="5"/>
    <cellStyle name="Title 2" xfId="5" xr:uid="{FB6D4149-6ABD-4DB4-95B3-0D1495DBAFEF}"/>
    <cellStyle name="Total 2" xfId="21" xr:uid="{AA230248-B9E2-4D03-991C-F308A812F75F}"/>
    <cellStyle name="Warning Text 2" xfId="18" xr:uid="{DCD35606-1851-419A-A761-DC327BEC072D}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hartsheet" Target="chartsheets/sheet1.xml"/><Relationship Id="rId25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685f778331df612a/Desktop/factset/20230818%20ETF%20model%20developed.xlsx" TargetMode="External"/><Relationship Id="rId1" Type="http://schemas.openxmlformats.org/officeDocument/2006/relationships/externalLinkPath" Target="https://d.docs.live.net/685f778331df612a/Desktop/factset/20230818%20ETF%20model%20developed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y%20Drive\ETF_Model_Excel\ETF_Model_20240102_EM.xlsx" TargetMode="External"/><Relationship Id="rId1" Type="http://schemas.openxmlformats.org/officeDocument/2006/relationships/externalLinkPath" Target="file:///G:\My%20Drive\ETF_Model_Excel\ETF_Model_20240102_E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__FDSCACHE__"/>
      <sheetName val="Assumption"/>
      <sheetName val="Aset class Rankings"/>
      <sheetName val="Asset class"/>
      <sheetName val="OUTPUT_COUNTRY"/>
      <sheetName val="PORTFOLIO"/>
      <sheetName val="OUTPUT_PPT"/>
      <sheetName val="mnemonics"/>
      <sheetName val="Value -2 "/>
      <sheetName val="Sheet1"/>
      <sheetName val="LIQIDITY 2"/>
      <sheetName val="Quality - 2"/>
      <sheetName val="Momnetum ranking"/>
      <sheetName val="Risk"/>
      <sheetName val="Timing"/>
      <sheetName val="Leading Indicator"/>
      <sheetName val="t -PE"/>
      <sheetName val="Forwa Pe"/>
      <sheetName val="DY "/>
      <sheetName val="Monthly Returns"/>
      <sheetName val="Yearly returns"/>
      <sheetName val="Index earnings"/>
      <sheetName val="GDP_GROWTH"/>
      <sheetName val="Currency- 2"/>
      <sheetName val="Chart1"/>
      <sheetName val="CAD"/>
      <sheetName val="Country Int rates "/>
      <sheetName val="Index ROE"/>
      <sheetName val="Economic Momentum"/>
      <sheetName val="Market Capitalisation"/>
    </sheetNames>
    <sheetDataSet>
      <sheetData sheetId="0"/>
      <sheetData sheetId="1">
        <row r="39">
          <cell r="E39">
            <v>0.05</v>
          </cell>
          <cell r="F39">
            <v>0.25</v>
          </cell>
          <cell r="G39">
            <v>0.25</v>
          </cell>
          <cell r="H39">
            <v>0.25</v>
          </cell>
          <cell r="I39">
            <v>0.1</v>
          </cell>
          <cell r="J39">
            <v>0</v>
          </cell>
          <cell r="K39">
            <v>0.1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3">
          <cell r="A3" t="str">
            <v>ENZL</v>
          </cell>
          <cell r="B3" t="str">
            <v>NZ</v>
          </cell>
          <cell r="C3" t="str">
            <v>TRYNZ10Y-FDS</v>
          </cell>
          <cell r="D3" t="str">
            <v>New Zealand Benchmark Bond - 10 Year</v>
          </cell>
          <cell r="E3">
            <v>4.6825999999999999</v>
          </cell>
        </row>
        <row r="4">
          <cell r="A4" t="str">
            <v>EWA</v>
          </cell>
          <cell r="B4" t="str">
            <v>AU</v>
          </cell>
          <cell r="C4" t="str">
            <v>TRYAU10Y-FDS</v>
          </cell>
          <cell r="D4" t="str">
            <v>Australia Benchmark Bond - 10 Year</v>
          </cell>
          <cell r="E4">
            <v>4.2389999999999999</v>
          </cell>
        </row>
        <row r="5">
          <cell r="A5" t="str">
            <v>EWC</v>
          </cell>
          <cell r="B5" t="str">
            <v>CA</v>
          </cell>
          <cell r="C5" t="str">
            <v>TRYCA10Y-FDS</v>
          </cell>
          <cell r="D5" t="str">
            <v>Canada Benchmark Bond - 10 Year</v>
          </cell>
          <cell r="E5">
            <v>3.5358000000000001</v>
          </cell>
        </row>
        <row r="6">
          <cell r="A6" t="str">
            <v>EWG</v>
          </cell>
          <cell r="B6" t="str">
            <v>DE</v>
          </cell>
          <cell r="C6" t="str">
            <v>TRYDE10Y-FDS</v>
          </cell>
          <cell r="D6" t="str">
            <v>Germany Benchmark Bond - 10 Year</v>
          </cell>
          <cell r="E6">
            <v>2.3090000000000002</v>
          </cell>
        </row>
        <row r="7">
          <cell r="A7" t="str">
            <v>EWJ</v>
          </cell>
          <cell r="B7" t="str">
            <v>JP</v>
          </cell>
          <cell r="C7" t="str">
            <v>TRYJP10Y-FDS</v>
          </cell>
          <cell r="D7" t="str">
            <v>Japan Benchmark Bond - 10 Year</v>
          </cell>
          <cell r="E7">
            <v>0.71050000000000002</v>
          </cell>
        </row>
        <row r="8">
          <cell r="A8" t="str">
            <v>EWL</v>
          </cell>
          <cell r="B8" t="str">
            <v>CH</v>
          </cell>
          <cell r="C8" t="str">
            <v>TRYCH10Y-FDS</v>
          </cell>
          <cell r="D8" t="str">
            <v>Treasury - Switzerland Benchmark Bond 10Y</v>
          </cell>
          <cell r="E8">
            <v>0.89900000000000002</v>
          </cell>
        </row>
        <row r="9">
          <cell r="A9" t="str">
            <v>EWU</v>
          </cell>
          <cell r="B9" t="str">
            <v>GB</v>
          </cell>
          <cell r="C9" t="str">
            <v>TRYGB10Y-FDS</v>
          </cell>
          <cell r="D9" t="str">
            <v>United Kingdom Benchmark Bond - 10 Year</v>
          </cell>
          <cell r="E9">
            <v>3.988</v>
          </cell>
        </row>
        <row r="10">
          <cell r="A10" t="str">
            <v>QQQ</v>
          </cell>
          <cell r="B10" t="str">
            <v>US</v>
          </cell>
          <cell r="C10" t="str">
            <v>TRYUS10Y-FDS</v>
          </cell>
          <cell r="D10" t="str">
            <v>US Benchmark Bond - 10 Year</v>
          </cell>
          <cell r="E10">
            <v>4.1470000000000002</v>
          </cell>
        </row>
        <row r="11">
          <cell r="A11" t="str">
            <v>SPY</v>
          </cell>
          <cell r="B11" t="str">
            <v>US</v>
          </cell>
          <cell r="C11" t="str">
            <v>TRYUS10Y-FDS</v>
          </cell>
          <cell r="D11" t="str">
            <v>US Benchmark Bond - 10 Year</v>
          </cell>
          <cell r="E11">
            <v>4.1470000000000002</v>
          </cell>
        </row>
        <row r="12">
          <cell r="A12" t="str">
            <v>EWQ</v>
          </cell>
          <cell r="B12" t="str">
            <v>FR</v>
          </cell>
          <cell r="C12" t="str">
            <v>TRYFR10Y-FDS</v>
          </cell>
          <cell r="D12" t="str">
            <v>France Benchmark Bond - 10 Year</v>
          </cell>
          <cell r="E12">
            <v>2.7959999999999998</v>
          </cell>
        </row>
        <row r="13">
          <cell r="A13" t="str">
            <v>EWN</v>
          </cell>
          <cell r="B13" t="str">
            <v>NL</v>
          </cell>
          <cell r="C13" t="str">
            <v>TRYNL10Y-FDS</v>
          </cell>
          <cell r="D13" t="str">
            <v>Netherlands Benchmark Bond - 10 Year</v>
          </cell>
          <cell r="E13">
            <v>2.5830000000000002</v>
          </cell>
        </row>
        <row r="14">
          <cell r="A14" t="str">
            <v>EWD</v>
          </cell>
          <cell r="B14" t="str">
            <v>SE</v>
          </cell>
          <cell r="C14" t="str">
            <v>TRYSE10Y-FDS</v>
          </cell>
          <cell r="D14" t="str">
            <v>Sweden Benchmark Bond - 10 Year</v>
          </cell>
          <cell r="E14">
            <v>2.3029999999999999</v>
          </cell>
        </row>
        <row r="15">
          <cell r="A15" t="str">
            <v>EWI</v>
          </cell>
          <cell r="B15" t="str">
            <v>IT</v>
          </cell>
          <cell r="C15" t="str">
            <v>TRYIT10Y-FDS</v>
          </cell>
          <cell r="D15" t="str">
            <v>Italy Benchmark Bond - 10 Year</v>
          </cell>
          <cell r="E15">
            <v>3.8340000000000001</v>
          </cell>
        </row>
        <row r="16">
          <cell r="D16"/>
          <cell r="E16"/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10">
          <cell r="B10" t="str">
            <v>Afghanistan</v>
          </cell>
          <cell r="C10">
            <v>-6.330015897488761</v>
          </cell>
          <cell r="D10">
            <v>-1.9803203632740796</v>
          </cell>
          <cell r="E10">
            <v>1.4438839505667156</v>
          </cell>
          <cell r="G10" t="str">
            <v>E</v>
          </cell>
          <cell r="H10">
            <v>34.781666666666666</v>
          </cell>
          <cell r="I10">
            <v>154</v>
          </cell>
          <cell r="J10">
            <v>32</v>
          </cell>
          <cell r="K10"/>
          <cell r="L10">
            <v>19.865459911417584</v>
          </cell>
          <cell r="M10">
            <v>9.8957883924851959</v>
          </cell>
          <cell r="N10">
            <v>6.5854081038949879</v>
          </cell>
          <cell r="O10">
            <v>0.98799999999999999</v>
          </cell>
          <cell r="P10">
            <v>2.1640000000000001</v>
          </cell>
          <cell r="Q10">
            <v>2.6469999999999998</v>
          </cell>
          <cell r="R10">
            <v>1.1890000000000001</v>
          </cell>
          <cell r="S10">
            <v>3.9119999999999999</v>
          </cell>
          <cell r="T10">
            <v>-2.351</v>
          </cell>
          <cell r="U10">
            <v>-2.4</v>
          </cell>
          <cell r="V10">
            <v>-5</v>
          </cell>
          <cell r="W10">
            <v>-0.26821820635368199</v>
          </cell>
        </row>
        <row r="11">
          <cell r="B11" t="str">
            <v>Albania</v>
          </cell>
          <cell r="C11">
            <v>2.8369230771995602</v>
          </cell>
          <cell r="D11">
            <v>2.527708680261509</v>
          </cell>
          <cell r="E11">
            <v>2.499335307066497</v>
          </cell>
          <cell r="G11" t="str">
            <v>C</v>
          </cell>
          <cell r="H11">
            <v>71.94876523650197</v>
          </cell>
          <cell r="I11">
            <v>80</v>
          </cell>
          <cell r="J11">
            <v>40</v>
          </cell>
          <cell r="K11"/>
          <cell r="L11">
            <v>1.4329514555018943</v>
          </cell>
          <cell r="M11">
            <v>1.0096624423848639</v>
          </cell>
          <cell r="N11">
            <v>1.7987489151280414</v>
          </cell>
          <cell r="O11">
            <v>2.2189999999999999</v>
          </cell>
          <cell r="P11">
            <v>3.3149999999999999</v>
          </cell>
          <cell r="Q11">
            <v>3.802</v>
          </cell>
          <cell r="R11">
            <v>4.0190000000000001</v>
          </cell>
          <cell r="S11">
            <v>2.0880000000000001</v>
          </cell>
          <cell r="T11">
            <v>-3.4820000000000002</v>
          </cell>
          <cell r="U11">
            <v>8.516</v>
          </cell>
          <cell r="V11">
            <v>3.74</v>
          </cell>
          <cell r="W11">
            <v>2.513521993664003</v>
          </cell>
        </row>
        <row r="12">
          <cell r="B12" t="str">
            <v>Algeria</v>
          </cell>
          <cell r="C12">
            <v>0.36545353196819619</v>
          </cell>
          <cell r="D12">
            <v>0.98216884294510809</v>
          </cell>
          <cell r="E12">
            <v>1.9643097765769557</v>
          </cell>
          <cell r="G12" t="str">
            <v>B</v>
          </cell>
          <cell r="H12">
            <v>77.429986450518911</v>
          </cell>
          <cell r="I12">
            <v>59</v>
          </cell>
          <cell r="J12">
            <v>2</v>
          </cell>
          <cell r="K12"/>
          <cell r="L12">
            <v>3.3999999982054412</v>
          </cell>
          <cell r="M12">
            <v>2.8000000002529002</v>
          </cell>
          <cell r="N12">
            <v>3.8000000007790273</v>
          </cell>
          <cell r="O12">
            <v>3.7</v>
          </cell>
          <cell r="P12">
            <v>3.2</v>
          </cell>
          <cell r="Q12">
            <v>1.4</v>
          </cell>
          <cell r="R12">
            <v>1.2</v>
          </cell>
          <cell r="S12">
            <v>1</v>
          </cell>
          <cell r="T12">
            <v>-5.0999999999999996</v>
          </cell>
          <cell r="U12">
            <v>3.4</v>
          </cell>
          <cell r="V12">
            <v>2.931</v>
          </cell>
          <cell r="W12">
            <v>1.4732393097610319</v>
          </cell>
        </row>
        <row r="13">
          <cell r="B13" t="str">
            <v>Angola</v>
          </cell>
          <cell r="C13">
            <v>-0.62057485054567429</v>
          </cell>
          <cell r="D13">
            <v>-0.7759815069387388</v>
          </cell>
          <cell r="E13">
            <v>0.38358743648301274</v>
          </cell>
          <cell r="G13" t="str">
            <v>E</v>
          </cell>
          <cell r="H13">
            <v>43.142397643089645</v>
          </cell>
          <cell r="I13">
            <v>147</v>
          </cell>
          <cell r="J13">
            <v>42</v>
          </cell>
          <cell r="K13"/>
          <cell r="L13">
            <v>8.5421473366219605</v>
          </cell>
          <cell r="M13">
            <v>4.9545904703972692</v>
          </cell>
          <cell r="N13">
            <v>4.8226255512268246</v>
          </cell>
          <cell r="O13">
            <v>0.94399999999999995</v>
          </cell>
          <cell r="P13">
            <v>-2.58</v>
          </cell>
          <cell r="Q13">
            <v>-0.15</v>
          </cell>
          <cell r="R13">
            <v>-1.3160000000000001</v>
          </cell>
          <cell r="S13">
            <v>-0.70199999999999996</v>
          </cell>
          <cell r="T13">
            <v>-5.6379999999999999</v>
          </cell>
          <cell r="U13">
            <v>1.0920000000000001</v>
          </cell>
          <cell r="V13">
            <v>2.8410000000000002</v>
          </cell>
          <cell r="W13">
            <v>-0.19619703522786303</v>
          </cell>
        </row>
        <row r="14">
          <cell r="B14" t="str">
            <v>Argentina</v>
          </cell>
          <cell r="C14">
            <v>1.5213184649000233</v>
          </cell>
          <cell r="D14">
            <v>2.4231703477095579E-4</v>
          </cell>
          <cell r="E14">
            <v>0.30638889849419204</v>
          </cell>
          <cell r="G14" t="str">
            <v>D</v>
          </cell>
          <cell r="H14">
            <v>63.902477118742887</v>
          </cell>
          <cell r="I14">
            <v>116</v>
          </cell>
          <cell r="J14">
            <v>16</v>
          </cell>
          <cell r="K14"/>
          <cell r="L14">
            <v>-1.0264204544320839</v>
          </cell>
          <cell r="M14">
            <v>2.4053237807943506</v>
          </cell>
          <cell r="N14">
            <v>-2.5126153208139428</v>
          </cell>
          <cell r="O14">
            <v>2.7309999999999999</v>
          </cell>
          <cell r="P14">
            <v>-2.08</v>
          </cell>
          <cell r="Q14">
            <v>2.819</v>
          </cell>
          <cell r="R14">
            <v>-2.617</v>
          </cell>
          <cell r="S14">
            <v>-2.0009999999999999</v>
          </cell>
          <cell r="T14">
            <v>-9.9429999999999996</v>
          </cell>
          <cell r="U14">
            <v>10.398</v>
          </cell>
          <cell r="V14">
            <v>5.2430000000000003</v>
          </cell>
          <cell r="W14">
            <v>0.1533156077644815</v>
          </cell>
        </row>
        <row r="15">
          <cell r="B15" t="str">
            <v>Armenia</v>
          </cell>
          <cell r="C15">
            <v>3.3694630969417716</v>
          </cell>
          <cell r="D15">
            <v>4.5685193344935815</v>
          </cell>
          <cell r="E15">
            <v>4.0499977792169295</v>
          </cell>
          <cell r="G15" t="str">
            <v>B</v>
          </cell>
          <cell r="H15">
            <v>81.866330149150926</v>
          </cell>
          <cell r="I15">
            <v>42</v>
          </cell>
          <cell r="J15">
            <v>28</v>
          </cell>
          <cell r="K15"/>
          <cell r="L15">
            <v>7.200000000964871</v>
          </cell>
          <cell r="M15">
            <v>3.2999999999999674</v>
          </cell>
          <cell r="N15">
            <v>3.6000000005899464</v>
          </cell>
          <cell r="O15">
            <v>3.254</v>
          </cell>
          <cell r="P15">
            <v>0.19500000000000001</v>
          </cell>
          <cell r="Q15">
            <v>7.5179999999999998</v>
          </cell>
          <cell r="R15">
            <v>5.2249999999999996</v>
          </cell>
          <cell r="S15">
            <v>7.6310000000000002</v>
          </cell>
          <cell r="T15">
            <v>-7.1509999999999998</v>
          </cell>
          <cell r="U15">
            <v>5.6840000000000002</v>
          </cell>
          <cell r="V15">
            <v>12.603999999999999</v>
          </cell>
          <cell r="W15">
            <v>4.3092585568552551</v>
          </cell>
        </row>
        <row r="16">
          <cell r="B16" t="str">
            <v>Australia</v>
          </cell>
          <cell r="C16">
            <v>1.9372779726990919</v>
          </cell>
          <cell r="D16">
            <v>1.9542949107595797</v>
          </cell>
          <cell r="E16">
            <v>2.221593328352145</v>
          </cell>
          <cell r="G16" t="str">
            <v>A</v>
          </cell>
          <cell r="H16">
            <v>96.36744549025839</v>
          </cell>
          <cell r="I16">
            <v>11</v>
          </cell>
          <cell r="J16">
            <v>3</v>
          </cell>
          <cell r="K16"/>
          <cell r="L16">
            <v>3.9181617722068416</v>
          </cell>
          <cell r="M16">
            <v>2.5848751108311681</v>
          </cell>
          <cell r="N16">
            <v>2.5331154467594699</v>
          </cell>
          <cell r="O16">
            <v>2.2829999999999999</v>
          </cell>
          <cell r="P16">
            <v>2.6909999999999998</v>
          </cell>
          <cell r="Q16">
            <v>2.383</v>
          </cell>
          <cell r="R16">
            <v>2.8149999999999999</v>
          </cell>
          <cell r="S16">
            <v>1.9430000000000001</v>
          </cell>
          <cell r="T16">
            <v>-1.8140000000000001</v>
          </cell>
          <cell r="U16">
            <v>5.1959999999999997</v>
          </cell>
          <cell r="V16">
            <v>3.661</v>
          </cell>
          <cell r="W16">
            <v>2.0879441195558623</v>
          </cell>
        </row>
        <row r="17">
          <cell r="B17" t="str">
            <v>Austria</v>
          </cell>
          <cell r="C17">
            <v>0.89080434606740866</v>
          </cell>
          <cell r="D17">
            <v>1.1485693717847134</v>
          </cell>
          <cell r="E17">
            <v>1.1982825816158282</v>
          </cell>
          <cell r="G17" t="str">
            <v>A</v>
          </cell>
          <cell r="H17">
            <v>95.913594407477049</v>
          </cell>
          <cell r="I17">
            <v>15</v>
          </cell>
          <cell r="J17">
            <v>10</v>
          </cell>
          <cell r="K17"/>
          <cell r="L17">
            <v>0.68044557681670037</v>
          </cell>
          <cell r="M17">
            <v>2.5504712197222973E-2</v>
          </cell>
          <cell r="N17">
            <v>0.66127284885259119</v>
          </cell>
          <cell r="O17">
            <v>1.0149999999999999</v>
          </cell>
          <cell r="P17">
            <v>1.9890000000000001</v>
          </cell>
          <cell r="Q17">
            <v>2.2589999999999999</v>
          </cell>
          <cell r="R17">
            <v>2.4249999999999998</v>
          </cell>
          <cell r="S17">
            <v>1.5169999999999999</v>
          </cell>
          <cell r="T17">
            <v>-6.4539999999999997</v>
          </cell>
          <cell r="U17">
            <v>4.5570000000000004</v>
          </cell>
          <cell r="V17">
            <v>4.9969999999999999</v>
          </cell>
          <cell r="W17">
            <v>1.1734259767002708</v>
          </cell>
        </row>
        <row r="18">
          <cell r="B18" t="str">
            <v>Azerbaijan</v>
          </cell>
          <cell r="C18">
            <v>1.8824891899037688</v>
          </cell>
          <cell r="D18">
            <v>1.9289874111129146</v>
          </cell>
          <cell r="E18">
            <v>1.6182050869221642</v>
          </cell>
          <cell r="G18" t="str">
            <v>D</v>
          </cell>
          <cell r="H18">
            <v>66.732349416312132</v>
          </cell>
          <cell r="I18">
            <v>106</v>
          </cell>
          <cell r="J18">
            <v>20</v>
          </cell>
          <cell r="K18"/>
          <cell r="L18">
            <v>2.1652394301296014</v>
          </cell>
          <cell r="M18">
            <v>5.8098009451315624</v>
          </cell>
          <cell r="N18">
            <v>2.7505070296654104</v>
          </cell>
          <cell r="O18">
            <v>1.05</v>
          </cell>
          <cell r="P18">
            <v>-3.0640000000000001</v>
          </cell>
          <cell r="Q18">
            <v>0.154</v>
          </cell>
          <cell r="R18">
            <v>1.5</v>
          </cell>
          <cell r="S18">
            <v>2.48</v>
          </cell>
          <cell r="T18">
            <v>-4.1989999999999998</v>
          </cell>
          <cell r="U18">
            <v>5.6</v>
          </cell>
          <cell r="V18">
            <v>4.6459999999999999</v>
          </cell>
          <cell r="W18">
            <v>1.7735962490175394</v>
          </cell>
        </row>
        <row r="19">
          <cell r="B19" t="str">
            <v>Bahamas, The</v>
          </cell>
          <cell r="C19">
            <v>-1.3025041762945944</v>
          </cell>
          <cell r="D19">
            <v>-5.1450420089638182E-2</v>
          </cell>
          <cell r="E19">
            <v>0.16369977541730307</v>
          </cell>
          <cell r="G19" t="str">
            <v>B</v>
          </cell>
          <cell r="H19">
            <v>79.378460082017611</v>
          </cell>
          <cell r="I19">
            <v>54</v>
          </cell>
          <cell r="J19">
            <v>8</v>
          </cell>
          <cell r="K19"/>
          <cell r="L19">
            <v>3.0868791768834938</v>
          </cell>
          <cell r="M19">
            <v>-3.5838746627962172</v>
          </cell>
          <cell r="N19">
            <v>2.2881473175630553</v>
          </cell>
          <cell r="O19">
            <v>0.997</v>
          </cell>
          <cell r="P19">
            <v>-0.85799999999999998</v>
          </cell>
          <cell r="Q19">
            <v>3.05</v>
          </cell>
          <cell r="R19">
            <v>1.831</v>
          </cell>
          <cell r="S19">
            <v>1.8959999999999999</v>
          </cell>
          <cell r="T19">
            <v>-23.823</v>
          </cell>
          <cell r="U19">
            <v>13.72</v>
          </cell>
          <cell r="V19">
            <v>10.983000000000001</v>
          </cell>
          <cell r="W19">
            <v>5.6124677663832445E-2</v>
          </cell>
        </row>
        <row r="20">
          <cell r="B20" t="str">
            <v>Bahrain</v>
          </cell>
          <cell r="C20">
            <v>0.41671802598486352</v>
          </cell>
          <cell r="D20">
            <v>1.1307360567982316</v>
          </cell>
          <cell r="E20">
            <v>2.5452347834856504</v>
          </cell>
          <cell r="G20" t="str">
            <v>B</v>
          </cell>
          <cell r="H20">
            <v>77.128033983685327</v>
          </cell>
          <cell r="I20">
            <v>60</v>
          </cell>
          <cell r="J20">
            <v>7</v>
          </cell>
          <cell r="K20"/>
          <cell r="L20">
            <v>3.7281084304601642</v>
          </cell>
          <cell r="M20">
            <v>5.41683981012069</v>
          </cell>
          <cell r="N20">
            <v>4.3503908525296939</v>
          </cell>
          <cell r="O20">
            <v>2.4849999999999999</v>
          </cell>
          <cell r="P20">
            <v>3.5579999999999998</v>
          </cell>
          <cell r="Q20">
            <v>4.2919999999999998</v>
          </cell>
          <cell r="R20">
            <v>2.11</v>
          </cell>
          <cell r="S20">
            <v>2.1669999999999998</v>
          </cell>
          <cell r="T20">
            <v>-4.6449999999999996</v>
          </cell>
          <cell r="U20">
            <v>2.67</v>
          </cell>
          <cell r="V20">
            <v>4.194</v>
          </cell>
          <cell r="W20">
            <v>1.837985420141941</v>
          </cell>
        </row>
        <row r="21">
          <cell r="B21" t="str">
            <v>Bangladesh</v>
          </cell>
          <cell r="C21">
            <v>8.4780836054535911</v>
          </cell>
          <cell r="D21">
            <v>9.4495577005361255</v>
          </cell>
          <cell r="E21">
            <v>9.0902336923363691</v>
          </cell>
          <cell r="G21" t="str">
            <v>D</v>
          </cell>
          <cell r="H21">
            <v>59.78425810407569</v>
          </cell>
          <cell r="I21">
            <v>125</v>
          </cell>
          <cell r="J21">
            <v>25</v>
          </cell>
          <cell r="K21"/>
          <cell r="L21">
            <v>15.458182784890836</v>
          </cell>
          <cell r="M21">
            <v>8.997951209804727</v>
          </cell>
          <cell r="N21">
            <v>9.1371359215878698</v>
          </cell>
          <cell r="O21">
            <v>6.5529999999999999</v>
          </cell>
          <cell r="P21">
            <v>7.1139999999999999</v>
          </cell>
          <cell r="Q21">
            <v>6.59</v>
          </cell>
          <cell r="R21">
            <v>7.319</v>
          </cell>
          <cell r="S21">
            <v>7.8819999999999997</v>
          </cell>
          <cell r="T21">
            <v>3.448</v>
          </cell>
          <cell r="U21">
            <v>6.9390000000000001</v>
          </cell>
          <cell r="V21">
            <v>7.1</v>
          </cell>
          <cell r="W21">
            <v>9.2698956964362473</v>
          </cell>
        </row>
        <row r="22">
          <cell r="B22" t="str">
            <v>Belarus</v>
          </cell>
          <cell r="C22">
            <v>-1.0891270418666776</v>
          </cell>
          <cell r="D22">
            <v>0.24141365794498881</v>
          </cell>
          <cell r="E22">
            <v>-4.7343951578571186E-3</v>
          </cell>
          <cell r="G22" t="str">
            <v>B</v>
          </cell>
          <cell r="H22">
            <v>78.939379492547943</v>
          </cell>
          <cell r="I22">
            <v>55</v>
          </cell>
          <cell r="J22">
            <v>34</v>
          </cell>
          <cell r="K22"/>
          <cell r="L22">
            <v>1.6871355364283958</v>
          </cell>
          <cell r="M22">
            <v>1.0034708408564619</v>
          </cell>
          <cell r="N22">
            <v>1.7263848541700804</v>
          </cell>
          <cell r="O22">
            <v>-3.83</v>
          </cell>
          <cell r="P22">
            <v>-2.536</v>
          </cell>
          <cell r="Q22">
            <v>2.5409999999999999</v>
          </cell>
          <cell r="R22">
            <v>3.1379999999999999</v>
          </cell>
          <cell r="S22">
            <v>1.446</v>
          </cell>
          <cell r="T22">
            <v>-0.67300000000000004</v>
          </cell>
          <cell r="U22">
            <v>2.2730000000000001</v>
          </cell>
          <cell r="V22">
            <v>-4.7409999999999997</v>
          </cell>
          <cell r="W22">
            <v>0.11833963139356585</v>
          </cell>
        </row>
        <row r="23">
          <cell r="B23" t="str">
            <v>Belgium</v>
          </cell>
          <cell r="C23">
            <v>1.1690569098094628</v>
          </cell>
          <cell r="D23">
            <v>1.3937649310878042</v>
          </cell>
          <cell r="E23">
            <v>1.4413818728578276</v>
          </cell>
          <cell r="G23" t="str">
            <v>A</v>
          </cell>
          <cell r="H23">
            <v>93.483251457156101</v>
          </cell>
          <cell r="I23">
            <v>21</v>
          </cell>
          <cell r="J23">
            <v>14</v>
          </cell>
          <cell r="K23"/>
          <cell r="L23">
            <v>0.73922990508162567</v>
          </cell>
          <cell r="M23">
            <v>0.45922805011605522</v>
          </cell>
          <cell r="N23">
            <v>1.578523229524472</v>
          </cell>
          <cell r="O23">
            <v>2.0409999999999999</v>
          </cell>
          <cell r="P23">
            <v>1.2669999999999999</v>
          </cell>
          <cell r="Q23">
            <v>1.62</v>
          </cell>
          <cell r="R23">
            <v>1.7929999999999999</v>
          </cell>
          <cell r="S23">
            <v>2.2410000000000001</v>
          </cell>
          <cell r="T23">
            <v>-5.3620000000000001</v>
          </cell>
          <cell r="U23">
            <v>6.1340000000000003</v>
          </cell>
          <cell r="V23">
            <v>3.0910000000000002</v>
          </cell>
          <cell r="W23">
            <v>1.4175734019728159</v>
          </cell>
        </row>
        <row r="24">
          <cell r="B24" t="str">
            <v>Benin</v>
          </cell>
          <cell r="C24">
            <v>5.666147255627263</v>
          </cell>
          <cell r="D24">
            <v>6.110859714036887</v>
          </cell>
          <cell r="E24">
            <v>5.477732246862832</v>
          </cell>
          <cell r="G24" t="str">
            <v>C</v>
          </cell>
          <cell r="H24">
            <v>73.01184037118577</v>
          </cell>
          <cell r="I24">
            <v>75</v>
          </cell>
          <cell r="J24">
            <v>7</v>
          </cell>
          <cell r="K24"/>
          <cell r="L24">
            <v>4.811223315687994</v>
          </cell>
          <cell r="M24">
            <v>7.1914337214494379</v>
          </cell>
          <cell r="N24">
            <v>6.3576790979193039</v>
          </cell>
          <cell r="O24">
            <v>1.778</v>
          </cell>
          <cell r="P24">
            <v>3.34</v>
          </cell>
          <cell r="Q24">
            <v>5.6719999999999997</v>
          </cell>
          <cell r="R24">
            <v>6.6970000000000001</v>
          </cell>
          <cell r="S24">
            <v>6.8659999999999997</v>
          </cell>
          <cell r="T24">
            <v>3.8490000000000002</v>
          </cell>
          <cell r="U24">
            <v>7.1550000000000002</v>
          </cell>
          <cell r="V24">
            <v>6.0209999999999999</v>
          </cell>
          <cell r="W24">
            <v>5.7942959804498599</v>
          </cell>
        </row>
        <row r="25">
          <cell r="B25" t="str">
            <v>Bhutan</v>
          </cell>
          <cell r="C25">
            <v>-0.76587225840651918</v>
          </cell>
          <cell r="D25">
            <v>1.2676841708430198</v>
          </cell>
          <cell r="E25">
            <v>3.3347663550896245</v>
          </cell>
          <cell r="G25" t="str">
            <v>E</v>
          </cell>
          <cell r="H25">
            <v>55.154482190816807</v>
          </cell>
          <cell r="I25">
            <v>132</v>
          </cell>
          <cell r="J25">
            <v>28</v>
          </cell>
          <cell r="K25"/>
          <cell r="L25">
            <v>5.1184008580053391</v>
          </cell>
          <cell r="M25">
            <v>2.1199726329821678</v>
          </cell>
          <cell r="N25">
            <v>5.7764956801372422</v>
          </cell>
          <cell r="O25">
            <v>6.2210000000000001</v>
          </cell>
          <cell r="P25">
            <v>7.4080000000000004</v>
          </cell>
          <cell r="Q25">
            <v>6.3220000000000001</v>
          </cell>
          <cell r="R25">
            <v>3.835</v>
          </cell>
          <cell r="S25">
            <v>4.4249999999999998</v>
          </cell>
          <cell r="T25">
            <v>-2.3479999999999999</v>
          </cell>
          <cell r="U25">
            <v>-3.3319999999999999</v>
          </cell>
          <cell r="V25">
            <v>4.3250000000000002</v>
          </cell>
          <cell r="W25">
            <v>2.3012252629663221</v>
          </cell>
        </row>
        <row r="26">
          <cell r="B26" t="str">
            <v>Bolivia</v>
          </cell>
          <cell r="C26">
            <v>-2.2304131763273283E-2</v>
          </cell>
          <cell r="D26">
            <v>1.2603639469641159</v>
          </cell>
          <cell r="E26">
            <v>3.1673454908146104</v>
          </cell>
          <cell r="G26" t="str">
            <v>E</v>
          </cell>
          <cell r="H26">
            <v>31.085526545532133</v>
          </cell>
          <cell r="I26">
            <v>155</v>
          </cell>
          <cell r="J26">
            <v>25</v>
          </cell>
          <cell r="K26"/>
          <cell r="L26">
            <v>5.122274660983769</v>
          </cell>
          <cell r="M26">
            <v>6.7960117055974338</v>
          </cell>
          <cell r="N26">
            <v>5.4605671536850453</v>
          </cell>
          <cell r="O26">
            <v>4.8570000000000002</v>
          </cell>
          <cell r="P26">
            <v>4.2640000000000002</v>
          </cell>
          <cell r="Q26">
            <v>4.1950000000000003</v>
          </cell>
          <cell r="R26">
            <v>4.2240000000000002</v>
          </cell>
          <cell r="S26">
            <v>2.2170000000000001</v>
          </cell>
          <cell r="T26">
            <v>-8.7379999999999995</v>
          </cell>
          <cell r="U26">
            <v>6.1059999999999999</v>
          </cell>
          <cell r="V26">
            <v>3.2</v>
          </cell>
          <cell r="W26">
            <v>2.2138547188893631</v>
          </cell>
        </row>
        <row r="27">
          <cell r="B27" t="str">
            <v>Bosnia and Herzegovina</v>
          </cell>
          <cell r="C27">
            <v>2.6460933550704002</v>
          </cell>
          <cell r="D27">
            <v>2.9046927076515017</v>
          </cell>
          <cell r="E27">
            <v>2.7421493700034771</v>
          </cell>
          <cell r="G27" t="str">
            <v>D</v>
          </cell>
          <cell r="H27">
            <v>66.414016463166035</v>
          </cell>
          <cell r="I27">
            <v>108</v>
          </cell>
          <cell r="J27">
            <v>41</v>
          </cell>
          <cell r="K27"/>
          <cell r="L27">
            <v>-0.82183647421687545</v>
          </cell>
          <cell r="M27">
            <v>2.3498566632458062</v>
          </cell>
          <cell r="N27">
            <v>1.1538510920040257</v>
          </cell>
          <cell r="O27">
            <v>4.3140000000000001</v>
          </cell>
          <cell r="P27">
            <v>3.242</v>
          </cell>
          <cell r="Q27">
            <v>3.2440000000000002</v>
          </cell>
          <cell r="R27">
            <v>3.8290000000000002</v>
          </cell>
          <cell r="S27">
            <v>2.8860000000000001</v>
          </cell>
          <cell r="T27">
            <v>-3.0150000000000001</v>
          </cell>
          <cell r="U27">
            <v>7.3920000000000003</v>
          </cell>
          <cell r="V27">
            <v>3.8</v>
          </cell>
          <cell r="W27">
            <v>2.8234210388274894</v>
          </cell>
        </row>
        <row r="28">
          <cell r="B28" t="str">
            <v>Botswana</v>
          </cell>
          <cell r="C28">
            <v>2.6588943634134665</v>
          </cell>
          <cell r="D28">
            <v>1.4503583241093798</v>
          </cell>
          <cell r="E28">
            <v>2.7752039527026096</v>
          </cell>
          <cell r="G28" t="str">
            <v>C</v>
          </cell>
          <cell r="H28">
            <v>74.531513757725932</v>
          </cell>
          <cell r="I28">
            <v>70</v>
          </cell>
          <cell r="J28">
            <v>6</v>
          </cell>
          <cell r="K28"/>
          <cell r="L28">
            <v>4.4561672130978769</v>
          </cell>
          <cell r="M28">
            <v>11.343424252775241</v>
          </cell>
          <cell r="N28">
            <v>4.149289893135184</v>
          </cell>
          <cell r="O28">
            <v>-4.851</v>
          </cell>
          <cell r="P28">
            <v>7.202</v>
          </cell>
          <cell r="Q28">
            <v>4.1130000000000004</v>
          </cell>
          <cell r="R28">
            <v>4.1900000000000004</v>
          </cell>
          <cell r="S28">
            <v>3.0329999999999999</v>
          </cell>
          <cell r="T28">
            <v>-8.7260000000000009</v>
          </cell>
          <cell r="U28">
            <v>11.84</v>
          </cell>
          <cell r="V28">
            <v>6.4329999999999998</v>
          </cell>
          <cell r="W28">
            <v>2.1127811384059947</v>
          </cell>
        </row>
        <row r="29">
          <cell r="B29" t="str">
            <v>Brazil</v>
          </cell>
          <cell r="C29">
            <v>1.146428167182445</v>
          </cell>
          <cell r="D29">
            <v>1.295085878975577</v>
          </cell>
          <cell r="E29">
            <v>0.42795301380476047</v>
          </cell>
          <cell r="G29" t="str">
            <v>B</v>
          </cell>
          <cell r="H29">
            <v>79.569249143394813</v>
          </cell>
          <cell r="I29">
            <v>51</v>
          </cell>
          <cell r="J29">
            <v>7</v>
          </cell>
          <cell r="K29"/>
          <cell r="L29">
            <v>1.9211503183629988</v>
          </cell>
          <cell r="M29">
            <v>3.0048463050570873</v>
          </cell>
          <cell r="N29">
            <v>0.50395574024224987</v>
          </cell>
          <cell r="O29">
            <v>-3.5459999999999998</v>
          </cell>
          <cell r="P29">
            <v>-3.2759999999999998</v>
          </cell>
          <cell r="Q29">
            <v>1.323</v>
          </cell>
          <cell r="R29">
            <v>1.784</v>
          </cell>
          <cell r="S29">
            <v>1.2210000000000001</v>
          </cell>
          <cell r="T29">
            <v>-3.2770000000000001</v>
          </cell>
          <cell r="U29">
            <v>4.9889999999999999</v>
          </cell>
          <cell r="V29">
            <v>2.9009999999999998</v>
          </cell>
          <cell r="W29">
            <v>0.86151944639016875</v>
          </cell>
        </row>
        <row r="30">
          <cell r="B30" t="str">
            <v>Brunei Darussalam</v>
          </cell>
          <cell r="C30">
            <v>-0.66374440025495085</v>
          </cell>
          <cell r="D30">
            <v>0.37078358077795581</v>
          </cell>
          <cell r="E30">
            <v>-0.44114896551331606</v>
          </cell>
          <cell r="G30" t="str">
            <v>E</v>
          </cell>
          <cell r="H30">
            <v>47.581995606084838</v>
          </cell>
          <cell r="I30">
            <v>142</v>
          </cell>
          <cell r="J30">
            <v>30</v>
          </cell>
          <cell r="K30"/>
          <cell r="L30">
            <v>0.91284167096442625</v>
          </cell>
          <cell r="M30">
            <v>-2.1260285174017546</v>
          </cell>
          <cell r="N30">
            <v>-2.5083525664456063</v>
          </cell>
          <cell r="O30">
            <v>-0.40500000000000003</v>
          </cell>
          <cell r="P30">
            <v>-2.4649999999999999</v>
          </cell>
          <cell r="Q30">
            <v>1.329</v>
          </cell>
          <cell r="R30">
            <v>5.1999999999999998E-2</v>
          </cell>
          <cell r="S30">
            <v>3.8690000000000002</v>
          </cell>
          <cell r="T30">
            <v>1.1339999999999999</v>
          </cell>
          <cell r="U30">
            <v>-1.591</v>
          </cell>
          <cell r="V30">
            <v>-1.51</v>
          </cell>
          <cell r="W30">
            <v>-3.5182692367680124E-2</v>
          </cell>
        </row>
        <row r="31">
          <cell r="B31" t="str">
            <v>Bulgaria</v>
          </cell>
          <cell r="C31">
            <v>2.2325090532704595</v>
          </cell>
          <cell r="D31">
            <v>2.7879873369299979</v>
          </cell>
          <cell r="E31">
            <v>2.7412414949005814</v>
          </cell>
          <cell r="G31" t="str">
            <v>B</v>
          </cell>
          <cell r="H31">
            <v>82.826908120877093</v>
          </cell>
          <cell r="I31">
            <v>40</v>
          </cell>
          <cell r="J31">
            <v>26</v>
          </cell>
          <cell r="K31"/>
          <cell r="L31">
            <v>0.36058318828756941</v>
          </cell>
          <cell r="M31">
            <v>0.31873576132258219</v>
          </cell>
          <cell r="N31">
            <v>1.8945471424192788</v>
          </cell>
          <cell r="O31">
            <v>3.4279999999999999</v>
          </cell>
          <cell r="P31">
            <v>3.04</v>
          </cell>
          <cell r="Q31">
            <v>2.762</v>
          </cell>
          <cell r="R31">
            <v>2.6850000000000001</v>
          </cell>
          <cell r="S31">
            <v>4.0380000000000003</v>
          </cell>
          <cell r="T31">
            <v>-3.9590000000000001</v>
          </cell>
          <cell r="U31">
            <v>7.6349999999999998</v>
          </cell>
          <cell r="V31">
            <v>3.3610000000000002</v>
          </cell>
          <cell r="W31">
            <v>2.7646144159152897</v>
          </cell>
        </row>
        <row r="32">
          <cell r="B32" t="str">
            <v>Burkina Faso</v>
          </cell>
          <cell r="C32">
            <v>3.7461786866062718</v>
          </cell>
          <cell r="D32">
            <v>4.6060819779328632</v>
          </cell>
          <cell r="E32">
            <v>4.9153359042722222</v>
          </cell>
          <cell r="G32" t="str">
            <v>C</v>
          </cell>
          <cell r="H32">
            <v>71.439342263551737</v>
          </cell>
          <cell r="I32">
            <v>81</v>
          </cell>
          <cell r="J32">
            <v>11</v>
          </cell>
          <cell r="K32"/>
          <cell r="L32">
            <v>6.4526723809054332</v>
          </cell>
          <cell r="M32">
            <v>5.7926055919056534</v>
          </cell>
          <cell r="N32">
            <v>4.3268456132150384</v>
          </cell>
          <cell r="O32">
            <v>3.9209999999999998</v>
          </cell>
          <cell r="P32">
            <v>5.9580000000000002</v>
          </cell>
          <cell r="Q32">
            <v>6.2030000000000003</v>
          </cell>
          <cell r="R32">
            <v>6.6029999999999998</v>
          </cell>
          <cell r="S32">
            <v>5.6890000000000001</v>
          </cell>
          <cell r="T32">
            <v>1.931</v>
          </cell>
          <cell r="U32">
            <v>6.9050000000000002</v>
          </cell>
          <cell r="V32">
            <v>2.4729999999999999</v>
          </cell>
          <cell r="W32">
            <v>4.7607089411025427</v>
          </cell>
        </row>
        <row r="33">
          <cell r="B33" t="str">
            <v>Burundi</v>
          </cell>
          <cell r="C33">
            <v>1.3140617594302739</v>
          </cell>
          <cell r="D33">
            <v>1.4727306023839093</v>
          </cell>
          <cell r="E33">
            <v>1.2263384025287261</v>
          </cell>
          <cell r="G33" t="str">
            <v>E</v>
          </cell>
          <cell r="H33">
            <v>45.872398734881529</v>
          </cell>
          <cell r="I33">
            <v>144</v>
          </cell>
          <cell r="J33">
            <v>40</v>
          </cell>
          <cell r="K33"/>
          <cell r="L33">
            <v>4.4467082221454284</v>
          </cell>
          <cell r="M33">
            <v>4.9241952612883146</v>
          </cell>
          <cell r="N33">
            <v>4.2406516436807848</v>
          </cell>
          <cell r="O33">
            <v>-3.9</v>
          </cell>
          <cell r="P33">
            <v>-0.6</v>
          </cell>
          <cell r="Q33">
            <v>0.5</v>
          </cell>
          <cell r="R33">
            <v>1.61</v>
          </cell>
          <cell r="S33">
            <v>1.8420000000000001</v>
          </cell>
          <cell r="T33">
            <v>0.33500000000000002</v>
          </cell>
          <cell r="U33">
            <v>3.1190000000000002</v>
          </cell>
          <cell r="V33">
            <v>1.827</v>
          </cell>
          <cell r="W33">
            <v>1.3495345024563177</v>
          </cell>
        </row>
        <row r="34">
          <cell r="B34" t="str">
            <v>Cabo Verde</v>
          </cell>
          <cell r="C34">
            <v>0.23646198785876038</v>
          </cell>
          <cell r="D34">
            <v>2.1534613712418604</v>
          </cell>
          <cell r="E34">
            <v>2.1525774639498785</v>
          </cell>
          <cell r="G34" t="str">
            <v>C</v>
          </cell>
          <cell r="H34">
            <v>72.784877013329833</v>
          </cell>
          <cell r="I34">
            <v>78</v>
          </cell>
          <cell r="J34">
            <v>9</v>
          </cell>
          <cell r="K34"/>
          <cell r="L34">
            <v>1.0819182787712764</v>
          </cell>
          <cell r="M34">
            <v>0.80279760057422567</v>
          </cell>
          <cell r="N34">
            <v>0.61121266620786829</v>
          </cell>
          <cell r="O34">
            <v>1.0069999999999999</v>
          </cell>
          <cell r="P34">
            <v>4.7060000000000004</v>
          </cell>
          <cell r="Q34">
            <v>3.702</v>
          </cell>
          <cell r="R34">
            <v>14.566000000000001</v>
          </cell>
          <cell r="S34">
            <v>5.6680000000000001</v>
          </cell>
          <cell r="T34">
            <v>-14.782999999999999</v>
          </cell>
          <cell r="U34">
            <v>7</v>
          </cell>
          <cell r="V34">
            <v>10.5</v>
          </cell>
          <cell r="W34">
            <v>2.1530194175958695</v>
          </cell>
        </row>
        <row r="35">
          <cell r="B35" t="str">
            <v>Cambodia</v>
          </cell>
          <cell r="C35">
            <v>1.5881444792890331</v>
          </cell>
          <cell r="D35">
            <v>3.8205347927408928</v>
          </cell>
          <cell r="E35">
            <v>5.437149341759695</v>
          </cell>
          <cell r="G35" t="str">
            <v>E</v>
          </cell>
          <cell r="H35">
            <v>41.696651110677628</v>
          </cell>
          <cell r="I35">
            <v>149</v>
          </cell>
          <cell r="J35">
            <v>31</v>
          </cell>
          <cell r="K35"/>
          <cell r="L35">
            <v>7.3133455053000533</v>
          </cell>
          <cell r="M35">
            <v>7.3566651488797472</v>
          </cell>
          <cell r="N35">
            <v>7.1425711007429467</v>
          </cell>
          <cell r="O35">
            <v>7.0359999999999996</v>
          </cell>
          <cell r="P35">
            <v>6.8630000000000004</v>
          </cell>
          <cell r="Q35">
            <v>6.9969999999999999</v>
          </cell>
          <cell r="R35">
            <v>7.4690000000000003</v>
          </cell>
          <cell r="S35">
            <v>7.0540000000000003</v>
          </cell>
          <cell r="T35">
            <v>-3.0960000000000001</v>
          </cell>
          <cell r="U35">
            <v>3.0259999999999998</v>
          </cell>
          <cell r="V35">
            <v>5.0119999999999996</v>
          </cell>
          <cell r="W35">
            <v>4.6288420672502939</v>
          </cell>
        </row>
        <row r="36">
          <cell r="B36" t="str">
            <v>Cameroon</v>
          </cell>
          <cell r="C36">
            <v>2.4193069652844734</v>
          </cell>
          <cell r="D36">
            <v>3.5683606479580687</v>
          </cell>
          <cell r="E36">
            <v>4.2936580650607903</v>
          </cell>
          <cell r="G36" t="str">
            <v>D</v>
          </cell>
          <cell r="H36">
            <v>66.487838229569903</v>
          </cell>
          <cell r="I36">
            <v>107</v>
          </cell>
          <cell r="J36">
            <v>24</v>
          </cell>
          <cell r="K36"/>
          <cell r="L36">
            <v>4.5432650156673571</v>
          </cell>
          <cell r="M36">
            <v>5.4042657097173343</v>
          </cell>
          <cell r="N36">
            <v>5.8840593266804415</v>
          </cell>
          <cell r="O36">
            <v>5.6</v>
          </cell>
          <cell r="P36">
            <v>4.4790000000000001</v>
          </cell>
          <cell r="Q36">
            <v>3.5409999999999999</v>
          </cell>
          <cell r="R36">
            <v>4.0220000000000002</v>
          </cell>
          <cell r="S36">
            <v>3.4220000000000002</v>
          </cell>
          <cell r="T36">
            <v>0.53900000000000003</v>
          </cell>
          <cell r="U36">
            <v>3.649</v>
          </cell>
          <cell r="V36">
            <v>3.383</v>
          </cell>
          <cell r="W36">
            <v>3.9310093565094295</v>
          </cell>
        </row>
        <row r="37">
          <cell r="B37" t="str">
            <v>Canada</v>
          </cell>
          <cell r="C37">
            <v>0.80505563787092171</v>
          </cell>
          <cell r="D37">
            <v>1.279888102037452</v>
          </cell>
          <cell r="E37">
            <v>1.6398804050051563</v>
          </cell>
          <cell r="G37" t="str">
            <v>A</v>
          </cell>
          <cell r="H37">
            <v>95.837528170961207</v>
          </cell>
          <cell r="I37">
            <v>17</v>
          </cell>
          <cell r="J37">
            <v>2</v>
          </cell>
          <cell r="K37"/>
          <cell r="L37">
            <v>1.762222549554276</v>
          </cell>
          <cell r="M37">
            <v>2.3291225223044822</v>
          </cell>
          <cell r="N37">
            <v>2.8700360387422155</v>
          </cell>
          <cell r="O37">
            <v>0.65900000000000003</v>
          </cell>
          <cell r="P37">
            <v>1.0009999999999999</v>
          </cell>
          <cell r="Q37">
            <v>3.04</v>
          </cell>
          <cell r="R37">
            <v>2.7770000000000001</v>
          </cell>
          <cell r="S37">
            <v>1.8879999999999999</v>
          </cell>
          <cell r="T37">
            <v>-5.0739999999999998</v>
          </cell>
          <cell r="U37">
            <v>5.0119999999999996</v>
          </cell>
          <cell r="V37">
            <v>3.3959999999999999</v>
          </cell>
          <cell r="W37">
            <v>1.4598842535213041</v>
          </cell>
        </row>
        <row r="38">
          <cell r="B38" t="str">
            <v>Central African Republic</v>
          </cell>
          <cell r="C38">
            <v>0.72569907638180275</v>
          </cell>
          <cell r="D38">
            <v>1.8043988935163791</v>
          </cell>
          <cell r="E38">
            <v>-2.2645674209426092</v>
          </cell>
          <cell r="G38" t="str">
            <v>E</v>
          </cell>
          <cell r="H38">
            <v>41.466247411534134</v>
          </cell>
          <cell r="I38">
            <v>150</v>
          </cell>
          <cell r="J38">
            <v>44</v>
          </cell>
          <cell r="K38"/>
          <cell r="L38">
            <v>5.053761253569192</v>
          </cell>
          <cell r="M38">
            <v>-36.391977098388679</v>
          </cell>
          <cell r="N38">
            <v>8.1070515326508011E-2</v>
          </cell>
          <cell r="O38">
            <v>4.3380000000000001</v>
          </cell>
          <cell r="P38">
            <v>4.75</v>
          </cell>
          <cell r="Q38">
            <v>4.5279999999999996</v>
          </cell>
          <cell r="R38">
            <v>3.82</v>
          </cell>
          <cell r="S38">
            <v>2.97</v>
          </cell>
          <cell r="T38">
            <v>0.95899999999999996</v>
          </cell>
          <cell r="U38">
            <v>0.98299999999999998</v>
          </cell>
          <cell r="V38">
            <v>0.378</v>
          </cell>
          <cell r="W38">
            <v>-0.23008426371311508</v>
          </cell>
        </row>
        <row r="39">
          <cell r="B39" t="str">
            <v>Chad</v>
          </cell>
          <cell r="C39">
            <v>-0.11885802228936981</v>
          </cell>
          <cell r="D39">
            <v>1.0424126086531427</v>
          </cell>
          <cell r="E39">
            <v>1.0693731739606749</v>
          </cell>
          <cell r="G39" t="str">
            <v>E</v>
          </cell>
          <cell r="H39">
            <v>46.134841898100355</v>
          </cell>
          <cell r="I39">
            <v>143</v>
          </cell>
          <cell r="J39">
            <v>39</v>
          </cell>
          <cell r="K39"/>
          <cell r="L39">
            <v>8.8825760717031557</v>
          </cell>
          <cell r="M39">
            <v>5.7000013628586537</v>
          </cell>
          <cell r="N39">
            <v>6.8999850453216673</v>
          </cell>
          <cell r="O39">
            <v>1.77</v>
          </cell>
          <cell r="P39">
            <v>-5.5579999999999998</v>
          </cell>
          <cell r="Q39">
            <v>-2.38</v>
          </cell>
          <cell r="R39">
            <v>2.355</v>
          </cell>
          <cell r="S39">
            <v>3.419</v>
          </cell>
          <cell r="T39">
            <v>-2.1419999999999999</v>
          </cell>
          <cell r="U39">
            <v>-1.1020000000000001</v>
          </cell>
          <cell r="V39">
            <v>2.4940000000000002</v>
          </cell>
          <cell r="W39">
            <v>1.0558928913069088</v>
          </cell>
        </row>
        <row r="40">
          <cell r="B40" t="str">
            <v>Chile</v>
          </cell>
          <cell r="C40">
            <v>2.4572143474803632</v>
          </cell>
          <cell r="D40">
            <v>3.0605383736418856</v>
          </cell>
          <cell r="E40">
            <v>2.6285168981251106</v>
          </cell>
          <cell r="G40" t="str">
            <v>A</v>
          </cell>
          <cell r="H40">
            <v>89.938976035792962</v>
          </cell>
          <cell r="I40">
            <v>28</v>
          </cell>
          <cell r="J40">
            <v>3</v>
          </cell>
          <cell r="K40"/>
          <cell r="L40">
            <v>5.3186280004141473</v>
          </cell>
          <cell r="M40">
            <v>4.0450042981489593</v>
          </cell>
          <cell r="N40">
            <v>1.7667397836386938</v>
          </cell>
          <cell r="O40">
            <v>2.1520000000000001</v>
          </cell>
          <cell r="P40">
            <v>1.7529999999999999</v>
          </cell>
          <cell r="Q40">
            <v>1.3580000000000001</v>
          </cell>
          <cell r="R40">
            <v>3.99</v>
          </cell>
          <cell r="S40">
            <v>0.74299999999999999</v>
          </cell>
          <cell r="T40">
            <v>-6.1449999999999996</v>
          </cell>
          <cell r="U40">
            <v>11.737</v>
          </cell>
          <cell r="V40">
            <v>2.44</v>
          </cell>
          <cell r="W40">
            <v>2.8445276358834981</v>
          </cell>
        </row>
        <row r="41">
          <cell r="B41" t="str">
            <v>China</v>
          </cell>
          <cell r="C41">
            <v>4.4136018906123953</v>
          </cell>
          <cell r="D41">
            <v>5.1836523723133077</v>
          </cell>
          <cell r="E41">
            <v>6.1897338385474399</v>
          </cell>
          <cell r="G41" t="str">
            <v>B</v>
          </cell>
          <cell r="H41">
            <v>79.714044846147502</v>
          </cell>
          <cell r="I41">
            <v>50</v>
          </cell>
          <cell r="J41">
            <v>7</v>
          </cell>
          <cell r="K41"/>
          <cell r="L41">
            <v>7.8596274932851555</v>
          </cell>
          <cell r="M41">
            <v>7.7686152841281606</v>
          </cell>
          <cell r="N41">
            <v>7.4245236561990726</v>
          </cell>
          <cell r="O41">
            <v>7.0179999999999998</v>
          </cell>
          <cell r="P41">
            <v>6.851</v>
          </cell>
          <cell r="Q41">
            <v>6.9470000000000001</v>
          </cell>
          <cell r="R41">
            <v>6.7510000000000003</v>
          </cell>
          <cell r="S41">
            <v>5.9509999999999996</v>
          </cell>
          <cell r="T41">
            <v>2.242</v>
          </cell>
          <cell r="U41">
            <v>8.4499999999999993</v>
          </cell>
          <cell r="V41">
            <v>2.988</v>
          </cell>
          <cell r="W41">
            <v>5.6866931054303738</v>
          </cell>
        </row>
        <row r="42">
          <cell r="B42" t="str">
            <v>Colombia</v>
          </cell>
          <cell r="C42">
            <v>3.4115994769119862</v>
          </cell>
          <cell r="D42">
            <v>2.9902381196408978</v>
          </cell>
          <cell r="E42">
            <v>3.0937390088282557</v>
          </cell>
          <cell r="G42" t="str">
            <v>B</v>
          </cell>
          <cell r="H42">
            <v>79.943455242802315</v>
          </cell>
          <cell r="I42">
            <v>48</v>
          </cell>
          <cell r="J42">
            <v>6</v>
          </cell>
          <cell r="K42"/>
          <cell r="L42">
            <v>3.9126357671611296</v>
          </cell>
          <cell r="M42">
            <v>5.1339935199566966</v>
          </cell>
          <cell r="N42">
            <v>4.4990300011097339</v>
          </cell>
          <cell r="O42">
            <v>2.956</v>
          </cell>
          <cell r="P42">
            <v>2.0880000000000001</v>
          </cell>
          <cell r="Q42">
            <v>1.359</v>
          </cell>
          <cell r="R42">
            <v>2.5640000000000001</v>
          </cell>
          <cell r="S42">
            <v>3.1869999999999998</v>
          </cell>
          <cell r="T42">
            <v>-7.2519999999999998</v>
          </cell>
          <cell r="U42">
            <v>11.016</v>
          </cell>
          <cell r="V42">
            <v>7.4960000000000004</v>
          </cell>
          <cell r="W42">
            <v>3.0419885642345768</v>
          </cell>
        </row>
        <row r="43">
          <cell r="B43" t="str">
            <v>Comoros</v>
          </cell>
          <cell r="C43">
            <v>1.4424277454801349</v>
          </cell>
          <cell r="D43">
            <v>1.9425285111170032</v>
          </cell>
          <cell r="E43">
            <v>2.451644301489786</v>
          </cell>
          <cell r="G43" t="str">
            <v>D</v>
          </cell>
          <cell r="H43">
            <v>68.943026951610364</v>
          </cell>
          <cell r="I43">
            <v>96</v>
          </cell>
          <cell r="J43">
            <v>17</v>
          </cell>
          <cell r="K43"/>
          <cell r="L43">
            <v>3.2002729031888046</v>
          </cell>
          <cell r="M43">
            <v>4.4998742153082745</v>
          </cell>
          <cell r="N43">
            <v>2.1000064383028905</v>
          </cell>
          <cell r="O43">
            <v>1.147</v>
          </cell>
          <cell r="P43">
            <v>3.32</v>
          </cell>
          <cell r="Q43">
            <v>3.8159999999999998</v>
          </cell>
          <cell r="R43">
            <v>3.6419999999999999</v>
          </cell>
          <cell r="S43">
            <v>1.7609999999999999</v>
          </cell>
          <cell r="T43">
            <v>-0.19600000000000001</v>
          </cell>
          <cell r="U43">
            <v>2.1120000000000001</v>
          </cell>
          <cell r="V43">
            <v>2.431</v>
          </cell>
          <cell r="W43">
            <v>2.1970864063033946</v>
          </cell>
        </row>
        <row r="44">
          <cell r="B44" t="str">
            <v>Congo, Dem. Rep</v>
          </cell>
          <cell r="C44">
            <v>4.8306254668632809</v>
          </cell>
          <cell r="D44">
            <v>4.9384402884992351</v>
          </cell>
          <cell r="E44">
            <v>5.5494362942043685</v>
          </cell>
          <cell r="G44" t="str">
            <v>E</v>
          </cell>
          <cell r="H44">
            <v>40.102703133666751</v>
          </cell>
          <cell r="I44">
            <v>151</v>
          </cell>
          <cell r="J44">
            <v>45</v>
          </cell>
          <cell r="K44"/>
          <cell r="L44">
            <v>7.0868989467193844</v>
          </cell>
          <cell r="M44">
            <v>8.4819566360875722</v>
          </cell>
          <cell r="N44">
            <v>9.4702880971408341</v>
          </cell>
          <cell r="O44">
            <v>6.36</v>
          </cell>
          <cell r="P44">
            <v>0.39400000000000002</v>
          </cell>
          <cell r="Q44">
            <v>3.6579999999999999</v>
          </cell>
          <cell r="R44">
            <v>4.8250000000000002</v>
          </cell>
          <cell r="S44">
            <v>4.4850000000000003</v>
          </cell>
          <cell r="T44">
            <v>1.671</v>
          </cell>
          <cell r="U44">
            <v>6.2290000000000001</v>
          </cell>
          <cell r="V44">
            <v>6.6269999999999998</v>
          </cell>
          <cell r="W44">
            <v>5.2439382913518013</v>
          </cell>
        </row>
        <row r="45">
          <cell r="B45" t="str">
            <v>Congo, Rep.</v>
          </cell>
          <cell r="C45">
            <v>-1.9540231466170455</v>
          </cell>
          <cell r="D45">
            <v>-2.1626068363397866</v>
          </cell>
          <cell r="E45">
            <v>-2.4351268953680449</v>
          </cell>
          <cell r="G45" t="str">
            <v>E</v>
          </cell>
          <cell r="H45">
            <v>42.318471362744162</v>
          </cell>
          <cell r="I45">
            <v>148</v>
          </cell>
          <cell r="J45">
            <v>43</v>
          </cell>
          <cell r="K45"/>
          <cell r="L45">
            <v>9.9471531425756439</v>
          </cell>
          <cell r="M45">
            <v>-0.71243445187648202</v>
          </cell>
          <cell r="N45">
            <v>6.7166793337864945</v>
          </cell>
          <cell r="O45">
            <v>-3.5510000000000002</v>
          </cell>
          <cell r="P45">
            <v>-10.782999999999999</v>
          </cell>
          <cell r="Q45">
            <v>-4.383</v>
          </cell>
          <cell r="R45">
            <v>-4.8049999999999997</v>
          </cell>
          <cell r="S45">
            <v>1.026</v>
          </cell>
          <cell r="T45">
            <v>-6.1980000000000004</v>
          </cell>
          <cell r="U45">
            <v>1.5</v>
          </cell>
          <cell r="V45">
            <v>2.7850000000000001</v>
          </cell>
          <cell r="W45">
            <v>-2.298866865853916</v>
          </cell>
        </row>
        <row r="46">
          <cell r="B46" t="str">
            <v>Costa Rica</v>
          </cell>
          <cell r="C46">
            <v>2.4986852323448439</v>
          </cell>
          <cell r="D46">
            <v>3.7972658363557565</v>
          </cell>
          <cell r="E46">
            <v>3.649680120396992</v>
          </cell>
          <cell r="G46" t="str">
            <v>B</v>
          </cell>
          <cell r="H46">
            <v>86.218051096846139</v>
          </cell>
          <cell r="I46">
            <v>34</v>
          </cell>
          <cell r="J46">
            <v>4</v>
          </cell>
          <cell r="K46"/>
          <cell r="L46">
            <v>4.7969199185815947</v>
          </cell>
          <cell r="M46">
            <v>2.2690274004615811</v>
          </cell>
          <cell r="N46">
            <v>3.5153385639114227</v>
          </cell>
          <cell r="O46">
            <v>3.6520000000000001</v>
          </cell>
          <cell r="P46">
            <v>4.2039999999999997</v>
          </cell>
          <cell r="Q46">
            <v>4.1580000000000004</v>
          </cell>
          <cell r="R46">
            <v>2.6160000000000001</v>
          </cell>
          <cell r="S46">
            <v>2.4180000000000001</v>
          </cell>
          <cell r="T46">
            <v>-4.2729999999999997</v>
          </cell>
          <cell r="U46">
            <v>7.7809999999999997</v>
          </cell>
          <cell r="V46">
            <v>4.3239999999999998</v>
          </cell>
          <cell r="W46">
            <v>3.7234729783763743</v>
          </cell>
        </row>
        <row r="47">
          <cell r="B47" t="str">
            <v>Cote d'Ivoire</v>
          </cell>
          <cell r="C47">
            <v>5.2133244785906863</v>
          </cell>
          <cell r="D47">
            <v>5.7501340546816326</v>
          </cell>
          <cell r="E47">
            <v>6.9731316213943906</v>
          </cell>
          <cell r="G47" t="str">
            <v>D</v>
          </cell>
          <cell r="H47">
            <v>69.121915522328067</v>
          </cell>
          <cell r="I47">
            <v>95</v>
          </cell>
          <cell r="J47">
            <v>16</v>
          </cell>
          <cell r="K47"/>
          <cell r="L47">
            <v>10.706504103485498</v>
          </cell>
          <cell r="M47">
            <v>8.8894213015542505</v>
          </cell>
          <cell r="N47">
            <v>8.7940773902773532</v>
          </cell>
          <cell r="O47">
            <v>8.843</v>
          </cell>
          <cell r="P47">
            <v>7.173</v>
          </cell>
          <cell r="Q47">
            <v>6.1429999999999998</v>
          </cell>
          <cell r="R47">
            <v>3.7509999999999999</v>
          </cell>
          <cell r="S47">
            <v>8.31</v>
          </cell>
          <cell r="T47">
            <v>1.7</v>
          </cell>
          <cell r="U47">
            <v>7</v>
          </cell>
          <cell r="V47">
            <v>6.7</v>
          </cell>
          <cell r="W47">
            <v>6.3616328380380116</v>
          </cell>
        </row>
        <row r="48">
          <cell r="B48" t="str">
            <v>Croatia</v>
          </cell>
          <cell r="C48">
            <v>3.2016110581527757</v>
          </cell>
          <cell r="D48">
            <v>3.6386983370098269</v>
          </cell>
          <cell r="E48">
            <v>2.6484109069949024</v>
          </cell>
          <cell r="G48" t="str">
            <v>B</v>
          </cell>
          <cell r="H48">
            <v>83.891853807505186</v>
          </cell>
          <cell r="I48">
            <v>39</v>
          </cell>
          <cell r="J48">
            <v>25</v>
          </cell>
          <cell r="K48"/>
          <cell r="L48">
            <v>-2.2376475412236791</v>
          </cell>
          <cell r="M48">
            <v>-0.54854848857064353</v>
          </cell>
          <cell r="N48">
            <v>-0.10392849719394197</v>
          </cell>
          <cell r="O48">
            <v>2.524</v>
          </cell>
          <cell r="P48">
            <v>3.56</v>
          </cell>
          <cell r="Q48">
            <v>3.4140000000000001</v>
          </cell>
          <cell r="R48">
            <v>2.7989999999999999</v>
          </cell>
          <cell r="S48">
            <v>3.42</v>
          </cell>
          <cell r="T48">
            <v>-8.58</v>
          </cell>
          <cell r="U48">
            <v>13.07</v>
          </cell>
          <cell r="V48">
            <v>6.3319999999999999</v>
          </cell>
          <cell r="W48">
            <v>3.1435546220023647</v>
          </cell>
        </row>
        <row r="49">
          <cell r="B49" t="str">
            <v>Cyprus</v>
          </cell>
          <cell r="C49">
            <v>2.5096449899315587</v>
          </cell>
          <cell r="D49">
            <v>3.8028194592395037</v>
          </cell>
          <cell r="E49">
            <v>2.5630103304818297</v>
          </cell>
          <cell r="G49" t="str">
            <v>B</v>
          </cell>
          <cell r="H49">
            <v>87.255396390154942</v>
          </cell>
          <cell r="I49">
            <v>32</v>
          </cell>
          <cell r="J49">
            <v>21</v>
          </cell>
          <cell r="K49"/>
          <cell r="L49">
            <v>-3.4468220858971224</v>
          </cell>
          <cell r="M49">
            <v>-6.5530782549911972</v>
          </cell>
          <cell r="N49">
            <v>-1.8293091092200273</v>
          </cell>
          <cell r="O49">
            <v>3.4180000000000001</v>
          </cell>
          <cell r="P49">
            <v>6.5739999999999998</v>
          </cell>
          <cell r="Q49">
            <v>5.7329999999999997</v>
          </cell>
          <cell r="R49">
            <v>5.649</v>
          </cell>
          <cell r="S49">
            <v>5.5289999999999999</v>
          </cell>
          <cell r="T49">
            <v>-4.3710000000000004</v>
          </cell>
          <cell r="U49">
            <v>6.6369999999999996</v>
          </cell>
          <cell r="V49">
            <v>5.6319999999999997</v>
          </cell>
          <cell r="W49">
            <v>3.1829148948606667</v>
          </cell>
        </row>
        <row r="50">
          <cell r="B50" t="str">
            <v>Czech Republic</v>
          </cell>
          <cell r="C50">
            <v>7.8479275411136307E-2</v>
          </cell>
          <cell r="D50">
            <v>1.4620184569118511</v>
          </cell>
          <cell r="E50">
            <v>2.1534461321011111</v>
          </cell>
          <cell r="G50" t="str">
            <v>A</v>
          </cell>
          <cell r="H50">
            <v>91.450544124021832</v>
          </cell>
          <cell r="I50">
            <v>23</v>
          </cell>
          <cell r="J50">
            <v>15</v>
          </cell>
          <cell r="K50"/>
          <cell r="L50">
            <v>-0.79984428098029747</v>
          </cell>
          <cell r="M50">
            <v>-0.48367104180935355</v>
          </cell>
          <cell r="N50">
            <v>2.7151161333034923</v>
          </cell>
          <cell r="O50">
            <v>5.3879999999999999</v>
          </cell>
          <cell r="P50">
            <v>2.5369999999999999</v>
          </cell>
          <cell r="Q50">
            <v>5.1689999999999996</v>
          </cell>
          <cell r="R50">
            <v>3.22</v>
          </cell>
          <cell r="S50">
            <v>3.03</v>
          </cell>
          <cell r="T50">
            <v>-5.5030000000000001</v>
          </cell>
          <cell r="U50">
            <v>3.5529999999999999</v>
          </cell>
          <cell r="V50">
            <v>2.4420000000000002</v>
          </cell>
          <cell r="W50">
            <v>1.8077322945064811</v>
          </cell>
        </row>
        <row r="51">
          <cell r="B51" t="str">
            <v>Denmark</v>
          </cell>
          <cell r="C51">
            <v>2.1173186821453305</v>
          </cell>
          <cell r="D51">
            <v>2.0745382872927598</v>
          </cell>
          <cell r="E51">
            <v>2.0535686786969709</v>
          </cell>
          <cell r="G51" t="str">
            <v>A</v>
          </cell>
          <cell r="H51">
            <v>97.848591628257381</v>
          </cell>
          <cell r="I51">
            <v>3</v>
          </cell>
          <cell r="J51">
            <v>2</v>
          </cell>
          <cell r="K51"/>
          <cell r="L51">
            <v>0.22649979701625131</v>
          </cell>
          <cell r="M51">
            <v>0.93334095705108477</v>
          </cell>
          <cell r="N51">
            <v>1.6193938166337245</v>
          </cell>
          <cell r="O51">
            <v>2.343</v>
          </cell>
          <cell r="P51">
            <v>3.2480000000000002</v>
          </cell>
          <cell r="Q51">
            <v>2.819</v>
          </cell>
          <cell r="R51">
            <v>1.9910000000000001</v>
          </cell>
          <cell r="S51">
            <v>1.4930000000000001</v>
          </cell>
          <cell r="T51">
            <v>-1.994</v>
          </cell>
          <cell r="U51">
            <v>4.8570000000000002</v>
          </cell>
          <cell r="V51">
            <v>3.6230000000000002</v>
          </cell>
          <cell r="W51">
            <v>2.0640534829948654</v>
          </cell>
        </row>
        <row r="52">
          <cell r="B52" t="str">
            <v>Dominican Republic</v>
          </cell>
          <cell r="C52">
            <v>3.1998461156594438</v>
          </cell>
          <cell r="D52">
            <v>4.316018962980106</v>
          </cell>
          <cell r="E52">
            <v>5.1698060844696858</v>
          </cell>
          <cell r="G52" t="str">
            <v>B</v>
          </cell>
          <cell r="H52">
            <v>76.661181476266762</v>
          </cell>
          <cell r="I52">
            <v>62</v>
          </cell>
          <cell r="J52">
            <v>9</v>
          </cell>
          <cell r="K52"/>
          <cell r="L52">
            <v>2.7173678967056243</v>
          </cell>
          <cell r="M52">
            <v>4.8752050933227107</v>
          </cell>
          <cell r="N52">
            <v>7.0504636896591117</v>
          </cell>
          <cell r="O52">
            <v>6.9269999999999996</v>
          </cell>
          <cell r="P52">
            <v>6.6589999999999998</v>
          </cell>
          <cell r="Q52">
            <v>4.6669999999999998</v>
          </cell>
          <cell r="R52">
            <v>6.9829999999999997</v>
          </cell>
          <cell r="S52">
            <v>5.0519999999999996</v>
          </cell>
          <cell r="T52">
            <v>-6.72</v>
          </cell>
          <cell r="U52">
            <v>12.272</v>
          </cell>
          <cell r="V52">
            <v>4.9489999999999998</v>
          </cell>
          <cell r="W52">
            <v>4.7429125237248959</v>
          </cell>
        </row>
        <row r="53">
          <cell r="B53" t="str">
            <v>Ecuador</v>
          </cell>
          <cell r="C53">
            <v>-0.32141867374969602</v>
          </cell>
          <cell r="D53">
            <v>6.5490773887200149E-2</v>
          </cell>
          <cell r="E53">
            <v>1.0130868701887064</v>
          </cell>
          <cell r="G53" t="str">
            <v>D</v>
          </cell>
          <cell r="H53">
            <v>61.323621492965962</v>
          </cell>
          <cell r="I53">
            <v>123</v>
          </cell>
          <cell r="J53">
            <v>20</v>
          </cell>
          <cell r="K53"/>
          <cell r="L53">
            <v>5.641962066711991</v>
          </cell>
          <cell r="M53">
            <v>4.9465112669062528</v>
          </cell>
          <cell r="N53">
            <v>3.7888685492083329</v>
          </cell>
          <cell r="O53">
            <v>9.9000000000000005E-2</v>
          </cell>
          <cell r="P53">
            <v>-1.226</v>
          </cell>
          <cell r="Q53">
            <v>2.3679999999999999</v>
          </cell>
          <cell r="R53">
            <v>1.2889999999999999</v>
          </cell>
          <cell r="S53">
            <v>1.2E-2</v>
          </cell>
          <cell r="T53">
            <v>-7.7880000000000003</v>
          </cell>
          <cell r="U53">
            <v>4.2350000000000003</v>
          </cell>
          <cell r="V53">
            <v>3.0390000000000001</v>
          </cell>
          <cell r="W53">
            <v>0.53928882203795325</v>
          </cell>
        </row>
        <row r="54">
          <cell r="B54" t="str">
            <v>Egypt</v>
          </cell>
          <cell r="C54">
            <v>4.4912036839904523</v>
          </cell>
          <cell r="D54">
            <v>4.8680352120142656</v>
          </cell>
          <cell r="E54">
            <v>4.2302867143853229</v>
          </cell>
          <cell r="G54" t="str">
            <v>D</v>
          </cell>
          <cell r="H54">
            <v>63.405428674671668</v>
          </cell>
          <cell r="I54">
            <v>119</v>
          </cell>
          <cell r="J54">
            <v>28</v>
          </cell>
          <cell r="K54"/>
          <cell r="L54">
            <v>2.2261997966213811</v>
          </cell>
          <cell r="M54">
            <v>2.1854660547123101</v>
          </cell>
          <cell r="N54">
            <v>2.9159118788358169</v>
          </cell>
          <cell r="O54">
            <v>4.4340000000000002</v>
          </cell>
          <cell r="P54">
            <v>4.5060000000000002</v>
          </cell>
          <cell r="Q54">
            <v>2.3690000000000002</v>
          </cell>
          <cell r="R54">
            <v>5.3310000000000004</v>
          </cell>
          <cell r="S54">
            <v>5.5339999999999998</v>
          </cell>
          <cell r="T54">
            <v>3.5139999999999998</v>
          </cell>
          <cell r="U54">
            <v>3.3069999999999999</v>
          </cell>
          <cell r="V54">
            <v>6.609</v>
          </cell>
          <cell r="W54">
            <v>4.5491609631997942</v>
          </cell>
        </row>
        <row r="55">
          <cell r="B55" t="str">
            <v>El Salvador</v>
          </cell>
          <cell r="C55">
            <v>1.3471265984384528</v>
          </cell>
          <cell r="D55">
            <v>1.776882859029727</v>
          </cell>
          <cell r="E55">
            <v>2.0016468394263187</v>
          </cell>
          <cell r="G55" t="str">
            <v>C</v>
          </cell>
          <cell r="H55">
            <v>69.210174273537845</v>
          </cell>
          <cell r="I55">
            <v>94</v>
          </cell>
          <cell r="J55">
            <v>13</v>
          </cell>
          <cell r="K55"/>
          <cell r="L55">
            <v>2.8155018217952783</v>
          </cell>
          <cell r="M55">
            <v>2.2337536818851604</v>
          </cell>
          <cell r="N55">
            <v>1.7112232058649222</v>
          </cell>
          <cell r="O55">
            <v>2.395</v>
          </cell>
          <cell r="P55">
            <v>2.5419999999999998</v>
          </cell>
          <cell r="Q55">
            <v>2.2530000000000001</v>
          </cell>
          <cell r="R55">
            <v>2.4119999999999999</v>
          </cell>
          <cell r="S55">
            <v>2.4350000000000001</v>
          </cell>
          <cell r="T55">
            <v>-8.1750000000000007</v>
          </cell>
          <cell r="U55">
            <v>10.269</v>
          </cell>
          <cell r="V55">
            <v>2.8</v>
          </cell>
          <cell r="W55">
            <v>1.8892648492280228</v>
          </cell>
        </row>
        <row r="56">
          <cell r="B56" t="str">
            <v>Estonia</v>
          </cell>
          <cell r="C56">
            <v>1.972770435214799</v>
          </cell>
          <cell r="D56">
            <v>2.6853264084946815</v>
          </cell>
          <cell r="E56">
            <v>2.7928430899179402</v>
          </cell>
          <cell r="G56" t="str">
            <v>B</v>
          </cell>
          <cell r="H56">
            <v>82.267245472231053</v>
          </cell>
          <cell r="I56">
            <v>41</v>
          </cell>
          <cell r="J56">
            <v>27</v>
          </cell>
          <cell r="K56"/>
          <cell r="L56">
            <v>3.1248431915696226</v>
          </cell>
          <cell r="M56">
            <v>1.346187835760732</v>
          </cell>
          <cell r="N56">
            <v>2.9873258188549392</v>
          </cell>
          <cell r="O56">
            <v>1.853</v>
          </cell>
          <cell r="P56">
            <v>3.1549999999999998</v>
          </cell>
          <cell r="Q56">
            <v>5.7919999999999998</v>
          </cell>
          <cell r="R56">
            <v>3.7839999999999998</v>
          </cell>
          <cell r="S56">
            <v>3.74</v>
          </cell>
          <cell r="T56">
            <v>-0.55100000000000005</v>
          </cell>
          <cell r="U56">
            <v>8.0129999999999999</v>
          </cell>
          <cell r="V56">
            <v>-1.2869999999999999</v>
          </cell>
          <cell r="W56">
            <v>2.7390847492063108</v>
          </cell>
        </row>
        <row r="57">
          <cell r="B57" t="str">
            <v>Eswatini</v>
          </cell>
          <cell r="C57">
            <v>2.1841699351578647</v>
          </cell>
          <cell r="D57">
            <v>2.1180367535848621</v>
          </cell>
          <cell r="E57">
            <v>2.094572895591984</v>
          </cell>
          <cell r="G57" t="str">
            <v>D</v>
          </cell>
          <cell r="H57">
            <v>63.876381030610304</v>
          </cell>
          <cell r="I57">
            <v>117</v>
          </cell>
          <cell r="J57">
            <v>27</v>
          </cell>
          <cell r="K57"/>
          <cell r="L57">
            <v>5.3913093065302364</v>
          </cell>
          <cell r="M57">
            <v>3.8622718821819677</v>
          </cell>
          <cell r="N57">
            <v>0.91319649477376841</v>
          </cell>
          <cell r="O57">
            <v>2.2269999999999999</v>
          </cell>
          <cell r="P57">
            <v>1.0629999999999999</v>
          </cell>
          <cell r="Q57">
            <v>2.0270000000000001</v>
          </cell>
          <cell r="R57">
            <v>2.3690000000000002</v>
          </cell>
          <cell r="S57">
            <v>2.7040000000000002</v>
          </cell>
          <cell r="T57">
            <v>-1.56</v>
          </cell>
          <cell r="U57">
            <v>7.883</v>
          </cell>
          <cell r="V57">
            <v>0.46700000000000003</v>
          </cell>
          <cell r="W57">
            <v>2.1063048245884231</v>
          </cell>
        </row>
        <row r="58">
          <cell r="B58" t="str">
            <v>Ethiopia</v>
          </cell>
          <cell r="C58">
            <v>6.0178655257344227</v>
          </cell>
          <cell r="D58">
            <v>6.6428861766961944</v>
          </cell>
          <cell r="E58">
            <v>8.3305963840047514</v>
          </cell>
          <cell r="G58" t="str">
            <v>E</v>
          </cell>
          <cell r="H58">
            <v>58.357971531116526</v>
          </cell>
          <cell r="I58">
            <v>128</v>
          </cell>
          <cell r="J58">
            <v>31</v>
          </cell>
          <cell r="K58"/>
          <cell r="L58">
            <v>8.6478116333741841</v>
          </cell>
          <cell r="M58">
            <v>10.582270048267214</v>
          </cell>
          <cell r="N58">
            <v>10.257492961005118</v>
          </cell>
          <cell r="O58">
            <v>10.4</v>
          </cell>
          <cell r="P58">
            <v>8</v>
          </cell>
          <cell r="Q58">
            <v>10.210000000000001</v>
          </cell>
          <cell r="R58">
            <v>7.7030000000000003</v>
          </cell>
          <cell r="S58">
            <v>9.0370000000000008</v>
          </cell>
          <cell r="T58">
            <v>6.0570000000000004</v>
          </cell>
          <cell r="U58">
            <v>6.2649999999999997</v>
          </cell>
          <cell r="V58">
            <v>6.3579999999999997</v>
          </cell>
          <cell r="W58">
            <v>7.4867412803504729</v>
          </cell>
        </row>
        <row r="59">
          <cell r="B59" t="str">
            <v>Finland</v>
          </cell>
          <cell r="C59">
            <v>0.92513707934396283</v>
          </cell>
          <cell r="D59">
            <v>1.065704979127502</v>
          </cell>
          <cell r="E59">
            <v>1.0351636365421246</v>
          </cell>
          <cell r="G59" t="str">
            <v>A</v>
          </cell>
          <cell r="H59">
            <v>97.443307672167862</v>
          </cell>
          <cell r="I59">
            <v>5</v>
          </cell>
          <cell r="J59">
            <v>3</v>
          </cell>
          <cell r="K59"/>
          <cell r="L59">
            <v>-1.3973545576374944</v>
          </cell>
          <cell r="M59">
            <v>-0.90201849743960727</v>
          </cell>
          <cell r="N59">
            <v>-0.36494028121428063</v>
          </cell>
          <cell r="O59">
            <v>0.54400000000000004</v>
          </cell>
          <cell r="P59">
            <v>2.8109999999999999</v>
          </cell>
          <cell r="Q59">
            <v>3.1920000000000002</v>
          </cell>
          <cell r="R59">
            <v>1.1399999999999999</v>
          </cell>
          <cell r="S59">
            <v>1.224</v>
          </cell>
          <cell r="T59">
            <v>-2.355</v>
          </cell>
          <cell r="U59">
            <v>3.0459999999999998</v>
          </cell>
          <cell r="V59">
            <v>2.0840000000000001</v>
          </cell>
          <cell r="W59">
            <v>1.0504343078348133</v>
          </cell>
        </row>
        <row r="60">
          <cell r="B60" t="str">
            <v>France</v>
          </cell>
          <cell r="C60">
            <v>0.35484098705607092</v>
          </cell>
          <cell r="D60">
            <v>0.85541697677951056</v>
          </cell>
          <cell r="E60">
            <v>1.0299722548507528</v>
          </cell>
          <cell r="G60" t="str">
            <v>A</v>
          </cell>
          <cell r="H60">
            <v>94.937245038342397</v>
          </cell>
          <cell r="I60">
            <v>20</v>
          </cell>
          <cell r="J60">
            <v>13</v>
          </cell>
          <cell r="K60"/>
          <cell r="L60">
            <v>0.31313474167845923</v>
          </cell>
          <cell r="M60">
            <v>0.5763266794418439</v>
          </cell>
          <cell r="N60">
            <v>0.95618304768384532</v>
          </cell>
          <cell r="O60">
            <v>1.0549999999999999</v>
          </cell>
          <cell r="P60">
            <v>0.98199999999999998</v>
          </cell>
          <cell r="Q60">
            <v>2.4489999999999998</v>
          </cell>
          <cell r="R60">
            <v>1.8240000000000001</v>
          </cell>
          <cell r="S60">
            <v>1.8839999999999999</v>
          </cell>
          <cell r="T60">
            <v>-7.907</v>
          </cell>
          <cell r="U60">
            <v>6.77</v>
          </cell>
          <cell r="V60">
            <v>2.6059999999999999</v>
          </cell>
          <cell r="W60">
            <v>0.9426946158151317</v>
          </cell>
        </row>
        <row r="61">
          <cell r="B61" t="str">
            <v>Gabon</v>
          </cell>
          <cell r="C61">
            <v>0.80490169914342324</v>
          </cell>
          <cell r="D61">
            <v>1.4271603442411074</v>
          </cell>
          <cell r="E61">
            <v>2.3419356903168431</v>
          </cell>
          <cell r="G61" t="str">
            <v>E</v>
          </cell>
          <cell r="H61">
            <v>37.219050826761183</v>
          </cell>
          <cell r="I61">
            <v>153</v>
          </cell>
          <cell r="J61">
            <v>46</v>
          </cell>
          <cell r="K61"/>
          <cell r="L61">
            <v>5.251076917504065</v>
          </cell>
          <cell r="M61">
            <v>5.6386990033869457</v>
          </cell>
          <cell r="N61">
            <v>4.3149644410747063</v>
          </cell>
          <cell r="O61">
            <v>3.879</v>
          </cell>
          <cell r="P61">
            <v>2.0910000000000002</v>
          </cell>
          <cell r="Q61">
            <v>0.47299999999999998</v>
          </cell>
          <cell r="R61">
            <v>0.84299999999999997</v>
          </cell>
          <cell r="S61">
            <v>3.915</v>
          </cell>
          <cell r="T61">
            <v>-1.8640000000000001</v>
          </cell>
          <cell r="U61">
            <v>1.484</v>
          </cell>
          <cell r="V61">
            <v>2.8479999999999999</v>
          </cell>
          <cell r="W61">
            <v>1.8845480172789753</v>
          </cell>
        </row>
        <row r="62">
          <cell r="B62" t="str">
            <v>Gambia</v>
          </cell>
          <cell r="C62">
            <v>3.0839257560593802</v>
          </cell>
          <cell r="D62">
            <v>4.5260960958580343</v>
          </cell>
          <cell r="E62">
            <v>3.4750911540431417</v>
          </cell>
          <cell r="G62" t="str">
            <v>D</v>
          </cell>
          <cell r="H62">
            <v>65.416670727464805</v>
          </cell>
          <cell r="I62">
            <v>114</v>
          </cell>
          <cell r="J62">
            <v>26</v>
          </cell>
          <cell r="K62"/>
          <cell r="L62">
            <v>5.2415692463074244</v>
          </cell>
          <cell r="M62">
            <v>2.8727687903269969</v>
          </cell>
          <cell r="N62">
            <v>-1.4073824951095362</v>
          </cell>
          <cell r="O62">
            <v>4.0579999999999998</v>
          </cell>
          <cell r="P62">
            <v>1.9430000000000001</v>
          </cell>
          <cell r="Q62">
            <v>4.8230000000000004</v>
          </cell>
          <cell r="R62">
            <v>7.2350000000000003</v>
          </cell>
          <cell r="S62">
            <v>6.2220000000000004</v>
          </cell>
          <cell r="T62">
            <v>0.59099999999999997</v>
          </cell>
          <cell r="U62">
            <v>4.2649999999999997</v>
          </cell>
          <cell r="V62">
            <v>4.4409999999999998</v>
          </cell>
          <cell r="W62">
            <v>4.0005936249505876</v>
          </cell>
        </row>
        <row r="63">
          <cell r="B63" t="str">
            <v>Georgia</v>
          </cell>
          <cell r="C63">
            <v>4.283743954922925</v>
          </cell>
          <cell r="D63">
            <v>4.5348375618438741</v>
          </cell>
          <cell r="E63">
            <v>4.1477466898679483</v>
          </cell>
          <cell r="G63" t="str">
            <v>B</v>
          </cell>
          <cell r="H63">
            <v>80.727500391697276</v>
          </cell>
          <cell r="I63">
            <v>46</v>
          </cell>
          <cell r="J63">
            <v>31</v>
          </cell>
          <cell r="K63"/>
          <cell r="L63">
            <v>6.3690083063386043</v>
          </cell>
          <cell r="M63">
            <v>3.6213053519627643</v>
          </cell>
          <cell r="N63">
            <v>4.4319248230907649</v>
          </cell>
          <cell r="O63">
            <v>3.0270000000000001</v>
          </cell>
          <cell r="P63">
            <v>2.9060000000000001</v>
          </cell>
          <cell r="Q63">
            <v>4.843</v>
          </cell>
          <cell r="R63">
            <v>4.843</v>
          </cell>
          <cell r="S63">
            <v>4.9820000000000002</v>
          </cell>
          <cell r="T63">
            <v>-6.76</v>
          </cell>
          <cell r="U63">
            <v>10.465999999999999</v>
          </cell>
          <cell r="V63">
            <v>10.109</v>
          </cell>
          <cell r="W63">
            <v>4.3412921258559116</v>
          </cell>
        </row>
        <row r="64">
          <cell r="B64" t="str">
            <v>Germany</v>
          </cell>
          <cell r="C64">
            <v>0.19639292345923209</v>
          </cell>
          <cell r="D64">
            <v>0.54722001304448042</v>
          </cell>
          <cell r="E64">
            <v>1.1791658469401556</v>
          </cell>
          <cell r="G64" t="str">
            <v>A</v>
          </cell>
          <cell r="H64">
            <v>96.79194200114037</v>
          </cell>
          <cell r="I64">
            <v>8</v>
          </cell>
          <cell r="J64">
            <v>6</v>
          </cell>
          <cell r="K64"/>
          <cell r="L64">
            <v>0.41955108005357267</v>
          </cell>
          <cell r="M64">
            <v>0.42824326167218907</v>
          </cell>
          <cell r="N64">
            <v>2.2256887491492803</v>
          </cell>
          <cell r="O64">
            <v>1.4870000000000001</v>
          </cell>
          <cell r="P64">
            <v>2.23</v>
          </cell>
          <cell r="Q64">
            <v>2.68</v>
          </cell>
          <cell r="R64">
            <v>0.98399999999999999</v>
          </cell>
          <cell r="S64">
            <v>1.054</v>
          </cell>
          <cell r="T64">
            <v>-3.6920000000000002</v>
          </cell>
          <cell r="U64">
            <v>2.625</v>
          </cell>
          <cell r="V64">
            <v>1.778</v>
          </cell>
          <cell r="W64">
            <v>0.863192929992318</v>
          </cell>
        </row>
        <row r="65">
          <cell r="B65" t="str">
            <v>Ghana</v>
          </cell>
          <cell r="C65">
            <v>3.0107142168638523</v>
          </cell>
          <cell r="D65">
            <v>4.8285507296226937</v>
          </cell>
          <cell r="E65">
            <v>4.7980640567336197</v>
          </cell>
          <cell r="G65" t="str">
            <v>C</v>
          </cell>
          <cell r="H65">
            <v>69.704517199471169</v>
          </cell>
          <cell r="I65">
            <v>89</v>
          </cell>
          <cell r="J65">
            <v>13</v>
          </cell>
          <cell r="K65"/>
          <cell r="L65">
            <v>9.2927894045967889</v>
          </cell>
          <cell r="M65">
            <v>7.3125250073312458</v>
          </cell>
          <cell r="N65">
            <v>2.8974388369154251</v>
          </cell>
          <cell r="O65">
            <v>2.121</v>
          </cell>
          <cell r="P65">
            <v>3.3730000000000002</v>
          </cell>
          <cell r="Q65">
            <v>8.1289999999999996</v>
          </cell>
          <cell r="R65">
            <v>6.2</v>
          </cell>
          <cell r="S65">
            <v>6.508</v>
          </cell>
          <cell r="T65">
            <v>0.51400000000000001</v>
          </cell>
          <cell r="U65">
            <v>5.3559999999999999</v>
          </cell>
          <cell r="V65">
            <v>3.2189999999999999</v>
          </cell>
          <cell r="W65">
            <v>4.8133073931781567</v>
          </cell>
        </row>
        <row r="66">
          <cell r="B66" t="str">
            <v>Greece</v>
          </cell>
          <cell r="C66">
            <v>1.4800990034344652</v>
          </cell>
          <cell r="D66">
            <v>1.2580147511245698</v>
          </cell>
          <cell r="E66">
            <v>0.45671215262543807</v>
          </cell>
          <cell r="G66" t="str">
            <v>A</v>
          </cell>
          <cell r="H66">
            <v>87.308557455608167</v>
          </cell>
          <cell r="I66">
            <v>31</v>
          </cell>
          <cell r="J66">
            <v>20</v>
          </cell>
          <cell r="K66"/>
          <cell r="L66">
            <v>-7.3004939606978656</v>
          </cell>
          <cell r="M66">
            <v>-3.2414250560129267</v>
          </cell>
          <cell r="N66">
            <v>0.73977713855774985</v>
          </cell>
          <cell r="O66">
            <v>-0.19600000000000001</v>
          </cell>
          <cell r="P66">
            <v>-0.48699999999999999</v>
          </cell>
          <cell r="Q66">
            <v>1.0920000000000001</v>
          </cell>
          <cell r="R66">
            <v>1.6679999999999999</v>
          </cell>
          <cell r="S66">
            <v>1.8839999999999999</v>
          </cell>
          <cell r="T66">
            <v>-9.0039999999999996</v>
          </cell>
          <cell r="U66">
            <v>8.4339999999999993</v>
          </cell>
          <cell r="V66">
            <v>5.9139999999999997</v>
          </cell>
          <cell r="W66">
            <v>0.85736345187500396</v>
          </cell>
        </row>
        <row r="67">
          <cell r="B67" t="str">
            <v>Guatemala</v>
          </cell>
          <cell r="C67">
            <v>3.3306625930319189</v>
          </cell>
          <cell r="D67">
            <v>3.4919746764532578</v>
          </cell>
          <cell r="E67">
            <v>3.5384372691175781</v>
          </cell>
          <cell r="G67" t="str">
            <v>C</v>
          </cell>
          <cell r="H67">
            <v>71.336652243067974</v>
          </cell>
          <cell r="I67">
            <v>82</v>
          </cell>
          <cell r="J67">
            <v>10</v>
          </cell>
          <cell r="K67"/>
          <cell r="L67">
            <v>2.9698574079878068</v>
          </cell>
          <cell r="M67">
            <v>3.6975861001947585</v>
          </cell>
          <cell r="N67">
            <v>4.4439780738522474</v>
          </cell>
          <cell r="O67">
            <v>4.0919999999999996</v>
          </cell>
          <cell r="P67">
            <v>2.6779999999999999</v>
          </cell>
          <cell r="Q67">
            <v>3.08</v>
          </cell>
          <cell r="R67">
            <v>3.407</v>
          </cell>
          <cell r="S67">
            <v>4.0019999999999998</v>
          </cell>
          <cell r="T67">
            <v>-1.764</v>
          </cell>
          <cell r="U67">
            <v>7.9809999999999999</v>
          </cell>
          <cell r="V67">
            <v>4.0090000000000003</v>
          </cell>
          <cell r="W67">
            <v>3.5152059727854179</v>
          </cell>
        </row>
        <row r="68">
          <cell r="B68" t="str">
            <v>Guinea</v>
          </cell>
          <cell r="C68">
            <v>4.3705772513408236</v>
          </cell>
          <cell r="D68">
            <v>4.9898667622307658</v>
          </cell>
          <cell r="E68">
            <v>5.729233966321412</v>
          </cell>
          <cell r="G68" t="str">
            <v>E</v>
          </cell>
          <cell r="H68">
            <v>50.297438492745087</v>
          </cell>
          <cell r="I68">
            <v>138</v>
          </cell>
          <cell r="J68">
            <v>36</v>
          </cell>
          <cell r="K68"/>
          <cell r="L68">
            <v>5.9152881384417997</v>
          </cell>
          <cell r="M68">
            <v>3.9456854305126305</v>
          </cell>
          <cell r="N68">
            <v>3.6965411823164165</v>
          </cell>
          <cell r="O68">
            <v>3.8260000000000001</v>
          </cell>
          <cell r="P68">
            <v>10.821</v>
          </cell>
          <cell r="Q68">
            <v>10.3</v>
          </cell>
          <cell r="R68">
            <v>6.3579999999999997</v>
          </cell>
          <cell r="S68">
            <v>5.617</v>
          </cell>
          <cell r="T68">
            <v>4.92</v>
          </cell>
          <cell r="U68">
            <v>4.2919999999999998</v>
          </cell>
          <cell r="V68">
            <v>4.2939999999999996</v>
          </cell>
          <cell r="W68">
            <v>5.3595503642760889</v>
          </cell>
        </row>
        <row r="69">
          <cell r="B69" t="str">
            <v>Guinea-Bissau</v>
          </cell>
          <cell r="C69">
            <v>1.5927018196488341</v>
          </cell>
          <cell r="D69">
            <v>2.1053991541019057</v>
          </cell>
          <cell r="E69">
            <v>3.2889383993762955</v>
          </cell>
          <cell r="G69" t="str">
            <v>E</v>
          </cell>
          <cell r="H69">
            <v>54.70982708603303</v>
          </cell>
          <cell r="I69">
            <v>134</v>
          </cell>
          <cell r="J69">
            <v>34</v>
          </cell>
          <cell r="K69"/>
          <cell r="L69">
            <v>-1.7126830118107121</v>
          </cell>
          <cell r="M69">
            <v>3.255904265176933</v>
          </cell>
          <cell r="N69">
            <v>0.96456075098132787</v>
          </cell>
          <cell r="O69">
            <v>6.1340000000000003</v>
          </cell>
          <cell r="P69">
            <v>5.3070000000000004</v>
          </cell>
          <cell r="Q69">
            <v>4.7889999999999997</v>
          </cell>
          <cell r="R69">
            <v>3.7610000000000001</v>
          </cell>
          <cell r="S69">
            <v>4.5</v>
          </cell>
          <cell r="T69">
            <v>1.5</v>
          </cell>
          <cell r="U69">
            <v>6.4</v>
          </cell>
          <cell r="V69">
            <v>3.5</v>
          </cell>
          <cell r="W69">
            <v>2.6971687767391006</v>
          </cell>
        </row>
        <row r="70">
          <cell r="B70" t="str">
            <v>Guyana</v>
          </cell>
          <cell r="C70">
            <v>40.872083180158647</v>
          </cell>
          <cell r="D70">
            <v>25.198248131969379</v>
          </cell>
          <cell r="E70">
            <v>13.395686805616647</v>
          </cell>
          <cell r="G70" t="str">
            <v>E</v>
          </cell>
          <cell r="H70">
            <v>56.740934863022261</v>
          </cell>
          <cell r="I70">
            <v>129</v>
          </cell>
          <cell r="J70">
            <v>21</v>
          </cell>
          <cell r="K70"/>
          <cell r="L70">
            <v>5.3836234687298372</v>
          </cell>
          <cell r="M70">
            <v>3.6535047680067998</v>
          </cell>
          <cell r="N70">
            <v>1.6860277321410588</v>
          </cell>
          <cell r="O70">
            <v>0.68700000000000006</v>
          </cell>
          <cell r="P70">
            <v>3.8069999999999999</v>
          </cell>
          <cell r="Q70">
            <v>3.734</v>
          </cell>
          <cell r="R70">
            <v>4.4409999999999998</v>
          </cell>
          <cell r="S70">
            <v>5.3529999999999998</v>
          </cell>
          <cell r="T70">
            <v>43.48</v>
          </cell>
          <cell r="U70">
            <v>20.059999999999999</v>
          </cell>
          <cell r="V70">
            <v>62.287999999999997</v>
          </cell>
          <cell r="W70">
            <v>19.296967468793014</v>
          </cell>
        </row>
        <row r="71">
          <cell r="B71" t="str">
            <v>Haiti</v>
          </cell>
          <cell r="C71">
            <v>-0.34574931867293879</v>
          </cell>
          <cell r="D71">
            <v>0.64565822904871784</v>
          </cell>
          <cell r="E71">
            <v>2.5156599586003026</v>
          </cell>
          <cell r="G71" t="str">
            <v>E</v>
          </cell>
          <cell r="H71">
            <v>54.401198784391461</v>
          </cell>
          <cell r="I71">
            <v>135</v>
          </cell>
          <cell r="J71">
            <v>22</v>
          </cell>
          <cell r="K71"/>
          <cell r="L71">
            <v>-7.4695954800602468E-2</v>
          </cell>
          <cell r="M71">
            <v>9.2111856449685803</v>
          </cell>
          <cell r="N71">
            <v>1.9148137793287729</v>
          </cell>
          <cell r="O71">
            <v>2.5630000000000002</v>
          </cell>
          <cell r="P71">
            <v>1.8120000000000001</v>
          </cell>
          <cell r="Q71">
            <v>2.5099999999999998</v>
          </cell>
          <cell r="R71">
            <v>1.6679999999999999</v>
          </cell>
          <cell r="S71">
            <v>-1.6850000000000001</v>
          </cell>
          <cell r="T71">
            <v>-3.343</v>
          </cell>
          <cell r="U71">
            <v>-1.798</v>
          </cell>
          <cell r="V71">
            <v>-1.6819999999999999</v>
          </cell>
          <cell r="W71">
            <v>1.5806590938245102</v>
          </cell>
        </row>
        <row r="72">
          <cell r="B72" t="str">
            <v>Honduras</v>
          </cell>
          <cell r="C72">
            <v>2.1352529558121391</v>
          </cell>
          <cell r="D72">
            <v>2.5786313755856494</v>
          </cell>
          <cell r="E72">
            <v>3.1291474397337593</v>
          </cell>
          <cell r="G72" t="str">
            <v>E</v>
          </cell>
          <cell r="H72">
            <v>39.565152370912173</v>
          </cell>
          <cell r="I72">
            <v>152</v>
          </cell>
          <cell r="J72">
            <v>24</v>
          </cell>
          <cell r="K72"/>
          <cell r="L72">
            <v>4.1286877486693667</v>
          </cell>
          <cell r="M72">
            <v>2.7915597574680358</v>
          </cell>
          <cell r="N72">
            <v>3.0580805621437066</v>
          </cell>
          <cell r="O72">
            <v>3.84</v>
          </cell>
          <cell r="P72">
            <v>3.8929999999999998</v>
          </cell>
          <cell r="Q72">
            <v>4.843</v>
          </cell>
          <cell r="R72">
            <v>3.8450000000000002</v>
          </cell>
          <cell r="S72">
            <v>2.653</v>
          </cell>
          <cell r="T72">
            <v>-8.9649999999999999</v>
          </cell>
          <cell r="U72">
            <v>12.534000000000001</v>
          </cell>
          <cell r="V72">
            <v>4</v>
          </cell>
          <cell r="W72">
            <v>2.8538894076597043</v>
          </cell>
        </row>
        <row r="73">
          <cell r="B73" t="str">
            <v>Hong Kong</v>
          </cell>
          <cell r="C73">
            <v>-1.3866109004180949</v>
          </cell>
          <cell r="D73">
            <v>-0.61127068207094126</v>
          </cell>
          <cell r="E73">
            <v>1.1000622223137801</v>
          </cell>
          <cell r="G73" t="str">
            <v>A</v>
          </cell>
          <cell r="H73">
            <v>95.561927385722356</v>
          </cell>
          <cell r="I73">
            <v>18</v>
          </cell>
          <cell r="J73">
            <v>5</v>
          </cell>
          <cell r="K73"/>
          <cell r="L73">
            <v>1.7002747714417163</v>
          </cell>
          <cell r="M73">
            <v>3.1015497799994041</v>
          </cell>
          <cell r="N73">
            <v>2.7623919976975242</v>
          </cell>
          <cell r="O73">
            <v>2.3879999999999999</v>
          </cell>
          <cell r="P73">
            <v>2.1749999999999998</v>
          </cell>
          <cell r="Q73">
            <v>3.7959999999999998</v>
          </cell>
          <cell r="R73">
            <v>2.847</v>
          </cell>
          <cell r="S73">
            <v>-1.6719999999999999</v>
          </cell>
          <cell r="T73">
            <v>-6.5449999999999999</v>
          </cell>
          <cell r="U73">
            <v>6.4480000000000004</v>
          </cell>
          <cell r="V73">
            <v>-3.5070000000000001</v>
          </cell>
          <cell r="W73">
            <v>0.24439577012141944</v>
          </cell>
        </row>
        <row r="74">
          <cell r="B74" t="str">
            <v>Hungary</v>
          </cell>
          <cell r="C74">
            <v>2.362570497371097</v>
          </cell>
          <cell r="D74">
            <v>3.4329643388785636</v>
          </cell>
          <cell r="E74">
            <v>3.366609258538622</v>
          </cell>
          <cell r="G74" t="str">
            <v>C</v>
          </cell>
          <cell r="H74">
            <v>75.842312832768172</v>
          </cell>
          <cell r="I74">
            <v>67</v>
          </cell>
          <cell r="J74">
            <v>37</v>
          </cell>
          <cell r="K74"/>
          <cell r="L74">
            <v>-1.4717888510830746</v>
          </cell>
          <cell r="M74">
            <v>1.9629840486290608</v>
          </cell>
          <cell r="N74">
            <v>4.1950824094780925</v>
          </cell>
          <cell r="O74">
            <v>3.7069999999999999</v>
          </cell>
          <cell r="P74">
            <v>2.2010000000000001</v>
          </cell>
          <cell r="Q74">
            <v>4.2720000000000002</v>
          </cell>
          <cell r="R74">
            <v>5.3620000000000001</v>
          </cell>
          <cell r="S74">
            <v>4.8579999999999997</v>
          </cell>
          <cell r="T74">
            <v>-4.5469999999999997</v>
          </cell>
          <cell r="U74">
            <v>7.117</v>
          </cell>
          <cell r="V74">
            <v>4.9000000000000004</v>
          </cell>
          <cell r="W74">
            <v>3.3997867987085928</v>
          </cell>
        </row>
        <row r="75">
          <cell r="B75" t="str">
            <v>Iceland</v>
          </cell>
          <cell r="C75">
            <v>1.1623871589995449</v>
          </cell>
          <cell r="D75">
            <v>2.1481166990517275</v>
          </cell>
          <cell r="E75">
            <v>3.1810733517810608</v>
          </cell>
          <cell r="G75" t="str">
            <v>A</v>
          </cell>
          <cell r="H75">
            <v>95.11269526919466</v>
          </cell>
          <cell r="I75">
            <v>19</v>
          </cell>
          <cell r="J75">
            <v>12</v>
          </cell>
          <cell r="K75"/>
          <cell r="L75">
            <v>1.0636366074376145</v>
          </cell>
          <cell r="M75">
            <v>4.5524603201510816</v>
          </cell>
          <cell r="N75">
            <v>1.687215017506406</v>
          </cell>
          <cell r="O75">
            <v>4.4370000000000003</v>
          </cell>
          <cell r="P75">
            <v>6.3040000000000003</v>
          </cell>
          <cell r="Q75">
            <v>4.1950000000000003</v>
          </cell>
          <cell r="R75">
            <v>4.8890000000000002</v>
          </cell>
          <cell r="S75">
            <v>1.8049999999999999</v>
          </cell>
          <cell r="T75">
            <v>-7.242</v>
          </cell>
          <cell r="U75">
            <v>4.3330000000000002</v>
          </cell>
          <cell r="V75">
            <v>6.4450000000000003</v>
          </cell>
          <cell r="W75">
            <v>2.6645950254163941</v>
          </cell>
        </row>
        <row r="76">
          <cell r="B76" t="str">
            <v>India</v>
          </cell>
          <cell r="C76">
            <v>2.7398620097403459</v>
          </cell>
          <cell r="D76">
            <v>3.6623835250989556</v>
          </cell>
          <cell r="E76">
            <v>5.5227254922200597</v>
          </cell>
          <cell r="G76" t="str">
            <v>D</v>
          </cell>
          <cell r="H76">
            <v>66.198052259063019</v>
          </cell>
          <cell r="I76">
            <v>109</v>
          </cell>
          <cell r="J76">
            <v>21</v>
          </cell>
          <cell r="K76"/>
          <cell r="L76">
            <v>5.4563589507228496</v>
          </cell>
          <cell r="M76">
            <v>6.3861064009482602</v>
          </cell>
          <cell r="N76">
            <v>7.410227605088517</v>
          </cell>
          <cell r="O76">
            <v>7.9960000000000004</v>
          </cell>
          <cell r="P76">
            <v>8.2560000000000002</v>
          </cell>
          <cell r="Q76">
            <v>6.7949999999999999</v>
          </cell>
          <cell r="R76">
            <v>6.4539999999999997</v>
          </cell>
          <cell r="S76">
            <v>3.871</v>
          </cell>
          <cell r="T76">
            <v>-5.8310000000000004</v>
          </cell>
          <cell r="U76">
            <v>9.0500000000000007</v>
          </cell>
          <cell r="V76">
            <v>6.8310000000000004</v>
          </cell>
          <cell r="W76">
            <v>4.5925545086595072</v>
          </cell>
        </row>
        <row r="77">
          <cell r="B77" t="str">
            <v>Indonesia</v>
          </cell>
          <cell r="C77">
            <v>2.2622053552423305</v>
          </cell>
          <cell r="D77">
            <v>3.3867361875690394</v>
          </cell>
          <cell r="E77">
            <v>4.2439953782461792</v>
          </cell>
          <cell r="G77" t="str">
            <v>C</v>
          </cell>
          <cell r="H77">
            <v>71.158529876167961</v>
          </cell>
          <cell r="I77">
            <v>83</v>
          </cell>
          <cell r="J77">
            <v>14</v>
          </cell>
          <cell r="K77"/>
          <cell r="L77">
            <v>6.0300506530561035</v>
          </cell>
          <cell r="M77">
            <v>5.5572636889101181</v>
          </cell>
          <cell r="N77">
            <v>5.0066684257549943</v>
          </cell>
          <cell r="O77">
            <v>4.8760000000000003</v>
          </cell>
          <cell r="P77">
            <v>5.0330000000000004</v>
          </cell>
          <cell r="Q77">
            <v>5.07</v>
          </cell>
          <cell r="R77">
            <v>5.1740000000000004</v>
          </cell>
          <cell r="S77">
            <v>5.0190000000000001</v>
          </cell>
          <cell r="T77">
            <v>-2.0659999999999998</v>
          </cell>
          <cell r="U77">
            <v>3.7029999999999998</v>
          </cell>
          <cell r="V77">
            <v>5.3090000000000002</v>
          </cell>
          <cell r="W77">
            <v>3.8153657829076093</v>
          </cell>
        </row>
        <row r="78">
          <cell r="B78" t="str">
            <v>Ireland</v>
          </cell>
          <cell r="C78">
            <v>10.534737934438866</v>
          </cell>
          <cell r="D78">
            <v>8.9900271540683807</v>
          </cell>
          <cell r="E78">
            <v>9.0332345891797274</v>
          </cell>
          <cell r="G78" t="str">
            <v>A</v>
          </cell>
          <cell r="H78">
            <v>96.106887509545572</v>
          </cell>
          <cell r="I78">
            <v>12</v>
          </cell>
          <cell r="J78">
            <v>9</v>
          </cell>
          <cell r="K78"/>
          <cell r="L78">
            <v>0.22571484300232808</v>
          </cell>
          <cell r="M78">
            <v>1.3516340039407124</v>
          </cell>
          <cell r="N78">
            <v>8.5566879851340367</v>
          </cell>
          <cell r="O78">
            <v>24.370999999999999</v>
          </cell>
          <cell r="P78">
            <v>2.0070000000000001</v>
          </cell>
          <cell r="Q78">
            <v>9.0050000000000008</v>
          </cell>
          <cell r="R78">
            <v>8.5280000000000005</v>
          </cell>
          <cell r="S78">
            <v>5.4409999999999998</v>
          </cell>
          <cell r="T78">
            <v>6.1840000000000002</v>
          </cell>
          <cell r="U78">
            <v>13.587999999999999</v>
          </cell>
          <cell r="V78">
            <v>11.97</v>
          </cell>
          <cell r="W78">
            <v>9.0116308716240532</v>
          </cell>
        </row>
        <row r="79">
          <cell r="B79" t="str">
            <v>Israel</v>
          </cell>
          <cell r="C79">
            <v>4.2964072248328211</v>
          </cell>
          <cell r="D79">
            <v>4.3056817639917977</v>
          </cell>
          <cell r="E79">
            <v>3.9225915638386066</v>
          </cell>
          <cell r="G79" t="str">
            <v>A</v>
          </cell>
          <cell r="H79">
            <v>91.08708937267636</v>
          </cell>
          <cell r="I79">
            <v>24</v>
          </cell>
          <cell r="J79">
            <v>2</v>
          </cell>
          <cell r="K79"/>
          <cell r="L79">
            <v>2.2572375479441442</v>
          </cell>
          <cell r="M79">
            <v>4.1480545517150818</v>
          </cell>
          <cell r="N79">
            <v>3.7582001903069706</v>
          </cell>
          <cell r="O79">
            <v>2.4860000000000002</v>
          </cell>
          <cell r="P79">
            <v>4.5220000000000002</v>
          </cell>
          <cell r="Q79">
            <v>4.2759999999999998</v>
          </cell>
          <cell r="R79">
            <v>4.07</v>
          </cell>
          <cell r="S79">
            <v>4.1559999999999997</v>
          </cell>
          <cell r="T79">
            <v>-1.857</v>
          </cell>
          <cell r="U79">
            <v>8.6120000000000001</v>
          </cell>
          <cell r="V79">
            <v>6.4320000000000004</v>
          </cell>
          <cell r="W79">
            <v>4.1141366639152022</v>
          </cell>
        </row>
        <row r="80">
          <cell r="B80" t="str">
            <v>Italy</v>
          </cell>
          <cell r="C80">
            <v>0.2182802501019987</v>
          </cell>
          <cell r="D80">
            <v>0.31439174572445161</v>
          </cell>
          <cell r="E80">
            <v>0.34271436280863821</v>
          </cell>
          <cell r="G80" t="str">
            <v>A</v>
          </cell>
          <cell r="H80">
            <v>88.947746010825512</v>
          </cell>
          <cell r="I80">
            <v>29</v>
          </cell>
          <cell r="J80">
            <v>18</v>
          </cell>
          <cell r="K80"/>
          <cell r="L80">
            <v>-2.9809057682377182</v>
          </cell>
          <cell r="M80">
            <v>-1.8410654508824811</v>
          </cell>
          <cell r="N80">
            <v>-4.5475423638333965E-3</v>
          </cell>
          <cell r="O80">
            <v>0.77800000000000002</v>
          </cell>
          <cell r="P80">
            <v>1.2929999999999999</v>
          </cell>
          <cell r="Q80">
            <v>1.6679999999999999</v>
          </cell>
          <cell r="R80">
            <v>0.92600000000000005</v>
          </cell>
          <cell r="S80">
            <v>0.48299999999999998</v>
          </cell>
          <cell r="T80">
            <v>-8.9789999999999992</v>
          </cell>
          <cell r="U80">
            <v>6.9870000000000001</v>
          </cell>
          <cell r="V80">
            <v>3.6749999999999998</v>
          </cell>
          <cell r="W80">
            <v>0.32855305426654491</v>
          </cell>
        </row>
        <row r="81">
          <cell r="B81" t="str">
            <v>Jamaica</v>
          </cell>
          <cell r="C81">
            <v>-0.70306474958997667</v>
          </cell>
          <cell r="D81">
            <v>0.12887839009743107</v>
          </cell>
          <cell r="E81">
            <v>0.51362317164571625</v>
          </cell>
          <cell r="G81" t="str">
            <v>E</v>
          </cell>
          <cell r="H81">
            <v>53.312824662633638</v>
          </cell>
          <cell r="I81">
            <v>137</v>
          </cell>
          <cell r="J81">
            <v>23</v>
          </cell>
          <cell r="K81"/>
          <cell r="L81">
            <v>-0.61363603986913318</v>
          </cell>
          <cell r="M81">
            <v>0.51768601280242099</v>
          </cell>
          <cell r="N81">
            <v>0.68982235737431619</v>
          </cell>
          <cell r="O81">
            <v>0.86899999999999999</v>
          </cell>
          <cell r="P81">
            <v>1.498</v>
          </cell>
          <cell r="Q81">
            <v>0.67900000000000005</v>
          </cell>
          <cell r="R81">
            <v>1.827</v>
          </cell>
          <cell r="S81">
            <v>0.97</v>
          </cell>
          <cell r="T81">
            <v>-9.92</v>
          </cell>
          <cell r="U81">
            <v>4.601</v>
          </cell>
          <cell r="V81">
            <v>4</v>
          </cell>
          <cell r="W81">
            <v>0.32125078087157366</v>
          </cell>
        </row>
        <row r="82">
          <cell r="B82" t="str">
            <v>Japan</v>
          </cell>
          <cell r="C82">
            <v>-0.63095756344230258</v>
          </cell>
          <cell r="D82">
            <v>2.4039609383130767E-3</v>
          </cell>
          <cell r="E82">
            <v>0.62673306790392846</v>
          </cell>
          <cell r="G82" t="str">
            <v>A</v>
          </cell>
          <cell r="H82">
            <v>96.063700314273362</v>
          </cell>
          <cell r="I82">
            <v>13</v>
          </cell>
          <cell r="J82">
            <v>4</v>
          </cell>
          <cell r="K82"/>
          <cell r="L82">
            <v>1.495089585949261</v>
          </cell>
          <cell r="M82">
            <v>2.0002678411015018</v>
          </cell>
          <cell r="N82">
            <v>0.3747194763313248</v>
          </cell>
          <cell r="O82">
            <v>1.5609999999999999</v>
          </cell>
          <cell r="P82">
            <v>0.754</v>
          </cell>
          <cell r="Q82">
            <v>1.675</v>
          </cell>
          <cell r="R82">
            <v>0.64300000000000002</v>
          </cell>
          <cell r="S82">
            <v>-0.40200000000000002</v>
          </cell>
          <cell r="T82">
            <v>-4.2789999999999999</v>
          </cell>
          <cell r="U82">
            <v>2.145</v>
          </cell>
          <cell r="V82">
            <v>1.075</v>
          </cell>
          <cell r="W82">
            <v>0.31456851442112077</v>
          </cell>
        </row>
        <row r="83">
          <cell r="B83" t="str">
            <v>Jordan</v>
          </cell>
          <cell r="C83">
            <v>1.1049470799269878</v>
          </cell>
          <cell r="D83">
            <v>1.8757952650954479</v>
          </cell>
          <cell r="E83">
            <v>2.1806440475090172</v>
          </cell>
          <cell r="G83" t="str">
            <v>B</v>
          </cell>
          <cell r="H83">
            <v>79.514216326138751</v>
          </cell>
          <cell r="I83">
            <v>53</v>
          </cell>
          <cell r="J83">
            <v>5</v>
          </cell>
          <cell r="K83"/>
          <cell r="L83">
            <v>2.6511707480297244</v>
          </cell>
          <cell r="M83">
            <v>2.8287666404585154</v>
          </cell>
          <cell r="N83">
            <v>3.0963303471105994</v>
          </cell>
          <cell r="O83">
            <v>2.496</v>
          </cell>
          <cell r="P83">
            <v>1.994</v>
          </cell>
          <cell r="Q83">
            <v>2.4740000000000002</v>
          </cell>
          <cell r="R83">
            <v>1.919</v>
          </cell>
          <cell r="S83">
            <v>1.927</v>
          </cell>
          <cell r="T83">
            <v>-1.57</v>
          </cell>
          <cell r="U83">
            <v>2.2280000000000002</v>
          </cell>
          <cell r="V83">
            <v>2.7109999999999999</v>
          </cell>
          <cell r="W83">
            <v>2.0282196563022326</v>
          </cell>
        </row>
        <row r="84">
          <cell r="B84" t="str">
            <v>Kazakhstan</v>
          </cell>
          <cell r="C84">
            <v>1.6270169093285825</v>
          </cell>
          <cell r="D84">
            <v>2.6878144462378906</v>
          </cell>
          <cell r="E84">
            <v>2.9947418753666133</v>
          </cell>
          <cell r="G84" t="str">
            <v>C</v>
          </cell>
          <cell r="H84">
            <v>70.400737065727981</v>
          </cell>
          <cell r="I84">
            <v>88</v>
          </cell>
          <cell r="J84">
            <v>16</v>
          </cell>
          <cell r="K84"/>
          <cell r="L84">
            <v>4.7999999999927256</v>
          </cell>
          <cell r="M84">
            <v>5.9999999992556203</v>
          </cell>
          <cell r="N84">
            <v>4.2000000006304088</v>
          </cell>
          <cell r="O84">
            <v>1</v>
          </cell>
          <cell r="P84">
            <v>0.9</v>
          </cell>
          <cell r="Q84">
            <v>3.9009999999999998</v>
          </cell>
          <cell r="R84">
            <v>4.0999999999999996</v>
          </cell>
          <cell r="S84">
            <v>4.5</v>
          </cell>
          <cell r="T84">
            <v>-2.6</v>
          </cell>
          <cell r="U84">
            <v>4.0999999999999996</v>
          </cell>
          <cell r="V84">
            <v>3.214</v>
          </cell>
          <cell r="W84">
            <v>2.8412781608022519</v>
          </cell>
        </row>
        <row r="85">
          <cell r="B85" t="str">
            <v>Kenya</v>
          </cell>
          <cell r="C85">
            <v>4.1600595320631983</v>
          </cell>
          <cell r="D85">
            <v>5.4481436952905637</v>
          </cell>
          <cell r="E85">
            <v>5.4875646773576481</v>
          </cell>
          <cell r="G85" t="str">
            <v>D</v>
          </cell>
          <cell r="H85">
            <v>68.853006787769303</v>
          </cell>
          <cell r="I85">
            <v>97</v>
          </cell>
          <cell r="J85">
            <v>18</v>
          </cell>
          <cell r="K85"/>
          <cell r="L85">
            <v>4.5632091307112006</v>
          </cell>
          <cell r="M85">
            <v>5.8786805667541637</v>
          </cell>
          <cell r="N85">
            <v>5.3571256444996713</v>
          </cell>
          <cell r="O85">
            <v>4.968</v>
          </cell>
          <cell r="P85">
            <v>4.2140000000000004</v>
          </cell>
          <cell r="Q85">
            <v>3.8159999999999998</v>
          </cell>
          <cell r="R85">
            <v>5.6710000000000003</v>
          </cell>
          <cell r="S85">
            <v>5.1139999999999999</v>
          </cell>
          <cell r="T85">
            <v>-0.25</v>
          </cell>
          <cell r="U85">
            <v>7.5170000000000003</v>
          </cell>
          <cell r="V85">
            <v>5.3689999999999998</v>
          </cell>
          <cell r="W85">
            <v>5.4678541863241055</v>
          </cell>
        </row>
        <row r="86">
          <cell r="B86" t="str">
            <v>Korea, Rep.</v>
          </cell>
          <cell r="C86">
            <v>1.9788311578699647</v>
          </cell>
          <cell r="D86">
            <v>2.1951704861675969</v>
          </cell>
          <cell r="E86">
            <v>2.6249033043728831</v>
          </cell>
          <cell r="G86" t="str">
            <v>A</v>
          </cell>
          <cell r="H86">
            <v>90.58627012288828</v>
          </cell>
          <cell r="I86">
            <v>26</v>
          </cell>
          <cell r="J86">
            <v>6</v>
          </cell>
          <cell r="K86"/>
          <cell r="L86">
            <v>2.4025309924618736</v>
          </cell>
          <cell r="M86">
            <v>3.1647086364718322</v>
          </cell>
          <cell r="N86">
            <v>3.2024537945736018</v>
          </cell>
          <cell r="O86">
            <v>2.8090000000000002</v>
          </cell>
          <cell r="P86">
            <v>2.9470000000000001</v>
          </cell>
          <cell r="Q86">
            <v>3.16</v>
          </cell>
          <cell r="R86">
            <v>2.907</v>
          </cell>
          <cell r="S86">
            <v>2.2440000000000002</v>
          </cell>
          <cell r="T86">
            <v>-0.70899999999999996</v>
          </cell>
          <cell r="U86">
            <v>4.1449999999999996</v>
          </cell>
          <cell r="V86">
            <v>2.5609999999999999</v>
          </cell>
          <cell r="W86">
            <v>2.41003689527024</v>
          </cell>
        </row>
        <row r="87">
          <cell r="B87" t="str">
            <v>Kuwait</v>
          </cell>
          <cell r="C87">
            <v>2.9560258753336122E-2</v>
          </cell>
          <cell r="D87">
            <v>0.3483533742255629</v>
          </cell>
          <cell r="E87">
            <v>0.20315822263521355</v>
          </cell>
          <cell r="G87" t="str">
            <v>D</v>
          </cell>
          <cell r="H87">
            <v>67.205820265011681</v>
          </cell>
          <cell r="I87">
            <v>105</v>
          </cell>
          <cell r="J87">
            <v>10</v>
          </cell>
          <cell r="K87"/>
          <cell r="L87">
            <v>6.6258183001417628</v>
          </cell>
          <cell r="M87">
            <v>1.1493004370652051</v>
          </cell>
          <cell r="N87">
            <v>0.5008769821586383</v>
          </cell>
          <cell r="O87">
            <v>0.59299999999999997</v>
          </cell>
          <cell r="P87">
            <v>2.9260000000000002</v>
          </cell>
          <cell r="Q87">
            <v>-4.7140000000000004</v>
          </cell>
          <cell r="R87">
            <v>2.4369999999999998</v>
          </cell>
          <cell r="S87">
            <v>-0.55200000000000005</v>
          </cell>
          <cell r="T87">
            <v>-8.8550000000000004</v>
          </cell>
          <cell r="U87">
            <v>1.3080000000000001</v>
          </cell>
          <cell r="V87">
            <v>8.1769999999999996</v>
          </cell>
          <cell r="W87">
            <v>0.27575579843038822</v>
          </cell>
        </row>
        <row r="88">
          <cell r="B88" t="str">
            <v>Kyrgyzstan</v>
          </cell>
          <cell r="C88">
            <v>0.51489333561212103</v>
          </cell>
          <cell r="D88">
            <v>1.9645834232370651</v>
          </cell>
          <cell r="E88">
            <v>3.7392958747352045</v>
          </cell>
          <cell r="G88" t="str">
            <v>C</v>
          </cell>
          <cell r="H88">
            <v>70.898067394091115</v>
          </cell>
          <cell r="I88">
            <v>86</v>
          </cell>
          <cell r="J88">
            <v>15</v>
          </cell>
          <cell r="K88"/>
          <cell r="L88">
            <v>-8.8150201010635656E-2</v>
          </cell>
          <cell r="M88">
            <v>10.915469454314421</v>
          </cell>
          <cell r="N88">
            <v>4.024038625768628</v>
          </cell>
          <cell r="O88">
            <v>3.8759999999999999</v>
          </cell>
          <cell r="P88">
            <v>4.3360000000000003</v>
          </cell>
          <cell r="Q88">
            <v>4.74</v>
          </cell>
          <cell r="R88">
            <v>3.4590000000000001</v>
          </cell>
          <cell r="S88">
            <v>4.601</v>
          </cell>
          <cell r="T88">
            <v>-8.6170000000000009</v>
          </cell>
          <cell r="U88">
            <v>3.742</v>
          </cell>
          <cell r="V88">
            <v>7</v>
          </cell>
          <cell r="W88">
            <v>2.8519396489861348</v>
          </cell>
        </row>
        <row r="89">
          <cell r="B89" t="str">
            <v>Laos</v>
          </cell>
          <cell r="C89">
            <v>1.7571611332634074</v>
          </cell>
          <cell r="D89">
            <v>3.3757795121775569</v>
          </cell>
          <cell r="E89">
            <v>5.3509947789500245</v>
          </cell>
          <cell r="G89" t="str">
            <v>E</v>
          </cell>
          <cell r="H89">
            <v>58.394766440551741</v>
          </cell>
          <cell r="I89">
            <v>127</v>
          </cell>
          <cell r="J89">
            <v>26</v>
          </cell>
          <cell r="K89"/>
          <cell r="L89">
            <v>8.0260984340408665</v>
          </cell>
          <cell r="M89">
            <v>8.0263002263775007</v>
          </cell>
          <cell r="N89">
            <v>7.6119634407438159</v>
          </cell>
          <cell r="O89">
            <v>7.27</v>
          </cell>
          <cell r="P89">
            <v>7.0229999999999997</v>
          </cell>
          <cell r="Q89">
            <v>6.851</v>
          </cell>
          <cell r="R89">
            <v>6.2889999999999997</v>
          </cell>
          <cell r="S89">
            <v>4.6520000000000001</v>
          </cell>
          <cell r="T89">
            <v>-0.435</v>
          </cell>
          <cell r="U89">
            <v>2.0609999999999999</v>
          </cell>
          <cell r="V89">
            <v>2.2519999999999998</v>
          </cell>
          <cell r="W89">
            <v>4.3633871455637907</v>
          </cell>
        </row>
        <row r="90">
          <cell r="B90" t="str">
            <v>Latvia</v>
          </cell>
          <cell r="C90">
            <v>1.2465800540070626</v>
          </cell>
          <cell r="D90">
            <v>2.186383184955365</v>
          </cell>
          <cell r="E90">
            <v>2.3979634558628948</v>
          </cell>
          <cell r="G90" t="str">
            <v>B</v>
          </cell>
          <cell r="H90">
            <v>81.044610107182237</v>
          </cell>
          <cell r="I90">
            <v>44</v>
          </cell>
          <cell r="J90">
            <v>29</v>
          </cell>
          <cell r="K90"/>
          <cell r="L90">
            <v>4.1342316499835752</v>
          </cell>
          <cell r="M90">
            <v>2.3280042634440163</v>
          </cell>
          <cell r="N90">
            <v>1.9151903779433241</v>
          </cell>
          <cell r="O90">
            <v>3.8849999999999998</v>
          </cell>
          <cell r="P90">
            <v>2.3690000000000002</v>
          </cell>
          <cell r="Q90">
            <v>3.3119999999999998</v>
          </cell>
          <cell r="R90">
            <v>3.992</v>
          </cell>
          <cell r="S90">
            <v>2.57</v>
          </cell>
          <cell r="T90">
            <v>-2.2029999999999998</v>
          </cell>
          <cell r="U90">
            <v>4.0640000000000001</v>
          </cell>
          <cell r="V90">
            <v>1.976</v>
          </cell>
          <cell r="W90">
            <v>2.2921733204091299</v>
          </cell>
        </row>
        <row r="91">
          <cell r="B91" t="str">
            <v>Lebanon</v>
          </cell>
          <cell r="C91">
            <v>-11.570507599610414</v>
          </cell>
          <cell r="D91">
            <v>-8.8972805759156888</v>
          </cell>
          <cell r="E91">
            <v>-3.6804003540223951</v>
          </cell>
          <cell r="G91" t="str">
            <v>C</v>
          </cell>
          <cell r="H91">
            <v>70.925074776605015</v>
          </cell>
          <cell r="I91">
            <v>85</v>
          </cell>
          <cell r="J91">
            <v>9</v>
          </cell>
          <cell r="K91"/>
          <cell r="L91">
            <v>2.5405417890992656</v>
          </cell>
          <cell r="M91">
            <v>3.8110224147865268</v>
          </cell>
          <cell r="N91">
            <v>2.4536595719223264</v>
          </cell>
          <cell r="O91">
            <v>0.46100000000000002</v>
          </cell>
          <cell r="P91">
            <v>1.556</v>
          </cell>
          <cell r="Q91">
            <v>0.90300000000000002</v>
          </cell>
          <cell r="R91">
            <v>-1.885</v>
          </cell>
          <cell r="S91">
            <v>-6.915</v>
          </cell>
          <cell r="T91">
            <v>-25.907</v>
          </cell>
          <cell r="U91">
            <v>-5.4</v>
          </cell>
          <cell r="V91">
            <v>-5.4</v>
          </cell>
          <cell r="W91">
            <v>-6.2888404649690415</v>
          </cell>
        </row>
        <row r="92">
          <cell r="B92" t="str">
            <v>Lesotho</v>
          </cell>
          <cell r="C92">
            <v>-1.7564836758548363</v>
          </cell>
          <cell r="D92">
            <v>-1.6866052500791207</v>
          </cell>
          <cell r="E92">
            <v>0.46596555472186996</v>
          </cell>
          <cell r="G92" t="str">
            <v>D</v>
          </cell>
          <cell r="H92">
            <v>68.290636352612694</v>
          </cell>
          <cell r="I92">
            <v>100</v>
          </cell>
          <cell r="J92">
            <v>20</v>
          </cell>
          <cell r="K92"/>
          <cell r="L92">
            <v>6.7436269408569842</v>
          </cell>
          <cell r="M92">
            <v>4.1869122037746749</v>
          </cell>
          <cell r="N92">
            <v>2.8839688442816156</v>
          </cell>
          <cell r="O92">
            <v>3.2480000000000002</v>
          </cell>
          <cell r="P92">
            <v>1.877</v>
          </cell>
          <cell r="Q92">
            <v>-2.734</v>
          </cell>
          <cell r="R92">
            <v>-1.304</v>
          </cell>
          <cell r="S92">
            <v>-1.9710000000000001</v>
          </cell>
          <cell r="T92">
            <v>-3.9020000000000001</v>
          </cell>
          <cell r="U92">
            <v>2.1019999999999999</v>
          </cell>
          <cell r="V92">
            <v>2.093</v>
          </cell>
          <cell r="W92">
            <v>-0.61031984767862535</v>
          </cell>
        </row>
        <row r="93">
          <cell r="B93" t="str">
            <v>Liberia</v>
          </cell>
          <cell r="C93">
            <v>2.2030305181955034</v>
          </cell>
          <cell r="D93">
            <v>1.043410797540445</v>
          </cell>
          <cell r="E93">
            <v>1.5173155129903693</v>
          </cell>
          <cell r="G93" t="str">
            <v>E</v>
          </cell>
          <cell r="H93">
            <v>56.232966845120316</v>
          </cell>
          <cell r="I93">
            <v>130</v>
          </cell>
          <cell r="J93">
            <v>32</v>
          </cell>
          <cell r="K93"/>
          <cell r="L93">
            <v>7.9938156931364137</v>
          </cell>
          <cell r="M93">
            <v>8.6872878163968235</v>
          </cell>
          <cell r="N93">
            <v>0.70139310028752089</v>
          </cell>
          <cell r="O93">
            <v>7.0000000000000001E-3</v>
          </cell>
          <cell r="P93">
            <v>-1.63</v>
          </cell>
          <cell r="Q93">
            <v>2.4689999999999999</v>
          </cell>
          <cell r="R93">
            <v>1.242</v>
          </cell>
          <cell r="S93">
            <v>-2.516</v>
          </cell>
          <cell r="T93">
            <v>-2.9670000000000001</v>
          </cell>
          <cell r="U93">
            <v>5.0110000000000001</v>
          </cell>
          <cell r="V93">
            <v>4.8109999999999999</v>
          </cell>
          <cell r="W93">
            <v>1.2803631552654071</v>
          </cell>
        </row>
        <row r="94">
          <cell r="B94" t="str">
            <v>Libya</v>
          </cell>
          <cell r="C94">
            <v>5.1304452243001952</v>
          </cell>
          <cell r="D94">
            <v>3.4484900722276279</v>
          </cell>
          <cell r="E94">
            <v>1.2335060569262035</v>
          </cell>
          <cell r="G94" t="str">
            <v>E</v>
          </cell>
          <cell r="H94">
            <v>48.008478383672035</v>
          </cell>
          <cell r="I94">
            <v>140</v>
          </cell>
          <cell r="J94">
            <v>38</v>
          </cell>
          <cell r="K94"/>
          <cell r="L94">
            <v>274.10446739057375</v>
          </cell>
          <cell r="M94">
            <v>-13.994834968637873</v>
          </cell>
          <cell r="N94">
            <v>-10.842440326997824</v>
          </cell>
          <cell r="O94">
            <v>-0.84299999999999997</v>
          </cell>
          <cell r="P94">
            <v>-1.4910000000000001</v>
          </cell>
          <cell r="Q94">
            <v>32.491999999999997</v>
          </cell>
          <cell r="R94">
            <v>7.9409999999999998</v>
          </cell>
          <cell r="S94">
            <v>-11.196</v>
          </cell>
          <cell r="T94">
            <v>-29.456</v>
          </cell>
          <cell r="U94">
            <v>28.335000000000001</v>
          </cell>
          <cell r="V94">
            <v>-12.813000000000001</v>
          </cell>
          <cell r="W94">
            <v>2.3409980645769157</v>
          </cell>
        </row>
        <row r="95">
          <cell r="B95" t="str">
            <v>Lithuania</v>
          </cell>
          <cell r="C95">
            <v>2.5853990379055336</v>
          </cell>
          <cell r="D95">
            <v>3.2350334175799356</v>
          </cell>
          <cell r="E95">
            <v>3.2063173772679532</v>
          </cell>
          <cell r="G95" t="str">
            <v>B</v>
          </cell>
          <cell r="H95">
            <v>80.769738018881156</v>
          </cell>
          <cell r="I95">
            <v>45</v>
          </cell>
          <cell r="J95">
            <v>30</v>
          </cell>
          <cell r="K95"/>
          <cell r="L95">
            <v>3.8333027642866848</v>
          </cell>
          <cell r="M95">
            <v>3.5584246313476826</v>
          </cell>
          <cell r="N95">
            <v>3.5079712171273361</v>
          </cell>
          <cell r="O95">
            <v>2.024</v>
          </cell>
          <cell r="P95">
            <v>2.5190000000000001</v>
          </cell>
          <cell r="Q95">
            <v>4.282</v>
          </cell>
          <cell r="R95">
            <v>3.9929999999999999</v>
          </cell>
          <cell r="S95">
            <v>4.625</v>
          </cell>
          <cell r="T95">
            <v>-2.1999999999999999E-2</v>
          </cell>
          <cell r="U95">
            <v>5.9809999999999999</v>
          </cell>
          <cell r="V95">
            <v>1.8879999999999999</v>
          </cell>
          <cell r="W95">
            <v>3.2206753974239444</v>
          </cell>
        </row>
        <row r="96">
          <cell r="B96" t="str">
            <v>Luxembourg</v>
          </cell>
          <cell r="C96">
            <v>1.9225945961039326</v>
          </cell>
          <cell r="D96">
            <v>1.8607829332780268</v>
          </cell>
          <cell r="E96">
            <v>2.36159954003623</v>
          </cell>
          <cell r="G96" t="str">
            <v>A</v>
          </cell>
          <cell r="H96">
            <v>96.778306193425522</v>
          </cell>
          <cell r="I96">
            <v>9</v>
          </cell>
          <cell r="J96">
            <v>7</v>
          </cell>
          <cell r="K96"/>
          <cell r="L96">
            <v>1.6499020297865346</v>
          </cell>
          <cell r="M96">
            <v>3.1717904991600552</v>
          </cell>
          <cell r="N96">
            <v>2.6230860157719222</v>
          </cell>
          <cell r="O96">
            <v>2.2679999999999998</v>
          </cell>
          <cell r="P96">
            <v>4.9779999999999998</v>
          </cell>
          <cell r="Q96">
            <v>1.3169999999999999</v>
          </cell>
          <cell r="R96">
            <v>1.2190000000000001</v>
          </cell>
          <cell r="S96">
            <v>2.3199999999999998</v>
          </cell>
          <cell r="T96">
            <v>-0.79700000000000004</v>
          </cell>
          <cell r="U96">
            <v>5.1029999999999998</v>
          </cell>
          <cell r="V96">
            <v>1.5489999999999999</v>
          </cell>
          <cell r="W96">
            <v>2.1111912366571284</v>
          </cell>
        </row>
        <row r="97">
          <cell r="B97" t="str">
            <v>Madagascar</v>
          </cell>
          <cell r="C97">
            <v>0.34284241084634459</v>
          </cell>
          <cell r="D97">
            <v>1.7120658983774018</v>
          </cell>
          <cell r="E97">
            <v>2.5217225637742979</v>
          </cell>
          <cell r="G97" t="str">
            <v>E</v>
          </cell>
          <cell r="H97">
            <v>48.940679032016362</v>
          </cell>
          <cell r="I97">
            <v>139</v>
          </cell>
          <cell r="J97">
            <v>37</v>
          </cell>
          <cell r="K97"/>
          <cell r="L97">
            <v>3.0111464075530683</v>
          </cell>
          <cell r="M97">
            <v>2.3003869344771051</v>
          </cell>
          <cell r="N97">
            <v>3.3392022440733014</v>
          </cell>
          <cell r="O97">
            <v>3.1320000000000001</v>
          </cell>
          <cell r="P97">
            <v>3.9929999999999999</v>
          </cell>
          <cell r="Q97">
            <v>3.9329999999999998</v>
          </cell>
          <cell r="R97">
            <v>3.194</v>
          </cell>
          <cell r="S97">
            <v>4.4109999999999996</v>
          </cell>
          <cell r="T97">
            <v>-7.1379999999999999</v>
          </cell>
          <cell r="U97">
            <v>5.74</v>
          </cell>
          <cell r="V97">
            <v>4.21</v>
          </cell>
          <cell r="W97">
            <v>2.1168942310758498</v>
          </cell>
        </row>
        <row r="98">
          <cell r="B98" t="str">
            <v>Malawi</v>
          </cell>
          <cell r="C98">
            <v>1.446318587345985</v>
          </cell>
          <cell r="D98">
            <v>2.8212259957555386</v>
          </cell>
          <cell r="E98">
            <v>3.4233840163588436</v>
          </cell>
          <cell r="G98" t="str">
            <v>C</v>
          </cell>
          <cell r="H98">
            <v>72.879134631330203</v>
          </cell>
          <cell r="I98">
            <v>77</v>
          </cell>
          <cell r="J98">
            <v>8</v>
          </cell>
          <cell r="K98"/>
          <cell r="L98">
            <v>1.8857995075156477</v>
          </cell>
          <cell r="M98">
            <v>5.1999999956050429</v>
          </cell>
          <cell r="N98">
            <v>5.7000000050572197</v>
          </cell>
          <cell r="O98">
            <v>2.95</v>
          </cell>
          <cell r="P98">
            <v>2.27</v>
          </cell>
          <cell r="Q98">
            <v>4</v>
          </cell>
          <cell r="R98">
            <v>4.3920000000000003</v>
          </cell>
          <cell r="S98">
            <v>5.4480000000000004</v>
          </cell>
          <cell r="T98">
            <v>0.91300000000000003</v>
          </cell>
          <cell r="U98">
            <v>4.5670000000000002</v>
          </cell>
          <cell r="V98">
            <v>0.8</v>
          </cell>
          <cell r="W98">
            <v>3.1223050060571911</v>
          </cell>
        </row>
        <row r="99">
          <cell r="B99" t="str">
            <v>Malaysia</v>
          </cell>
          <cell r="C99">
            <v>1.9142421361718398</v>
          </cell>
          <cell r="D99">
            <v>3.0011020126644361</v>
          </cell>
          <cell r="E99">
            <v>4.0922822936961589</v>
          </cell>
          <cell r="G99" t="str">
            <v>C</v>
          </cell>
          <cell r="H99">
            <v>76.114633172938127</v>
          </cell>
          <cell r="I99">
            <v>66</v>
          </cell>
          <cell r="J99">
            <v>9</v>
          </cell>
          <cell r="K99"/>
          <cell r="L99">
            <v>5.4734541925385383</v>
          </cell>
          <cell r="M99">
            <v>4.6937225255789317</v>
          </cell>
          <cell r="N99">
            <v>6.0067219455820462</v>
          </cell>
          <cell r="O99">
            <v>5.0069999999999997</v>
          </cell>
          <cell r="P99">
            <v>4.45</v>
          </cell>
          <cell r="Q99">
            <v>5.8129999999999997</v>
          </cell>
          <cell r="R99">
            <v>4.843</v>
          </cell>
          <cell r="S99">
            <v>4.4130000000000003</v>
          </cell>
          <cell r="T99">
            <v>-5.5339999999999998</v>
          </cell>
          <cell r="U99">
            <v>3.0920000000000001</v>
          </cell>
          <cell r="V99">
            <v>8.6940000000000008</v>
          </cell>
          <cell r="W99">
            <v>3.5466921531802975</v>
          </cell>
        </row>
        <row r="100">
          <cell r="B100" t="str">
            <v>Mali</v>
          </cell>
          <cell r="C100">
            <v>1.8165870919236937</v>
          </cell>
          <cell r="D100">
            <v>2.9671130334121942</v>
          </cell>
          <cell r="E100">
            <v>4.1460050619633648</v>
          </cell>
          <cell r="G100" t="str">
            <v>E</v>
          </cell>
          <cell r="H100">
            <v>43.633236095724527</v>
          </cell>
          <cell r="I100">
            <v>146</v>
          </cell>
          <cell r="J100">
            <v>41</v>
          </cell>
          <cell r="K100"/>
          <cell r="L100">
            <v>-0.83662749707312833</v>
          </cell>
          <cell r="M100">
            <v>2.3037669581925009</v>
          </cell>
          <cell r="N100">
            <v>7.1014223480749816</v>
          </cell>
          <cell r="O100">
            <v>6.1719999999999997</v>
          </cell>
          <cell r="P100">
            <v>5.8520000000000003</v>
          </cell>
          <cell r="Q100">
            <v>5.3049999999999997</v>
          </cell>
          <cell r="R100">
            <v>4.7460000000000004</v>
          </cell>
          <cell r="S100">
            <v>4.7649999999999997</v>
          </cell>
          <cell r="T100">
            <v>-1.244</v>
          </cell>
          <cell r="U100">
            <v>3.0550000000000002</v>
          </cell>
          <cell r="V100">
            <v>3.7040000000000002</v>
          </cell>
          <cell r="W100">
            <v>3.5565590476877795</v>
          </cell>
        </row>
        <row r="101">
          <cell r="B101" t="str">
            <v>Malta</v>
          </cell>
          <cell r="C101">
            <v>2.6124059576447589</v>
          </cell>
          <cell r="D101">
            <v>4.3931536419201889</v>
          </cell>
          <cell r="E101">
            <v>5.6722564665051767</v>
          </cell>
          <cell r="G101" t="str">
            <v>B</v>
          </cell>
          <cell r="H101">
            <v>86.894246999173433</v>
          </cell>
          <cell r="I101">
            <v>33</v>
          </cell>
          <cell r="J101">
            <v>22</v>
          </cell>
          <cell r="K101"/>
          <cell r="L101">
            <v>4.1177072993516513</v>
          </cell>
          <cell r="M101">
            <v>5.4733556954527041</v>
          </cell>
          <cell r="N101">
            <v>7.6335381123007346</v>
          </cell>
          <cell r="O101">
            <v>9.6080000000000005</v>
          </cell>
          <cell r="P101">
            <v>3.3809999999999998</v>
          </cell>
          <cell r="Q101">
            <v>10.869</v>
          </cell>
          <cell r="R101">
            <v>6.1929999999999996</v>
          </cell>
          <cell r="S101">
            <v>7.0090000000000003</v>
          </cell>
          <cell r="T101">
            <v>-8.6120000000000001</v>
          </cell>
          <cell r="U101">
            <v>11.805999999999999</v>
          </cell>
          <cell r="V101">
            <v>6.851</v>
          </cell>
          <cell r="W101">
            <v>5.0327050542126823</v>
          </cell>
        </row>
        <row r="102">
          <cell r="B102" t="str">
            <v>Mauritania</v>
          </cell>
          <cell r="C102">
            <v>10.380851809157976</v>
          </cell>
          <cell r="D102">
            <v>8.3436024853472226</v>
          </cell>
          <cell r="E102">
            <v>5.9978829377542953</v>
          </cell>
          <cell r="G102" t="str">
            <v>D</v>
          </cell>
          <cell r="H102">
            <v>67.535233245846925</v>
          </cell>
          <cell r="I102">
            <v>103</v>
          </cell>
          <cell r="J102">
            <v>23</v>
          </cell>
          <cell r="K102"/>
          <cell r="L102">
            <v>4.4700131823368974</v>
          </cell>
          <cell r="M102">
            <v>4.150813186271721</v>
          </cell>
          <cell r="N102">
            <v>4.2748232713028473</v>
          </cell>
          <cell r="O102">
            <v>5.3760000000000003</v>
          </cell>
          <cell r="P102">
            <v>1.2609999999999999</v>
          </cell>
          <cell r="Q102">
            <v>6.2709999999999999</v>
          </cell>
          <cell r="R102">
            <v>4.7729999999999997</v>
          </cell>
          <cell r="S102">
            <v>5.4290000000000003</v>
          </cell>
          <cell r="T102">
            <v>-0.93799999999999994</v>
          </cell>
          <cell r="U102">
            <v>2.4449999999999998</v>
          </cell>
          <cell r="V102">
            <v>4.96</v>
          </cell>
          <cell r="W102">
            <v>7.1707427115507585</v>
          </cell>
        </row>
        <row r="103">
          <cell r="B103" t="str">
            <v>Mauritius</v>
          </cell>
          <cell r="C103">
            <v>-1.3801179259189</v>
          </cell>
          <cell r="D103">
            <v>1.2027047615812192</v>
          </cell>
          <cell r="E103">
            <v>2.4249070445692134</v>
          </cell>
          <cell r="G103" t="str">
            <v>B</v>
          </cell>
          <cell r="H103">
            <v>86.159393229935986</v>
          </cell>
          <cell r="I103">
            <v>35</v>
          </cell>
          <cell r="J103">
            <v>1</v>
          </cell>
          <cell r="K103"/>
          <cell r="L103">
            <v>3.4961183375797935</v>
          </cell>
          <cell r="M103">
            <v>3.3604061030308432</v>
          </cell>
          <cell r="N103">
            <v>3.7445757725785316</v>
          </cell>
          <cell r="O103">
            <v>3.6909999999999998</v>
          </cell>
          <cell r="P103">
            <v>3.8620000000000001</v>
          </cell>
          <cell r="Q103">
            <v>3.9380000000000002</v>
          </cell>
          <cell r="R103">
            <v>4.0069999999999997</v>
          </cell>
          <cell r="S103">
            <v>2.891</v>
          </cell>
          <cell r="T103">
            <v>-14.598000000000001</v>
          </cell>
          <cell r="U103">
            <v>3.4990000000000001</v>
          </cell>
          <cell r="V103">
            <v>8.3000000000000007</v>
          </cell>
          <cell r="W103">
            <v>1.8138059030752163</v>
          </cell>
        </row>
        <row r="104">
          <cell r="B104" t="str">
            <v>Mexico</v>
          </cell>
          <cell r="C104">
            <v>-0.23058449292154837</v>
          </cell>
          <cell r="D104">
            <v>0.18053445950247937</v>
          </cell>
          <cell r="E104">
            <v>1.3300326593307599</v>
          </cell>
          <cell r="G104" t="str">
            <v>C</v>
          </cell>
          <cell r="H104">
            <v>70.665681404041052</v>
          </cell>
          <cell r="I104">
            <v>87</v>
          </cell>
          <cell r="J104">
            <v>11</v>
          </cell>
          <cell r="K104"/>
          <cell r="L104">
            <v>3.6423226794134638</v>
          </cell>
          <cell r="M104">
            <v>1.3540919615167941</v>
          </cell>
          <cell r="N104">
            <v>2.8043401283809737</v>
          </cell>
          <cell r="O104">
            <v>3.2930000000000001</v>
          </cell>
          <cell r="P104">
            <v>2.6309999999999998</v>
          </cell>
          <cell r="Q104">
            <v>2.113</v>
          </cell>
          <cell r="R104">
            <v>2.1949999999999998</v>
          </cell>
          <cell r="S104">
            <v>-0.19900000000000001</v>
          </cell>
          <cell r="T104">
            <v>-7.9880000000000004</v>
          </cell>
          <cell r="U104">
            <v>4.7210000000000001</v>
          </cell>
          <cell r="V104">
            <v>3.0659999999999998</v>
          </cell>
          <cell r="W104">
            <v>0.75528355941661962</v>
          </cell>
        </row>
        <row r="105">
          <cell r="B105" t="str">
            <v>Moldova</v>
          </cell>
          <cell r="C105">
            <v>-0.11659435485397163</v>
          </cell>
          <cell r="D105">
            <v>1.5069892590011902</v>
          </cell>
          <cell r="E105">
            <v>3.001683990106474</v>
          </cell>
          <cell r="G105" t="str">
            <v>B</v>
          </cell>
          <cell r="H105">
            <v>79.52270940766131</v>
          </cell>
          <cell r="I105">
            <v>52</v>
          </cell>
          <cell r="J105">
            <v>33</v>
          </cell>
          <cell r="K105"/>
          <cell r="L105">
            <v>-0.58973412591981322</v>
          </cell>
          <cell r="M105">
            <v>9.0438654824314977</v>
          </cell>
          <cell r="N105">
            <v>4.9996256689180685</v>
          </cell>
          <cell r="O105">
            <v>-0.33800000000000002</v>
          </cell>
          <cell r="P105">
            <v>4.4089999999999998</v>
          </cell>
          <cell r="Q105">
            <v>4.2</v>
          </cell>
          <cell r="R105">
            <v>4.0999999999999996</v>
          </cell>
          <cell r="S105">
            <v>3.6</v>
          </cell>
          <cell r="T105">
            <v>-8.3000000000000007</v>
          </cell>
          <cell r="U105">
            <v>13.945</v>
          </cell>
          <cell r="V105">
            <v>-5.5759999999999996</v>
          </cell>
          <cell r="W105">
            <v>2.2543366245538321</v>
          </cell>
        </row>
        <row r="106">
          <cell r="B106" t="str">
            <v>Mongolia</v>
          </cell>
          <cell r="C106">
            <v>0.5652165458427838</v>
          </cell>
          <cell r="D106">
            <v>3.0624452280082259</v>
          </cell>
          <cell r="E106">
            <v>4.33160969781623</v>
          </cell>
          <cell r="G106" t="str">
            <v>B</v>
          </cell>
          <cell r="H106">
            <v>78.890549447741549</v>
          </cell>
          <cell r="I106">
            <v>56</v>
          </cell>
          <cell r="J106">
            <v>8</v>
          </cell>
          <cell r="K106"/>
          <cell r="L106">
            <v>12.319819848483753</v>
          </cell>
          <cell r="M106">
            <v>11.648916189886327</v>
          </cell>
          <cell r="N106">
            <v>7.8852254815193961</v>
          </cell>
          <cell r="O106">
            <v>2.41</v>
          </cell>
          <cell r="P106">
            <v>1.49</v>
          </cell>
          <cell r="Q106">
            <v>5.6369999999999996</v>
          </cell>
          <cell r="R106">
            <v>7.7450000000000001</v>
          </cell>
          <cell r="S106">
            <v>5.6020000000000003</v>
          </cell>
          <cell r="T106">
            <v>-4.5579999999999998</v>
          </cell>
          <cell r="U106">
            <v>1.637</v>
          </cell>
          <cell r="V106">
            <v>4.8460000000000001</v>
          </cell>
          <cell r="W106">
            <v>3.6970274629122279</v>
          </cell>
        </row>
        <row r="107">
          <cell r="B107" t="str">
            <v>Morocco</v>
          </cell>
          <cell r="C107">
            <v>2.7484311837486786</v>
          </cell>
          <cell r="D107">
            <v>3.8040844105169391</v>
          </cell>
          <cell r="E107">
            <v>4.437166103247403</v>
          </cell>
          <cell r="G107" t="str">
            <v>C</v>
          </cell>
          <cell r="H107">
            <v>76.129604349240608</v>
          </cell>
          <cell r="I107">
            <v>65</v>
          </cell>
          <cell r="J107">
            <v>4</v>
          </cell>
          <cell r="K107"/>
          <cell r="L107">
            <v>1.2735415748875247</v>
          </cell>
          <cell r="M107">
            <v>4.8919045547561728</v>
          </cell>
          <cell r="N107">
            <v>5.1501913509219497</v>
          </cell>
          <cell r="O107">
            <v>4.3449999999999998</v>
          </cell>
          <cell r="P107">
            <v>0.52100000000000002</v>
          </cell>
          <cell r="Q107">
            <v>5.0579999999999998</v>
          </cell>
          <cell r="R107">
            <v>3.0659999999999998</v>
          </cell>
          <cell r="S107">
            <v>2.891</v>
          </cell>
          <cell r="T107">
            <v>-7.1870000000000003</v>
          </cell>
          <cell r="U107">
            <v>7.93</v>
          </cell>
          <cell r="V107">
            <v>1.135</v>
          </cell>
          <cell r="W107">
            <v>4.1206252568821711</v>
          </cell>
        </row>
        <row r="108">
          <cell r="B108" t="str">
            <v>Mozambique</v>
          </cell>
          <cell r="C108">
            <v>1.7345974801987962</v>
          </cell>
          <cell r="D108">
            <v>2.1902907307407293</v>
          </cell>
          <cell r="E108">
            <v>3.9391606371984134</v>
          </cell>
          <cell r="G108" t="str">
            <v>D</v>
          </cell>
          <cell r="H108">
            <v>66.134592515292979</v>
          </cell>
          <cell r="I108">
            <v>110</v>
          </cell>
          <cell r="J108">
            <v>25</v>
          </cell>
          <cell r="K108"/>
          <cell r="L108">
            <v>7.2584392525877934</v>
          </cell>
          <cell r="M108">
            <v>6.9636071348707169</v>
          </cell>
          <cell r="N108">
            <v>7.3985127971386246</v>
          </cell>
          <cell r="O108">
            <v>6.7229999999999999</v>
          </cell>
          <cell r="P108">
            <v>3.8239999999999998</v>
          </cell>
          <cell r="Q108">
            <v>3.7410000000000001</v>
          </cell>
          <cell r="R108">
            <v>3.444</v>
          </cell>
          <cell r="S108">
            <v>2.3149999999999999</v>
          </cell>
          <cell r="T108">
            <v>-1.1990000000000001</v>
          </cell>
          <cell r="U108">
            <v>2.3279999999999998</v>
          </cell>
          <cell r="V108">
            <v>4.1479999999999997</v>
          </cell>
          <cell r="W108">
            <v>3.0647256839695713</v>
          </cell>
        </row>
        <row r="109">
          <cell r="B109" t="str">
            <v>Myanmar</v>
          </cell>
          <cell r="C109">
            <v>-4.7700497073887238</v>
          </cell>
          <cell r="D109">
            <v>-0.38368451177455132</v>
          </cell>
          <cell r="E109">
            <v>3.2897594501001937</v>
          </cell>
          <cell r="G109" t="str">
            <v>D</v>
          </cell>
          <cell r="H109">
            <v>65.606474585171327</v>
          </cell>
          <cell r="I109">
            <v>111</v>
          </cell>
          <cell r="J109">
            <v>22</v>
          </cell>
          <cell r="K109"/>
          <cell r="L109">
            <v>6.4857540044064299</v>
          </cell>
          <cell r="M109">
            <v>7.8986694782381086</v>
          </cell>
          <cell r="N109">
            <v>8.1996637504261933</v>
          </cell>
          <cell r="O109">
            <v>7.4729999999999999</v>
          </cell>
          <cell r="P109">
            <v>6.4080000000000004</v>
          </cell>
          <cell r="Q109">
            <v>5.75</v>
          </cell>
          <cell r="R109">
            <v>6.4050000000000002</v>
          </cell>
          <cell r="S109">
            <v>6.75</v>
          </cell>
          <cell r="T109">
            <v>3.1890000000000001</v>
          </cell>
          <cell r="U109">
            <v>-17.937999999999999</v>
          </cell>
          <cell r="V109">
            <v>1.9710000000000001</v>
          </cell>
          <cell r="W109">
            <v>1.4530374691628212</v>
          </cell>
        </row>
        <row r="110">
          <cell r="B110" t="str">
            <v>Namibia</v>
          </cell>
          <cell r="C110">
            <v>5.9000128031017951</v>
          </cell>
          <cell r="D110">
            <v>3.7913046668829331</v>
          </cell>
          <cell r="E110">
            <v>3.4125855123770643</v>
          </cell>
          <cell r="G110" t="str">
            <v>C</v>
          </cell>
          <cell r="H110">
            <v>72.202169838266542</v>
          </cell>
          <cell r="I110">
            <v>79</v>
          </cell>
          <cell r="J110">
            <v>10</v>
          </cell>
          <cell r="K110"/>
          <cell r="L110">
            <v>5.061682013267613</v>
          </cell>
          <cell r="M110">
            <v>5.6147197006409399</v>
          </cell>
          <cell r="N110">
            <v>5.7577888470497651</v>
          </cell>
          <cell r="O110">
            <v>4.2640000000000002</v>
          </cell>
          <cell r="P110">
            <v>3.4000000000000002E-2</v>
          </cell>
          <cell r="Q110">
            <v>-1.0269999999999999</v>
          </cell>
          <cell r="R110">
            <v>1.06</v>
          </cell>
          <cell r="S110">
            <v>-0.83899999999999997</v>
          </cell>
          <cell r="T110">
            <v>-8.0359999999999996</v>
          </cell>
          <cell r="U110">
            <v>2.6560000000000001</v>
          </cell>
          <cell r="V110">
            <v>3.8420000000000001</v>
          </cell>
          <cell r="W110">
            <v>3.6019450896299987</v>
          </cell>
        </row>
        <row r="111">
          <cell r="B111" t="str">
            <v>Nepal</v>
          </cell>
          <cell r="C111">
            <v>2.509308980392877</v>
          </cell>
          <cell r="D111">
            <v>4.3365366697670549</v>
          </cell>
          <cell r="E111">
            <v>4.4414058742941132</v>
          </cell>
          <cell r="G111" t="str">
            <v>E</v>
          </cell>
          <cell r="H111">
            <v>47.880656607147813</v>
          </cell>
          <cell r="I111">
            <v>141</v>
          </cell>
          <cell r="J111">
            <v>29</v>
          </cell>
          <cell r="K111"/>
          <cell r="L111">
            <v>4.6701221485020756</v>
          </cell>
          <cell r="M111">
            <v>3.525153173819251</v>
          </cell>
          <cell r="N111">
            <v>6.0114828408077567</v>
          </cell>
          <cell r="O111">
            <v>3.976</v>
          </cell>
          <cell r="P111">
            <v>0.433</v>
          </cell>
          <cell r="Q111">
            <v>8.9770000000000003</v>
          </cell>
          <cell r="R111">
            <v>7.6219999999999999</v>
          </cell>
          <cell r="S111">
            <v>6.657</v>
          </cell>
          <cell r="T111">
            <v>-2.37</v>
          </cell>
          <cell r="U111">
            <v>4.2469999999999999</v>
          </cell>
          <cell r="V111">
            <v>5.8380000000000001</v>
          </cell>
          <cell r="W111">
            <v>4.3889712720305845</v>
          </cell>
        </row>
        <row r="112">
          <cell r="B112" t="str">
            <v>Netherlands</v>
          </cell>
          <cell r="C112">
            <v>1.7497887812736312</v>
          </cell>
          <cell r="D112">
            <v>1.8172353151896914</v>
          </cell>
          <cell r="E112">
            <v>1.7415218308118652</v>
          </cell>
          <cell r="G112" t="str">
            <v>A</v>
          </cell>
          <cell r="H112">
            <v>97.320188246923195</v>
          </cell>
          <cell r="I112">
            <v>6</v>
          </cell>
          <cell r="J112">
            <v>4</v>
          </cell>
          <cell r="K112"/>
          <cell r="L112">
            <v>-1.0303540066027346</v>
          </cell>
          <cell r="M112">
            <v>-0.13017522863902575</v>
          </cell>
          <cell r="N112">
            <v>1.4233954098743582</v>
          </cell>
          <cell r="O112">
            <v>1.958</v>
          </cell>
          <cell r="P112">
            <v>2.1920000000000002</v>
          </cell>
          <cell r="Q112">
            <v>2.911</v>
          </cell>
          <cell r="R112">
            <v>2.3610000000000002</v>
          </cell>
          <cell r="S112">
            <v>1.956</v>
          </cell>
          <cell r="T112">
            <v>-3.9129999999999998</v>
          </cell>
          <cell r="U112">
            <v>4.883</v>
          </cell>
          <cell r="V112">
            <v>4.5179999999999998</v>
          </cell>
          <cell r="W112">
            <v>1.7793785730007783</v>
          </cell>
        </row>
        <row r="113">
          <cell r="B113" t="str">
            <v>New Zealand</v>
          </cell>
          <cell r="C113">
            <v>1.6101427265492019</v>
          </cell>
          <cell r="D113">
            <v>2.5126996765094445</v>
          </cell>
          <cell r="E113">
            <v>2.926527233523446</v>
          </cell>
          <cell r="G113" t="str">
            <v>A</v>
          </cell>
          <cell r="H113">
            <v>98.673978139326721</v>
          </cell>
          <cell r="I113">
            <v>1</v>
          </cell>
          <cell r="J113">
            <v>1</v>
          </cell>
          <cell r="K113"/>
          <cell r="L113">
            <v>2.2395634845413639</v>
          </cell>
          <cell r="M113">
            <v>2.6288005896782796</v>
          </cell>
          <cell r="N113">
            <v>3.6255957672075687</v>
          </cell>
          <cell r="O113">
            <v>3.6909999999999998</v>
          </cell>
          <cell r="P113">
            <v>3.8839999999999999</v>
          </cell>
          <cell r="Q113">
            <v>3.46</v>
          </cell>
          <cell r="R113">
            <v>3.524</v>
          </cell>
          <cell r="S113">
            <v>3.0750000000000002</v>
          </cell>
          <cell r="T113">
            <v>-1.4770000000000001</v>
          </cell>
          <cell r="U113">
            <v>6.0880000000000001</v>
          </cell>
          <cell r="V113">
            <v>2.4350000000000001</v>
          </cell>
          <cell r="W113">
            <v>2.7196134550164452</v>
          </cell>
        </row>
        <row r="114">
          <cell r="B114" t="str">
            <v>Nicaragua</v>
          </cell>
          <cell r="C114">
            <v>4.0750139508862748</v>
          </cell>
          <cell r="D114">
            <v>0.946067021483743</v>
          </cell>
          <cell r="E114">
            <v>2.8253976939387693</v>
          </cell>
          <cell r="G114" t="str">
            <v>D</v>
          </cell>
          <cell r="H114">
            <v>64.641996561099731</v>
          </cell>
          <cell r="I114">
            <v>115</v>
          </cell>
          <cell r="J114">
            <v>15</v>
          </cell>
          <cell r="K114"/>
          <cell r="L114">
            <v>6.4967472990321502</v>
          </cell>
          <cell r="M114">
            <v>4.9267922688301464</v>
          </cell>
          <cell r="N114">
            <v>4.7858161704434874</v>
          </cell>
          <cell r="O114">
            <v>4.7919999999999998</v>
          </cell>
          <cell r="P114">
            <v>4.5629999999999997</v>
          </cell>
          <cell r="Q114">
            <v>4.6310000000000002</v>
          </cell>
          <cell r="R114">
            <v>-3.363</v>
          </cell>
          <cell r="S114">
            <v>-3.78</v>
          </cell>
          <cell r="T114">
            <v>-1.7889999999999999</v>
          </cell>
          <cell r="U114">
            <v>10.345000000000001</v>
          </cell>
          <cell r="V114">
            <v>4.024</v>
          </cell>
          <cell r="W114">
            <v>1.8857323577112561</v>
          </cell>
        </row>
        <row r="115">
          <cell r="B115" t="str">
            <v>Niger</v>
          </cell>
          <cell r="C115">
            <v>5.2681473931170952</v>
          </cell>
          <cell r="D115">
            <v>5.8171216819006277</v>
          </cell>
          <cell r="E115">
            <v>5.6255556295670361</v>
          </cell>
          <cell r="G115" t="str">
            <v>D</v>
          </cell>
          <cell r="H115">
            <v>68.812447501404833</v>
          </cell>
          <cell r="I115">
            <v>98</v>
          </cell>
          <cell r="J115">
            <v>19</v>
          </cell>
          <cell r="K115"/>
          <cell r="L115">
            <v>10.599907397446637</v>
          </cell>
          <cell r="M115">
            <v>5.5657295960540178</v>
          </cell>
          <cell r="N115">
            <v>6.5644262265084619</v>
          </cell>
          <cell r="O115">
            <v>4.3929999999999998</v>
          </cell>
          <cell r="P115">
            <v>5.7409999999999997</v>
          </cell>
          <cell r="Q115">
            <v>5.0010000000000003</v>
          </cell>
          <cell r="R115">
            <v>7.0069999999999997</v>
          </cell>
          <cell r="S115">
            <v>6.1429999999999998</v>
          </cell>
          <cell r="T115">
            <v>3.55</v>
          </cell>
          <cell r="U115">
            <v>1.399</v>
          </cell>
          <cell r="V115">
            <v>11.111000000000001</v>
          </cell>
          <cell r="W115">
            <v>5.7213386557338319</v>
          </cell>
        </row>
        <row r="116">
          <cell r="B116" t="str">
            <v>Nigeria</v>
          </cell>
          <cell r="C116">
            <v>1.6711254984559387</v>
          </cell>
          <cell r="D116">
            <v>1.8286894595159531</v>
          </cell>
          <cell r="E116">
            <v>2.3705025942777347</v>
          </cell>
          <cell r="G116" t="str">
            <v>E</v>
          </cell>
          <cell r="H116">
            <v>54.117482987279544</v>
          </cell>
          <cell r="I116">
            <v>136</v>
          </cell>
          <cell r="J116">
            <v>35</v>
          </cell>
          <cell r="K116"/>
          <cell r="L116">
            <v>4.2300611751055515</v>
          </cell>
          <cell r="M116">
            <v>6.6713353928837664</v>
          </cell>
          <cell r="N116">
            <v>6.3097186557238203</v>
          </cell>
          <cell r="O116">
            <v>2.653</v>
          </cell>
          <cell r="P116">
            <v>-1.617</v>
          </cell>
          <cell r="Q116">
            <v>0.80600000000000005</v>
          </cell>
          <cell r="R116">
            <v>1.923</v>
          </cell>
          <cell r="S116">
            <v>2.2080000000000002</v>
          </cell>
          <cell r="T116">
            <v>-1.794</v>
          </cell>
          <cell r="U116">
            <v>3.6469999999999998</v>
          </cell>
          <cell r="V116">
            <v>3.2519999999999998</v>
          </cell>
          <cell r="W116">
            <v>2.0995960268968439</v>
          </cell>
        </row>
        <row r="117">
          <cell r="B117" t="str">
            <v>North Macedonia</v>
          </cell>
          <cell r="C117">
            <v>-7.5001429328758196E-2</v>
          </cell>
          <cell r="D117">
            <v>1.3021650287798892</v>
          </cell>
          <cell r="E117">
            <v>2.0797979747829265</v>
          </cell>
          <cell r="G117" t="str">
            <v>B</v>
          </cell>
          <cell r="H117">
            <v>78.35616814320835</v>
          </cell>
          <cell r="I117">
            <v>58</v>
          </cell>
          <cell r="J117">
            <v>35</v>
          </cell>
          <cell r="K117"/>
          <cell r="L117">
            <v>-0.45618322360793873</v>
          </cell>
          <cell r="M117">
            <v>2.9252576645048585</v>
          </cell>
          <cell r="N117">
            <v>3.6291235127637393</v>
          </cell>
          <cell r="O117">
            <v>3.8559999999999999</v>
          </cell>
          <cell r="P117">
            <v>2.8479999999999999</v>
          </cell>
          <cell r="Q117">
            <v>1.0820000000000001</v>
          </cell>
          <cell r="R117">
            <v>2.8809999999999998</v>
          </cell>
          <cell r="S117">
            <v>3.91</v>
          </cell>
          <cell r="T117">
            <v>-4.6879999999999997</v>
          </cell>
          <cell r="U117">
            <v>3.931</v>
          </cell>
          <cell r="V117">
            <v>2.2170000000000001</v>
          </cell>
          <cell r="W117">
            <v>1.6909815017814078</v>
          </cell>
        </row>
        <row r="118">
          <cell r="B118" t="str">
            <v>Norway</v>
          </cell>
          <cell r="C118">
            <v>2.1276786032802697</v>
          </cell>
          <cell r="D118">
            <v>2.0038500872442633</v>
          </cell>
          <cell r="E118">
            <v>1.8376731142071945</v>
          </cell>
          <cell r="G118" t="str">
            <v>A</v>
          </cell>
          <cell r="H118">
            <v>96.569623372049904</v>
          </cell>
          <cell r="I118">
            <v>10</v>
          </cell>
          <cell r="J118">
            <v>8</v>
          </cell>
          <cell r="K118"/>
          <cell r="L118">
            <v>2.7030738548426481</v>
          </cell>
          <cell r="M118">
            <v>1.0340729135363009</v>
          </cell>
          <cell r="N118">
            <v>1.9695443007938924</v>
          </cell>
          <cell r="O118">
            <v>1.857</v>
          </cell>
          <cell r="P118">
            <v>1.165</v>
          </cell>
          <cell r="Q118">
            <v>2.464</v>
          </cell>
          <cell r="R118">
            <v>0.82899999999999996</v>
          </cell>
          <cell r="S118">
            <v>1.1240000000000001</v>
          </cell>
          <cell r="T118">
            <v>-1.278</v>
          </cell>
          <cell r="U118">
            <v>3.8980000000000001</v>
          </cell>
          <cell r="V118">
            <v>3.2810000000000001</v>
          </cell>
          <cell r="W118">
            <v>1.9207616007257289</v>
          </cell>
        </row>
        <row r="119">
          <cell r="B119" t="str">
            <v>Oman</v>
          </cell>
          <cell r="C119">
            <v>1.2841572452507943</v>
          </cell>
          <cell r="D119">
            <v>3.5695383112497314</v>
          </cell>
          <cell r="E119">
            <v>3.4884405409466579</v>
          </cell>
          <cell r="G119" t="str">
            <v>B</v>
          </cell>
          <cell r="H119">
            <v>83.929015692724803</v>
          </cell>
          <cell r="I119">
            <v>38</v>
          </cell>
          <cell r="J119">
            <v>3</v>
          </cell>
          <cell r="K119"/>
          <cell r="L119">
            <v>9.3317368265983944</v>
          </cell>
          <cell r="M119">
            <v>4.373453291056836</v>
          </cell>
          <cell r="N119">
            <v>2.7522002596044053</v>
          </cell>
          <cell r="O119">
            <v>5.0170000000000003</v>
          </cell>
          <cell r="P119">
            <v>5.0460000000000003</v>
          </cell>
          <cell r="Q119">
            <v>0.30399999999999999</v>
          </cell>
          <cell r="R119">
            <v>1.2869999999999999</v>
          </cell>
          <cell r="S119">
            <v>-1.1299999999999999</v>
          </cell>
          <cell r="T119">
            <v>-3.2</v>
          </cell>
          <cell r="U119">
            <v>2.9020000000000001</v>
          </cell>
          <cell r="V119">
            <v>4.3109999999999999</v>
          </cell>
          <cell r="W119">
            <v>3.5289894260981947</v>
          </cell>
        </row>
        <row r="120">
          <cell r="B120" t="str">
            <v>Pakistan</v>
          </cell>
          <cell r="C120">
            <v>-2.8988961286927073</v>
          </cell>
          <cell r="D120">
            <v>0.9425802646799708</v>
          </cell>
          <cell r="E120">
            <v>2.8446311877570185</v>
          </cell>
          <cell r="G120" t="str">
            <v>C</v>
          </cell>
          <cell r="H120">
            <v>69.599146780385112</v>
          </cell>
          <cell r="I120">
            <v>90</v>
          </cell>
          <cell r="J120">
            <v>17</v>
          </cell>
          <cell r="K120"/>
          <cell r="L120">
            <v>2.8731257161786412</v>
          </cell>
          <cell r="M120">
            <v>4.4745926000517917</v>
          </cell>
          <cell r="N120">
            <v>5.7909341243793389</v>
          </cell>
          <cell r="O120">
            <v>4.0579999999999998</v>
          </cell>
          <cell r="P120">
            <v>4.5629999999999997</v>
          </cell>
          <cell r="Q120">
            <v>4.609</v>
          </cell>
          <cell r="R120">
            <v>6.0960000000000001</v>
          </cell>
          <cell r="S120">
            <v>3.12</v>
          </cell>
          <cell r="T120">
            <v>-0.94299999999999995</v>
          </cell>
          <cell r="U120">
            <v>5.742</v>
          </cell>
          <cell r="V120">
            <v>5.9669999999999996</v>
          </cell>
          <cell r="W120">
            <v>1.8936057262184947</v>
          </cell>
        </row>
        <row r="121">
          <cell r="B121" t="str">
            <v>Panama</v>
          </cell>
          <cell r="C121">
            <v>1.349334889011633</v>
          </cell>
          <cell r="D121">
            <v>2.1324418529624634</v>
          </cell>
          <cell r="E121">
            <v>3.875737232948695</v>
          </cell>
          <cell r="G121" t="str">
            <v>D</v>
          </cell>
          <cell r="H121">
            <v>61.957917699729606</v>
          </cell>
          <cell r="I121">
            <v>122</v>
          </cell>
          <cell r="J121">
            <v>19</v>
          </cell>
          <cell r="K121"/>
          <cell r="L121">
            <v>9.7789039456094482</v>
          </cell>
          <cell r="M121">
            <v>6.9032725658169563</v>
          </cell>
          <cell r="N121">
            <v>5.0667432180278205</v>
          </cell>
          <cell r="O121">
            <v>5.7329999999999997</v>
          </cell>
          <cell r="P121">
            <v>4.9530000000000003</v>
          </cell>
          <cell r="Q121">
            <v>5.5910000000000002</v>
          </cell>
          <cell r="R121">
            <v>3.6850000000000001</v>
          </cell>
          <cell r="S121">
            <v>2.98</v>
          </cell>
          <cell r="T121">
            <v>-17.945</v>
          </cell>
          <cell r="U121">
            <v>15.336</v>
          </cell>
          <cell r="V121">
            <v>10</v>
          </cell>
          <cell r="W121">
            <v>3.0040895429555792</v>
          </cell>
        </row>
        <row r="122">
          <cell r="B122" t="str">
            <v>Papua New Guinea</v>
          </cell>
          <cell r="C122">
            <v>0.50696592980361554</v>
          </cell>
          <cell r="D122">
            <v>1.127965129390196</v>
          </cell>
          <cell r="E122">
            <v>3.7955054005958777</v>
          </cell>
          <cell r="G122" t="str">
            <v>E</v>
          </cell>
          <cell r="H122">
            <v>55.401075093758223</v>
          </cell>
          <cell r="I122">
            <v>131</v>
          </cell>
          <cell r="J122">
            <v>27</v>
          </cell>
          <cell r="K122"/>
          <cell r="L122">
            <v>4.6571195968623904</v>
          </cell>
          <cell r="M122">
            <v>3.8249463280067437</v>
          </cell>
          <cell r="N122">
            <v>13.543770621654581</v>
          </cell>
          <cell r="O122">
            <v>6.5759999999999996</v>
          </cell>
          <cell r="P122">
            <v>5.492</v>
          </cell>
          <cell r="Q122">
            <v>3.5350000000000001</v>
          </cell>
          <cell r="R122">
            <v>-0.27900000000000003</v>
          </cell>
          <cell r="S122">
            <v>4.4800000000000004</v>
          </cell>
          <cell r="T122">
            <v>-3.1669999999999998</v>
          </cell>
          <cell r="U122">
            <v>7.0000000000000007E-2</v>
          </cell>
          <cell r="V122">
            <v>4.5359999999999996</v>
          </cell>
          <cell r="W122">
            <v>2.4617352649930369</v>
          </cell>
        </row>
        <row r="123">
          <cell r="B123" t="str">
            <v>Paraguay</v>
          </cell>
          <cell r="C123">
            <v>1.1388134852348575</v>
          </cell>
          <cell r="D123">
            <v>1.2311721995777125</v>
          </cell>
          <cell r="E123">
            <v>3.152890592174673</v>
          </cell>
          <cell r="G123" t="str">
            <v>D</v>
          </cell>
          <cell r="H123">
            <v>63.814130726333779</v>
          </cell>
          <cell r="I123">
            <v>118</v>
          </cell>
          <cell r="J123">
            <v>17</v>
          </cell>
          <cell r="K123"/>
          <cell r="L123">
            <v>-0.53851294250305837</v>
          </cell>
          <cell r="M123">
            <v>8.4174952847030529</v>
          </cell>
          <cell r="N123">
            <v>4.8608903705532152</v>
          </cell>
          <cell r="O123">
            <v>2.9569999999999999</v>
          </cell>
          <cell r="P123">
            <v>4.2679999999999998</v>
          </cell>
          <cell r="Q123">
            <v>4.8099999999999996</v>
          </cell>
          <cell r="R123">
            <v>3.2040000000000002</v>
          </cell>
          <cell r="S123">
            <v>-0.40200000000000002</v>
          </cell>
          <cell r="T123">
            <v>-0.82</v>
          </cell>
          <cell r="U123">
            <v>4.0170000000000003</v>
          </cell>
          <cell r="V123">
            <v>0.2</v>
          </cell>
          <cell r="W123">
            <v>2.1920313958761928</v>
          </cell>
        </row>
        <row r="124">
          <cell r="B124" t="str">
            <v>Peru</v>
          </cell>
          <cell r="C124">
            <v>1.205712245399182</v>
          </cell>
          <cell r="D124">
            <v>1.959755918859285</v>
          </cell>
          <cell r="E124">
            <v>2.7687545080362863</v>
          </cell>
          <cell r="G124" t="str">
            <v>D</v>
          </cell>
          <cell r="H124">
            <v>62.494421901152251</v>
          </cell>
          <cell r="I124">
            <v>121</v>
          </cell>
          <cell r="J124">
            <v>18</v>
          </cell>
          <cell r="K124"/>
          <cell r="L124">
            <v>6.1397247056043467</v>
          </cell>
          <cell r="M124">
            <v>5.8525182108492944</v>
          </cell>
          <cell r="N124">
            <v>2.3821573718054045</v>
          </cell>
          <cell r="O124">
            <v>3.2519999999999998</v>
          </cell>
          <cell r="P124">
            <v>3.9529999999999998</v>
          </cell>
          <cell r="Q124">
            <v>2.5190000000000001</v>
          </cell>
          <cell r="R124">
            <v>3.9769999999999999</v>
          </cell>
          <cell r="S124">
            <v>2.2330000000000001</v>
          </cell>
          <cell r="T124">
            <v>-11.013999999999999</v>
          </cell>
          <cell r="U124">
            <v>13.551</v>
          </cell>
          <cell r="V124">
            <v>2.7010000000000001</v>
          </cell>
          <cell r="W124">
            <v>2.3642552134477857</v>
          </cell>
        </row>
        <row r="125">
          <cell r="B125" t="str">
            <v>Philippines</v>
          </cell>
          <cell r="C125">
            <v>0.96069279950485864</v>
          </cell>
          <cell r="D125">
            <v>3.0362820733681239</v>
          </cell>
          <cell r="E125">
            <v>4.8545875775876546</v>
          </cell>
          <cell r="G125" t="str">
            <v>C</v>
          </cell>
          <cell r="H125">
            <v>74.806556985260698</v>
          </cell>
          <cell r="I125">
            <v>69</v>
          </cell>
          <cell r="J125">
            <v>10</v>
          </cell>
          <cell r="K125"/>
          <cell r="L125">
            <v>6.8969517105747951</v>
          </cell>
          <cell r="M125">
            <v>6.7505313017782687</v>
          </cell>
          <cell r="N125">
            <v>6.3479874825028357</v>
          </cell>
          <cell r="O125">
            <v>6.3479999999999999</v>
          </cell>
          <cell r="P125">
            <v>7.149</v>
          </cell>
          <cell r="Q125">
            <v>6.931</v>
          </cell>
          <cell r="R125">
            <v>6.3410000000000002</v>
          </cell>
          <cell r="S125">
            <v>6.1189999999999998</v>
          </cell>
          <cell r="T125">
            <v>-9.5180000000000007</v>
          </cell>
          <cell r="U125">
            <v>5.7030000000000003</v>
          </cell>
          <cell r="V125">
            <v>7.5990000000000002</v>
          </cell>
          <cell r="W125">
            <v>3.9454348254778893</v>
          </cell>
        </row>
        <row r="126">
          <cell r="B126" t="str">
            <v>Poland</v>
          </cell>
          <cell r="C126">
            <v>3.162865203018228</v>
          </cell>
          <cell r="D126">
            <v>3.8363783613865499</v>
          </cell>
          <cell r="E126">
            <v>3.5697088266716248</v>
          </cell>
          <cell r="G126" t="str">
            <v>B</v>
          </cell>
          <cell r="H126">
            <v>85.420553644487129</v>
          </cell>
          <cell r="I126">
            <v>36</v>
          </cell>
          <cell r="J126">
            <v>23</v>
          </cell>
          <cell r="K126"/>
          <cell r="L126">
            <v>1.6079066445646626</v>
          </cell>
          <cell r="M126">
            <v>1.3918923212492256</v>
          </cell>
          <cell r="N126">
            <v>3.3184475370007722</v>
          </cell>
          <cell r="O126">
            <v>4.383</v>
          </cell>
          <cell r="P126">
            <v>2.9540000000000002</v>
          </cell>
          <cell r="Q126">
            <v>5.14</v>
          </cell>
          <cell r="R126">
            <v>5.9450000000000003</v>
          </cell>
          <cell r="S126">
            <v>4.45</v>
          </cell>
          <cell r="T126">
            <v>-2.02</v>
          </cell>
          <cell r="U126">
            <v>6.8479999999999999</v>
          </cell>
          <cell r="V126">
            <v>4.8739999999999997</v>
          </cell>
          <cell r="W126">
            <v>3.7030435940290873</v>
          </cell>
        </row>
        <row r="127">
          <cell r="B127" t="str">
            <v>Portugal</v>
          </cell>
          <cell r="C127">
            <v>1.0661443105445922</v>
          </cell>
          <cell r="D127">
            <v>1.7172276328006886</v>
          </cell>
          <cell r="E127">
            <v>1.5719478894561822</v>
          </cell>
          <cell r="G127" t="str">
            <v>A</v>
          </cell>
          <cell r="H127">
            <v>91.026987497789847</v>
          </cell>
          <cell r="I127">
            <v>25</v>
          </cell>
          <cell r="J127">
            <v>16</v>
          </cell>
          <cell r="K127"/>
          <cell r="L127">
            <v>-4.0572943594235547</v>
          </cell>
          <cell r="M127">
            <v>-0.92264378725787455</v>
          </cell>
          <cell r="N127">
            <v>0.79219053837650444</v>
          </cell>
          <cell r="O127">
            <v>1.792</v>
          </cell>
          <cell r="P127">
            <v>2.0190000000000001</v>
          </cell>
          <cell r="Q127">
            <v>3.5059999999999998</v>
          </cell>
          <cell r="R127">
            <v>2.8490000000000002</v>
          </cell>
          <cell r="S127">
            <v>2.6829999999999998</v>
          </cell>
          <cell r="T127">
            <v>-8.3010000000000002</v>
          </cell>
          <cell r="U127">
            <v>5.5030000000000001</v>
          </cell>
          <cell r="V127">
            <v>6.726</v>
          </cell>
          <cell r="W127">
            <v>1.6445877611284354</v>
          </cell>
        </row>
        <row r="128">
          <cell r="B128" t="str">
            <v>Qatar</v>
          </cell>
          <cell r="C128">
            <v>0.67674745765720079</v>
          </cell>
          <cell r="D128">
            <v>0.80775193577011795</v>
          </cell>
          <cell r="E128">
            <v>2.0997114519337501</v>
          </cell>
          <cell r="G128" t="str">
            <v>B</v>
          </cell>
          <cell r="H128">
            <v>78.783055534449289</v>
          </cell>
          <cell r="I128">
            <v>57</v>
          </cell>
          <cell r="J128">
            <v>6</v>
          </cell>
          <cell r="K128"/>
          <cell r="L128">
            <v>4.730011843607838</v>
          </cell>
          <cell r="M128">
            <v>5.5560406430660754</v>
          </cell>
          <cell r="N128">
            <v>5.3343232919645871</v>
          </cell>
          <cell r="O128">
            <v>4.7530000000000001</v>
          </cell>
          <cell r="P128">
            <v>3.0640000000000001</v>
          </cell>
          <cell r="Q128">
            <v>-1.498</v>
          </cell>
          <cell r="R128">
            <v>1.2350000000000001</v>
          </cell>
          <cell r="S128">
            <v>0.68799999999999994</v>
          </cell>
          <cell r="T128">
            <v>-3.5579999999999998</v>
          </cell>
          <cell r="U128">
            <v>1.589</v>
          </cell>
          <cell r="V128">
            <v>4.2409999999999997</v>
          </cell>
          <cell r="W128">
            <v>1.453731693851934</v>
          </cell>
        </row>
        <row r="129">
          <cell r="B129" t="str">
            <v>Romania</v>
          </cell>
          <cell r="C129">
            <v>1.9886029006319417</v>
          </cell>
          <cell r="D129">
            <v>2.9733514596169686</v>
          </cell>
          <cell r="E129">
            <v>3.7501787507027151</v>
          </cell>
          <cell r="G129" t="str">
            <v>B</v>
          </cell>
          <cell r="H129">
            <v>84.261081453729389</v>
          </cell>
          <cell r="I129">
            <v>37</v>
          </cell>
          <cell r="J129">
            <v>24</v>
          </cell>
          <cell r="K129"/>
          <cell r="L129">
            <v>2.0771650065377472</v>
          </cell>
          <cell r="M129">
            <v>3.5145518040847694</v>
          </cell>
          <cell r="N129">
            <v>3.4108091001793088</v>
          </cell>
          <cell r="O129">
            <v>3.1629999999999998</v>
          </cell>
          <cell r="P129">
            <v>2.8530000000000002</v>
          </cell>
          <cell r="Q129">
            <v>8.2129999999999992</v>
          </cell>
          <cell r="R129">
            <v>6.03</v>
          </cell>
          <cell r="S129">
            <v>3.8439999999999999</v>
          </cell>
          <cell r="T129">
            <v>-3.6920000000000002</v>
          </cell>
          <cell r="U129">
            <v>5.8739999999999997</v>
          </cell>
          <cell r="V129">
            <v>4.7910000000000004</v>
          </cell>
          <cell r="W129">
            <v>3.3617651051598418</v>
          </cell>
        </row>
        <row r="130">
          <cell r="B130" t="str">
            <v>Russia</v>
          </cell>
          <cell r="C130">
            <v>0.31321455831558875</v>
          </cell>
          <cell r="D130">
            <v>1.1211784185926943</v>
          </cell>
          <cell r="E130">
            <v>0.80914098391451361</v>
          </cell>
          <cell r="G130" t="str">
            <v>C</v>
          </cell>
          <cell r="H130">
            <v>76.528749373407479</v>
          </cell>
          <cell r="I130">
            <v>64</v>
          </cell>
          <cell r="J130">
            <v>36</v>
          </cell>
          <cell r="K130"/>
          <cell r="L130">
            <v>4.0240861571797915</v>
          </cell>
          <cell r="M130">
            <v>1.7554221491628001</v>
          </cell>
          <cell r="N130">
            <v>0.736267221403759</v>
          </cell>
          <cell r="O130">
            <v>-1.9730000000000001</v>
          </cell>
          <cell r="P130">
            <v>0.19400000000000001</v>
          </cell>
          <cell r="Q130">
            <v>1.8260000000000001</v>
          </cell>
          <cell r="R130">
            <v>2.8069999999999999</v>
          </cell>
          <cell r="S130">
            <v>2.198</v>
          </cell>
          <cell r="T130">
            <v>-2.6539999999999999</v>
          </cell>
          <cell r="U130">
            <v>5.6239999999999997</v>
          </cell>
          <cell r="V130">
            <v>-2.0510000000000002</v>
          </cell>
          <cell r="W130">
            <v>0.96515970125360395</v>
          </cell>
        </row>
        <row r="131">
          <cell r="B131" t="str">
            <v>Rwanda</v>
          </cell>
          <cell r="C131">
            <v>4.5886571318858538</v>
          </cell>
          <cell r="D131">
            <v>6.3388189685080754</v>
          </cell>
          <cell r="E131">
            <v>6.1347836953729917</v>
          </cell>
          <cell r="G131" t="str">
            <v>C</v>
          </cell>
          <cell r="H131">
            <v>76.577775011818801</v>
          </cell>
          <cell r="I131">
            <v>63</v>
          </cell>
          <cell r="J131">
            <v>3</v>
          </cell>
          <cell r="K131"/>
          <cell r="L131">
            <v>8.6415388651712988</v>
          </cell>
          <cell r="M131">
            <v>4.7198554996618309</v>
          </cell>
          <cell r="N131">
            <v>6.1642772027561934</v>
          </cell>
          <cell r="O131">
            <v>8.8539999999999992</v>
          </cell>
          <cell r="P131">
            <v>5.9720000000000004</v>
          </cell>
          <cell r="Q131">
            <v>3.9729999999999999</v>
          </cell>
          <cell r="R131">
            <v>8.5779999999999994</v>
          </cell>
          <cell r="S131">
            <v>9.4689999999999994</v>
          </cell>
          <cell r="T131">
            <v>-3.3570000000000002</v>
          </cell>
          <cell r="U131">
            <v>10.874000000000001</v>
          </cell>
          <cell r="V131">
            <v>6.7629999999999999</v>
          </cell>
          <cell r="W131">
            <v>6.2368013319405335</v>
          </cell>
        </row>
        <row r="132">
          <cell r="B132" t="str">
            <v>Saudi Arabia</v>
          </cell>
          <cell r="C132">
            <v>2.4790435166051283</v>
          </cell>
          <cell r="D132">
            <v>2.0533451948943071</v>
          </cell>
          <cell r="E132">
            <v>2.158001329255721</v>
          </cell>
          <cell r="G132" t="str">
            <v>B</v>
          </cell>
          <cell r="H132">
            <v>76.963439522680929</v>
          </cell>
          <cell r="I132">
            <v>61</v>
          </cell>
          <cell r="J132">
            <v>8</v>
          </cell>
          <cell r="K132"/>
          <cell r="L132">
            <v>5.4114449021643543</v>
          </cell>
          <cell r="M132">
            <v>2.6992547225567329</v>
          </cell>
          <cell r="N132">
            <v>3.6524816975790095</v>
          </cell>
          <cell r="O132">
            <v>4.6900000000000004</v>
          </cell>
          <cell r="P132">
            <v>2.363</v>
          </cell>
          <cell r="Q132">
            <v>-7.0000000000000007E-2</v>
          </cell>
          <cell r="R132">
            <v>2.762</v>
          </cell>
          <cell r="S132">
            <v>0.83199999999999996</v>
          </cell>
          <cell r="T132">
            <v>-4.3410000000000002</v>
          </cell>
          <cell r="U132">
            <v>3.9220000000000002</v>
          </cell>
          <cell r="V132">
            <v>8.7439999999999998</v>
          </cell>
          <cell r="W132">
            <v>2.105673262075014</v>
          </cell>
        </row>
        <row r="133">
          <cell r="B133" t="str">
            <v>Senegal</v>
          </cell>
          <cell r="C133">
            <v>4.0137946463164598</v>
          </cell>
          <cell r="D133">
            <v>4.5694149693751296</v>
          </cell>
          <cell r="E133">
            <v>5.2331571951220512</v>
          </cell>
          <cell r="G133" t="str">
            <v>C</v>
          </cell>
          <cell r="H133">
            <v>69.313365081609845</v>
          </cell>
          <cell r="I133">
            <v>93</v>
          </cell>
          <cell r="J133">
            <v>15</v>
          </cell>
          <cell r="K133"/>
          <cell r="L133">
            <v>5.1173942367478444</v>
          </cell>
          <cell r="M133">
            <v>2.8221056497235883</v>
          </cell>
          <cell r="N133">
            <v>6.6135001033739647</v>
          </cell>
          <cell r="O133">
            <v>6.367</v>
          </cell>
          <cell r="P133">
            <v>6.3559999999999999</v>
          </cell>
          <cell r="Q133">
            <v>7.407</v>
          </cell>
          <cell r="R133">
            <v>6.2089999999999996</v>
          </cell>
          <cell r="S133">
            <v>4.6139999999999999</v>
          </cell>
          <cell r="T133">
            <v>1.3260000000000001</v>
          </cell>
          <cell r="U133">
            <v>6.0670000000000002</v>
          </cell>
          <cell r="V133">
            <v>4.7089999999999996</v>
          </cell>
          <cell r="W133">
            <v>4.9012860822485909</v>
          </cell>
        </row>
        <row r="134">
          <cell r="B134" t="str">
            <v>Serbia</v>
          </cell>
          <cell r="C134">
            <v>2.9071913241700997</v>
          </cell>
          <cell r="D134">
            <v>3.5107747978878168</v>
          </cell>
          <cell r="E134">
            <v>2.5987412011468258</v>
          </cell>
          <cell r="G134" t="str">
            <v>C</v>
          </cell>
          <cell r="H134">
            <v>74.50245157918026</v>
          </cell>
          <cell r="I134">
            <v>71</v>
          </cell>
          <cell r="J134">
            <v>38</v>
          </cell>
          <cell r="K134"/>
          <cell r="L134">
            <v>-0.68154236933475798</v>
          </cell>
          <cell r="M134">
            <v>2.892636733558092</v>
          </cell>
          <cell r="N134">
            <v>-1.5895103199025831</v>
          </cell>
          <cell r="O134">
            <v>1.776</v>
          </cell>
          <cell r="P134">
            <v>3.339</v>
          </cell>
          <cell r="Q134">
            <v>2.101</v>
          </cell>
          <cell r="R134">
            <v>4.4950000000000001</v>
          </cell>
          <cell r="S134">
            <v>4.3319999999999999</v>
          </cell>
          <cell r="T134">
            <v>-0.90300000000000002</v>
          </cell>
          <cell r="U134">
            <v>7.55</v>
          </cell>
          <cell r="V134">
            <v>2.2509999999999999</v>
          </cell>
          <cell r="W134">
            <v>3.0547579995173213</v>
          </cell>
        </row>
        <row r="135">
          <cell r="B135" t="str">
            <v>Sierra Leone</v>
          </cell>
          <cell r="C135">
            <v>1.6001817079933423</v>
          </cell>
          <cell r="D135">
            <v>2.5822705421283176</v>
          </cell>
          <cell r="E135">
            <v>2.323464181185142</v>
          </cell>
          <cell r="G135" t="str">
            <v>E</v>
          </cell>
          <cell r="H135">
            <v>58.993492167204309</v>
          </cell>
          <cell r="I135">
            <v>126</v>
          </cell>
          <cell r="J135">
            <v>30</v>
          </cell>
          <cell r="K135"/>
          <cell r="L135">
            <v>15.18176908302255</v>
          </cell>
          <cell r="M135">
            <v>20.715768285872748</v>
          </cell>
          <cell r="N135">
            <v>4.5567723661529431</v>
          </cell>
          <cell r="O135">
            <v>-20.492999999999999</v>
          </cell>
          <cell r="P135">
            <v>6.3540000000000001</v>
          </cell>
          <cell r="Q135">
            <v>3.7650000000000001</v>
          </cell>
          <cell r="R135">
            <v>3.4649999999999999</v>
          </cell>
          <cell r="S135">
            <v>5.2539999999999996</v>
          </cell>
          <cell r="T135">
            <v>-1.9690000000000001</v>
          </cell>
          <cell r="U135">
            <v>4.1050000000000004</v>
          </cell>
          <cell r="V135">
            <v>2.766</v>
          </cell>
          <cell r="W135">
            <v>2.4528673616567298</v>
          </cell>
        </row>
        <row r="136">
          <cell r="B136" t="str">
            <v>Singapore</v>
          </cell>
          <cell r="C136">
            <v>2.254611894692915</v>
          </cell>
          <cell r="D136">
            <v>2.3804077568891469</v>
          </cell>
          <cell r="E136">
            <v>3.1207966515608421</v>
          </cell>
          <cell r="G136" t="str">
            <v>A</v>
          </cell>
          <cell r="H136">
            <v>97.805585083414968</v>
          </cell>
          <cell r="I136">
            <v>4</v>
          </cell>
          <cell r="J136">
            <v>2</v>
          </cell>
          <cell r="K136"/>
          <cell r="L136">
            <v>4.461608951013317</v>
          </cell>
          <cell r="M136">
            <v>4.8372986457609866</v>
          </cell>
          <cell r="N136">
            <v>3.9380027286605586</v>
          </cell>
          <cell r="O136">
            <v>2.9769999999999999</v>
          </cell>
          <cell r="P136">
            <v>3.6019999999999999</v>
          </cell>
          <cell r="Q136">
            <v>4.5449999999999999</v>
          </cell>
          <cell r="R136">
            <v>3.5750000000000002</v>
          </cell>
          <cell r="S136">
            <v>1.331</v>
          </cell>
          <cell r="T136">
            <v>-3.9009999999999998</v>
          </cell>
          <cell r="U136">
            <v>8.8819999999999997</v>
          </cell>
          <cell r="V136">
            <v>3.6469999999999998</v>
          </cell>
          <cell r="W136">
            <v>2.7506022042249945</v>
          </cell>
        </row>
        <row r="137">
          <cell r="B137" t="str">
            <v>Slovak Republic</v>
          </cell>
          <cell r="C137">
            <v>0.39781205843958389</v>
          </cell>
          <cell r="D137">
            <v>0.97590941056187042</v>
          </cell>
          <cell r="E137">
            <v>1.8214852479931931</v>
          </cell>
          <cell r="G137" t="str">
            <v>B</v>
          </cell>
          <cell r="H137">
            <v>80.276897229698847</v>
          </cell>
          <cell r="I137">
            <v>47</v>
          </cell>
          <cell r="J137">
            <v>32</v>
          </cell>
          <cell r="K137"/>
          <cell r="L137">
            <v>1.8958108123027844</v>
          </cell>
          <cell r="M137">
            <v>0.67084458223160615</v>
          </cell>
          <cell r="N137">
            <v>2.7524343314004627</v>
          </cell>
          <cell r="O137">
            <v>5.1669999999999998</v>
          </cell>
          <cell r="P137">
            <v>1.944</v>
          </cell>
          <cell r="Q137">
            <v>2.9380000000000002</v>
          </cell>
          <cell r="R137">
            <v>4.0309999999999997</v>
          </cell>
          <cell r="S137">
            <v>2.5190000000000001</v>
          </cell>
          <cell r="T137">
            <v>-3.375</v>
          </cell>
          <cell r="U137">
            <v>3.0139999999999998</v>
          </cell>
          <cell r="V137">
            <v>1.6679999999999999</v>
          </cell>
          <cell r="W137">
            <v>1.3986973292775318</v>
          </cell>
        </row>
        <row r="138">
          <cell r="B138" t="str">
            <v>Slovenia</v>
          </cell>
          <cell r="C138">
            <v>2.9453399614758569</v>
          </cell>
          <cell r="D138">
            <v>3.265722456681952</v>
          </cell>
          <cell r="E138">
            <v>2.8132202997918521</v>
          </cell>
          <cell r="G138" t="str">
            <v>A</v>
          </cell>
          <cell r="H138">
            <v>88.920325519387234</v>
          </cell>
          <cell r="I138">
            <v>30</v>
          </cell>
          <cell r="J138">
            <v>19</v>
          </cell>
          <cell r="K138"/>
          <cell r="L138">
            <v>-2.6394387292630763</v>
          </cell>
          <cell r="M138">
            <v>-1.029283831306939</v>
          </cell>
          <cell r="N138">
            <v>2.7681580195902979</v>
          </cell>
          <cell r="O138">
            <v>2.21</v>
          </cell>
          <cell r="P138">
            <v>3.1920000000000002</v>
          </cell>
          <cell r="Q138">
            <v>4.8159999999999998</v>
          </cell>
          <cell r="R138">
            <v>4.4550000000000001</v>
          </cell>
          <cell r="S138">
            <v>3.4510000000000001</v>
          </cell>
          <cell r="T138">
            <v>-4.3209999999999997</v>
          </cell>
          <cell r="U138">
            <v>8.2110000000000003</v>
          </cell>
          <cell r="V138">
            <v>5.3739999999999997</v>
          </cell>
          <cell r="W138">
            <v>3.0394713782369021</v>
          </cell>
        </row>
        <row r="139">
          <cell r="B139" t="str">
            <v>South Africa</v>
          </cell>
          <cell r="C139">
            <v>8.8409433265779214E-2</v>
          </cell>
          <cell r="D139">
            <v>2.1857023030043443</v>
          </cell>
          <cell r="E139">
            <v>1.8249844059199605</v>
          </cell>
          <cell r="G139" t="str">
            <v>C</v>
          </cell>
          <cell r="H139">
            <v>75.182844770260857</v>
          </cell>
          <cell r="I139">
            <v>68</v>
          </cell>
          <cell r="J139">
            <v>5</v>
          </cell>
          <cell r="K139"/>
          <cell r="L139">
            <v>2.2133548084844037</v>
          </cell>
          <cell r="M139">
            <v>2.4852005003105813</v>
          </cell>
          <cell r="N139">
            <v>1.8469916036571876</v>
          </cell>
          <cell r="O139">
            <v>1.3220000000000001</v>
          </cell>
          <cell r="P139">
            <v>0.66500000000000004</v>
          </cell>
          <cell r="Q139">
            <v>1.1579999999999999</v>
          </cell>
          <cell r="R139">
            <v>1.522</v>
          </cell>
          <cell r="S139">
            <v>0.30299999999999999</v>
          </cell>
          <cell r="T139">
            <v>-6.3419999999999996</v>
          </cell>
          <cell r="U139">
            <v>4.9130000000000003</v>
          </cell>
          <cell r="V139">
            <v>2.0419999999999998</v>
          </cell>
          <cell r="W139">
            <v>2.0053433544621524</v>
          </cell>
        </row>
        <row r="140">
          <cell r="B140" t="str">
            <v>Spain</v>
          </cell>
          <cell r="C140">
            <v>-0.43793400391870518</v>
          </cell>
          <cell r="D140">
            <v>0.55931383652465527</v>
          </cell>
          <cell r="E140">
            <v>1.23940470018431</v>
          </cell>
          <cell r="G140" t="str">
            <v>A</v>
          </cell>
          <cell r="H140">
            <v>90.367632171249966</v>
          </cell>
          <cell r="I140">
            <v>27</v>
          </cell>
          <cell r="J140">
            <v>17</v>
          </cell>
          <cell r="K140"/>
          <cell r="L140">
            <v>-2.9594413017355699</v>
          </cell>
          <cell r="M140">
            <v>-1.4353942591932869</v>
          </cell>
          <cell r="N140">
            <v>1.3839079426702983</v>
          </cell>
          <cell r="O140">
            <v>3.8370000000000002</v>
          </cell>
          <cell r="P140">
            <v>3.0379999999999998</v>
          </cell>
          <cell r="Q140">
            <v>2.9769999999999999</v>
          </cell>
          <cell r="R140">
            <v>2.2829999999999999</v>
          </cell>
          <cell r="S140">
            <v>1.9830000000000001</v>
          </cell>
          <cell r="T140">
            <v>-11.324999999999999</v>
          </cell>
          <cell r="U140">
            <v>5.5220000000000002</v>
          </cell>
          <cell r="V140">
            <v>5.4749999999999996</v>
          </cell>
          <cell r="W140">
            <v>0.89935926835448265</v>
          </cell>
        </row>
        <row r="141">
          <cell r="B141" t="str">
            <v>Sri Lanka</v>
          </cell>
          <cell r="C141">
            <v>-3.0583991155611168</v>
          </cell>
          <cell r="D141">
            <v>7.8407546755454582E-2</v>
          </cell>
          <cell r="E141">
            <v>2.1593525209882225</v>
          </cell>
          <cell r="G141" t="str">
            <v>C</v>
          </cell>
          <cell r="H141">
            <v>73.00518117550061</v>
          </cell>
          <cell r="I141">
            <v>76</v>
          </cell>
          <cell r="J141">
            <v>13</v>
          </cell>
          <cell r="K141"/>
          <cell r="L141">
            <v>9.1445722464256534</v>
          </cell>
          <cell r="M141">
            <v>3.3957326498342781</v>
          </cell>
          <cell r="N141">
            <v>4.960700591697301</v>
          </cell>
          <cell r="O141">
            <v>4.2060000000000004</v>
          </cell>
          <cell r="P141">
            <v>5.0540000000000003</v>
          </cell>
          <cell r="Q141">
            <v>6.4610000000000003</v>
          </cell>
          <cell r="R141">
            <v>2.31</v>
          </cell>
          <cell r="S141">
            <v>-0.22</v>
          </cell>
          <cell r="T141">
            <v>-3.472</v>
          </cell>
          <cell r="U141">
            <v>3.327</v>
          </cell>
          <cell r="V141">
            <v>-8.6590000000000007</v>
          </cell>
          <cell r="W141">
            <v>1.1188800338718385</v>
          </cell>
        </row>
        <row r="142">
          <cell r="B142" t="str">
            <v>Sudan</v>
          </cell>
          <cell r="C142">
            <v>-2.6688383810210325</v>
          </cell>
          <cell r="D142">
            <v>-1.5401833642449736</v>
          </cell>
          <cell r="E142">
            <v>1.2842213840550842</v>
          </cell>
          <cell r="G142" t="str">
            <v>E</v>
          </cell>
          <cell r="H142">
            <v>29.302112762792021</v>
          </cell>
          <cell r="I142">
            <v>156</v>
          </cell>
          <cell r="J142">
            <v>47</v>
          </cell>
          <cell r="K142"/>
          <cell r="L142">
            <v>-1.4398357186292348</v>
          </cell>
          <cell r="M142">
            <v>4.3946958327458523</v>
          </cell>
          <cell r="N142">
            <v>2.6794256681504725</v>
          </cell>
          <cell r="O142">
            <v>4.9059999999999997</v>
          </cell>
          <cell r="P142">
            <v>4.7</v>
          </cell>
          <cell r="Q142">
            <v>0.76800000000000002</v>
          </cell>
          <cell r="R142">
            <v>-2.29</v>
          </cell>
          <cell r="S142">
            <v>-2.5</v>
          </cell>
          <cell r="T142">
            <v>-3.63</v>
          </cell>
          <cell r="U142">
            <v>0.5</v>
          </cell>
          <cell r="V142">
            <v>-2.5</v>
          </cell>
          <cell r="W142">
            <v>-0.12798099009494468</v>
          </cell>
        </row>
        <row r="143">
          <cell r="B143" t="str">
            <v>Suriname</v>
          </cell>
          <cell r="C143">
            <v>-6.0912921553037958</v>
          </cell>
          <cell r="D143">
            <v>-2.539464764773447</v>
          </cell>
          <cell r="E143">
            <v>-1.6533032843941364</v>
          </cell>
          <cell r="G143" t="str">
            <v>C</v>
          </cell>
          <cell r="H143">
            <v>69.385821977853183</v>
          </cell>
          <cell r="I143">
            <v>92</v>
          </cell>
          <cell r="J143">
            <v>12</v>
          </cell>
          <cell r="K143"/>
          <cell r="L143">
            <v>2.6903497466884523</v>
          </cell>
          <cell r="M143">
            <v>2.9334416518612043</v>
          </cell>
          <cell r="N143">
            <v>0.25550303164546423</v>
          </cell>
          <cell r="O143">
            <v>-3.4140000000000001</v>
          </cell>
          <cell r="P143">
            <v>-4.9119999999999999</v>
          </cell>
          <cell r="Q143">
            <v>1.5660000000000001</v>
          </cell>
          <cell r="R143">
            <v>4.9480000000000004</v>
          </cell>
          <cell r="S143">
            <v>1.0980000000000001</v>
          </cell>
          <cell r="T143">
            <v>-15.906000000000001</v>
          </cell>
          <cell r="U143">
            <v>-2.742</v>
          </cell>
          <cell r="V143">
            <v>1.3280000000000001</v>
          </cell>
          <cell r="W143">
            <v>-2.0963840245837915</v>
          </cell>
        </row>
        <row r="144">
          <cell r="B144" t="str">
            <v>Sweden</v>
          </cell>
          <cell r="C144">
            <v>1.8041121232050594</v>
          </cell>
          <cell r="D144">
            <v>1.5622302939160004</v>
          </cell>
          <cell r="E144">
            <v>2.0743232215396867</v>
          </cell>
          <cell r="G144" t="str">
            <v>A</v>
          </cell>
          <cell r="H144">
            <v>96.904206369440487</v>
          </cell>
          <cell r="I144">
            <v>7</v>
          </cell>
          <cell r="J144">
            <v>5</v>
          </cell>
          <cell r="K144"/>
          <cell r="L144">
            <v>-0.58830456899072281</v>
          </cell>
          <cell r="M144">
            <v>1.1877757159060018</v>
          </cell>
          <cell r="N144">
            <v>2.6577982753164227</v>
          </cell>
          <cell r="O144">
            <v>4.4889999999999999</v>
          </cell>
          <cell r="P144">
            <v>2.0710000000000002</v>
          </cell>
          <cell r="Q144">
            <v>2.5680000000000001</v>
          </cell>
          <cell r="R144">
            <v>1.95</v>
          </cell>
          <cell r="S144">
            <v>1.986</v>
          </cell>
          <cell r="T144">
            <v>-2.17</v>
          </cell>
          <cell r="U144">
            <v>5.3860000000000001</v>
          </cell>
          <cell r="V144">
            <v>2.6419999999999999</v>
          </cell>
          <cell r="W144">
            <v>1.8182767577278436</v>
          </cell>
        </row>
        <row r="145">
          <cell r="B145" t="str">
            <v>Switzerland</v>
          </cell>
          <cell r="C145">
            <v>1.2890197152698013</v>
          </cell>
          <cell r="D145">
            <v>2.1594279609995271</v>
          </cell>
          <cell r="E145">
            <v>1.9949438623463989</v>
          </cell>
          <cell r="G145" t="str">
            <v>A</v>
          </cell>
          <cell r="H145">
            <v>98.385388118004073</v>
          </cell>
          <cell r="I145">
            <v>2</v>
          </cell>
          <cell r="J145">
            <v>1</v>
          </cell>
          <cell r="K145"/>
          <cell r="L145">
            <v>1.0060240943135659</v>
          </cell>
          <cell r="M145">
            <v>1.852039766494749</v>
          </cell>
          <cell r="N145">
            <v>2.4492180871562819</v>
          </cell>
          <cell r="O145">
            <v>1.59</v>
          </cell>
          <cell r="P145">
            <v>2.073</v>
          </cell>
          <cell r="Q145">
            <v>1.427</v>
          </cell>
          <cell r="R145">
            <v>2.867</v>
          </cell>
          <cell r="S145">
            <v>1.161</v>
          </cell>
          <cell r="T145">
            <v>-2.5070000000000001</v>
          </cell>
          <cell r="U145">
            <v>4.2210000000000001</v>
          </cell>
          <cell r="V145">
            <v>2.1339999999999999</v>
          </cell>
          <cell r="W145">
            <v>2.077185911672963</v>
          </cell>
        </row>
        <row r="146">
          <cell r="B146" t="str">
            <v>Taiwan</v>
          </cell>
          <cell r="C146">
            <v>4.1942484708972883</v>
          </cell>
          <cell r="D146">
            <v>3.7202264352869774</v>
          </cell>
          <cell r="E146">
            <v>3.3189477234561782</v>
          </cell>
          <cell r="G146" t="str">
            <v>C</v>
          </cell>
          <cell r="H146">
            <v>74.109663332036064</v>
          </cell>
          <cell r="I146">
            <v>72</v>
          </cell>
          <cell r="J146">
            <v>11</v>
          </cell>
          <cell r="K146"/>
          <cell r="L146">
            <v>2.2704029453876053</v>
          </cell>
          <cell r="M146">
            <v>2.5430680885972134</v>
          </cell>
          <cell r="N146">
            <v>4.9538203190596066</v>
          </cell>
          <cell r="O146">
            <v>1.466</v>
          </cell>
          <cell r="P146">
            <v>2.165</v>
          </cell>
          <cell r="Q146">
            <v>3.3109999999999999</v>
          </cell>
          <cell r="R146">
            <v>2.7869999999999999</v>
          </cell>
          <cell r="S146">
            <v>3.0640000000000001</v>
          </cell>
          <cell r="T146">
            <v>3.387</v>
          </cell>
          <cell r="U146">
            <v>6.5279999999999996</v>
          </cell>
          <cell r="V146">
            <v>2.452</v>
          </cell>
          <cell r="W146">
            <v>3.5195870793715778</v>
          </cell>
        </row>
        <row r="147">
          <cell r="B147" t="str">
            <v>Tajikistan</v>
          </cell>
          <cell r="C147">
            <v>7.1805428191797027</v>
          </cell>
          <cell r="D147">
            <v>7.3081795758255463</v>
          </cell>
          <cell r="E147">
            <v>7.0632908095879854</v>
          </cell>
          <cell r="G147" t="str">
            <v>D</v>
          </cell>
          <cell r="H147">
            <v>65.502149613905985</v>
          </cell>
          <cell r="I147">
            <v>113</v>
          </cell>
          <cell r="J147">
            <v>23</v>
          </cell>
          <cell r="K147"/>
          <cell r="L147">
            <v>7.4999994632152305</v>
          </cell>
          <cell r="M147">
            <v>7.3999997470037826</v>
          </cell>
          <cell r="N147">
            <v>6.7000006901625362</v>
          </cell>
          <cell r="O147">
            <v>6</v>
          </cell>
          <cell r="P147">
            <v>6.9</v>
          </cell>
          <cell r="Q147">
            <v>7.1</v>
          </cell>
          <cell r="R147">
            <v>7.6</v>
          </cell>
          <cell r="S147">
            <v>7.4</v>
          </cell>
          <cell r="T147">
            <v>4.3899999999999997</v>
          </cell>
          <cell r="U147">
            <v>9.4</v>
          </cell>
          <cell r="V147">
            <v>8</v>
          </cell>
          <cell r="W147">
            <v>7.1857351927067654</v>
          </cell>
        </row>
        <row r="148">
          <cell r="B148" t="str">
            <v>Tanzania</v>
          </cell>
          <cell r="C148">
            <v>3.6476767570704727</v>
          </cell>
          <cell r="D148">
            <v>4.4330707554891102</v>
          </cell>
          <cell r="E148">
            <v>5.5432278987954442</v>
          </cell>
          <cell r="G148" t="str">
            <v>D</v>
          </cell>
          <cell r="H148">
            <v>68.134404341049418</v>
          </cell>
          <cell r="I148">
            <v>101</v>
          </cell>
          <cell r="J148">
            <v>21</v>
          </cell>
          <cell r="K148"/>
          <cell r="L148">
            <v>4.500153559821273</v>
          </cell>
          <cell r="M148">
            <v>6.7815856006531599</v>
          </cell>
          <cell r="N148">
            <v>6.732461868324811</v>
          </cell>
          <cell r="O148">
            <v>6.1609999999999996</v>
          </cell>
          <cell r="P148">
            <v>6.867</v>
          </cell>
          <cell r="Q148">
            <v>6.7729999999999997</v>
          </cell>
          <cell r="R148">
            <v>6.9589999999999996</v>
          </cell>
          <cell r="S148">
            <v>6.9889999999999999</v>
          </cell>
          <cell r="T148">
            <v>4.8159999999999998</v>
          </cell>
          <cell r="U148">
            <v>4.9470000000000001</v>
          </cell>
          <cell r="V148">
            <v>4.6879999999999997</v>
          </cell>
          <cell r="W148">
            <v>4.9881493271422777</v>
          </cell>
        </row>
        <row r="149">
          <cell r="B149" t="str">
            <v>Thailand</v>
          </cell>
          <cell r="C149">
            <v>-0.75178730142027028</v>
          </cell>
          <cell r="D149">
            <v>0.80617945124625834</v>
          </cell>
          <cell r="E149">
            <v>1.8254251122560072</v>
          </cell>
          <cell r="G149" t="str">
            <v>D</v>
          </cell>
          <cell r="H149">
            <v>67.301316099527455</v>
          </cell>
          <cell r="I149">
            <v>104</v>
          </cell>
          <cell r="J149">
            <v>19</v>
          </cell>
          <cell r="K149"/>
          <cell r="L149">
            <v>7.2427962024964359</v>
          </cell>
          <cell r="M149">
            <v>2.6874955632055553</v>
          </cell>
          <cell r="N149">
            <v>0.98442510993386245</v>
          </cell>
          <cell r="O149">
            <v>3.1339999999999999</v>
          </cell>
          <cell r="P149">
            <v>3.4350000000000001</v>
          </cell>
          <cell r="Q149">
            <v>4.1779999999999999</v>
          </cell>
          <cell r="R149">
            <v>4.2229999999999999</v>
          </cell>
          <cell r="S149">
            <v>2.1150000000000002</v>
          </cell>
          <cell r="T149">
            <v>-6.1609999999999996</v>
          </cell>
          <cell r="U149">
            <v>1.5629999999999999</v>
          </cell>
          <cell r="V149">
            <v>2.6440000000000001</v>
          </cell>
          <cell r="W149">
            <v>1.3158022817511328</v>
          </cell>
        </row>
        <row r="150">
          <cell r="B150" t="str">
            <v>Togo</v>
          </cell>
          <cell r="C150">
            <v>4.1237007551626403</v>
          </cell>
          <cell r="D150">
            <v>4.5599643087248731</v>
          </cell>
          <cell r="E150">
            <v>5.0461931715429786</v>
          </cell>
          <cell r="G150" t="str">
            <v>C</v>
          </cell>
          <cell r="H150">
            <v>71.06383353175876</v>
          </cell>
          <cell r="I150">
            <v>84</v>
          </cell>
          <cell r="J150">
            <v>12</v>
          </cell>
          <cell r="K150"/>
          <cell r="L150">
            <v>6.543507029266066</v>
          </cell>
          <cell r="M150">
            <v>6.1123430766482372</v>
          </cell>
          <cell r="N150">
            <v>5.9205885732303445</v>
          </cell>
          <cell r="O150">
            <v>5.74</v>
          </cell>
          <cell r="P150">
            <v>5.6</v>
          </cell>
          <cell r="Q150">
            <v>4.3479999999999999</v>
          </cell>
          <cell r="R150">
            <v>4.9669999999999996</v>
          </cell>
          <cell r="S150">
            <v>5.4640000000000004</v>
          </cell>
          <cell r="T150">
            <v>1.758</v>
          </cell>
          <cell r="U150">
            <v>5.2590000000000003</v>
          </cell>
          <cell r="V150">
            <v>5.399</v>
          </cell>
          <cell r="W150">
            <v>4.8030787401339259</v>
          </cell>
        </row>
        <row r="151">
          <cell r="B151" t="str">
            <v>Trinidad and Tobago</v>
          </cell>
          <cell r="C151">
            <v>-2.1662761553291388</v>
          </cell>
          <cell r="D151">
            <v>-0.32249691451342599</v>
          </cell>
          <cell r="E151">
            <v>-0.73360970360328848</v>
          </cell>
          <cell r="G151" t="str">
            <v>D</v>
          </cell>
          <cell r="H151">
            <v>65.576173252463747</v>
          </cell>
          <cell r="I151">
            <v>112</v>
          </cell>
          <cell r="J151">
            <v>14</v>
          </cell>
          <cell r="K151"/>
          <cell r="L151">
            <v>1.2699643652024184</v>
          </cell>
          <cell r="M151">
            <v>2.2290748047658071</v>
          </cell>
          <cell r="N151">
            <v>-0.91254496880826241</v>
          </cell>
          <cell r="O151">
            <v>-0.75600000000000001</v>
          </cell>
          <cell r="P151">
            <v>-6.7640000000000002</v>
          </cell>
          <cell r="Q151">
            <v>-4.7069999999999999</v>
          </cell>
          <cell r="R151">
            <v>-0.871</v>
          </cell>
          <cell r="S151">
            <v>0.11</v>
          </cell>
          <cell r="T151">
            <v>-7.6779999999999999</v>
          </cell>
          <cell r="U151">
            <v>-1.0269999999999999</v>
          </cell>
          <cell r="V151">
            <v>2.4809999999999999</v>
          </cell>
          <cell r="W151">
            <v>-0.52805330905835723</v>
          </cell>
        </row>
        <row r="152">
          <cell r="B152" t="str">
            <v>Tunisia</v>
          </cell>
          <cell r="C152">
            <v>-0.76139414796470017</v>
          </cell>
          <cell r="D152">
            <v>1.515468696628397</v>
          </cell>
          <cell r="E152">
            <v>1.7677168413122724</v>
          </cell>
          <cell r="G152" t="str">
            <v>D</v>
          </cell>
          <cell r="H152">
            <v>68.074683718311135</v>
          </cell>
          <cell r="I152">
            <v>102</v>
          </cell>
          <cell r="J152">
            <v>22</v>
          </cell>
          <cell r="K152"/>
          <cell r="L152">
            <v>3.9976740023093633</v>
          </cell>
          <cell r="M152">
            <v>2.8755238423073424</v>
          </cell>
          <cell r="N152">
            <v>2.9713983451090038</v>
          </cell>
          <cell r="O152">
            <v>0.96799999999999997</v>
          </cell>
          <cell r="P152">
            <v>1.117</v>
          </cell>
          <cell r="Q152">
            <v>2.238</v>
          </cell>
          <cell r="R152">
            <v>2.625</v>
          </cell>
          <cell r="S152">
            <v>1.5880000000000001</v>
          </cell>
          <cell r="T152">
            <v>-8.8179999999999996</v>
          </cell>
          <cell r="U152">
            <v>4.4050000000000002</v>
          </cell>
          <cell r="V152">
            <v>2.5219999999999998</v>
          </cell>
          <cell r="W152">
            <v>1.6415927689703347</v>
          </cell>
        </row>
        <row r="153">
          <cell r="B153" t="str">
            <v>Turkey</v>
          </cell>
          <cell r="C153">
            <v>6.2162334826369348</v>
          </cell>
          <cell r="D153">
            <v>4.4468380199269797</v>
          </cell>
          <cell r="E153">
            <v>5.2521474880545149</v>
          </cell>
          <cell r="G153" t="str">
            <v>B</v>
          </cell>
          <cell r="H153">
            <v>79.725975588542326</v>
          </cell>
          <cell r="I153">
            <v>49</v>
          </cell>
          <cell r="J153">
            <v>4</v>
          </cell>
          <cell r="K153"/>
          <cell r="L153">
            <v>4.7899402070344061</v>
          </cell>
          <cell r="M153">
            <v>8.4913093926863557</v>
          </cell>
          <cell r="N153">
            <v>5.1666907030455222</v>
          </cell>
          <cell r="O153">
            <v>6.0839999999999996</v>
          </cell>
          <cell r="P153">
            <v>3.323</v>
          </cell>
          <cell r="Q153">
            <v>7.5019999999999998</v>
          </cell>
          <cell r="R153">
            <v>2.98</v>
          </cell>
          <cell r="S153">
            <v>0.78400000000000003</v>
          </cell>
          <cell r="T153">
            <v>1.94</v>
          </cell>
          <cell r="U153">
            <v>11.353</v>
          </cell>
          <cell r="V153">
            <v>5.5659999999999998</v>
          </cell>
          <cell r="W153">
            <v>4.8494927539907469</v>
          </cell>
        </row>
        <row r="154">
          <cell r="B154" t="str">
            <v>Turkmenistan</v>
          </cell>
          <cell r="C154">
            <v>5.7825311290508274</v>
          </cell>
          <cell r="D154">
            <v>5.9692666570670072</v>
          </cell>
          <cell r="E154">
            <v>6.9419375690879193</v>
          </cell>
          <cell r="G154" t="str">
            <v>C</v>
          </cell>
          <cell r="H154">
            <v>73.971445285212496</v>
          </cell>
          <cell r="I154">
            <v>74</v>
          </cell>
          <cell r="J154">
            <v>12</v>
          </cell>
          <cell r="K154"/>
          <cell r="L154">
            <v>11.099999961554488</v>
          </cell>
          <cell r="M154">
            <v>10.200000101398992</v>
          </cell>
          <cell r="N154">
            <v>10.299999970545908</v>
          </cell>
          <cell r="O154">
            <v>2.9860000000000002</v>
          </cell>
          <cell r="P154">
            <v>-0.97699999999999998</v>
          </cell>
          <cell r="Q154">
            <v>4.7069999999999999</v>
          </cell>
          <cell r="R154">
            <v>0.88200000000000001</v>
          </cell>
          <cell r="S154">
            <v>-3.3889999999999998</v>
          </cell>
          <cell r="T154">
            <v>-2.9369999999999998</v>
          </cell>
          <cell r="U154">
            <v>4.62</v>
          </cell>
          <cell r="V154">
            <v>1.7889999999999999</v>
          </cell>
          <cell r="W154">
            <v>6.4556021130774628</v>
          </cell>
        </row>
        <row r="155">
          <cell r="B155" t="str">
            <v>Uganda</v>
          </cell>
          <cell r="C155">
            <v>3.8036415692147996</v>
          </cell>
          <cell r="D155">
            <v>4.8231874950755982</v>
          </cell>
          <cell r="E155">
            <v>4.6664450945707259</v>
          </cell>
          <cell r="G155" t="str">
            <v>C</v>
          </cell>
          <cell r="H155">
            <v>69.556086736265442</v>
          </cell>
          <cell r="I155">
            <v>91</v>
          </cell>
          <cell r="J155">
            <v>14</v>
          </cell>
          <cell r="K155"/>
          <cell r="L155">
            <v>3.8374556059033003</v>
          </cell>
          <cell r="M155">
            <v>3.586905826320109</v>
          </cell>
          <cell r="N155">
            <v>5.1063073243118193</v>
          </cell>
          <cell r="O155">
            <v>8.0060000000000002</v>
          </cell>
          <cell r="P155">
            <v>0.159</v>
          </cell>
          <cell r="Q155">
            <v>6.83</v>
          </cell>
          <cell r="R155">
            <v>5.5019999999999998</v>
          </cell>
          <cell r="S155">
            <v>7.782</v>
          </cell>
          <cell r="T155">
            <v>-1.3009999999999999</v>
          </cell>
          <cell r="U155">
            <v>6.0039999999999996</v>
          </cell>
          <cell r="V155">
            <v>4.9329999999999998</v>
          </cell>
          <cell r="W155">
            <v>4.7448162948231616</v>
          </cell>
        </row>
        <row r="156">
          <cell r="B156" t="str">
            <v>Ukraine</v>
          </cell>
          <cell r="C156">
            <v>-11.461901799668306</v>
          </cell>
          <cell r="D156">
            <v>-5.8295559101049328</v>
          </cell>
          <cell r="E156">
            <v>-4.15839598326132</v>
          </cell>
          <cell r="G156" t="str">
            <v>C</v>
          </cell>
          <cell r="H156">
            <v>74.079326507080765</v>
          </cell>
          <cell r="I156">
            <v>73</v>
          </cell>
          <cell r="J156">
            <v>39</v>
          </cell>
          <cell r="K156"/>
          <cell r="L156">
            <v>0.23868172076808841</v>
          </cell>
          <cell r="M156">
            <v>-2.66978900718703E-2</v>
          </cell>
          <cell r="N156">
            <v>-6.5526312936576572</v>
          </cell>
          <cell r="O156">
            <v>-9.7880000000000003</v>
          </cell>
          <cell r="P156">
            <v>2.4169999999999998</v>
          </cell>
          <cell r="Q156">
            <v>2.36</v>
          </cell>
          <cell r="R156">
            <v>3.488</v>
          </cell>
          <cell r="S156">
            <v>3.1989999999999998</v>
          </cell>
          <cell r="T156">
            <v>-3.7530000000000001</v>
          </cell>
          <cell r="U156">
            <v>3.3530000000000002</v>
          </cell>
          <cell r="V156">
            <v>-30.26</v>
          </cell>
          <cell r="W156">
            <v>-4.9939759466831264</v>
          </cell>
        </row>
        <row r="157">
          <cell r="B157" t="str">
            <v>United Arab Emirates</v>
          </cell>
          <cell r="C157">
            <v>1.9883983839421138</v>
          </cell>
          <cell r="D157">
            <v>1.9344501122165347</v>
          </cell>
          <cell r="E157">
            <v>2.9471413005852209</v>
          </cell>
          <cell r="G157" t="str">
            <v>A</v>
          </cell>
          <cell r="H157">
            <v>91.971735408895199</v>
          </cell>
          <cell r="I157">
            <v>22</v>
          </cell>
          <cell r="J157">
            <v>1</v>
          </cell>
          <cell r="K157"/>
          <cell r="L157">
            <v>4.4846260849086921</v>
          </cell>
          <cell r="M157">
            <v>5.0533458252665762</v>
          </cell>
          <cell r="N157">
            <v>4.2843036857947956</v>
          </cell>
          <cell r="O157">
            <v>6.7869999999999999</v>
          </cell>
          <cell r="P157">
            <v>5.5609999999999999</v>
          </cell>
          <cell r="Q157">
            <v>0.73499999999999999</v>
          </cell>
          <cell r="R157">
            <v>1.3140000000000001</v>
          </cell>
          <cell r="S157">
            <v>1.1080000000000001</v>
          </cell>
          <cell r="T157">
            <v>-4.9569999999999999</v>
          </cell>
          <cell r="U157">
            <v>3.9159999999999999</v>
          </cell>
          <cell r="V157">
            <v>7.4109999999999996</v>
          </cell>
          <cell r="W157">
            <v>2.4407957064008778</v>
          </cell>
        </row>
        <row r="158">
          <cell r="B158" t="str">
            <v>United Kingdom</v>
          </cell>
          <cell r="C158">
            <v>-0.15570963242206304</v>
          </cell>
          <cell r="D158">
            <v>0.73784192060712961</v>
          </cell>
          <cell r="E158">
            <v>1.4574433295258649</v>
          </cell>
          <cell r="G158" t="str">
            <v>A</v>
          </cell>
          <cell r="H158">
            <v>95.869504572225566</v>
          </cell>
          <cell r="I158">
            <v>16</v>
          </cell>
          <cell r="J158">
            <v>11</v>
          </cell>
          <cell r="K158"/>
          <cell r="L158">
            <v>1.4789239471568232</v>
          </cell>
          <cell r="M158">
            <v>2.1394857010831609</v>
          </cell>
          <cell r="N158">
            <v>2.6074759063105102</v>
          </cell>
          <cell r="O158">
            <v>2.3929999999999998</v>
          </cell>
          <cell r="P158">
            <v>2.165</v>
          </cell>
          <cell r="Q158">
            <v>2.444</v>
          </cell>
          <cell r="R158">
            <v>1.7050000000000001</v>
          </cell>
          <cell r="S158">
            <v>1.6040000000000001</v>
          </cell>
          <cell r="T158">
            <v>-11.031000000000001</v>
          </cell>
          <cell r="U158">
            <v>7.5970000000000004</v>
          </cell>
          <cell r="V158">
            <v>4.0449999999999999</v>
          </cell>
          <cell r="W158">
            <v>1.0976426250664972</v>
          </cell>
        </row>
        <row r="159">
          <cell r="B159" t="str">
            <v>United States</v>
          </cell>
          <cell r="C159">
            <v>1.6858959431595322</v>
          </cell>
          <cell r="D159">
            <v>2.0522235488571683</v>
          </cell>
          <cell r="E159">
            <v>2.1214909700318696</v>
          </cell>
          <cell r="G159" t="str">
            <v>A</v>
          </cell>
          <cell r="H159">
            <v>95.916666666666671</v>
          </cell>
          <cell r="I159">
            <v>14</v>
          </cell>
          <cell r="J159">
            <v>1</v>
          </cell>
          <cell r="K159"/>
          <cell r="L159">
            <v>2.249545852369943</v>
          </cell>
          <cell r="M159">
            <v>1.8420810710110016</v>
          </cell>
          <cell r="N159">
            <v>2.4519730353603584</v>
          </cell>
          <cell r="O159">
            <v>2.7069999999999999</v>
          </cell>
          <cell r="P159">
            <v>1.6679999999999999</v>
          </cell>
          <cell r="Q159">
            <v>2.242</v>
          </cell>
          <cell r="R159">
            <v>2.9449999999999998</v>
          </cell>
          <cell r="S159">
            <v>2.2949999999999999</v>
          </cell>
          <cell r="T159">
            <v>-2.7679999999999998</v>
          </cell>
          <cell r="U159">
            <v>5.9470000000000001</v>
          </cell>
          <cell r="V159">
            <v>2.0680000000000001</v>
          </cell>
          <cell r="W159">
            <v>2.0868572594445189</v>
          </cell>
        </row>
        <row r="160">
          <cell r="B160" t="str">
            <v>Uruguay</v>
          </cell>
          <cell r="C160">
            <v>0.91343850289404838</v>
          </cell>
          <cell r="D160">
            <v>2.2569945604846264</v>
          </cell>
          <cell r="E160">
            <v>2.3762166744240032</v>
          </cell>
          <cell r="G160" t="str">
            <v>B</v>
          </cell>
          <cell r="H160">
            <v>81.172173305315454</v>
          </cell>
          <cell r="I160">
            <v>43</v>
          </cell>
          <cell r="J160">
            <v>5</v>
          </cell>
          <cell r="K160"/>
          <cell r="L160">
            <v>3.5381787068568795</v>
          </cell>
          <cell r="M160">
            <v>4.6375386431141186</v>
          </cell>
          <cell r="N160">
            <v>3.2387912162160193</v>
          </cell>
          <cell r="O160">
            <v>0.371</v>
          </cell>
          <cell r="P160">
            <v>1.69</v>
          </cell>
          <cell r="Q160">
            <v>1.6279999999999999</v>
          </cell>
          <cell r="R160">
            <v>0.47799999999999998</v>
          </cell>
          <cell r="S160">
            <v>0.35</v>
          </cell>
          <cell r="T160">
            <v>-6.1150000000000002</v>
          </cell>
          <cell r="U160">
            <v>4.4020000000000001</v>
          </cell>
          <cell r="V160">
            <v>4.8860000000000001</v>
          </cell>
          <cell r="W160">
            <v>2.3166056174543148</v>
          </cell>
        </row>
        <row r="161">
          <cell r="B161" t="str">
            <v>Uzbekistan</v>
          </cell>
          <cell r="C161">
            <v>4.966226080132774</v>
          </cell>
          <cell r="D161">
            <v>5.1922367720162121</v>
          </cell>
          <cell r="E161">
            <v>5.7634254597189516</v>
          </cell>
          <cell r="G161" t="str">
            <v>D</v>
          </cell>
          <cell r="H161">
            <v>68.759088115548678</v>
          </cell>
          <cell r="I161">
            <v>99</v>
          </cell>
          <cell r="J161">
            <v>18</v>
          </cell>
          <cell r="K161"/>
          <cell r="L161">
            <v>7.1024448870695505</v>
          </cell>
          <cell r="M161">
            <v>7.2965503696402285</v>
          </cell>
          <cell r="N161">
            <v>6.8738384408295845</v>
          </cell>
          <cell r="O161">
            <v>7.2190000000000003</v>
          </cell>
          <cell r="P161">
            <v>5.9320000000000004</v>
          </cell>
          <cell r="Q161">
            <v>4.3949999999999996</v>
          </cell>
          <cell r="R161">
            <v>5.88</v>
          </cell>
          <cell r="S161">
            <v>5.9820000000000002</v>
          </cell>
          <cell r="T161">
            <v>1.996</v>
          </cell>
          <cell r="U161">
            <v>7.4029999999999996</v>
          </cell>
          <cell r="V161">
            <v>5.6689999999999996</v>
          </cell>
          <cell r="W161">
            <v>5.4778311158675823</v>
          </cell>
        </row>
        <row r="162">
          <cell r="B162" t="str">
            <v>Vietnam</v>
          </cell>
          <cell r="C162">
            <v>6.367284609117374</v>
          </cell>
          <cell r="D162">
            <v>8.0753375154714711</v>
          </cell>
          <cell r="E162">
            <v>8.6445538917790046</v>
          </cell>
          <cell r="G162" t="str">
            <v>D</v>
          </cell>
          <cell r="H162">
            <v>62.623537935388953</v>
          </cell>
          <cell r="I162">
            <v>120</v>
          </cell>
          <cell r="J162">
            <v>24</v>
          </cell>
          <cell r="K162"/>
          <cell r="L162">
            <v>12.410056463111571</v>
          </cell>
          <cell r="M162">
            <v>7.2891294784445284</v>
          </cell>
          <cell r="N162">
            <v>9.6841913021478785</v>
          </cell>
          <cell r="O162">
            <v>6.9870000000000001</v>
          </cell>
          <cell r="P162">
            <v>6.69</v>
          </cell>
          <cell r="Q162">
            <v>6.94</v>
          </cell>
          <cell r="R162">
            <v>7.4649999999999999</v>
          </cell>
          <cell r="S162">
            <v>7.359</v>
          </cell>
          <cell r="T162">
            <v>2.867</v>
          </cell>
          <cell r="U162">
            <v>2.5619999999999998</v>
          </cell>
          <cell r="V162">
            <v>8.0180000000000007</v>
          </cell>
          <cell r="W162">
            <v>8.3599457036252378</v>
          </cell>
        </row>
        <row r="163">
          <cell r="B163" t="str">
            <v>Yemen, Rep.</v>
          </cell>
          <cell r="C163">
            <v>-1.1017371120758623</v>
          </cell>
          <cell r="D163">
            <v>-1.4008554823266794</v>
          </cell>
          <cell r="E163">
            <v>0.43888765074564517</v>
          </cell>
          <cell r="G163" t="str">
            <v>E</v>
          </cell>
          <cell r="H163">
            <v>44.737558430285063</v>
          </cell>
          <cell r="I163">
            <v>145</v>
          </cell>
          <cell r="J163">
            <v>11</v>
          </cell>
          <cell r="K163"/>
          <cell r="L163">
            <v>16.665428768467855</v>
          </cell>
          <cell r="M163">
            <v>1.9894927620720551</v>
          </cell>
          <cell r="N163">
            <v>2.3769293269800476</v>
          </cell>
          <cell r="O163">
            <v>-27.995000000000001</v>
          </cell>
          <cell r="P163">
            <v>-9.375</v>
          </cell>
          <cell r="Q163">
            <v>-5.0720000000000001</v>
          </cell>
          <cell r="R163">
            <v>0.752</v>
          </cell>
          <cell r="S163">
            <v>1.4</v>
          </cell>
          <cell r="T163">
            <v>-8.5</v>
          </cell>
          <cell r="U163">
            <v>-1</v>
          </cell>
          <cell r="V163">
            <v>1.5</v>
          </cell>
          <cell r="W163">
            <v>-0.48098391579051714</v>
          </cell>
        </row>
        <row r="164">
          <cell r="B164" t="str">
            <v>Zambia</v>
          </cell>
          <cell r="C164">
            <v>1.6991659105087376</v>
          </cell>
          <cell r="D164">
            <v>2.110140268966143</v>
          </cell>
          <cell r="E164">
            <v>3.0449788505192199</v>
          </cell>
          <cell r="G164" t="str">
            <v>D</v>
          </cell>
          <cell r="H164">
            <v>61.004320674622747</v>
          </cell>
          <cell r="I164">
            <v>124</v>
          </cell>
          <cell r="J164">
            <v>29</v>
          </cell>
          <cell r="K164"/>
          <cell r="L164">
            <v>7.5975932105319126</v>
          </cell>
          <cell r="M164">
            <v>5.0572317397973361</v>
          </cell>
          <cell r="N164">
            <v>4.6979923625298614</v>
          </cell>
          <cell r="O164">
            <v>2.92</v>
          </cell>
          <cell r="P164">
            <v>3.7770000000000001</v>
          </cell>
          <cell r="Q164">
            <v>3.504</v>
          </cell>
          <cell r="R164">
            <v>4.0350000000000001</v>
          </cell>
          <cell r="S164">
            <v>1.4410000000000001</v>
          </cell>
          <cell r="T164">
            <v>-2.7850000000000001</v>
          </cell>
          <cell r="U164">
            <v>4.5990000000000002</v>
          </cell>
          <cell r="V164">
            <v>3.4409999999999998</v>
          </cell>
          <cell r="W164">
            <v>2.5775595597426815</v>
          </cell>
        </row>
        <row r="165">
          <cell r="B165" t="str">
            <v>Zimbabwe</v>
          </cell>
          <cell r="C165">
            <v>3.5464749905308901</v>
          </cell>
          <cell r="D165">
            <v>2.7818952866475843</v>
          </cell>
          <cell r="E165">
            <v>2.7261309103552733</v>
          </cell>
          <cell r="G165" t="str">
            <v>E</v>
          </cell>
          <cell r="H165">
            <v>55.033873809516088</v>
          </cell>
          <cell r="I165">
            <v>133</v>
          </cell>
          <cell r="J165">
            <v>33</v>
          </cell>
          <cell r="K165"/>
          <cell r="L165">
            <v>17.615397198362849</v>
          </cell>
          <cell r="M165">
            <v>10.75800212279124</v>
          </cell>
          <cell r="N165">
            <v>3.9762602630956336</v>
          </cell>
          <cell r="O165">
            <v>1.794</v>
          </cell>
          <cell r="P165">
            <v>0.47799999999999998</v>
          </cell>
          <cell r="Q165">
            <v>4.9829999999999997</v>
          </cell>
          <cell r="R165">
            <v>4.7320000000000002</v>
          </cell>
          <cell r="S165">
            <v>-6.1219999999999999</v>
          </cell>
          <cell r="T165">
            <v>-7.8250000000000002</v>
          </cell>
          <cell r="U165">
            <v>8.4619999999999997</v>
          </cell>
          <cell r="V165">
            <v>3.0289999999999999</v>
          </cell>
          <cell r="W165">
            <v>2.7540130985014288</v>
          </cell>
        </row>
      </sheetData>
      <sheetData sheetId="23"/>
      <sheetData sheetId="24" refreshError="1"/>
      <sheetData sheetId="25"/>
      <sheetData sheetId="26"/>
      <sheetData sheetId="27">
        <row r="1">
          <cell r="B1" t="str">
            <v>ENZL</v>
          </cell>
          <cell r="C1" t="str">
            <v>EWA</v>
          </cell>
          <cell r="D1" t="str">
            <v>EWC</v>
          </cell>
          <cell r="E1" t="str">
            <v>EWG</v>
          </cell>
          <cell r="F1" t="str">
            <v>EWJ</v>
          </cell>
          <cell r="G1" t="str">
            <v>EWL</v>
          </cell>
          <cell r="H1" t="str">
            <v>EWU</v>
          </cell>
          <cell r="I1" t="str">
            <v>QQQ</v>
          </cell>
          <cell r="J1" t="str">
            <v>SPY</v>
          </cell>
          <cell r="K1" t="str">
            <v>EWQ</v>
          </cell>
          <cell r="L1" t="str">
            <v>EWN</v>
          </cell>
          <cell r="M1" t="str">
            <v>EWD</v>
          </cell>
          <cell r="N1" t="str">
            <v>EWI</v>
          </cell>
        </row>
        <row r="2">
          <cell r="A2">
            <v>38352</v>
          </cell>
          <cell r="B2" t="str">
            <v/>
          </cell>
          <cell r="C2">
            <v>15.4970825561621</v>
          </cell>
          <cell r="D2">
            <v>14.6738571923606</v>
          </cell>
          <cell r="E2">
            <v>11.827555059993299</v>
          </cell>
          <cell r="F2">
            <v>9.4722639547096605</v>
          </cell>
          <cell r="G2">
            <v>15.9587717941353</v>
          </cell>
          <cell r="H2">
            <v>17.001374333558701</v>
          </cell>
          <cell r="I2">
            <v>14.817843581598</v>
          </cell>
          <cell r="J2">
            <v>15.586179020045901</v>
          </cell>
          <cell r="K2">
            <v>15.378510988127299</v>
          </cell>
          <cell r="L2">
            <v>20.502702273176801</v>
          </cell>
          <cell r="M2">
            <v>16.226109086479301</v>
          </cell>
          <cell r="N2">
            <v>12.7201174133668</v>
          </cell>
        </row>
        <row r="3">
          <cell r="A3">
            <v>38716</v>
          </cell>
          <cell r="B3" t="str">
            <v/>
          </cell>
          <cell r="C3">
            <v>16.532509518013999</v>
          </cell>
          <cell r="D3">
            <v>15.7709471724654</v>
          </cell>
          <cell r="E3">
            <v>12.5810872006639</v>
          </cell>
          <cell r="F3">
            <v>9.7108092859513899</v>
          </cell>
          <cell r="G3">
            <v>16.670944245646201</v>
          </cell>
          <cell r="H3">
            <v>17.4840740170497</v>
          </cell>
          <cell r="I3">
            <v>15.486694777592099</v>
          </cell>
          <cell r="J3">
            <v>16.732203856681899</v>
          </cell>
          <cell r="K3">
            <v>16.630213142081299</v>
          </cell>
          <cell r="L3">
            <v>18.438843283905701</v>
          </cell>
          <cell r="M3">
            <v>17.2247287220762</v>
          </cell>
          <cell r="N3">
            <v>14.3538872460945</v>
          </cell>
        </row>
        <row r="4">
          <cell r="A4">
            <v>39080</v>
          </cell>
          <cell r="B4" t="str">
            <v/>
          </cell>
          <cell r="C4">
            <v>17.019399648616702</v>
          </cell>
          <cell r="D4">
            <v>15.854713654361101</v>
          </cell>
          <cell r="E4">
            <v>13.372977849048</v>
          </cell>
          <cell r="F4">
            <v>9.9459490206900902</v>
          </cell>
          <cell r="G4">
            <v>17.319056104251299</v>
          </cell>
          <cell r="H4">
            <v>19.442574250405301</v>
          </cell>
          <cell r="I4">
            <v>16.833970499812899</v>
          </cell>
          <cell r="J4">
            <v>17.387356208818399</v>
          </cell>
          <cell r="K4">
            <v>15.408967362426599</v>
          </cell>
          <cell r="L4">
            <v>17.2963282197402</v>
          </cell>
          <cell r="M4">
            <v>18.210010684159698</v>
          </cell>
          <cell r="N4">
            <v>15.068908602684299</v>
          </cell>
        </row>
        <row r="5">
          <cell r="A5">
            <v>39447</v>
          </cell>
          <cell r="B5" t="str">
            <v/>
          </cell>
          <cell r="C5">
            <v>15.560991405865201</v>
          </cell>
          <cell r="D5">
            <v>16.5705490516163</v>
          </cell>
          <cell r="E5">
            <v>14.712722857709</v>
          </cell>
          <cell r="F5">
            <v>9.9106258464836792</v>
          </cell>
          <cell r="G5">
            <v>18.194046530628999</v>
          </cell>
          <cell r="H5">
            <v>18.922548163306399</v>
          </cell>
          <cell r="I5">
            <v>17.9560593685279</v>
          </cell>
          <cell r="J5">
            <v>17.7935626477889</v>
          </cell>
          <cell r="K5">
            <v>15.0205314626708</v>
          </cell>
          <cell r="L5">
            <v>16.622012430445402</v>
          </cell>
          <cell r="M5">
            <v>18.887175762553799</v>
          </cell>
          <cell r="N5">
            <v>13.812143044596301</v>
          </cell>
        </row>
        <row r="6">
          <cell r="A6">
            <v>39813</v>
          </cell>
          <cell r="B6" t="str">
            <v/>
          </cell>
          <cell r="C6">
            <v>13.5690116283254</v>
          </cell>
          <cell r="D6">
            <v>13.8099900139916</v>
          </cell>
          <cell r="E6">
            <v>11.5210886767193</v>
          </cell>
          <cell r="F6">
            <v>6.3264501132521804</v>
          </cell>
          <cell r="G6">
            <v>15.513687428345399</v>
          </cell>
          <cell r="H6">
            <v>14.973545163604699</v>
          </cell>
          <cell r="I6">
            <v>16.5654843697708</v>
          </cell>
          <cell r="J6">
            <v>13.938459770768899</v>
          </cell>
          <cell r="K6">
            <v>11.8797489821456</v>
          </cell>
          <cell r="L6">
            <v>13.982183103512799</v>
          </cell>
          <cell r="M6">
            <v>13.942889841066</v>
          </cell>
          <cell r="N6">
            <v>10.789750222635099</v>
          </cell>
        </row>
        <row r="7">
          <cell r="A7">
            <v>40178</v>
          </cell>
          <cell r="B7" t="str">
            <v/>
          </cell>
          <cell r="C7">
            <v>12.8492110125335</v>
          </cell>
          <cell r="D7">
            <v>11.8327104416904</v>
          </cell>
          <cell r="E7">
            <v>11.009433764833901</v>
          </cell>
          <cell r="F7">
            <v>5.7137456034125096</v>
          </cell>
          <cell r="G7">
            <v>17.2258858021045</v>
          </cell>
          <cell r="H7">
            <v>14.6457818658238</v>
          </cell>
          <cell r="I7">
            <v>17.596574126271399</v>
          </cell>
          <cell r="J7">
            <v>14.004346429543</v>
          </cell>
          <cell r="K7">
            <v>10.993409183456601</v>
          </cell>
          <cell r="L7">
            <v>13.3304023919735</v>
          </cell>
          <cell r="M7">
            <v>10.346174503291101</v>
          </cell>
          <cell r="N7">
            <v>8.0585564947070996</v>
          </cell>
        </row>
        <row r="8">
          <cell r="A8">
            <v>40543</v>
          </cell>
          <cell r="B8">
            <v>10.853226729587799</v>
          </cell>
          <cell r="C8">
            <v>14.2386354612725</v>
          </cell>
          <cell r="D8">
            <v>12.6984457284378</v>
          </cell>
          <cell r="E8">
            <v>13.0475804034897</v>
          </cell>
          <cell r="F8">
            <v>7.7760884645659401</v>
          </cell>
          <cell r="G8">
            <v>16.663378494351999</v>
          </cell>
          <cell r="H8">
            <v>16.154296497439798</v>
          </cell>
          <cell r="I8">
            <v>20.000374237164401</v>
          </cell>
          <cell r="J8">
            <v>15.039943345393599</v>
          </cell>
          <cell r="K8">
            <v>12.025937598748101</v>
          </cell>
          <cell r="L8">
            <v>14.659480994909201</v>
          </cell>
          <cell r="M8">
            <v>15.818215992178599</v>
          </cell>
          <cell r="N8">
            <v>8.8199042369870302</v>
          </cell>
        </row>
        <row r="9">
          <cell r="A9">
            <v>40907</v>
          </cell>
          <cell r="B9">
            <v>10.904873441364501</v>
          </cell>
          <cell r="C9">
            <v>14.168071267681</v>
          </cell>
          <cell r="D9">
            <v>13.509284892423301</v>
          </cell>
          <cell r="E9">
            <v>12.3546044213534</v>
          </cell>
          <cell r="F9">
            <v>7.2930951173439702</v>
          </cell>
          <cell r="G9">
            <v>15.1353221205521</v>
          </cell>
          <cell r="H9">
            <v>15.199607837615799</v>
          </cell>
          <cell r="I9">
            <v>20.959156893823899</v>
          </cell>
          <cell r="J9">
            <v>15.5262408812809</v>
          </cell>
          <cell r="K9">
            <v>10.817665506629901</v>
          </cell>
          <cell r="L9">
            <v>13.0989988533626</v>
          </cell>
          <cell r="M9">
            <v>15.7255547384444</v>
          </cell>
          <cell r="N9">
            <v>8.1166013658542493</v>
          </cell>
        </row>
        <row r="10">
          <cell r="A10">
            <v>41274</v>
          </cell>
          <cell r="B10">
            <v>11.45876758647</v>
          </cell>
          <cell r="C10">
            <v>12.692165288154101</v>
          </cell>
          <cell r="D10">
            <v>12.804929450575001</v>
          </cell>
          <cell r="E10">
            <v>12.103787649179401</v>
          </cell>
          <cell r="F10">
            <v>7.6046390639022201</v>
          </cell>
          <cell r="G10">
            <v>15.5882414428409</v>
          </cell>
          <cell r="H10">
            <v>14.4781479669762</v>
          </cell>
          <cell r="I10">
            <v>20.792196377515399</v>
          </cell>
          <cell r="J10">
            <v>15.3796547722071</v>
          </cell>
          <cell r="K10">
            <v>10.4079638226552</v>
          </cell>
          <cell r="L10">
            <v>12.002383507737299</v>
          </cell>
          <cell r="M10">
            <v>14.800794930168999</v>
          </cell>
          <cell r="N10">
            <v>7.8393954249384699</v>
          </cell>
        </row>
        <row r="11">
          <cell r="A11">
            <v>41639</v>
          </cell>
          <cell r="B11">
            <v>11.083258915241499</v>
          </cell>
          <cell r="C11">
            <v>13.1922555858139</v>
          </cell>
          <cell r="D11">
            <v>12.2925364029644</v>
          </cell>
          <cell r="E11">
            <v>12.1465108243325</v>
          </cell>
          <cell r="F11">
            <v>8.9088475830290008</v>
          </cell>
          <cell r="G11">
            <v>15.248395144965301</v>
          </cell>
          <cell r="H11">
            <v>13.364031588609899</v>
          </cell>
          <cell r="I11">
            <v>20.047298915306001</v>
          </cell>
          <cell r="J11">
            <v>15.870243784691599</v>
          </cell>
          <cell r="K11">
            <v>10.3975296667646</v>
          </cell>
          <cell r="L11">
            <v>12.148614557293399</v>
          </cell>
          <cell r="M11">
            <v>14.1943515647563</v>
          </cell>
          <cell r="N11">
            <v>7.3457599670942102</v>
          </cell>
        </row>
        <row r="12">
          <cell r="A12">
            <v>42004</v>
          </cell>
          <cell r="B12">
            <v>9.9451743168813902</v>
          </cell>
          <cell r="C12">
            <v>12.5644042089263</v>
          </cell>
          <cell r="D12">
            <v>11.8034021278505</v>
          </cell>
          <cell r="E12">
            <v>11.887358161661499</v>
          </cell>
          <cell r="F12">
            <v>9.0803886544970194</v>
          </cell>
          <cell r="G12">
            <v>14.502800920484599</v>
          </cell>
          <cell r="H12">
            <v>12.232650330571399</v>
          </cell>
          <cell r="I12">
            <v>22.0568276514703</v>
          </cell>
          <cell r="J12">
            <v>15.810673900759699</v>
          </cell>
          <cell r="K12">
            <v>9.8706002317655095</v>
          </cell>
          <cell r="L12">
            <v>12.219782956479699</v>
          </cell>
          <cell r="M12">
            <v>13.790896513923</v>
          </cell>
          <cell r="N12">
            <v>7.2987048712399796</v>
          </cell>
        </row>
        <row r="13">
          <cell r="A13">
            <v>42369</v>
          </cell>
          <cell r="B13">
            <v>9.9024265265903395</v>
          </cell>
          <cell r="C13">
            <v>10.732136523471301</v>
          </cell>
          <cell r="D13">
            <v>10.9923508764539</v>
          </cell>
          <cell r="E13">
            <v>12.028464941777401</v>
          </cell>
          <cell r="F13">
            <v>8.7788981831763504</v>
          </cell>
          <cell r="G13">
            <v>13.2798091113486</v>
          </cell>
          <cell r="H13">
            <v>11.1900784012713</v>
          </cell>
          <cell r="I13">
            <v>21.8504635786249</v>
          </cell>
          <cell r="J13">
            <v>15.858031312821501</v>
          </cell>
          <cell r="K13">
            <v>9.8254824560818506</v>
          </cell>
          <cell r="L13">
            <v>12.4442703427853</v>
          </cell>
          <cell r="M13">
            <v>13.0367586478869</v>
          </cell>
          <cell r="N13">
            <v>7.2893784265994803</v>
          </cell>
        </row>
        <row r="14">
          <cell r="A14">
            <v>42734</v>
          </cell>
          <cell r="B14">
            <v>9.7998658290307095</v>
          </cell>
          <cell r="C14">
            <v>11.5035211675747</v>
          </cell>
          <cell r="D14">
            <v>11.4792366602027</v>
          </cell>
          <cell r="E14">
            <v>11.8967042128795</v>
          </cell>
          <cell r="F14">
            <v>8.62096827520989</v>
          </cell>
          <cell r="G14">
            <v>13.3994953105419</v>
          </cell>
          <cell r="H14">
            <v>12.1967915012023</v>
          </cell>
          <cell r="I14">
            <v>21.114607645969102</v>
          </cell>
          <cell r="J14">
            <v>16.049912492851799</v>
          </cell>
          <cell r="K14">
            <v>9.8831539131807205</v>
          </cell>
          <cell r="L14">
            <v>11.8415876112609</v>
          </cell>
          <cell r="M14">
            <v>12.322553154201101</v>
          </cell>
          <cell r="N14">
            <v>7.6448050780743202</v>
          </cell>
        </row>
        <row r="15">
          <cell r="A15">
            <v>43098</v>
          </cell>
          <cell r="B15">
            <v>9.8479289685659399</v>
          </cell>
          <cell r="C15">
            <v>11.907299006987801</v>
          </cell>
          <cell r="D15">
            <v>11.3979128674428</v>
          </cell>
          <cell r="E15">
            <v>12.246920794364801</v>
          </cell>
          <cell r="F15">
            <v>9.2398651910043395</v>
          </cell>
          <cell r="G15">
            <v>13.9322208239423</v>
          </cell>
          <cell r="H15">
            <v>12.7329318595365</v>
          </cell>
          <cell r="I15">
            <v>22.078426350894102</v>
          </cell>
          <cell r="J15">
            <v>16.907948658911</v>
          </cell>
          <cell r="K15">
            <v>10.4363064842242</v>
          </cell>
          <cell r="L15">
            <v>13.007558022754999</v>
          </cell>
          <cell r="M15">
            <v>13.8549633296522</v>
          </cell>
          <cell r="N15">
            <v>9.0538496506424107</v>
          </cell>
        </row>
        <row r="16">
          <cell r="A16">
            <v>43465</v>
          </cell>
          <cell r="B16">
            <v>9.5217714261901296</v>
          </cell>
          <cell r="C16">
            <v>12.400931175281199</v>
          </cell>
          <cell r="D16">
            <v>12.499008182247699</v>
          </cell>
          <cell r="E16">
            <v>11.651015241557801</v>
          </cell>
          <cell r="F16">
            <v>9.4957067852596193</v>
          </cell>
          <cell r="G16">
            <v>14.645799683639201</v>
          </cell>
          <cell r="H16">
            <v>13.1887832891224</v>
          </cell>
          <cell r="I16">
            <v>26.490229336787198</v>
          </cell>
          <cell r="J16">
            <v>18.8923615036562</v>
          </cell>
          <cell r="K16">
            <v>11.328389580600501</v>
          </cell>
          <cell r="L16">
            <v>13.222867771113201</v>
          </cell>
          <cell r="M16">
            <v>13.3193557094803</v>
          </cell>
          <cell r="N16">
            <v>10.3909656073461</v>
          </cell>
        </row>
        <row r="17">
          <cell r="A17">
            <v>43830</v>
          </cell>
          <cell r="B17">
            <v>9.0038870875203099</v>
          </cell>
          <cell r="C17">
            <v>11.727245318431001</v>
          </cell>
          <cell r="D17">
            <v>11.978678387174501</v>
          </cell>
          <cell r="E17">
            <v>10.4475672104334</v>
          </cell>
          <cell r="F17">
            <v>8.3559628457147905</v>
          </cell>
          <cell r="G17">
            <v>14.538819869127099</v>
          </cell>
          <cell r="H17">
            <v>12.8737052164039</v>
          </cell>
          <cell r="I17">
            <v>25.011729164223802</v>
          </cell>
          <cell r="J17">
            <v>18.2929292668566</v>
          </cell>
          <cell r="K17">
            <v>10.914009651423299</v>
          </cell>
          <cell r="L17">
            <v>13.091763608270099</v>
          </cell>
          <cell r="M17">
            <v>13.411796816833499</v>
          </cell>
          <cell r="N17">
            <v>10.235305372573199</v>
          </cell>
        </row>
        <row r="18">
          <cell r="A18">
            <v>44196</v>
          </cell>
          <cell r="B18">
            <v>7.5322638919869096</v>
          </cell>
          <cell r="C18">
            <v>11.050859206460901</v>
          </cell>
          <cell r="D18">
            <v>11.192208682288101</v>
          </cell>
          <cell r="E18">
            <v>9.7140774229622799</v>
          </cell>
          <cell r="F18">
            <v>7.4385993978341904</v>
          </cell>
          <cell r="G18">
            <v>14.667779480083301</v>
          </cell>
          <cell r="H18">
            <v>11.205027047904499</v>
          </cell>
          <cell r="I18">
            <v>24.534442851527501</v>
          </cell>
          <cell r="J18">
            <v>17.229753184220598</v>
          </cell>
          <cell r="K18">
            <v>8.9424512398593592</v>
          </cell>
          <cell r="L18">
            <v>9.7785656554204401</v>
          </cell>
          <cell r="M18">
            <v>11.9070326803871</v>
          </cell>
          <cell r="N18">
            <v>8.27578853786002</v>
          </cell>
        </row>
        <row r="19">
          <cell r="A19">
            <v>44561</v>
          </cell>
          <cell r="B19">
            <v>6.44400181202057</v>
          </cell>
          <cell r="C19">
            <v>12.8471719199911</v>
          </cell>
          <cell r="D19">
            <v>14.1061782856045</v>
          </cell>
          <cell r="E19">
            <v>12.204735115631699</v>
          </cell>
          <cell r="F19">
            <v>9.2207657581018498</v>
          </cell>
          <cell r="G19">
            <v>16.3837417700753</v>
          </cell>
          <cell r="H19">
            <v>13.923468905247599</v>
          </cell>
          <cell r="I19">
            <v>26.6357645357499</v>
          </cell>
          <cell r="J19">
            <v>20.6860775499071</v>
          </cell>
          <cell r="K19">
            <v>12.254057827059899</v>
          </cell>
          <cell r="L19">
            <v>10.899145963703001</v>
          </cell>
          <cell r="M19">
            <v>15.3602779550365</v>
          </cell>
          <cell r="N19">
            <v>11.7277999998841</v>
          </cell>
        </row>
        <row r="20">
          <cell r="A20">
            <v>44925</v>
          </cell>
          <cell r="B20">
            <v>7.7689690341126996</v>
          </cell>
          <cell r="C20">
            <v>14.6580605840091</v>
          </cell>
          <cell r="D20">
            <v>14.0030454181917</v>
          </cell>
          <cell r="E20">
            <v>11.818809347067701</v>
          </cell>
          <cell r="F20">
            <v>9.2254456309335797</v>
          </cell>
          <cell r="G20">
            <v>16.690651729349099</v>
          </cell>
          <cell r="H20">
            <v>15.8610243525508</v>
          </cell>
          <cell r="I20">
            <v>24.048244147569601</v>
          </cell>
          <cell r="J20">
            <v>20.5984076408633</v>
          </cell>
          <cell r="K20">
            <v>13.147585254514</v>
          </cell>
          <cell r="L20">
            <v>12.015889172957699</v>
          </cell>
          <cell r="M20">
            <v>14.691294534808801</v>
          </cell>
          <cell r="N20">
            <v>13.320279015852901</v>
          </cell>
        </row>
        <row r="21">
          <cell r="A21">
            <v>45289</v>
          </cell>
          <cell r="B21">
            <v>6.5791075391831502</v>
          </cell>
          <cell r="C21">
            <v>13.2282302133121</v>
          </cell>
          <cell r="D21">
            <v>13.143831982753101</v>
          </cell>
          <cell r="E21">
            <v>11.933166723455001</v>
          </cell>
          <cell r="F21">
            <v>9.2978000426810592</v>
          </cell>
          <cell r="G21">
            <v>19.2850533603957</v>
          </cell>
          <cell r="H21">
            <v>14.7571642289371</v>
          </cell>
          <cell r="I21">
            <v>25.292825542801602</v>
          </cell>
          <cell r="J21">
            <v>20.335837808045401</v>
          </cell>
          <cell r="K21">
            <v>13.2206625586117</v>
          </cell>
          <cell r="L21">
            <v>12.7454576665132</v>
          </cell>
          <cell r="M21">
            <v>15.368047405644401</v>
          </cell>
          <cell r="N21">
            <v>13.358439707112201</v>
          </cell>
        </row>
        <row r="23">
          <cell r="A23" t="str">
            <v>Min</v>
          </cell>
          <cell r="B23">
            <v>6.44400181202057</v>
          </cell>
          <cell r="C23">
            <v>10.732136523471301</v>
          </cell>
          <cell r="D23">
            <v>10.9923508764539</v>
          </cell>
          <cell r="E23">
            <v>9.7140774229622799</v>
          </cell>
          <cell r="F23">
            <v>5.7137456034125096</v>
          </cell>
          <cell r="G23">
            <v>13.2798091113486</v>
          </cell>
          <cell r="H23">
            <v>11.1900784012713</v>
          </cell>
          <cell r="I23">
            <v>14.817843581598</v>
          </cell>
          <cell r="J23">
            <v>13.938459770768899</v>
          </cell>
          <cell r="K23">
            <v>8.9424512398593592</v>
          </cell>
          <cell r="L23">
            <v>9.7785656554204401</v>
          </cell>
          <cell r="M23">
            <v>10.346174503291101</v>
          </cell>
          <cell r="N23">
            <v>7.2893784265994803</v>
          </cell>
        </row>
        <row r="24">
          <cell r="A24" t="str">
            <v>median</v>
          </cell>
          <cell r="B24">
            <v>9.8238973987983247</v>
          </cell>
          <cell r="C24">
            <v>13.020733299173699</v>
          </cell>
          <cell r="D24">
            <v>12.7516875895064</v>
          </cell>
          <cell r="E24">
            <v>11.980815832616202</v>
          </cell>
          <cell r="F24">
            <v>8.994618118763011</v>
          </cell>
          <cell r="G24">
            <v>15.55096443559315</v>
          </cell>
          <cell r="H24">
            <v>14.561964916400001</v>
          </cell>
          <cell r="I24">
            <v>21.036882269896502</v>
          </cell>
          <cell r="J24">
            <v>16.391058174766847</v>
          </cell>
          <cell r="K24">
            <v>11.16089938202855</v>
          </cell>
          <cell r="L24">
            <v>13.049660815512549</v>
          </cell>
          <cell r="M24">
            <v>14.44282304978255</v>
          </cell>
          <cell r="N24">
            <v>9.644577511607805</v>
          </cell>
        </row>
        <row r="25">
          <cell r="A25" t="str">
            <v>Current</v>
          </cell>
          <cell r="B25">
            <v>6.5791075391831502</v>
          </cell>
          <cell r="C25">
            <v>13.2282302133121</v>
          </cell>
          <cell r="D25">
            <v>13.143831982753101</v>
          </cell>
          <cell r="E25">
            <v>11.933166723455001</v>
          </cell>
          <cell r="F25">
            <v>9.2978000426810592</v>
          </cell>
          <cell r="G25">
            <v>19.2850533603957</v>
          </cell>
          <cell r="H25">
            <v>14.7571642289371</v>
          </cell>
          <cell r="I25">
            <v>25.292825542801602</v>
          </cell>
          <cell r="J25">
            <v>20.335837808045401</v>
          </cell>
          <cell r="K25">
            <v>13.2206625586117</v>
          </cell>
          <cell r="L25">
            <v>12.7454576665132</v>
          </cell>
          <cell r="M25">
            <v>15.368047405644401</v>
          </cell>
          <cell r="N25">
            <v>13.358439707112201</v>
          </cell>
        </row>
      </sheetData>
      <sheetData sheetId="28"/>
      <sheetData sheetId="2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__FDSCACHE__"/>
      <sheetName val="Assumption"/>
      <sheetName val="Technical Strength"/>
      <sheetName val="OUTPUT_COUNTRY"/>
      <sheetName val="PORTFOLIO"/>
      <sheetName val="OUTPUT_PPT"/>
      <sheetName val="mnemonics"/>
      <sheetName val="Value -2 "/>
      <sheetName val="LIQIDITY 2"/>
      <sheetName val="Quality - 2"/>
      <sheetName val="Momnetum ranking"/>
      <sheetName val="Risk"/>
      <sheetName val="Timing"/>
      <sheetName val="Leading Indicator"/>
      <sheetName val="t -PE"/>
      <sheetName val="Forwa Pe"/>
      <sheetName val="DY "/>
      <sheetName val="Monthly Returns"/>
      <sheetName val="Yearly returns"/>
      <sheetName val="Index earnings"/>
      <sheetName val="GDP_GROWTH"/>
      <sheetName val="Currency- 2"/>
      <sheetName val="Chart1"/>
      <sheetName val="CAD"/>
      <sheetName val="Country Int rates "/>
      <sheetName val="Index ROE"/>
      <sheetName val="Economic Momentum"/>
      <sheetName val="Market Capitalisation"/>
    </sheetNames>
    <sheetDataSet>
      <sheetData sheetId="0"/>
      <sheetData sheetId="1">
        <row r="42">
          <cell r="E42">
            <v>0.5</v>
          </cell>
        </row>
        <row r="43">
          <cell r="E43">
            <v>0.25</v>
          </cell>
        </row>
        <row r="44">
          <cell r="E44">
            <v>0.25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/>
      <sheetData sheetId="24"/>
      <sheetData sheetId="25"/>
      <sheetData sheetId="26"/>
      <sheetData sheetId="27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Amit Bhartia" id="{89BAA3C2-DE35-47A1-A192-774861271EA2}" userId="685f778331df612a" providerId="Windows Live"/>
</personList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3" dT="2023-03-07T03:52:57.25" personId="{89BAA3C2-DE35-47A1-A192-774861271EA2}" id="{BE689E07-3F2E-4079-B847-2F05EF86C0AE}">
    <text xml:space="preserve">High is good 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dev.worldeconomics.com/Concepts/World-Economics-GDP-Databa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/>
  </sheetViews>
  <sheetFormatPr defaultRowHeight="14.4" x14ac:dyDescent="0.3"/>
  <sheetData>
    <row r="1" spans="1:2" x14ac:dyDescent="0.3">
      <c r="B1" t="s">
        <v>7</v>
      </c>
    </row>
    <row r="2" spans="1:2" x14ac:dyDescent="0.3"/>
    <row r="3" spans="1:2" x14ac:dyDescent="0.3"/>
    <row r="4" spans="1:2" x14ac:dyDescent="0.3"/>
    <row r="5" spans="1:2" x14ac:dyDescent="0.3"/>
    <row r="6" spans="1:2" x14ac:dyDescent="0.3"/>
    <row r="7" spans="1:2" x14ac:dyDescent="0.3"/>
    <row r="8" spans="1:2" x14ac:dyDescent="0.3"/>
    <row r="9" spans="1:2" x14ac:dyDescent="0.3"/>
    <row r="10" spans="1:2" x14ac:dyDescent="0.3"/>
    <row r="11" spans="1:2" x14ac:dyDescent="0.3"/>
    <row r="12" spans="1:2" x14ac:dyDescent="0.3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E1:P66"/>
  <sheetViews>
    <sheetView tabSelected="1" topLeftCell="A27" zoomScale="93" zoomScaleNormal="93" workbookViewId="0">
      <selection activeCell="I55" sqref="I55"/>
    </sheetView>
  </sheetViews>
  <sheetFormatPr defaultRowHeight="14.4" x14ac:dyDescent="0.3"/>
  <cols>
    <col min="4" max="4" width="19.109375" customWidth="1"/>
    <col min="5" max="5" width="21.33203125" customWidth="1"/>
    <col min="6" max="6" width="14.44140625" customWidth="1"/>
    <col min="7" max="7" width="14.109375" customWidth="1"/>
    <col min="8" max="8" width="14.33203125" customWidth="1"/>
    <col min="9" max="9" width="13.88671875" customWidth="1"/>
    <col min="10" max="10" width="14.33203125" customWidth="1"/>
    <col min="11" max="11" width="16.5546875" bestFit="1" customWidth="1"/>
    <col min="12" max="12" width="19.33203125" bestFit="1" customWidth="1"/>
    <col min="13" max="13" width="15" customWidth="1"/>
    <col min="14" max="14" width="15.109375" customWidth="1"/>
    <col min="15" max="15" width="16.6640625" bestFit="1" customWidth="1"/>
    <col min="16" max="16" width="15.44140625" customWidth="1"/>
    <col min="17" max="17" width="12.88671875" customWidth="1"/>
  </cols>
  <sheetData>
    <row r="1" spans="5:10" x14ac:dyDescent="0.3">
      <c r="E1" s="40" t="s">
        <v>225</v>
      </c>
    </row>
    <row r="2" spans="5:10" ht="15" thickBot="1" x14ac:dyDescent="0.35"/>
    <row r="3" spans="5:10" ht="15" thickBot="1" x14ac:dyDescent="0.35">
      <c r="E3" s="49" t="s">
        <v>162</v>
      </c>
      <c r="F3" s="50" t="s">
        <v>163</v>
      </c>
      <c r="G3" s="50" t="s">
        <v>166</v>
      </c>
      <c r="H3" s="51" t="s">
        <v>164</v>
      </c>
    </row>
    <row r="4" spans="5:10" x14ac:dyDescent="0.3">
      <c r="E4" s="29" t="s">
        <v>89</v>
      </c>
      <c r="F4" t="str">
        <f>IF(HLOOKUP($E4,'Factset Price Data'!$C$208:$Q$215,6,FALSE)&gt;=1,"INVESTED","CASH")</f>
        <v>INVESTED</v>
      </c>
      <c r="G4" t="str">
        <f>IF(HLOOKUP($E4,'Factset Price Data'!$C$208:$Q$215,7,FALSE)&gt;=1,"INVESTED","CASH")</f>
        <v>INVESTED</v>
      </c>
      <c r="H4" s="54" t="str">
        <f>IF(HLOOKUP($E4,'Factset Price Data'!$C$208:$Q$215,8,FALSE)&gt;=1,"INVESTED","CASH")</f>
        <v>INVESTED</v>
      </c>
    </row>
    <row r="5" spans="5:10" x14ac:dyDescent="0.3">
      <c r="E5" s="29" t="s">
        <v>150</v>
      </c>
      <c r="F5" t="str">
        <f>IF(HLOOKUP($E5,'Factset Price Data'!$C$208:$Q$215,6,FALSE)&gt;=1,"INVESTED","CASH")</f>
        <v>CASH</v>
      </c>
      <c r="G5" t="str">
        <f>IF(HLOOKUP($E5,'Factset Price Data'!$C$208:$Q$215,7,FALSE)&gt;=1,"INVESTED","CASH")</f>
        <v>INVESTED</v>
      </c>
      <c r="H5" s="54" t="str">
        <f>IF(HLOOKUP($E5,'Factset Price Data'!$C$208:$Q$215,8,FALSE)&gt;=1,"INVESTED","CASH")</f>
        <v>CASH</v>
      </c>
    </row>
    <row r="6" spans="5:10" x14ac:dyDescent="0.3">
      <c r="E6" s="29" t="s">
        <v>147</v>
      </c>
      <c r="F6" t="str">
        <f>IF(HLOOKUP($E6,'Factset Price Data'!$C$208:$Q$215,6,FALSE)&gt;=1,"INVESTED","CASH")</f>
        <v>CASH</v>
      </c>
      <c r="G6" t="str">
        <f>IF(HLOOKUP($E6,'Factset Price Data'!$C$208:$Q$215,7,FALSE)&gt;=1,"INVESTED","CASH")</f>
        <v>INVESTED</v>
      </c>
      <c r="H6" s="54" t="str">
        <f>IF(HLOOKUP($E6,'Factset Price Data'!$C$208:$Q$215,8,FALSE)&gt;=1,"INVESTED","CASH")</f>
        <v>INVESTED</v>
      </c>
    </row>
    <row r="7" spans="5:10" x14ac:dyDescent="0.3">
      <c r="E7" s="29" t="s">
        <v>149</v>
      </c>
      <c r="F7" t="str">
        <f>IF(HLOOKUP($E7,'Factset Price Data'!$C$208:$Q$215,6,FALSE)&gt;=1,"INVESTED","CASH")</f>
        <v>INVESTED</v>
      </c>
      <c r="G7" t="str">
        <f>IF(HLOOKUP($E7,'Factset Price Data'!$C$208:$Q$215,7,FALSE)&gt;=1,"INVESTED","CASH")</f>
        <v>CASH</v>
      </c>
      <c r="H7" s="54" t="str">
        <f>IF(HLOOKUP($E7,'Factset Price Data'!$C$208:$Q$215,8,FALSE)&gt;=1,"INVESTED","CASH")</f>
        <v>CASH</v>
      </c>
    </row>
    <row r="8" spans="5:10" ht="15" thickBot="1" x14ac:dyDescent="0.35">
      <c r="E8" s="11" t="s">
        <v>148</v>
      </c>
      <c r="F8" s="12" t="str">
        <f>IF(HLOOKUP($E8,'Factset Price Data'!$C$208:$Q$215,6,FALSE)&gt;=1,"INVESTED","CASH")</f>
        <v>INVESTED</v>
      </c>
      <c r="G8" s="12" t="str">
        <f>IF(HLOOKUP($E8,'Factset Price Data'!$C$208:$Q$215,7,FALSE)&gt;=1,"INVESTED","CASH")</f>
        <v>CASH</v>
      </c>
      <c r="H8" s="55" t="str">
        <f>IF(HLOOKUP($E8,'Factset Price Data'!$C$208:$Q$215,8,FALSE)&gt;=1,"INVESTED","CASH")</f>
        <v>CASH</v>
      </c>
    </row>
    <row r="10" spans="5:10" ht="15" thickBot="1" x14ac:dyDescent="0.35"/>
    <row r="11" spans="5:10" x14ac:dyDescent="0.3">
      <c r="E11" s="40" t="s">
        <v>227</v>
      </c>
    </row>
    <row r="12" spans="5:10" ht="15" thickBot="1" x14ac:dyDescent="0.35">
      <c r="E12" t="s">
        <v>156</v>
      </c>
      <c r="F12" t="s">
        <v>2</v>
      </c>
      <c r="G12" t="s">
        <v>21</v>
      </c>
      <c r="H12" t="s">
        <v>167</v>
      </c>
    </row>
    <row r="13" spans="5:10" ht="15" thickBot="1" x14ac:dyDescent="0.35">
      <c r="E13" s="41">
        <v>0.33</v>
      </c>
      <c r="F13" s="41">
        <v>0.33</v>
      </c>
      <c r="G13" s="41">
        <v>0.33</v>
      </c>
    </row>
    <row r="14" spans="5:10" ht="15" thickBot="1" x14ac:dyDescent="0.35">
      <c r="E14" s="32"/>
      <c r="F14" s="9"/>
      <c r="G14" s="9"/>
      <c r="H14" s="49" t="s">
        <v>163</v>
      </c>
      <c r="I14" s="50" t="s">
        <v>166</v>
      </c>
      <c r="J14" s="51" t="s">
        <v>164</v>
      </c>
    </row>
    <row r="15" spans="5:10" x14ac:dyDescent="0.3">
      <c r="E15" s="46" t="s">
        <v>4</v>
      </c>
      <c r="F15" s="44">
        <f>'Asset class'!S3</f>
        <v>8</v>
      </c>
      <c r="G15" s="44">
        <f t="shared" ref="G15:G25" si="0">F15</f>
        <v>8</v>
      </c>
      <c r="H15" t="str">
        <f>IF(HLOOKUP($E15,'Factset Price Data'!$C$208:$Q$215,6,FALSE)&gt;=1,"INVESTED","CASH")</f>
        <v>CASH</v>
      </c>
      <c r="I15" t="str">
        <f>IF(HLOOKUP($E15,'Factset Price Data'!$C$208:$Q$215,7,FALSE)&gt;=1,"INVESTED","CASH")</f>
        <v>CASH</v>
      </c>
      <c r="J15" s="54" t="str">
        <f>IF(HLOOKUP($E15,'Factset Price Data'!$C$208:$Q$215,8,FALSE)&gt;=1,"INVESTED","CASH")</f>
        <v>INVESTED</v>
      </c>
    </row>
    <row r="16" spans="5:10" x14ac:dyDescent="0.3">
      <c r="E16" s="46" t="s">
        <v>1</v>
      </c>
      <c r="F16" s="44">
        <f>'Asset class'!S4</f>
        <v>0</v>
      </c>
      <c r="G16" s="44">
        <f t="shared" si="0"/>
        <v>0</v>
      </c>
      <c r="H16" t="str">
        <f>IF(HLOOKUP($E16,'Factset Price Data'!$C$208:$Q$215,6,FALSE)&gt;=1,"INVESTED","CASH")</f>
        <v>INVESTED</v>
      </c>
      <c r="I16" t="str">
        <f>IF(HLOOKUP($E16,'Factset Price Data'!$C$208:$Q$215,7,FALSE)&gt;=1,"INVESTED","CASH")</f>
        <v>INVESTED</v>
      </c>
      <c r="J16" s="54" t="str">
        <f>IF(HLOOKUP($E16,'Factset Price Data'!$C$208:$Q$215,8,FALSE)&gt;=1,"INVESTED","CASH")</f>
        <v>INVESTED</v>
      </c>
    </row>
    <row r="17" spans="5:16" x14ac:dyDescent="0.3">
      <c r="E17" s="46" t="s">
        <v>147</v>
      </c>
      <c r="F17" s="44">
        <f>'Asset class'!S5</f>
        <v>6</v>
      </c>
      <c r="G17" s="44">
        <f t="shared" si="0"/>
        <v>6</v>
      </c>
      <c r="H17" t="str">
        <f>IF(HLOOKUP($E17,'Factset Price Data'!$C$208:$Q$215,6,FALSE)&gt;=1,"INVESTED","CASH")</f>
        <v>CASH</v>
      </c>
      <c r="I17" t="str">
        <f>IF(HLOOKUP($E17,'Factset Price Data'!$C$208:$Q$215,7,FALSE)&gt;=1,"INVESTED","CASH")</f>
        <v>INVESTED</v>
      </c>
      <c r="J17" s="54" t="str">
        <f>IF(HLOOKUP($E17,'Factset Price Data'!$C$208:$Q$215,8,FALSE)&gt;=1,"INVESTED","CASH")</f>
        <v>INVESTED</v>
      </c>
    </row>
    <row r="18" spans="5:16" x14ac:dyDescent="0.3">
      <c r="E18" s="46" t="s">
        <v>148</v>
      </c>
      <c r="F18" s="44">
        <f>'Asset class'!S6</f>
        <v>7</v>
      </c>
      <c r="G18" s="44">
        <f t="shared" si="0"/>
        <v>7</v>
      </c>
      <c r="H18" t="str">
        <f>IF(HLOOKUP($E18,'Factset Price Data'!$C$208:$Q$215,6,FALSE)&gt;=1,"INVESTED","CASH")</f>
        <v>INVESTED</v>
      </c>
      <c r="I18" t="str">
        <f>IF(HLOOKUP($E18,'Factset Price Data'!$C$208:$Q$215,7,FALSE)&gt;=1,"INVESTED","CASH")</f>
        <v>CASH</v>
      </c>
      <c r="J18" s="54" t="str">
        <f>IF(HLOOKUP($E18,'Factset Price Data'!$C$208:$Q$215,8,FALSE)&gt;=1,"INVESTED","CASH")</f>
        <v>CASH</v>
      </c>
    </row>
    <row r="19" spans="5:16" x14ac:dyDescent="0.3">
      <c r="E19" s="46" t="s">
        <v>15</v>
      </c>
      <c r="F19" s="44">
        <f>'Asset class'!S7</f>
        <v>2</v>
      </c>
      <c r="G19" s="44">
        <f t="shared" si="0"/>
        <v>2</v>
      </c>
      <c r="H19" t="str">
        <f>IF(HLOOKUP($E19,'Factset Price Data'!$C$208:$Q$215,6,FALSE)&gt;=1,"INVESTED","CASH")</f>
        <v>INVESTED</v>
      </c>
      <c r="I19" t="str">
        <f>IF(HLOOKUP($E19,'Factset Price Data'!$C$208:$Q$215,7,FALSE)&gt;=1,"INVESTED","CASH")</f>
        <v>INVESTED</v>
      </c>
      <c r="J19" s="54" t="str">
        <f>IF(HLOOKUP($E19,'Factset Price Data'!$C$208:$Q$215,8,FALSE)&gt;=1,"INVESTED","CASH")</f>
        <v>INVESTED</v>
      </c>
    </row>
    <row r="20" spans="5:16" x14ac:dyDescent="0.3">
      <c r="E20" s="46" t="s">
        <v>149</v>
      </c>
      <c r="F20" s="44">
        <f>'Asset class'!S8</f>
        <v>4</v>
      </c>
      <c r="G20" s="44">
        <f t="shared" si="0"/>
        <v>4</v>
      </c>
      <c r="H20" t="str">
        <f>IF(HLOOKUP($E20,'Factset Price Data'!$C$208:$Q$215,6,FALSE)&gt;=1,"INVESTED","CASH")</f>
        <v>INVESTED</v>
      </c>
      <c r="I20" t="str">
        <f>IF(HLOOKUP($E20,'Factset Price Data'!$C$208:$Q$215,7,FALSE)&gt;=1,"INVESTED","CASH")</f>
        <v>CASH</v>
      </c>
      <c r="J20" s="54" t="str">
        <f>IF(HLOOKUP($E20,'Factset Price Data'!$C$208:$Q$215,8,FALSE)&gt;=1,"INVESTED","CASH")</f>
        <v>CASH</v>
      </c>
    </row>
    <row r="21" spans="5:16" x14ac:dyDescent="0.3">
      <c r="E21" s="46" t="s">
        <v>158</v>
      </c>
      <c r="F21" s="44">
        <f>'Asset class'!S9</f>
        <v>10</v>
      </c>
      <c r="G21" s="44">
        <f t="shared" si="0"/>
        <v>10</v>
      </c>
      <c r="H21" t="str">
        <f>IF(HLOOKUP($E21,'Factset Price Data'!$C$208:$Q$215,6,FALSE)&gt;=1,"INVESTED","CASH")</f>
        <v>INVESTED</v>
      </c>
      <c r="I21" t="str">
        <f>IF(HLOOKUP($E21,'Factset Price Data'!$C$208:$Q$215,7,FALSE)&gt;=1,"INVESTED","CASH")</f>
        <v>INVESTED</v>
      </c>
      <c r="J21" s="54" t="str">
        <f>IF(HLOOKUP($E21,'Factset Price Data'!$C$208:$Q$215,8,FALSE)&gt;=1,"INVESTED","CASH")</f>
        <v>CASH</v>
      </c>
    </row>
    <row r="22" spans="5:16" x14ac:dyDescent="0.3">
      <c r="E22" s="46" t="s">
        <v>150</v>
      </c>
      <c r="F22" s="44">
        <f>'Asset class'!S10</f>
        <v>9</v>
      </c>
      <c r="G22" s="44">
        <f t="shared" si="0"/>
        <v>9</v>
      </c>
      <c r="H22" t="str">
        <f>IF(HLOOKUP($E22,'Factset Price Data'!$C$208:$Q$215,6,FALSE)&gt;=1,"INVESTED","CASH")</f>
        <v>CASH</v>
      </c>
      <c r="I22" t="str">
        <f>IF(HLOOKUP($E22,'Factset Price Data'!$C$208:$Q$215,7,FALSE)&gt;=1,"INVESTED","CASH")</f>
        <v>INVESTED</v>
      </c>
      <c r="J22" s="54" t="str">
        <f>IF(HLOOKUP($E22,'Factset Price Data'!$C$208:$Q$215,8,FALSE)&gt;=1,"INVESTED","CASH")</f>
        <v>CASH</v>
      </c>
    </row>
    <row r="23" spans="5:16" x14ac:dyDescent="0.3">
      <c r="E23" s="46" t="s">
        <v>71</v>
      </c>
      <c r="F23" s="44">
        <f>'Asset class'!S11</f>
        <v>5</v>
      </c>
      <c r="G23" s="44">
        <f t="shared" si="0"/>
        <v>5</v>
      </c>
      <c r="H23" t="str">
        <f>IF(HLOOKUP($E23,'Factset Price Data'!$C$208:$Q$215,6,FALSE)&gt;=1,"INVESTED","CASH")</f>
        <v>CASH</v>
      </c>
      <c r="I23" t="str">
        <f>IF(HLOOKUP($E23,'Factset Price Data'!$C$208:$Q$215,7,FALSE)&gt;=1,"INVESTED","CASH")</f>
        <v>INVESTED</v>
      </c>
      <c r="J23" s="54" t="str">
        <f>IF(HLOOKUP($E23,'Factset Price Data'!$C$208:$Q$215,8,FALSE)&gt;=1,"INVESTED","CASH")</f>
        <v>INVESTED</v>
      </c>
    </row>
    <row r="24" spans="5:16" x14ac:dyDescent="0.3">
      <c r="E24" s="46" t="s">
        <v>161</v>
      </c>
      <c r="F24" s="44">
        <f>'Asset class'!S12</f>
        <v>3</v>
      </c>
      <c r="G24" s="44">
        <f t="shared" ref="G24" si="1">F24</f>
        <v>3</v>
      </c>
      <c r="H24" t="str">
        <f>IF(HLOOKUP($E24,'Factset Price Data'!$C$208:$Q$215,6,FALSE)&gt;=1,"INVESTED","CASH")</f>
        <v>INVESTED</v>
      </c>
      <c r="I24" t="str">
        <f>IF(HLOOKUP($E24,'Factset Price Data'!$C$208:$Q$215,7,FALSE)&gt;=1,"INVESTED","CASH")</f>
        <v>INVESTED</v>
      </c>
      <c r="J24" s="54" t="str">
        <f>IF(HLOOKUP($E24,'Factset Price Data'!$C$208:$Q$215,8,FALSE)&gt;=1,"INVESTED","CASH")</f>
        <v>INVESTED</v>
      </c>
    </row>
    <row r="25" spans="5:16" ht="15" thickBot="1" x14ac:dyDescent="0.35">
      <c r="E25" s="47" t="s">
        <v>12</v>
      </c>
      <c r="F25" s="48">
        <f>'Asset class'!S13</f>
        <v>2</v>
      </c>
      <c r="G25" s="48">
        <f t="shared" si="0"/>
        <v>2</v>
      </c>
      <c r="H25" s="12" t="str">
        <f>IF(HLOOKUP($E25,'Factset Price Data'!$C$208:$Q$215,6,FALSE)&gt;=1,"INVESTED","CASH")</f>
        <v>INVESTED</v>
      </c>
      <c r="I25" s="12" t="str">
        <f>IF(HLOOKUP($E25,'Factset Price Data'!$C$208:$Q$215,7,FALSE)&gt;=1,"INVESTED","CASH")</f>
        <v>INVESTED</v>
      </c>
      <c r="J25" s="55" t="str">
        <f>IF(HLOOKUP($E25,'Factset Price Data'!$C$208:$Q$215,8,FALSE)&gt;=1,"INVESTED","CASH")</f>
        <v>INVESTED</v>
      </c>
    </row>
    <row r="26" spans="5:16" ht="15" thickBot="1" x14ac:dyDescent="0.35"/>
    <row r="27" spans="5:16" ht="15" thickBot="1" x14ac:dyDescent="0.35">
      <c r="E27" s="40" t="s">
        <v>226</v>
      </c>
      <c r="F27" s="9"/>
      <c r="G27" s="9"/>
      <c r="H27" s="9"/>
      <c r="I27" s="9"/>
      <c r="J27" s="9"/>
      <c r="K27" s="9"/>
      <c r="L27" s="9"/>
      <c r="M27" s="9"/>
      <c r="N27" s="9"/>
      <c r="O27" s="10"/>
    </row>
    <row r="28" spans="5:16" ht="28.8" x14ac:dyDescent="0.3">
      <c r="E28" s="66"/>
      <c r="F28" s="67" t="s">
        <v>25</v>
      </c>
      <c r="G28" s="67" t="s">
        <v>20</v>
      </c>
      <c r="H28" s="68" t="s">
        <v>156</v>
      </c>
      <c r="I28" s="67" t="s">
        <v>2</v>
      </c>
      <c r="J28" s="67" t="s">
        <v>3</v>
      </c>
      <c r="K28" s="67" t="s">
        <v>25</v>
      </c>
      <c r="L28" s="67" t="s">
        <v>20</v>
      </c>
      <c r="M28" s="68" t="s">
        <v>154</v>
      </c>
      <c r="N28" s="67" t="s">
        <v>2</v>
      </c>
      <c r="O28" s="70" t="s">
        <v>51</v>
      </c>
      <c r="P28" s="69" t="s">
        <v>224</v>
      </c>
    </row>
    <row r="29" spans="5:16" x14ac:dyDescent="0.3"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71"/>
      <c r="P29" s="44"/>
    </row>
    <row r="30" spans="5:16" x14ac:dyDescent="0.3">
      <c r="E30" s="44" t="str">
        <f>'Momnetum ranking'!B18</f>
        <v>Europe</v>
      </c>
      <c r="F30" s="72">
        <f>'Momnetum ranking'!J18</f>
        <v>3.8639876352395408E-3</v>
      </c>
      <c r="G30" s="73">
        <f>'Momnetum ranking'!K18</f>
        <v>0.64544025157232698</v>
      </c>
      <c r="H30" s="72">
        <f>'Momnetum ranking'!Q18</f>
        <v>0.96526223</v>
      </c>
      <c r="I30" s="74">
        <f>'Momnetum ranking'!O18</f>
        <v>7.9225779999999997</v>
      </c>
      <c r="J30" s="44"/>
      <c r="K30" s="44">
        <f>_xlfn.RANK.EQ(F30,$F$30:$F$38)</f>
        <v>6</v>
      </c>
      <c r="L30" s="44">
        <f>_xlfn.RANK.EQ(G30,$G$30:$G$38)</f>
        <v>6</v>
      </c>
      <c r="M30" s="44">
        <f>_xlfn.RANK.EQ(H30,$H$30:$H$38)</f>
        <v>7</v>
      </c>
      <c r="N30" s="44">
        <f>_xlfn.RANK.EQ(I30,$I$30:$I$38)</f>
        <v>8</v>
      </c>
      <c r="O30" s="71">
        <f>MEDIAN(K30:N30)</f>
        <v>6.5</v>
      </c>
      <c r="P30" s="75">
        <f>O30-$O$32</f>
        <v>2.5</v>
      </c>
    </row>
    <row r="31" spans="5:16" x14ac:dyDescent="0.3">
      <c r="E31" s="44" t="str">
        <f>'Momnetum ranking'!B19</f>
        <v>EM</v>
      </c>
      <c r="F31" s="72">
        <f>'Momnetum ranking'!J19</f>
        <v>-0.11763450042698551</v>
      </c>
      <c r="G31" s="73">
        <f>'Momnetum ranking'!K19</f>
        <v>0.43146760687527497</v>
      </c>
      <c r="H31" s="72">
        <f>'Momnetum ranking'!Q19</f>
        <v>0.92946640000000003</v>
      </c>
      <c r="I31" s="74">
        <f>'Momnetum ranking'!O19</f>
        <v>3.7310243000000001</v>
      </c>
      <c r="J31" s="44"/>
      <c r="K31" s="44">
        <f t="shared" ref="K31:K38" si="2">_xlfn.RANK.EQ(F31,$F$30:$F$38)</f>
        <v>8</v>
      </c>
      <c r="L31" s="44">
        <f t="shared" ref="L31:L38" si="3">_xlfn.RANK.EQ(G31,$G$30:$G$38)</f>
        <v>9</v>
      </c>
      <c r="M31" s="44">
        <f t="shared" ref="M31:M38" si="4">_xlfn.RANK.EQ(H31,$H$30:$H$38)</f>
        <v>9</v>
      </c>
      <c r="N31" s="44">
        <f t="shared" ref="N31:N38" si="5">_xlfn.RANK.EQ(I31,$I$30:$I$38)</f>
        <v>9</v>
      </c>
      <c r="O31" s="71">
        <f t="shared" ref="O31:O34" si="6">MEDIAN(K31:N31)</f>
        <v>9</v>
      </c>
      <c r="P31" s="75">
        <f t="shared" ref="P31:P38" si="7">O31-$O$32</f>
        <v>5</v>
      </c>
    </row>
    <row r="32" spans="5:16" x14ac:dyDescent="0.3">
      <c r="E32" s="44" t="str">
        <f>'Momnetum ranking'!B20</f>
        <v>World</v>
      </c>
      <c r="F32" s="72">
        <f>'Momnetum ranking'!J20</f>
        <v>4.9257759784075594E-2</v>
      </c>
      <c r="G32" s="73">
        <f>'Momnetum ranking'!K20</f>
        <v>0.65152542372881395</v>
      </c>
      <c r="H32" s="72">
        <f>'Momnetum ranking'!Q20</f>
        <v>0.98104230000000003</v>
      </c>
      <c r="I32" s="74">
        <f>'Momnetum ranking'!O20</f>
        <v>11.542605999999999</v>
      </c>
      <c r="J32" s="44"/>
      <c r="K32" s="44">
        <f t="shared" si="2"/>
        <v>3</v>
      </c>
      <c r="L32" s="44">
        <f t="shared" si="3"/>
        <v>5</v>
      </c>
      <c r="M32" s="44">
        <f t="shared" si="4"/>
        <v>3</v>
      </c>
      <c r="N32" s="44">
        <f t="shared" si="5"/>
        <v>6</v>
      </c>
      <c r="O32" s="71">
        <f t="shared" si="6"/>
        <v>4</v>
      </c>
      <c r="P32" s="75">
        <f t="shared" si="7"/>
        <v>0</v>
      </c>
    </row>
    <row r="33" spans="5:16" x14ac:dyDescent="0.3">
      <c r="E33" s="44" t="str">
        <f>'Momnetum ranking'!B21</f>
        <v>Japan</v>
      </c>
      <c r="F33" s="72">
        <f>'Momnetum ranking'!J21</f>
        <v>3.5398230088495575E-2</v>
      </c>
      <c r="G33" s="73">
        <f>'Momnetum ranking'!K21</f>
        <v>0.71681415929203496</v>
      </c>
      <c r="H33" s="72">
        <f>'Momnetum ranking'!Q21</f>
        <v>0.99249005000000001</v>
      </c>
      <c r="I33" s="74">
        <f>'Momnetum ranking'!O21</f>
        <v>11.979972999999999</v>
      </c>
      <c r="J33" s="44"/>
      <c r="K33" s="44">
        <f t="shared" si="2"/>
        <v>4</v>
      </c>
      <c r="L33" s="44">
        <f t="shared" si="3"/>
        <v>3</v>
      </c>
      <c r="M33" s="44">
        <f t="shared" si="4"/>
        <v>1</v>
      </c>
      <c r="N33" s="44">
        <f t="shared" si="5"/>
        <v>5</v>
      </c>
      <c r="O33" s="71">
        <f t="shared" si="6"/>
        <v>3.5</v>
      </c>
      <c r="P33" s="75">
        <f t="shared" si="7"/>
        <v>-0.5</v>
      </c>
    </row>
    <row r="34" spans="5:16" x14ac:dyDescent="0.3">
      <c r="E34" s="44" t="str">
        <f>'Momnetum ranking'!B22</f>
        <v>US</v>
      </c>
      <c r="F34" s="72">
        <f>'Momnetum ranking'!J22</f>
        <v>0.30158730158730157</v>
      </c>
      <c r="G34" s="73">
        <f>'Momnetum ranking'!K22</f>
        <v>0.70775347912524889</v>
      </c>
      <c r="H34" s="72">
        <f>'Momnetum ranking'!Q22</f>
        <v>0.98129093999999994</v>
      </c>
      <c r="I34" s="74">
        <f>'Momnetum ranking'!O22</f>
        <v>12.698293</v>
      </c>
      <c r="J34" s="44"/>
      <c r="K34" s="44">
        <f t="shared" si="2"/>
        <v>2</v>
      </c>
      <c r="L34" s="44">
        <f t="shared" si="3"/>
        <v>4</v>
      </c>
      <c r="M34" s="44">
        <f t="shared" si="4"/>
        <v>2</v>
      </c>
      <c r="N34" s="44">
        <f t="shared" si="5"/>
        <v>3</v>
      </c>
      <c r="O34" s="71">
        <f t="shared" si="6"/>
        <v>2.5</v>
      </c>
      <c r="P34" s="75">
        <f t="shared" si="7"/>
        <v>-1.5</v>
      </c>
    </row>
    <row r="35" spans="5:16" x14ac:dyDescent="0.3">
      <c r="E35" s="44" t="s">
        <v>9</v>
      </c>
      <c r="F35" s="72">
        <f>'Momnetum ranking'!J23</f>
        <v>-6.7669172932330823E-2</v>
      </c>
      <c r="G35" s="73">
        <f>'Momnetum ranking'!K23</f>
        <v>0.77862595419847291</v>
      </c>
      <c r="H35" s="72">
        <f>'Momnetum ranking'!Q23</f>
        <v>0.97999804999999995</v>
      </c>
      <c r="I35" s="74">
        <f>'Momnetum ranking'!O23</f>
        <v>12.494384999999999</v>
      </c>
      <c r="J35" s="44"/>
      <c r="K35" s="44">
        <f t="shared" si="2"/>
        <v>7</v>
      </c>
      <c r="L35" s="44">
        <f t="shared" si="3"/>
        <v>1</v>
      </c>
      <c r="M35" s="44">
        <f t="shared" si="4"/>
        <v>4</v>
      </c>
      <c r="N35" s="44">
        <f t="shared" si="5"/>
        <v>4</v>
      </c>
      <c r="O35" s="71">
        <f t="shared" ref="O35:O38" si="8">MEDIAN(K35:N35)</f>
        <v>4</v>
      </c>
      <c r="P35" s="75">
        <f t="shared" si="7"/>
        <v>0</v>
      </c>
    </row>
    <row r="36" spans="5:16" x14ac:dyDescent="0.3">
      <c r="E36" s="44" t="s">
        <v>161</v>
      </c>
      <c r="F36" s="72">
        <f>'Momnetum ranking'!J24</f>
        <v>-0.13105413105413105</v>
      </c>
      <c r="G36" s="73">
        <f>'Momnetum ranking'!K24</f>
        <v>0.61275964391691407</v>
      </c>
      <c r="H36" s="72">
        <f>'Momnetum ranking'!Q24</f>
        <v>0.97643787000000004</v>
      </c>
      <c r="I36" s="74">
        <f>'Momnetum ranking'!O24</f>
        <v>9.7653029999999994</v>
      </c>
      <c r="J36" s="44"/>
      <c r="K36" s="44">
        <f t="shared" si="2"/>
        <v>9</v>
      </c>
      <c r="L36" s="44">
        <f t="shared" si="3"/>
        <v>7</v>
      </c>
      <c r="M36" s="44">
        <f t="shared" si="4"/>
        <v>5</v>
      </c>
      <c r="N36" s="44">
        <f t="shared" si="5"/>
        <v>7</v>
      </c>
      <c r="O36" s="71">
        <f t="shared" si="8"/>
        <v>7</v>
      </c>
      <c r="P36" s="75">
        <f t="shared" si="7"/>
        <v>3</v>
      </c>
    </row>
    <row r="37" spans="5:16" x14ac:dyDescent="0.3">
      <c r="E37" s="44" t="s">
        <v>15</v>
      </c>
      <c r="F37" s="72">
        <f>'Momnetum ranking'!J25</f>
        <v>0.34313725490196084</v>
      </c>
      <c r="G37" s="73">
        <f>'Momnetum ranking'!K25</f>
        <v>0.75490196078431393</v>
      </c>
      <c r="H37" s="72">
        <f>'Momnetum ranking'!Q25</f>
        <v>0.97588459999999999</v>
      </c>
      <c r="I37" s="74">
        <f>'Momnetum ranking'!O25</f>
        <v>13.895726</v>
      </c>
      <c r="J37" s="44"/>
      <c r="K37" s="44">
        <f t="shared" si="2"/>
        <v>1</v>
      </c>
      <c r="L37" s="44">
        <f t="shared" si="3"/>
        <v>2</v>
      </c>
      <c r="M37" s="44">
        <f t="shared" si="4"/>
        <v>6</v>
      </c>
      <c r="N37" s="44">
        <f t="shared" si="5"/>
        <v>2</v>
      </c>
      <c r="O37" s="71">
        <f t="shared" si="8"/>
        <v>2</v>
      </c>
      <c r="P37" s="75">
        <f t="shared" si="7"/>
        <v>-2</v>
      </c>
    </row>
    <row r="38" spans="5:16" x14ac:dyDescent="0.3">
      <c r="E38" s="44" t="s">
        <v>173</v>
      </c>
      <c r="F38" s="72">
        <f>'Momnetum ranking'!J26</f>
        <v>2.8234086242299811E-2</v>
      </c>
      <c r="G38" s="73">
        <f>'Momnetum ranking'!K26</f>
        <v>0.598237428719544</v>
      </c>
      <c r="H38" s="72">
        <f>'Momnetum ranking'!Q26</f>
        <v>0.94705340000000005</v>
      </c>
      <c r="I38" s="74">
        <f>'Momnetum ranking'!O26</f>
        <v>15.468252</v>
      </c>
      <c r="J38" s="44"/>
      <c r="K38" s="44">
        <f t="shared" si="2"/>
        <v>5</v>
      </c>
      <c r="L38" s="44">
        <f t="shared" si="3"/>
        <v>8</v>
      </c>
      <c r="M38" s="44">
        <f t="shared" si="4"/>
        <v>8</v>
      </c>
      <c r="N38" s="44">
        <f t="shared" si="5"/>
        <v>1</v>
      </c>
      <c r="O38" s="71">
        <f t="shared" si="8"/>
        <v>6.5</v>
      </c>
      <c r="P38" s="75">
        <f t="shared" si="7"/>
        <v>2.5</v>
      </c>
    </row>
    <row r="40" spans="5:16" ht="15" thickBot="1" x14ac:dyDescent="0.35">
      <c r="E40" s="52" t="s">
        <v>228</v>
      </c>
      <c r="K40" s="52" t="s">
        <v>229</v>
      </c>
    </row>
    <row r="41" spans="5:16" ht="15" thickBot="1" x14ac:dyDescent="0.35">
      <c r="E41" s="49" t="s">
        <v>181</v>
      </c>
      <c r="F41" s="57"/>
      <c r="G41" s="50" t="s">
        <v>165</v>
      </c>
      <c r="H41" s="50" t="s">
        <v>166</v>
      </c>
      <c r="I41" s="51" t="s">
        <v>164</v>
      </c>
      <c r="K41" s="53"/>
      <c r="L41" s="50" t="s">
        <v>151</v>
      </c>
      <c r="M41" s="51" t="s">
        <v>152</v>
      </c>
    </row>
    <row r="42" spans="5:16" x14ac:dyDescent="0.3">
      <c r="E42" s="29" t="s">
        <v>71</v>
      </c>
      <c r="F42" s="1" t="s">
        <v>42</v>
      </c>
      <c r="G42" t="str">
        <f>IF(HLOOKUP($E42,'Factset Price Data'!$C$208:$Q$215,6,FALSE)&gt;=1,"INVESTED","CASH")</f>
        <v>CASH</v>
      </c>
      <c r="H42" t="str">
        <f>IF(HLOOKUP($E42,'Factset Price Data'!$C$208:$Q$215,7,FALSE)&gt;=1,"INVESTED","CASH")</f>
        <v>INVESTED</v>
      </c>
      <c r="I42" s="54" t="str">
        <f>IF(HLOOKUP($E42,'Factset Price Data'!$C$208:$Q$215,8,FALSE)&gt;=1,"INVESTED","CASH")</f>
        <v>INVESTED</v>
      </c>
      <c r="K42" s="29" t="s">
        <v>71</v>
      </c>
      <c r="L42" s="8">
        <f>'Momnetum ranking'!H18</f>
        <v>0.29598145285935085</v>
      </c>
      <c r="M42" s="30">
        <f>'Momnetum ranking'!I18</f>
        <v>0.29211746522411131</v>
      </c>
    </row>
    <row r="43" spans="5:16" x14ac:dyDescent="0.3">
      <c r="E43" s="29" t="s">
        <v>4</v>
      </c>
      <c r="F43" s="1" t="s">
        <v>87</v>
      </c>
      <c r="G43" t="str">
        <f>IF(HLOOKUP($E43,'Factset Price Data'!$C$208:$Q$215,6,FALSE)&gt;=1,"INVESTED","CASH")</f>
        <v>CASH</v>
      </c>
      <c r="H43" t="str">
        <f>IF(HLOOKUP($E43,'Factset Price Data'!$C$208:$Q$215,7,FALSE)&gt;=1,"INVESTED","CASH")</f>
        <v>CASH</v>
      </c>
      <c r="I43" s="54" t="str">
        <f>IF(HLOOKUP($E43,'Factset Price Data'!$C$208:$Q$215,8,FALSE)&gt;=1,"INVESTED","CASH")</f>
        <v>INVESTED</v>
      </c>
      <c r="K43" s="29" t="s">
        <v>4</v>
      </c>
      <c r="L43" s="8">
        <f>'Momnetum ranking'!H19</f>
        <v>0.15542271562766866</v>
      </c>
      <c r="M43" s="30">
        <f>'Momnetum ranking'!I19</f>
        <v>0.27305721605465416</v>
      </c>
    </row>
    <row r="44" spans="5:16" x14ac:dyDescent="0.3">
      <c r="E44" s="29" t="s">
        <v>89</v>
      </c>
      <c r="F44" s="1" t="s">
        <v>90</v>
      </c>
      <c r="G44" t="str">
        <f>IF(HLOOKUP($E44,'Factset Price Data'!$C$208:$Q$215,6,FALSE)&gt;=1,"INVESTED","CASH")</f>
        <v>INVESTED</v>
      </c>
      <c r="H44" t="str">
        <f>IF(HLOOKUP($E44,'Factset Price Data'!$C$208:$Q$215,7,FALSE)&gt;=1,"INVESTED","CASH")</f>
        <v>INVESTED</v>
      </c>
      <c r="I44" s="54" t="str">
        <f>IF(HLOOKUP($E44,'Factset Price Data'!$C$208:$Q$215,8,FALSE)&gt;=1,"INVESTED","CASH")</f>
        <v>INVESTED</v>
      </c>
      <c r="K44" s="29" t="s">
        <v>89</v>
      </c>
      <c r="L44" s="8">
        <f>'Momnetum ranking'!H20</f>
        <v>0.43522267206477733</v>
      </c>
      <c r="M44" s="30">
        <f>'Momnetum ranking'!I20</f>
        <v>0.38596491228070173</v>
      </c>
    </row>
    <row r="45" spans="5:16" x14ac:dyDescent="0.3">
      <c r="E45" s="29" t="s">
        <v>12</v>
      </c>
      <c r="F45" s="1" t="s">
        <v>120</v>
      </c>
      <c r="G45" t="str">
        <f>IF(HLOOKUP($E45,'Factset Price Data'!$C$208:$Q$215,6,FALSE)&gt;=1,"INVESTED","CASH")</f>
        <v>INVESTED</v>
      </c>
      <c r="H45" t="str">
        <f>IF(HLOOKUP($E45,'Factset Price Data'!$C$208:$Q$215,7,FALSE)&gt;=1,"INVESTED","CASH")</f>
        <v>INVESTED</v>
      </c>
      <c r="I45" s="54" t="str">
        <f>IF(HLOOKUP($E45,'Factset Price Data'!$C$208:$Q$215,8,FALSE)&gt;=1,"INVESTED","CASH")</f>
        <v>INVESTED</v>
      </c>
      <c r="K45" s="29" t="s">
        <v>12</v>
      </c>
      <c r="L45" s="8">
        <f>'Momnetum ranking'!H21</f>
        <v>0.42035398230088494</v>
      </c>
      <c r="M45" s="30">
        <f>'Momnetum ranking'!I21</f>
        <v>0.38495575221238937</v>
      </c>
    </row>
    <row r="46" spans="5:16" x14ac:dyDescent="0.3">
      <c r="E46" s="29" t="s">
        <v>1</v>
      </c>
      <c r="F46" s="1" t="s">
        <v>35</v>
      </c>
      <c r="G46" t="str">
        <f>IF(HLOOKUP($E46,'Factset Price Data'!$C$208:$Q$215,6,FALSE)&gt;=1,"INVESTED","CASH")</f>
        <v>INVESTED</v>
      </c>
      <c r="H46" t="str">
        <f>IF(HLOOKUP($E46,'Factset Price Data'!$C$208:$Q$215,7,FALSE)&gt;=1,"INVESTED","CASH")</f>
        <v>INVESTED</v>
      </c>
      <c r="I46" s="54" t="str">
        <f>IF(HLOOKUP($E46,'Factset Price Data'!$C$208:$Q$215,8,FALSE)&gt;=1,"INVESTED","CASH")</f>
        <v>INVESTED</v>
      </c>
      <c r="K46" s="29" t="s">
        <v>1</v>
      </c>
      <c r="L46" s="8">
        <f>'Momnetum ranking'!H22</f>
        <v>0.56547619047619047</v>
      </c>
      <c r="M46" s="30">
        <f>'Momnetum ranking'!I22</f>
        <v>0.2638888888888889</v>
      </c>
    </row>
    <row r="47" spans="5:16" x14ac:dyDescent="0.3">
      <c r="E47" s="29" t="s">
        <v>9</v>
      </c>
      <c r="F47" s="1" t="s">
        <v>9</v>
      </c>
      <c r="G47" t="str">
        <f>IF(HLOOKUP($E47,'Factset Price Data'!$C$208:$Q$215,6,FALSE)&gt;=1,"INVESTED","CASH")</f>
        <v>INVESTED</v>
      </c>
      <c r="H47" t="str">
        <f>IF(HLOOKUP($E47,'Factset Price Data'!$C$208:$Q$215,7,FALSE)&gt;=1,"INVESTED","CASH")</f>
        <v>INVESTED</v>
      </c>
      <c r="I47" s="54" t="str">
        <f>IF(HLOOKUP($E47,'Factset Price Data'!$C$208:$Q$215,8,FALSE)&gt;=1,"INVESTED","CASH")</f>
        <v>INVESTED</v>
      </c>
      <c r="K47" s="29" t="s">
        <v>9</v>
      </c>
      <c r="L47" s="8">
        <f>'Momnetum ranking'!H23</f>
        <v>0.40601503759398494</v>
      </c>
      <c r="M47" s="30">
        <f>'Momnetum ranking'!I23</f>
        <v>0.47368421052631576</v>
      </c>
    </row>
    <row r="48" spans="5:16" x14ac:dyDescent="0.3">
      <c r="E48" s="29" t="s">
        <v>161</v>
      </c>
      <c r="F48" s="1" t="s">
        <v>161</v>
      </c>
      <c r="G48" t="str">
        <f>IF(HLOOKUP($E48,'Factset Price Data'!$C$208:$Q$215,6,FALSE)&gt;=1,"INVESTED","CASH")</f>
        <v>INVESTED</v>
      </c>
      <c r="H48" t="str">
        <f>IF(HLOOKUP($E48,'Factset Price Data'!$C$208:$Q$215,7,FALSE)&gt;=1,"INVESTED","CASH")</f>
        <v>INVESTED</v>
      </c>
      <c r="I48" s="54" t="str">
        <f>IF(HLOOKUP($E48,'Factset Price Data'!$C$208:$Q$215,8,FALSE)&gt;=1,"INVESTED","CASH")</f>
        <v>INVESTED</v>
      </c>
      <c r="K48" s="29" t="s">
        <v>161</v>
      </c>
      <c r="L48" s="8">
        <f>'Momnetum ranking'!H24</f>
        <v>0.30911680911680911</v>
      </c>
      <c r="M48" s="30">
        <f>'Momnetum ranking'!I24</f>
        <v>0.44017094017094016</v>
      </c>
    </row>
    <row r="49" spans="5:15" x14ac:dyDescent="0.3">
      <c r="E49" s="29" t="s">
        <v>15</v>
      </c>
      <c r="F49" s="1" t="s">
        <v>15</v>
      </c>
      <c r="G49" t="str">
        <f>IF(HLOOKUP($E49,'Factset Price Data'!$C$208:$Q$215,6,FALSE)&gt;=1,"INVESTED","CASH")</f>
        <v>INVESTED</v>
      </c>
      <c r="H49" t="str">
        <f>IF(HLOOKUP($E49,'Factset Price Data'!$C$208:$Q$215,7,FALSE)&gt;=1,"INVESTED","CASH")</f>
        <v>INVESTED</v>
      </c>
      <c r="I49" s="54" t="str">
        <f>IF(HLOOKUP($E49,'Factset Price Data'!$C$208:$Q$215,8,FALSE)&gt;=1,"INVESTED","CASH")</f>
        <v>INVESTED</v>
      </c>
      <c r="K49" s="29" t="s">
        <v>15</v>
      </c>
      <c r="L49" s="8">
        <f>'Momnetum ranking'!H25</f>
        <v>0.5490196078431373</v>
      </c>
      <c r="M49" s="30">
        <f>'Momnetum ranking'!I25</f>
        <v>0.20588235294117646</v>
      </c>
    </row>
    <row r="50" spans="5:15" ht="15" thickBot="1" x14ac:dyDescent="0.35">
      <c r="E50" s="11" t="s">
        <v>173</v>
      </c>
      <c r="F50" s="56" t="s">
        <v>172</v>
      </c>
      <c r="G50" s="12" t="str">
        <f>IF(HLOOKUP($E50,'Factset Price Data'!$C$208:$Q$215,6,FALSE)&gt;=1,"INVESTED","CASH")</f>
        <v>CASH</v>
      </c>
      <c r="H50" s="12" t="str">
        <f>IF(HLOOKUP($E50,'Factset Price Data'!$C$208:$Q$215,7,FALSE)&gt;=1,"INVESTED","CASH")</f>
        <v>INVESTED</v>
      </c>
      <c r="I50" s="55" t="str">
        <f>IF(HLOOKUP($E50,'Factset Price Data'!$C$208:$Q$215,8,FALSE)&gt;=1,"INVESTED","CASH")</f>
        <v>INVESTED</v>
      </c>
      <c r="K50" s="29" t="s">
        <v>173</v>
      </c>
      <c r="L50" s="8">
        <f>'Momnetum ranking'!H26</f>
        <v>0.24948665297741274</v>
      </c>
      <c r="M50" s="30">
        <f>'Momnetum ranking'!I26</f>
        <v>0.22125256673511293</v>
      </c>
    </row>
    <row r="51" spans="5:15" ht="15" thickBot="1" x14ac:dyDescent="0.35">
      <c r="K51" s="11" t="s">
        <v>153</v>
      </c>
      <c r="L51" s="39">
        <f>'Momnetum ranking'!H27</f>
        <v>0.32692307692307693</v>
      </c>
      <c r="M51" s="31">
        <f>'Momnetum ranking'!I27</f>
        <v>0.48076923076923078</v>
      </c>
    </row>
    <row r="53" spans="5:15" ht="15" thickBot="1" x14ac:dyDescent="0.35">
      <c r="E53" s="52" t="s">
        <v>230</v>
      </c>
    </row>
    <row r="54" spans="5:15" x14ac:dyDescent="0.3">
      <c r="E54" s="32" t="s">
        <v>1</v>
      </c>
      <c r="F54" s="60">
        <f>'Gloval value '!K37</f>
        <v>6.1262644767546455E-2</v>
      </c>
      <c r="J54" s="8"/>
    </row>
    <row r="55" spans="5:15" x14ac:dyDescent="0.3">
      <c r="E55" s="29" t="s">
        <v>15</v>
      </c>
      <c r="F55" s="30">
        <f>'Gloval value '!K36</f>
        <v>0.12493087973035324</v>
      </c>
      <c r="J55" s="8"/>
    </row>
    <row r="56" spans="5:15" x14ac:dyDescent="0.3">
      <c r="E56" s="29" t="s">
        <v>12</v>
      </c>
      <c r="F56" s="30">
        <f>'Gloval value '!K33</f>
        <v>5.8441413945298309E-2</v>
      </c>
      <c r="J56" s="8"/>
    </row>
    <row r="57" spans="5:15" x14ac:dyDescent="0.3">
      <c r="E57" s="29" t="s">
        <v>89</v>
      </c>
      <c r="F57" s="30"/>
      <c r="J57" s="8"/>
    </row>
    <row r="58" spans="5:15" x14ac:dyDescent="0.3">
      <c r="E58" s="29" t="s">
        <v>219</v>
      </c>
      <c r="F58" s="30">
        <f>'EM value '!L30</f>
        <v>3.909375824170961E-2</v>
      </c>
      <c r="J58" s="8"/>
      <c r="O58" s="28"/>
    </row>
    <row r="59" spans="5:15" x14ac:dyDescent="0.3">
      <c r="E59" s="29" t="s">
        <v>9</v>
      </c>
      <c r="F59" s="8">
        <f>'EM value '!L29</f>
        <v>4.2296339911916607E-2</v>
      </c>
      <c r="J59" s="8"/>
    </row>
    <row r="60" spans="5:15" ht="15" thickBot="1" x14ac:dyDescent="0.35">
      <c r="E60" s="11"/>
      <c r="F60" s="55"/>
      <c r="J60" s="8"/>
    </row>
    <row r="61" spans="5:15" x14ac:dyDescent="0.3">
      <c r="F61" s="8"/>
      <c r="J61" s="8"/>
    </row>
    <row r="62" spans="5:15" x14ac:dyDescent="0.3">
      <c r="F62" s="8"/>
      <c r="J62" s="8"/>
    </row>
    <row r="63" spans="5:15" x14ac:dyDescent="0.3">
      <c r="F63" s="8"/>
      <c r="J63" s="8"/>
    </row>
    <row r="64" spans="5:15" x14ac:dyDescent="0.3">
      <c r="F64" s="8"/>
      <c r="J64" s="8"/>
    </row>
    <row r="65" spans="6:10" x14ac:dyDescent="0.3">
      <c r="F65" s="8"/>
      <c r="J65" s="8"/>
    </row>
    <row r="66" spans="6:10" x14ac:dyDescent="0.3">
      <c r="F66" s="8"/>
      <c r="J66" s="8"/>
    </row>
  </sheetData>
  <conditionalFormatting sqref="F4:H8">
    <cfRule type="cellIs" dxfId="7" priority="22" operator="equal">
      <formula>"CASH"</formula>
    </cfRule>
    <cfRule type="cellIs" dxfId="6" priority="23" operator="equal">
      <formula>"INVESTED"</formula>
    </cfRule>
    <cfRule type="colorScale" priority="24">
      <colorScale>
        <cfvo type="formula" val="$H$19"/>
        <cfvo type="max"/>
        <color theme="9"/>
        <color rgb="FFFF0000"/>
      </colorScale>
    </cfRule>
    <cfRule type="colorScale" priority="25">
      <colorScale>
        <cfvo type="min"/>
        <cfvo type="max"/>
        <color rgb="FFFF7128"/>
        <color rgb="FFFFEF9C"/>
      </colorScale>
    </cfRule>
    <cfRule type="colorScale" priority="27">
      <colorScale>
        <cfvo type="min"/>
        <cfvo type="max"/>
        <color theme="9"/>
        <color rgb="FFFF0000"/>
      </colorScale>
    </cfRule>
  </conditionalFormatting>
  <conditionalFormatting sqref="F5:H8">
    <cfRule type="cellIs" dxfId="5" priority="18" operator="equal">
      <formula>"CASH"</formula>
    </cfRule>
    <cfRule type="cellIs" dxfId="4" priority="19" operator="equal">
      <formula>"INVESTED"</formula>
    </cfRule>
    <cfRule type="colorScale" priority="20">
      <colorScale>
        <cfvo type="formula" val="$H$19"/>
        <cfvo type="max"/>
        <color theme="9"/>
        <color rgb="FFFF0000"/>
      </colorScale>
    </cfRule>
    <cfRule type="colorScale" priority="21">
      <colorScale>
        <cfvo type="min"/>
        <cfvo type="max"/>
        <color rgb="FFFF7128"/>
        <color rgb="FFFFEF9C"/>
      </colorScale>
    </cfRule>
  </conditionalFormatting>
  <conditionalFormatting sqref="G42:I50">
    <cfRule type="cellIs" dxfId="3" priority="3" operator="equal">
      <formula>"CASH"</formula>
    </cfRule>
    <cfRule type="cellIs" dxfId="2" priority="4" operator="equal">
      <formula>"INVESTED"</formula>
    </cfRule>
    <cfRule type="colorScale" priority="5">
      <colorScale>
        <cfvo type="formula" val="$H$19"/>
        <cfvo type="max"/>
        <color theme="9"/>
        <color rgb="FFFF0000"/>
      </colorScale>
    </cfRule>
    <cfRule type="colorScale" priority="6">
      <colorScale>
        <cfvo type="min"/>
        <cfvo type="max"/>
        <color rgb="FFFF7128"/>
        <color rgb="FFFFEF9C"/>
      </colorScale>
    </cfRule>
    <cfRule type="colorScale" priority="7">
      <colorScale>
        <cfvo type="min"/>
        <cfvo type="max"/>
        <color theme="9"/>
        <color rgb="FFFF0000"/>
      </colorScale>
    </cfRule>
  </conditionalFormatting>
  <conditionalFormatting sqref="H15:J25">
    <cfRule type="cellIs" dxfId="1" priority="8" operator="equal">
      <formula>"CASH"</formula>
    </cfRule>
    <cfRule type="cellIs" dxfId="0" priority="9" operator="equal">
      <formula>"INVESTED"</formula>
    </cfRule>
    <cfRule type="colorScale" priority="10">
      <colorScale>
        <cfvo type="formula" val="$H$19"/>
        <cfvo type="max"/>
        <color theme="9"/>
        <color rgb="FFFF0000"/>
      </colorScale>
    </cfRule>
    <cfRule type="colorScale" priority="11">
      <colorScale>
        <cfvo type="min"/>
        <cfvo type="max"/>
        <color rgb="FFFF7128"/>
        <color rgb="FFFFEF9C"/>
      </colorScale>
    </cfRule>
    <cfRule type="colorScale" priority="12">
      <colorScale>
        <cfvo type="min"/>
        <cfvo type="max"/>
        <color theme="9"/>
        <color rgb="FFFF0000"/>
      </colorScale>
    </cfRule>
  </conditionalFormatting>
  <conditionalFormatting sqref="P30:P38">
    <cfRule type="iconSet" priority="1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9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G15:G26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60BC4-EDDC-41AC-B8E4-472ECEF31537}">
  <dimension ref="A2:AC52"/>
  <sheetViews>
    <sheetView topLeftCell="A2" workbookViewId="0">
      <selection activeCell="C34" sqref="C34"/>
    </sheetView>
  </sheetViews>
  <sheetFormatPr defaultRowHeight="14.4" x14ac:dyDescent="0.3"/>
  <cols>
    <col min="1" max="1" width="12" customWidth="1"/>
    <col min="2" max="2" width="15" bestFit="1" customWidth="1"/>
    <col min="3" max="3" width="41.44140625" customWidth="1"/>
    <col min="4" max="4" width="15.44140625" customWidth="1"/>
    <col min="5" max="5" width="18.109375" bestFit="1" customWidth="1"/>
    <col min="6" max="6" width="12.6640625" customWidth="1"/>
    <col min="7" max="7" width="17.109375" customWidth="1"/>
    <col min="8" max="8" width="16.33203125" customWidth="1"/>
    <col min="9" max="9" width="12.109375" customWidth="1"/>
    <col min="10" max="10" width="14.6640625" customWidth="1"/>
    <col min="11" max="11" width="13" customWidth="1"/>
    <col min="12" max="12" width="8.6640625" customWidth="1"/>
    <col min="14" max="15" width="10.5546875" customWidth="1"/>
    <col min="16" max="16" width="15" customWidth="1"/>
    <col min="17" max="17" width="12.44140625" customWidth="1"/>
    <col min="18" max="20" width="13.33203125" customWidth="1"/>
    <col min="21" max="21" width="14" customWidth="1"/>
    <col min="22" max="22" width="16.33203125" customWidth="1"/>
    <col min="23" max="23" width="14.6640625" customWidth="1"/>
    <col min="24" max="24" width="14.33203125" customWidth="1"/>
    <col min="25" max="25" width="11.6640625" customWidth="1"/>
    <col min="26" max="26" width="14.6640625" customWidth="1"/>
    <col min="27" max="28" width="11.6640625" customWidth="1"/>
  </cols>
  <sheetData>
    <row r="2" spans="1:29" ht="43.2" x14ac:dyDescent="0.3">
      <c r="B2" t="s">
        <v>188</v>
      </c>
      <c r="D2" s="33" t="s">
        <v>0</v>
      </c>
      <c r="E2" s="33" t="s">
        <v>189</v>
      </c>
      <c r="F2" s="33"/>
      <c r="G2" s="33" t="s">
        <v>190</v>
      </c>
      <c r="H2" s="33" t="s">
        <v>191</v>
      </c>
      <c r="I2" s="33" t="s">
        <v>192</v>
      </c>
      <c r="J2" s="33" t="s">
        <v>193</v>
      </c>
      <c r="K2" s="33" t="s">
        <v>194</v>
      </c>
      <c r="L2" s="33" t="s">
        <v>195</v>
      </c>
      <c r="M2" s="33" t="s">
        <v>196</v>
      </c>
      <c r="N2" s="33" t="s">
        <v>197</v>
      </c>
      <c r="O2" s="33" t="s">
        <v>198</v>
      </c>
      <c r="P2" s="33" t="s">
        <v>199</v>
      </c>
      <c r="Q2" s="33" t="s">
        <v>200</v>
      </c>
      <c r="R2" s="33" t="s">
        <v>201</v>
      </c>
      <c r="S2" s="33" t="s">
        <v>202</v>
      </c>
      <c r="T2" s="33" t="s">
        <v>203</v>
      </c>
      <c r="U2" s="33" t="s">
        <v>204</v>
      </c>
      <c r="V2" s="33" t="s">
        <v>205</v>
      </c>
      <c r="W2" s="33" t="s">
        <v>206</v>
      </c>
      <c r="X2" s="33" t="s">
        <v>207</v>
      </c>
      <c r="Y2" s="33" t="s">
        <v>208</v>
      </c>
      <c r="Z2" s="33" t="s">
        <v>209</v>
      </c>
      <c r="AA2" s="59" t="s">
        <v>210</v>
      </c>
      <c r="AB2" s="33" t="s">
        <v>211</v>
      </c>
      <c r="AC2" s="33" t="s">
        <v>212</v>
      </c>
    </row>
    <row r="3" spans="1:29" x14ac:dyDescent="0.3">
      <c r="A3" t="s">
        <v>60</v>
      </c>
      <c r="B3" t="s">
        <v>41</v>
      </c>
      <c r="C3" t="str" cm="1">
        <f t="array" ref="C3">_xll.FDS(A3,"FG_COMPANY_NAME")</f>
        <v>iShares MSCI New Zealand ETF</v>
      </c>
      <c r="D3" t="s">
        <v>60</v>
      </c>
      <c r="E3" t="s">
        <v>82</v>
      </c>
      <c r="F3" s="2" cm="1">
        <f t="array" ref="F3">_xll.FDS(D3,"JULIAN(FMA_DIV_YLD(NTMA,NOW,NOW,M,""PORTAGG"",""MEANR"").dates)")</f>
        <v>45322</v>
      </c>
      <c r="G3" s="4" cm="1">
        <f t="array" ref="G3">_xll.FDS(D3,"FG_PE(0)")</f>
        <v>23.620703043602902</v>
      </c>
      <c r="H3" s="4" cm="1">
        <f t="array" ref="H3">_xll.FDS(D3,"FG_PE_NTM(0,,,90,0)")</f>
        <v>22.286926045769501</v>
      </c>
      <c r="I3" cm="1">
        <f t="array" ref="I3">_xll.FDS(D3,"FMA_DIV_YLD(NTMA,NOW,NOW,M,""PORTAGG"",""MEANR"")")</f>
        <v>3.0051998519887699</v>
      </c>
      <c r="J3" s="58" cm="1">
        <f t="array" ref="J3">IFERROR(_xll.FDS(D3,"FG_FCF_YIELD_NTM(0)"),(1/G3*100))</f>
        <v>1.0926101874095799</v>
      </c>
      <c r="K3" s="3" cm="1">
        <f t="array" ref="K3">_xll.FDS(D3,"FMA_EVAL_EBITDA(NTMA,0,,,""PORTAGG"",""MEANR"")")</f>
        <v>11.6735099748099</v>
      </c>
      <c r="L3" cm="1">
        <f t="array" ref="L3">_xll.FDS(D3,"FMA_EVAL_EBIT(LTMA,NOW,NOW,M,""PORTAGG"",""MEANR"")")</f>
        <v>19.787279238131301</v>
      </c>
      <c r="M3">
        <f>HLOOKUP(D3,'[1]Index ROE'!$A$1:$N$25,25,FALSE)</f>
        <v>6.5791075391831502</v>
      </c>
      <c r="N3">
        <f>VLOOKUP(A3,'[1]LIQIDITY 2'!$A$3:$E$16,5,FALSE)</f>
        <v>4.6825999999999999</v>
      </c>
      <c r="O3" cm="1">
        <f t="array" ref="O3">IFERROR(_xll.FDS(B3,"FDS_ECON_RCPI_Q(0)"),$D$23)</f>
        <v>4.6770573000000004</v>
      </c>
      <c r="P3">
        <f>VLOOKUP(E3,[1]GDP_GROWTH!$B$10:$W$165,22,FALSE)</f>
        <v>2.7196134550164452</v>
      </c>
      <c r="Q3">
        <f t="shared" ref="Q3:Q15" si="0">I3-N3</f>
        <v>-1.6774001480112299</v>
      </c>
      <c r="R3" s="58">
        <f t="shared" ref="R3:R15" si="1">J3-N3</f>
        <v>-3.5899898125904199</v>
      </c>
      <c r="S3">
        <f t="shared" ref="S3:S15" si="2">M3-N3</f>
        <v>1.8965075391831503</v>
      </c>
      <c r="T3">
        <f t="shared" ref="T3:T15" si="3">M3-O3</f>
        <v>1.9020502391831497</v>
      </c>
      <c r="U3" cm="1">
        <f t="array" ref="U3">_xlfn.PERCENTRANK.EXC(_xlfn._xlws.FILTER(Q$3:Q$15, ISNUMBER(Q$3:Q$15)),Q3)*100</f>
        <v>21.4</v>
      </c>
      <c r="V3" cm="1">
        <f t="array" ref="V3">_xlfn.PERCENTRANK.EXC(_xlfn._xlws.FILTER(R$3:R$15, ISNUMBER(R$3:R$15)),R3)*100</f>
        <v>7.1</v>
      </c>
      <c r="W3" cm="1">
        <f t="array" ref="W3">_xlfn.PERCENTRANK.EXC(_xlfn._xlws.FILTER(S$3:S$15, ISNUMBER(S$3:S$15)),S3)*100</f>
        <v>7.1</v>
      </c>
      <c r="X3" cm="1">
        <f t="array" ref="X3">(1-_xlfn.PERCENTRANK.EXC(_xlfn._xlws.FILTER(G$3:G$15, ISNUMBER(G$3:G$15)),G3))*100</f>
        <v>21.499999999999996</v>
      </c>
      <c r="Y3" cm="1">
        <f t="array" ref="Y3">(1-_xlfn.PERCENTRANK.EXC(_xlfn._xlws.FILTER(H$3:H$15, ISNUMBER(H$3:H$15)),H3))*100</f>
        <v>14.3</v>
      </c>
      <c r="Z3" cm="1">
        <f t="array" ref="Z3">_xlfn.PERCENTRANK.EXC(_xlfn._xlws.FILTER(T$3:T$15, ISNUMBER(T$3:T$15)),T3)*100</f>
        <v>7.1</v>
      </c>
      <c r="AA3" cm="1">
        <f t="array" ref="AA3">_xlfn.PERCENTRANK.EXC(_xlfn._xlws.FILTER(P$3:P$15, ISNUMBER(P$3:P$15)),P3)*100</f>
        <v>92.800000000000011</v>
      </c>
      <c r="AB3">
        <f>U3*[1]Assumption!$E$39 + V3*[1]Assumption!$F$39 + X3*[1]Assumption!$G$39 + Y3*[1]Assumption!$H$39 + W3*[1]Assumption!$I$39 +Z3* [1]Assumption!$K$39 + AA3* [1]Assumption!$J$39</f>
        <v>13.215</v>
      </c>
      <c r="AC3" cm="1">
        <f t="array" ref="AC3">_xlfn.PERCENTRANK.EXC(_xlfn._xlws.FILTER(AB$3:AB$15, ISNUMBER(AB$3:AB$15)),AB3)*100</f>
        <v>7.1</v>
      </c>
    </row>
    <row r="4" spans="1:29" x14ac:dyDescent="0.3">
      <c r="A4" t="s">
        <v>11</v>
      </c>
      <c r="B4" t="s">
        <v>40</v>
      </c>
      <c r="C4" t="str" cm="1">
        <f t="array" ref="C4">_xll.FDS(A4,"FG_COMPANY_NAME")</f>
        <v>iShares MSCI Australia ETF</v>
      </c>
      <c r="D4" t="s">
        <v>11</v>
      </c>
      <c r="E4" t="s">
        <v>74</v>
      </c>
      <c r="F4" s="2" cm="1">
        <f t="array" ref="F4">_xll.FDS(D4,"JULIAN(FMA_DIV_YLD(NTMA,NOW,NOW,M,""PORTAGG"",""MEANR"").dates)")</f>
        <v>45322</v>
      </c>
      <c r="G4" s="4" cm="1">
        <f t="array" ref="G4">_xll.FDS(D4,"FG_PE(0)")</f>
        <v>15.7079246936435</v>
      </c>
      <c r="H4" s="4" cm="1">
        <f t="array" ref="H4">_xll.FDS(D4,"FG_PE_NTM(0,,,90,0)")</f>
        <v>16.3826422075845</v>
      </c>
      <c r="I4" cm="1">
        <f t="array" ref="I4">_xll.FDS(D4,"FMA_DIV_YLD(NTMA,NOW,NOW,M,""PORTAGG"",""MEANR"")")</f>
        <v>3.9531738559779601</v>
      </c>
      <c r="J4" s="58" cm="1">
        <f t="array" ref="J4">IFERROR(_xll.FDS(D4,"FG_FCF_YIELD_NTM(0)"),(1/G4*100))</f>
        <v>4.6901038872193901</v>
      </c>
      <c r="K4" s="3" cm="1">
        <f t="array" ref="K4">_xll.FDS(D4,"FMA_EVAL_EBITDA(NTMA,0,,,""PORTAGG"",""MEANR"")")</f>
        <v>8.5268285684267209</v>
      </c>
      <c r="L4" cm="1">
        <f t="array" ref="L4">_xll.FDS(D4,"FMA_EVAL_EBIT(LTMA,NOW,NOW,M,""PORTAGG"",""MEANR"")")</f>
        <v>12.508259560598599</v>
      </c>
      <c r="M4">
        <f>HLOOKUP(D4,'[1]Index ROE'!$A$1:$N$25,25,FALSE)</f>
        <v>13.2282302133121</v>
      </c>
      <c r="N4">
        <f>VLOOKUP(A4,'[1]LIQIDITY 2'!$A$3:$E$16,5,FALSE)</f>
        <v>4.2389999999999999</v>
      </c>
      <c r="O4" cm="1">
        <f t="array" ref="O4">IFERROR(_xll.FDS(B4,"FDS_ECON_RCPI_Q(0)"),$D$23)</f>
        <v>4.0519876000000004</v>
      </c>
      <c r="P4">
        <f>VLOOKUP(E4,[1]GDP_GROWTH!$B$10:$W$165,22,FALSE)</f>
        <v>2.0879441195558623</v>
      </c>
      <c r="Q4">
        <f t="shared" si="0"/>
        <v>-0.28582614402203976</v>
      </c>
      <c r="R4" s="58">
        <f t="shared" si="1"/>
        <v>0.45110388721939021</v>
      </c>
      <c r="S4">
        <f t="shared" si="2"/>
        <v>8.9892302133121014</v>
      </c>
      <c r="T4">
        <f t="shared" si="3"/>
        <v>9.1762426133121</v>
      </c>
      <c r="U4" cm="1">
        <f t="array" ref="U4">_xlfn.PERCENTRANK.EXC(_xlfn._xlws.FILTER(Q$3:Q$15, ISNUMBER(Q$3:Q$15)),Q4)*100</f>
        <v>28.499999999999996</v>
      </c>
      <c r="V4" cm="1">
        <f t="array" ref="V4">_xlfn.PERCENTRANK.EXC(_xlfn._xlws.FILTER(R$3:R$15, ISNUMBER(R$3:R$15)),R4)*100</f>
        <v>28.499999999999996</v>
      </c>
      <c r="W4" cm="1">
        <f t="array" ref="W4">_xlfn.PERCENTRANK.EXC(_xlfn._xlws.FILTER(S$3:S$15, ISNUMBER(S$3:S$15)),S4)*100</f>
        <v>21.4</v>
      </c>
      <c r="X4" cm="1">
        <f t="array" ref="X4">(1-_xlfn.PERCENTRANK.EXC(_xlfn._xlws.FILTER(G$3:G$15, ISNUMBER(G$3:G$15)),G4))*100</f>
        <v>57.2</v>
      </c>
      <c r="Y4" cm="1">
        <f t="array" ref="Y4">(1-_xlfn.PERCENTRANK.EXC(_xlfn._xlws.FILTER(H$3:H$15, ISNUMBER(H$3:H$15)),H4))*100</f>
        <v>35.799999999999997</v>
      </c>
      <c r="Z4" cm="1">
        <f t="array" ref="Z4">_xlfn.PERCENTRANK.EXC(_xlfn._xlws.FILTER(T$3:T$15, ISNUMBER(T$3:T$15)),T4)*100</f>
        <v>28.499999999999996</v>
      </c>
      <c r="AA4" cm="1">
        <f t="array" ref="AA4">_xlfn.PERCENTRANK.EXC(_xlfn._xlws.FILTER(P$3:P$15, ISNUMBER(P$3:P$15)),P4)*100</f>
        <v>85.7</v>
      </c>
      <c r="AB4">
        <f>U4*[1]Assumption!$E$39 + V4*[1]Assumption!$F$39 + X4*[1]Assumption!$G$39 + Y4*[1]Assumption!$H$39 + W4*[1]Assumption!$I$39 +Z4* [1]Assumption!$K$39 + AA4* [1]Assumption!$J$39</f>
        <v>36.79</v>
      </c>
      <c r="AC4" cm="1">
        <f t="array" ref="AC4">_xlfn.PERCENTRANK.EXC(_xlfn._xlws.FILTER(AB$3:AB$15, ISNUMBER(AB$3:AB$15)),AB4)*100</f>
        <v>28.499999999999996</v>
      </c>
    </row>
    <row r="5" spans="1:29" x14ac:dyDescent="0.3">
      <c r="A5" t="s">
        <v>14</v>
      </c>
      <c r="B5" t="s">
        <v>36</v>
      </c>
      <c r="C5" t="str" cm="1">
        <f t="array" ref="C5">_xll.FDS(A5,"FG_COMPANY_NAME")</f>
        <v>iShares MSCI Canada ETF</v>
      </c>
      <c r="D5" t="s">
        <v>14</v>
      </c>
      <c r="E5" t="s">
        <v>75</v>
      </c>
      <c r="F5" s="2" cm="1">
        <f t="array" ref="F5">_xll.FDS(D5,"JULIAN(FMA_DIV_YLD(NTMA,NOW,NOW,M,""PORTAGG"",""MEANR"").dates)")</f>
        <v>45322</v>
      </c>
      <c r="G5" s="4" cm="1">
        <f t="array" ref="G5">_xll.FDS(D5,"FG_PE(0)")</f>
        <v>16.575521051214</v>
      </c>
      <c r="H5" s="4" cm="1">
        <f t="array" ref="H5">_xll.FDS(D5,"FG_PE_NTM(0,,,90,0)")</f>
        <v>13.8967027859164</v>
      </c>
      <c r="I5" cm="1">
        <f t="array" ref="I5">_xll.FDS(D5,"FMA_DIV_YLD(NTMA,NOW,NOW,M,""PORTAGG"",""MEANR"")")</f>
        <v>3.3344469777331001</v>
      </c>
      <c r="J5" s="58" cm="1">
        <f t="array" ref="J5">IFERROR(_xll.FDS(D5,"FG_FCF_YIELD_NTM(0)"),(1/G5*100))</f>
        <v>5.2733971600377396</v>
      </c>
      <c r="K5" s="3" cm="1">
        <f t="array" ref="K5">_xll.FDS(D5,"FMA_EVAL_EBITDA(NTMA,0,,,""PORTAGG"",""MEANR"")")</f>
        <v>9.5266621670196905</v>
      </c>
      <c r="L5" cm="1">
        <f t="array" ref="L5">_xll.FDS(D5,"FMA_EVAL_EBIT(LTMA,NOW,NOW,M,""PORTAGG"",""MEANR"")")</f>
        <v>15.790285180317699</v>
      </c>
      <c r="M5">
        <f>HLOOKUP(D5,'[1]Index ROE'!$A$1:$N$25,25,FALSE)</f>
        <v>13.143831982753101</v>
      </c>
      <c r="N5">
        <f>VLOOKUP(A5,'[1]LIQIDITY 2'!$A$3:$E$16,5,FALSE)</f>
        <v>3.5358000000000001</v>
      </c>
      <c r="O5" cm="1">
        <f t="array" ref="O5">IFERROR(_xll.FDS(B5,"FDS_ECON_RCPI_Q(0)"),$D$23)</f>
        <v>3.1790657000000002</v>
      </c>
      <c r="P5">
        <f>VLOOKUP(E5,[1]GDP_GROWTH!$B$10:$W$165,22,FALSE)</f>
        <v>1.4598842535213041</v>
      </c>
      <c r="Q5">
        <f t="shared" si="0"/>
        <v>-0.20135302226689999</v>
      </c>
      <c r="R5" s="58">
        <f t="shared" si="1"/>
        <v>1.7375971600377396</v>
      </c>
      <c r="S5">
        <f t="shared" si="2"/>
        <v>9.6080319827531007</v>
      </c>
      <c r="T5">
        <f t="shared" si="3"/>
        <v>9.9647662827531001</v>
      </c>
      <c r="U5" cm="1">
        <f t="array" ref="U5">_xlfn.PERCENTRANK.EXC(_xlfn._xlws.FILTER(Q$3:Q$15, ISNUMBER(Q$3:Q$15)),Q5)*100</f>
        <v>35.699999999999996</v>
      </c>
      <c r="V5" cm="1">
        <f t="array" ref="V5">_xlfn.PERCENTRANK.EXC(_xlfn._xlws.FILTER(R$3:R$15, ISNUMBER(R$3:R$15)),R5)*100</f>
        <v>42.8</v>
      </c>
      <c r="W5" cm="1">
        <f t="array" ref="W5">_xlfn.PERCENTRANK.EXC(_xlfn._xlws.FILTER(S$3:S$15, ISNUMBER(S$3:S$15)),S5)*100</f>
        <v>35.699999999999996</v>
      </c>
      <c r="X5" cm="1">
        <f t="array" ref="X5">(1-_xlfn.PERCENTRANK.EXC(_xlfn._xlws.FILTER(G$3:G$15, ISNUMBER(G$3:G$15)),G5))*100</f>
        <v>35.799999999999997</v>
      </c>
      <c r="Y5" cm="1">
        <f t="array" ref="Y5">(1-_xlfn.PERCENTRANK.EXC(_xlfn._xlws.FILTER(H$3:H$15, ISNUMBER(H$3:H$15)),H5))*100</f>
        <v>64.3</v>
      </c>
      <c r="Z5" cm="1">
        <f t="array" ref="Z5">_xlfn.PERCENTRANK.EXC(_xlfn._xlws.FILTER(T$3:T$15, ISNUMBER(T$3:T$15)),T5)*100</f>
        <v>50</v>
      </c>
      <c r="AA5" cm="1">
        <f t="array" ref="AA5">_xlfn.PERCENTRANK.EXC(_xlfn._xlws.FILTER(P$3:P$15, ISNUMBER(P$3:P$15)),P5)*100</f>
        <v>42.8</v>
      </c>
      <c r="AB5">
        <f>U5*[1]Assumption!$E$39 + V5*[1]Assumption!$F$39 + X5*[1]Assumption!$G$39 + Y5*[1]Assumption!$H$39 + W5*[1]Assumption!$I$39 +Z5* [1]Assumption!$K$39 + AA5* [1]Assumption!$J$39</f>
        <v>46.08</v>
      </c>
      <c r="AC5" cm="1">
        <f t="array" ref="AC5">_xlfn.PERCENTRANK.EXC(_xlfn._xlws.FILTER(AB$3:AB$15, ISNUMBER(AB$3:AB$15)),AB5)*100</f>
        <v>42.8</v>
      </c>
    </row>
    <row r="6" spans="1:29" x14ac:dyDescent="0.3">
      <c r="A6" t="s">
        <v>6</v>
      </c>
      <c r="B6" t="s">
        <v>73</v>
      </c>
      <c r="C6" t="str" cm="1">
        <f t="array" ref="C6">_xll.FDS(A6,"FG_COMPANY_NAME")</f>
        <v>iShares MSCI Germany ETF</v>
      </c>
      <c r="D6" t="s">
        <v>6</v>
      </c>
      <c r="E6" t="s">
        <v>78</v>
      </c>
      <c r="F6" s="2" cm="1">
        <f t="array" ref="F6">_xll.FDS(D6,"JULIAN(FMA_DIV_YLD(NTMA,NOW,NOW,M,""PORTAGG"",""MEANR"").dates)")</f>
        <v>45322</v>
      </c>
      <c r="G6" s="4" cm="1">
        <f t="array" ref="G6">_xll.FDS(D6,"FG_PE(0)")</f>
        <v>10.7899874974471</v>
      </c>
      <c r="H6" s="4" cm="1">
        <f t="array" ref="H6">_xll.FDS(D6,"FG_PE_NTM(0,,,90,0)")</f>
        <v>11.547747087817299</v>
      </c>
      <c r="I6" cm="1">
        <f t="array" ref="I6">_xll.FDS(D6,"FMA_DIV_YLD(NTMA,NOW,NOW,M,""PORTAGG"",""MEANR"")")</f>
        <v>3.5661542952404299</v>
      </c>
      <c r="J6" s="58" cm="1">
        <f t="array" ref="J6">IFERROR(_xll.FDS(D6,"FG_FCF_YIELD_NTM(0)"),(1/G6*100))</f>
        <v>6.5784434211682097</v>
      </c>
      <c r="K6" s="3" cm="1">
        <f t="array" ref="K6">_xll.FDS(D6,"FMA_EVAL_EBITDA(NTMA,0,,,""PORTAGG"",""MEANR"")")</f>
        <v>8.3794895815411206</v>
      </c>
      <c r="L6" cm="1">
        <f t="array" ref="L6">_xll.FDS(D6,"FMA_EVAL_EBIT(LTMA,NOW,NOW,M,""PORTAGG"",""MEANR"")")</f>
        <v>13.127818156487599</v>
      </c>
      <c r="M6">
        <f>HLOOKUP(D6,'[1]Index ROE'!$A$1:$N$25,25,FALSE)</f>
        <v>11.933166723455001</v>
      </c>
      <c r="N6">
        <f>VLOOKUP(A6,'[1]LIQIDITY 2'!$A$3:$E$16,5,FALSE)</f>
        <v>2.3090000000000002</v>
      </c>
      <c r="O6" cm="1">
        <f t="array" ref="O6">IFERROR(_xll.FDS(B6,"FDS_ECON_RCPI_Q(0)"),$D$23)</f>
        <v>3.5200939999999998</v>
      </c>
      <c r="P6">
        <f>VLOOKUP(E6,[1]GDP_GROWTH!$B$10:$W$165,22,FALSE)</f>
        <v>0.863192929992318</v>
      </c>
      <c r="Q6">
        <f t="shared" si="0"/>
        <v>1.2571542952404298</v>
      </c>
      <c r="R6" s="58">
        <f t="shared" si="1"/>
        <v>4.2694434211682095</v>
      </c>
      <c r="S6">
        <f t="shared" si="2"/>
        <v>9.6241667234550015</v>
      </c>
      <c r="T6">
        <f t="shared" si="3"/>
        <v>8.4130727234550005</v>
      </c>
      <c r="U6" cm="1">
        <f t="array" ref="U6">_xlfn.PERCENTRANK.EXC(_xlfn._xlws.FILTER(Q$3:Q$15, ISNUMBER(Q$3:Q$15)),Q6)*100</f>
        <v>71.399999999999991</v>
      </c>
      <c r="V6" cm="1">
        <f t="array" ref="V6">_xlfn.PERCENTRANK.EXC(_xlfn._xlws.FILTER(R$3:R$15, ISNUMBER(R$3:R$15)),R6)*100</f>
        <v>92.800000000000011</v>
      </c>
      <c r="W6" cm="1">
        <f t="array" ref="W6">_xlfn.PERCENTRANK.EXC(_xlfn._xlws.FILTER(S$3:S$15, ISNUMBER(S$3:S$15)),S6)*100</f>
        <v>42.8</v>
      </c>
      <c r="X6" cm="1">
        <f t="array" ref="X6">(1-_xlfn.PERCENTRANK.EXC(_xlfn._xlws.FILTER(G$3:G$15, ISNUMBER(G$3:G$15)),G6))*100</f>
        <v>78.600000000000009</v>
      </c>
      <c r="Y6" cm="1">
        <f t="array" ref="Y6">(1-_xlfn.PERCENTRANK.EXC(_xlfn._xlws.FILTER(H$3:H$15, ISNUMBER(H$3:H$15)),H6))*100</f>
        <v>78.600000000000009</v>
      </c>
      <c r="Z6" cm="1">
        <f t="array" ref="Z6">_xlfn.PERCENTRANK.EXC(_xlfn._xlws.FILTER(T$3:T$15, ISNUMBER(T$3:T$15)),T6)*100</f>
        <v>21.4</v>
      </c>
      <c r="AA6" cm="1">
        <f t="array" ref="AA6">_xlfn.PERCENTRANK.EXC(_xlfn._xlws.FILTER(P$3:P$15, ISNUMBER(P$3:P$15)),P6)*100</f>
        <v>21.4</v>
      </c>
      <c r="AB6">
        <f>U6*[1]Assumption!$E$39 + V6*[1]Assumption!$F$39 + X6*[1]Assumption!$G$39 + Y6*[1]Assumption!$H$39 + W6*[1]Assumption!$I$39 +Z6* [1]Assumption!$K$39 + AA6* [1]Assumption!$J$39</f>
        <v>72.490000000000009</v>
      </c>
      <c r="AC6" cm="1">
        <f t="array" ref="AC6">_xlfn.PERCENTRANK.EXC(_xlfn._xlws.FILTER(AB$3:AB$15, ISNUMBER(AB$3:AB$15)),AB6)*100</f>
        <v>85.7</v>
      </c>
    </row>
    <row r="7" spans="1:29" x14ac:dyDescent="0.3">
      <c r="A7" t="s">
        <v>12</v>
      </c>
      <c r="B7" t="s">
        <v>37</v>
      </c>
      <c r="C7" t="str" cm="1">
        <f t="array" ref="C7">_xll.FDS(A7,"FG_COMPANY_NAME")</f>
        <v>iShares MSCI Japan ETF</v>
      </c>
      <c r="D7" t="s">
        <v>12</v>
      </c>
      <c r="E7" t="s">
        <v>80</v>
      </c>
      <c r="F7" s="2" cm="1">
        <f t="array" ref="F7">_xll.FDS(D7,"JULIAN(FMA_DIV_YLD(NTMA,NOW,NOW,M,""PORTAGG"",""MEANR"").dates)")</f>
        <v>45322</v>
      </c>
      <c r="G7" s="4" cm="1">
        <f t="array" ref="G7">_xll.FDS(D7,"FG_PE(0)")</f>
        <v>15.9954799486644</v>
      </c>
      <c r="H7" s="4" cm="1">
        <f t="array" ref="H7">_xll.FDS(D7,"FG_PE_NTM(0,,,90,0)")</f>
        <v>15.085196652901001</v>
      </c>
      <c r="I7" cm="1">
        <f t="array" ref="I7">_xll.FDS(D7,"FMA_DIV_YLD(NTMA,NOW,NOW,M,""PORTAGG"",""MEANR"")")</f>
        <v>2.2636889371994999</v>
      </c>
      <c r="J7" s="58" cm="1">
        <f t="array" ref="J7">IFERROR(_xll.FDS(D7,"FG_FCF_YIELD_NTM(0)"),(1/G7*100))</f>
        <v>4.1454667909148704</v>
      </c>
      <c r="K7" s="3" cm="1">
        <f t="array" ref="K7">_xll.FDS(D7,"FMA_EVAL_EBITDA(NTMA,0,,,""PORTAGG"",""MEANR"")")</f>
        <v>10.3600380300984</v>
      </c>
      <c r="L7" cm="1">
        <f t="array" ref="L7">_xll.FDS(D7,"FMA_EVAL_EBIT(LTMA,NOW,NOW,M,""PORTAGG"",""MEANR"")")</f>
        <v>17.434519722153102</v>
      </c>
      <c r="M7">
        <f>HLOOKUP(D7,'[1]Index ROE'!$A$1:$N$25,25,FALSE)</f>
        <v>9.2978000426810592</v>
      </c>
      <c r="N7">
        <f>VLOOKUP(A7,'[1]LIQIDITY 2'!$A$3:$E$16,5,FALSE)</f>
        <v>0.71050000000000002</v>
      </c>
      <c r="O7" cm="1">
        <f t="array" ref="O7">IFERROR(_xll.FDS(B7,"FDS_ECON_RCPI_Q(0)"),$D$23)</f>
        <v>2.9194740000000001</v>
      </c>
      <c r="P7">
        <f>VLOOKUP(E7,[1]GDP_GROWTH!$B$10:$W$165,22,FALSE)</f>
        <v>0.31456851442112077</v>
      </c>
      <c r="Q7">
        <f t="shared" si="0"/>
        <v>1.5531889371994998</v>
      </c>
      <c r="R7" s="58">
        <f t="shared" si="1"/>
        <v>3.4349667909148702</v>
      </c>
      <c r="S7">
        <f t="shared" si="2"/>
        <v>8.5873000426810595</v>
      </c>
      <c r="T7">
        <f t="shared" si="3"/>
        <v>6.3783260426810591</v>
      </c>
      <c r="U7" cm="1">
        <f t="array" ref="U7">_xlfn.PERCENTRANK.EXC(_xlfn._xlws.FILTER(Q$3:Q$15, ISNUMBER(Q$3:Q$15)),Q7)*100</f>
        <v>85.7</v>
      </c>
      <c r="V7" cm="1">
        <f t="array" ref="V7">_xlfn.PERCENTRANK.EXC(_xlfn._xlws.FILTER(R$3:R$15, ISNUMBER(R$3:R$15)),R7)*100</f>
        <v>78.5</v>
      </c>
      <c r="W7" cm="1">
        <f t="array" ref="W7">_xlfn.PERCENTRANK.EXC(_xlfn._xlws.FILTER(S$3:S$15, ISNUMBER(S$3:S$15)),S7)*100</f>
        <v>14.2</v>
      </c>
      <c r="X7" cm="1">
        <f t="array" ref="X7">(1-_xlfn.PERCENTRANK.EXC(_xlfn._xlws.FILTER(G$3:G$15, ISNUMBER(G$3:G$15)),G7))*100</f>
        <v>42.900000000000006</v>
      </c>
      <c r="Y7" cm="1">
        <f t="array" ref="Y7">(1-_xlfn.PERCENTRANK.EXC(_xlfn._xlws.FILTER(H$3:H$15, ISNUMBER(H$3:H$15)),H7))*100</f>
        <v>57.2</v>
      </c>
      <c r="Z7" cm="1">
        <f t="array" ref="Z7">_xlfn.PERCENTRANK.EXC(_xlfn._xlws.FILTER(T$3:T$15, ISNUMBER(T$3:T$15)),T7)*100</f>
        <v>14.2</v>
      </c>
      <c r="AA7" cm="1">
        <f t="array" ref="AA7">_xlfn.PERCENTRANK.EXC(_xlfn._xlws.FILTER(P$3:P$15, ISNUMBER(P$3:P$15)),P7)*100</f>
        <v>7.1</v>
      </c>
      <c r="AB7">
        <f>U7*[1]Assumption!$E$39 + V7*[1]Assumption!$F$39 + X7*[1]Assumption!$G$39 + Y7*[1]Assumption!$H$39 + W7*[1]Assumption!$I$39 +Z7* [1]Assumption!$K$39 + AA7* [1]Assumption!$J$39</f>
        <v>51.775000000000006</v>
      </c>
      <c r="AC7" cm="1">
        <f t="array" ref="AC7">_xlfn.PERCENTRANK.EXC(_xlfn._xlws.FILTER(AB$3:AB$15, ISNUMBER(AB$3:AB$15)),AB7)*100</f>
        <v>50</v>
      </c>
    </row>
    <row r="8" spans="1:29" x14ac:dyDescent="0.3">
      <c r="A8" t="s">
        <v>10</v>
      </c>
      <c r="B8" t="s">
        <v>44</v>
      </c>
      <c r="C8" t="str" cm="1">
        <f t="array" ref="C8">_xll.FDS(A8,"FG_COMPANY_NAME")</f>
        <v>iShares MSCI Switzerland ETF</v>
      </c>
      <c r="D8" t="s">
        <v>10</v>
      </c>
      <c r="E8" t="s">
        <v>84</v>
      </c>
      <c r="F8" s="2" cm="1">
        <f t="array" ref="F8">_xll.FDS(D8,"JULIAN(FMA_DIV_YLD(NTMA,NOW,NOW,M,""PORTAGG"",""MEANR"").dates)")</f>
        <v>45322</v>
      </c>
      <c r="G8" s="4" cm="1">
        <f t="array" ref="G8">_xll.FDS(D8,"FG_PE(0)")</f>
        <v>15.9054503133222</v>
      </c>
      <c r="H8" s="4" cm="1">
        <f t="array" ref="H8">_xll.FDS(D8,"FG_PE_NTM(0,,,90,0)")</f>
        <v>17.082876053008199</v>
      </c>
      <c r="I8" cm="1">
        <f t="array" ref="I8">_xll.FDS(D8,"FMA_DIV_YLD(NTMA,NOW,NOW,M,""PORTAGG"",""MEANR"")")</f>
        <v>3.2787751721688898</v>
      </c>
      <c r="J8" s="58" cm="1">
        <f t="array" ref="J8">IFERROR(_xll.FDS(D8,"FG_FCF_YIELD_NTM(0)"),(1/G8*100))</f>
        <v>5.0162652072727001</v>
      </c>
      <c r="K8" s="3" cm="1">
        <f t="array" ref="K8">_xll.FDS(D8,"FMA_EVAL_EBITDA(NTMA,0,,,""PORTAGG"",""MEANR"")")</f>
        <v>12.894023575524599</v>
      </c>
      <c r="L8" cm="1">
        <f t="array" ref="L8">_xll.FDS(D8,"FMA_EVAL_EBIT(LTMA,NOW,NOW,M,""PORTAGG"",""MEANR"")")</f>
        <v>16.738898750901701</v>
      </c>
      <c r="M8">
        <f>HLOOKUP(D8,'[1]Index ROE'!$A$1:$N$25,25,FALSE)</f>
        <v>19.2850533603957</v>
      </c>
      <c r="N8">
        <f>VLOOKUP(A8,'[1]LIQIDITY 2'!$A$3:$E$16,5,FALSE)</f>
        <v>0.89900000000000002</v>
      </c>
      <c r="O8" cm="1">
        <f t="array" ref="O8">IFERROR(_xll.FDS(B8,"FDS_ECON_RCPI_Q(0)"),$D$23)</f>
        <v>1.6172597</v>
      </c>
      <c r="P8">
        <f>VLOOKUP(E8,[1]GDP_GROWTH!$B$10:$W$165,22,FALSE)</f>
        <v>2.077185911672963</v>
      </c>
      <c r="Q8">
        <f t="shared" si="0"/>
        <v>2.3797751721688898</v>
      </c>
      <c r="R8" s="58">
        <f t="shared" si="1"/>
        <v>4.1172652072727001</v>
      </c>
      <c r="S8">
        <f t="shared" si="2"/>
        <v>18.386053360395699</v>
      </c>
      <c r="T8">
        <f t="shared" si="3"/>
        <v>17.667793660395702</v>
      </c>
      <c r="U8" cm="1">
        <f t="array" ref="U8">_xlfn.PERCENTRANK.EXC(_xlfn._xlws.FILTER(Q$3:Q$15, ISNUMBER(Q$3:Q$15)),Q8)*100</f>
        <v>92.800000000000011</v>
      </c>
      <c r="V8" cm="1">
        <f t="array" ref="V8">_xlfn.PERCENTRANK.EXC(_xlfn._xlws.FILTER(R$3:R$15, ISNUMBER(R$3:R$15)),R8)*100</f>
        <v>85.7</v>
      </c>
      <c r="W8" cm="1">
        <f t="array" ref="W8">_xlfn.PERCENTRANK.EXC(_xlfn._xlws.FILTER(S$3:S$15, ISNUMBER(S$3:S$15)),S8)*100</f>
        <v>85.7</v>
      </c>
      <c r="X8" cm="1">
        <f t="array" ref="X8">(1-_xlfn.PERCENTRANK.EXC(_xlfn._xlws.FILTER(G$3:G$15, ISNUMBER(G$3:G$15)),G8))*100</f>
        <v>50</v>
      </c>
      <c r="Y8" cm="1">
        <f t="array" ref="Y8">(1-_xlfn.PERCENTRANK.EXC(_xlfn._xlws.FILTER(H$3:H$15, ISNUMBER(H$3:H$15)),H8))*100</f>
        <v>28.6</v>
      </c>
      <c r="Z8" cm="1">
        <f t="array" ref="Z8">_xlfn.PERCENTRANK.EXC(_xlfn._xlws.FILTER(T$3:T$15, ISNUMBER(T$3:T$15)),T8)*100</f>
        <v>85.7</v>
      </c>
      <c r="AA8" cm="1">
        <f t="array" ref="AA8">_xlfn.PERCENTRANK.EXC(_xlfn._xlws.FILTER(P$3:P$15, ISNUMBER(P$3:P$15)),P8)*100</f>
        <v>64.2</v>
      </c>
      <c r="AB8">
        <f>U8*[1]Assumption!$E$39 + V8*[1]Assumption!$F$39 + X8*[1]Assumption!$G$39 + Y8*[1]Assumption!$H$39 + W8*[1]Assumption!$I$39 +Z8* [1]Assumption!$K$39 + AA8* [1]Assumption!$J$39</f>
        <v>62.854999999999997</v>
      </c>
      <c r="AC8" cm="1">
        <f t="array" ref="AC8">_xlfn.PERCENTRANK.EXC(_xlfn._xlws.FILTER(AB$3:AB$15, ISNUMBER(AB$3:AB$15)),AB8)*100</f>
        <v>64.2</v>
      </c>
    </row>
    <row r="9" spans="1:29" x14ac:dyDescent="0.3">
      <c r="A9" t="s">
        <v>13</v>
      </c>
      <c r="B9" t="s">
        <v>38</v>
      </c>
      <c r="C9" t="str" cm="1">
        <f t="array" ref="C9">_xll.FDS(A9,"FG_COMPANY_NAME")</f>
        <v>iShares MSCI United Kingdom ETF</v>
      </c>
      <c r="D9" t="s">
        <v>13</v>
      </c>
      <c r="E9" t="s">
        <v>85</v>
      </c>
      <c r="F9" s="2" cm="1">
        <f t="array" ref="F9">_xll.FDS(D9,"JULIAN(FMA_DIV_YLD(NTMA,NOW,NOW,M,""PORTAGG"",""MEANR"").dates)")</f>
        <v>45322</v>
      </c>
      <c r="G9" s="4" cm="1">
        <f t="array" ref="G9">_xll.FDS(D9,"FG_PE(0)")</f>
        <v>9.0995827956598792</v>
      </c>
      <c r="H9" s="4" cm="1">
        <f t="array" ref="H9">_xll.FDS(D9,"FG_PE_NTM(0,,,90,0)")</f>
        <v>11.0222176105224</v>
      </c>
      <c r="I9" cm="1">
        <f t="array" ref="I9">_xll.FDS(D9,"FMA_DIV_YLD(NTMA,NOW,NOW,M,""PORTAGG"",""MEANR"")")</f>
        <v>4.2760272413284204</v>
      </c>
      <c r="J9" s="58" cm="1">
        <f t="array" ref="J9">IFERROR(_xll.FDS(D9,"FG_FCF_YIELD_NTM(0)"),(1/G9*100))</f>
        <v>6.6832979988036101</v>
      </c>
      <c r="K9" s="3" cm="1">
        <f t="array" ref="K9">_xll.FDS(D9,"FMA_EVAL_EBITDA(NTMA,0,,,""PORTAGG"",""MEANR"")")</f>
        <v>7.2836576514114499</v>
      </c>
      <c r="L9" cm="1">
        <f t="array" ref="L9">_xll.FDS(D9,"FMA_EVAL_EBIT(LTMA,NOW,NOW,M,""PORTAGG"",""MEANR"")")</f>
        <v>10.3847176629095</v>
      </c>
      <c r="M9">
        <f>HLOOKUP(D9,'[1]Index ROE'!$A$1:$N$25,25,FALSE)</f>
        <v>14.7571642289371</v>
      </c>
      <c r="N9">
        <f>VLOOKUP(A9,'[1]LIQIDITY 2'!$A$3:$E$16,5,FALSE)</f>
        <v>3.988</v>
      </c>
      <c r="O9" cm="1">
        <f t="array" ref="O9">IFERROR(_xll.FDS(B9,"FDS_ECON_RCPI_Q(0)"),$D$23)</f>
        <v>4.1831098000000004</v>
      </c>
      <c r="P9">
        <f>VLOOKUP(E9,[1]GDP_GROWTH!$B$10:$W$165,22,FALSE)</f>
        <v>1.0976426250664972</v>
      </c>
      <c r="Q9">
        <f t="shared" si="0"/>
        <v>0.28802724132842039</v>
      </c>
      <c r="R9" s="58">
        <f t="shared" si="1"/>
        <v>2.6952979988036101</v>
      </c>
      <c r="S9">
        <f t="shared" si="2"/>
        <v>10.7691642289371</v>
      </c>
      <c r="T9">
        <f t="shared" si="3"/>
        <v>10.574054428937099</v>
      </c>
      <c r="U9" cm="1">
        <f t="array" ref="U9">_xlfn.PERCENTRANK.EXC(_xlfn._xlws.FILTER(Q$3:Q$15, ISNUMBER(Q$3:Q$15)),Q9)*100</f>
        <v>50</v>
      </c>
      <c r="V9" cm="1">
        <f t="array" ref="V9">_xlfn.PERCENTRANK.EXC(_xlfn._xlws.FILTER(R$3:R$15, ISNUMBER(R$3:R$15)),R9)*100</f>
        <v>57.099999999999994</v>
      </c>
      <c r="W9" cm="1">
        <f t="array" ref="W9">_xlfn.PERCENTRANK.EXC(_xlfn._xlws.FILTER(S$3:S$15, ISNUMBER(S$3:S$15)),S9)*100</f>
        <v>64.2</v>
      </c>
      <c r="X9" cm="1">
        <f t="array" ref="X9">(1-_xlfn.PERCENTRANK.EXC(_xlfn._xlws.FILTER(G$3:G$15, ISNUMBER(G$3:G$15)),G9))*100</f>
        <v>92.9</v>
      </c>
      <c r="Y9" cm="1">
        <f t="array" ref="Y9">(1-_xlfn.PERCENTRANK.EXC(_xlfn._xlws.FILTER(H$3:H$15, ISNUMBER(H$3:H$15)),H9))*100</f>
        <v>85.8</v>
      </c>
      <c r="Z9" cm="1">
        <f t="array" ref="Z9">_xlfn.PERCENTRANK.EXC(_xlfn._xlws.FILTER(T$3:T$15, ISNUMBER(T$3:T$15)),T9)*100</f>
        <v>57.099999999999994</v>
      </c>
      <c r="AA9" cm="1">
        <f t="array" ref="AA9">_xlfn.PERCENTRANK.EXC(_xlfn._xlws.FILTER(P$3:P$15, ISNUMBER(P$3:P$15)),P9)*100</f>
        <v>35.699999999999996</v>
      </c>
      <c r="AB9">
        <f>U9*[1]Assumption!$E$39 + V9*[1]Assumption!$F$39 + X9*[1]Assumption!$G$39 + Y9*[1]Assumption!$H$39 + W9*[1]Assumption!$I$39 +Z9* [1]Assumption!$K$39 + AA9* [1]Assumption!$J$39</f>
        <v>73.58</v>
      </c>
      <c r="AC9" cm="1">
        <f t="array" ref="AC9">_xlfn.PERCENTRANK.EXC(_xlfn._xlws.FILTER(AB$3:AB$15, ISNUMBER(AB$3:AB$15)),AB9)*100</f>
        <v>92.800000000000011</v>
      </c>
    </row>
    <row r="10" spans="1:29" x14ac:dyDescent="0.3">
      <c r="A10" t="s">
        <v>15</v>
      </c>
      <c r="B10" t="s">
        <v>39</v>
      </c>
      <c r="C10" t="str" cm="1">
        <f t="array" ref="C10">_xll.FDS(A10,"FG_COMPANY_NAME")</f>
        <v>Invesco QQQ Trust Series I</v>
      </c>
      <c r="D10" t="s">
        <v>15</v>
      </c>
      <c r="E10" t="s">
        <v>86</v>
      </c>
      <c r="F10" s="2" cm="1">
        <f t="array" ref="F10">_xll.FDS(D10,"JULIAN(FMA_DIV_YLD(NTMA,NOW,NOW,M,""PORTAGG"",""MEANR"").dates)")</f>
        <v>45322</v>
      </c>
      <c r="G10" s="4" cm="1">
        <f t="array" ref="G10">_xll.FDS(D10,"FG_PE(0)")</f>
        <v>32.933576650384801</v>
      </c>
      <c r="H10" s="4" cm="1">
        <f t="array" ref="H10">_xll.FDS(D10,"FG_PE_NTM(0,,,90,0)")</f>
        <v>26.242329284495199</v>
      </c>
      <c r="I10" cm="1">
        <f t="array" ref="I10">_xll.FDS(D10,"FMA_DIV_YLD(NTMA,NOW,NOW,M,""PORTAGG"",""MEANR"")")</f>
        <v>0.90127615847685905</v>
      </c>
      <c r="J10" s="76" cm="1">
        <f t="array" ref="J10">IFERROR(_xll.FDS(D10,"FG_FCF_YIELD_NTM(0)"),(1/G10*100))</f>
        <v>3.6529856603407498</v>
      </c>
      <c r="K10" s="3" cm="1">
        <f t="array" ref="K10">_xll.FDS(D10,"FMA_EVAL_EBITDA(NTMA,0,,,""PORTAGG"",""MEANR"")")</f>
        <v>16.249539012361101</v>
      </c>
      <c r="L10" cm="1">
        <f t="array" ref="L10">_xll.FDS(D10,"FMA_EVAL_EBIT(LTMA,NOW,NOW,M,""PORTAGG"",""MEANR"")")</f>
        <v>24.0665389319553</v>
      </c>
      <c r="M10">
        <f>HLOOKUP(D10,'[1]Index ROE'!$A$1:$N$25,25,FALSE)</f>
        <v>25.292825542801602</v>
      </c>
      <c r="N10">
        <f>VLOOKUP(A10,'[1]LIQIDITY 2'!$A$3:$E$16,5,FALSE)</f>
        <v>4.1470000000000002</v>
      </c>
      <c r="O10" cm="1">
        <f t="array" ref="O10">IFERROR(_xll.FDS(B10,"FDS_ECON_RCPI_Q(0)"),$D$23)</f>
        <v>3.2361504999999999</v>
      </c>
      <c r="P10">
        <f>VLOOKUP(E10,[1]GDP_GROWTH!$B$10:$W$165,22,FALSE)</f>
        <v>2.0868572594445189</v>
      </c>
      <c r="Q10">
        <f t="shared" si="0"/>
        <v>-3.2457238415231413</v>
      </c>
      <c r="R10" s="58">
        <f t="shared" si="1"/>
        <v>-0.49401433965925046</v>
      </c>
      <c r="S10">
        <f t="shared" si="2"/>
        <v>21.145825542801603</v>
      </c>
      <c r="T10">
        <f t="shared" si="3"/>
        <v>22.056675042801601</v>
      </c>
      <c r="U10" cm="1">
        <f t="array" ref="U10">_xlfn.PERCENTRANK.EXC(_xlfn._xlws.FILTER(Q$3:Q$15, ISNUMBER(Q$3:Q$15)),Q10)*100</f>
        <v>7.1</v>
      </c>
      <c r="V10" cm="1">
        <f t="array" ref="V10">_xlfn.PERCENTRANK.EXC(_xlfn._xlws.FILTER(R$3:R$15, ISNUMBER(R$3:R$15)),R10)*100</f>
        <v>14.2</v>
      </c>
      <c r="W10" cm="1">
        <f t="array" ref="W10">_xlfn.PERCENTRANK.EXC(_xlfn._xlws.FILTER(S$3:S$15, ISNUMBER(S$3:S$15)),S10)*100</f>
        <v>92.800000000000011</v>
      </c>
      <c r="X10" cm="1">
        <f t="array" ref="X10">(1-_xlfn.PERCENTRANK.EXC(_xlfn._xlws.FILTER(G$3:G$15, ISNUMBER(G$3:G$15)),G10))*100</f>
        <v>7.1999999999999957</v>
      </c>
      <c r="Y10" cm="1">
        <f t="array" ref="Y10">(1-_xlfn.PERCENTRANK.EXC(_xlfn._xlws.FILTER(H$3:H$15, ISNUMBER(H$3:H$15)),H10))*100</f>
        <v>7.1999999999999957</v>
      </c>
      <c r="Z10" cm="1">
        <f t="array" ref="Z10">_xlfn.PERCENTRANK.EXC(_xlfn._xlws.FILTER(T$3:T$15, ISNUMBER(T$3:T$15)),T10)*100</f>
        <v>92.800000000000011</v>
      </c>
      <c r="AA10" cm="1">
        <f t="array" ref="AA10">_xlfn.PERCENTRANK.EXC(_xlfn._xlws.FILTER(P$3:P$15, ISNUMBER(P$3:P$15)),P10)*100</f>
        <v>71.399999999999991</v>
      </c>
      <c r="AB10">
        <f>U10*[1]Assumption!$E$39 + V10*[1]Assumption!$F$39 + X10*[1]Assumption!$G$39 + Y10*[1]Assumption!$H$39 + W10*[1]Assumption!$I$39 +Z10* [1]Assumption!$K$39 + AA10* [1]Assumption!$J$39</f>
        <v>26.064999999999998</v>
      </c>
      <c r="AC10" cm="1">
        <f t="array" ref="AC10">_xlfn.PERCENTRANK.EXC(_xlfn._xlws.FILTER(AB$3:AB$15, ISNUMBER(AB$3:AB$15)),AB10)*100</f>
        <v>14.2</v>
      </c>
    </row>
    <row r="11" spans="1:29" x14ac:dyDescent="0.3">
      <c r="A11" t="s">
        <v>1</v>
      </c>
      <c r="B11" t="s">
        <v>39</v>
      </c>
      <c r="C11" t="str" cm="1">
        <f t="array" ref="C11">_xll.FDS(A11,"FG_COMPANY_NAME")</f>
        <v>SPDR S&amp;P 500 ETF Trust</v>
      </c>
      <c r="D11" t="s">
        <v>1</v>
      </c>
      <c r="E11" t="s">
        <v>86</v>
      </c>
      <c r="F11" s="2" cm="1">
        <f t="array" ref="F11">_xll.FDS(D11,"JULIAN(FMA_DIV_YLD(NTMA,NOW,NOW,M,""PORTAGG"",""MEANR"").dates)")</f>
        <v>45322</v>
      </c>
      <c r="G11" s="4" cm="1">
        <f t="array" ref="G11">_xll.FDS(D11,"FG_PE(0)")</f>
        <v>24.0044618425217</v>
      </c>
      <c r="H11" s="4" cm="1">
        <f t="array" ref="H11">_xll.FDS(D11,"FG_PE_NTM(0,,,90,0)")</f>
        <v>20.350645083559598</v>
      </c>
      <c r="I11" cm="1">
        <f t="array" ref="I11">_xll.FDS(D11,"FMA_DIV_YLD(NTMA,NOW,NOW,M,""PORTAGG"",""MEANR"")")</f>
        <v>1.5267198235958399</v>
      </c>
      <c r="J11" s="76" cm="1">
        <f t="array" ref="J11">IFERROR(_xll.FDS(D11,"FG_FCF_YIELD_NTM(0)"),(1/G11*100))</f>
        <v>4.28524376148986</v>
      </c>
      <c r="K11" s="3" cm="1">
        <f t="array" ref="K11">_xll.FDS(D11,"FMA_EVAL_EBITDA(NTMA,0,,,""PORTAGG"",""MEANR"")")</f>
        <v>13.9059627392046</v>
      </c>
      <c r="L11" cm="1">
        <f t="array" ref="L11">_xll.FDS(D11,"FMA_EVAL_EBIT(LTMA,NOW,NOW,M,""PORTAGG"",""MEANR"")")</f>
        <v>19.960702223547599</v>
      </c>
      <c r="M11">
        <f>HLOOKUP(D11,'[1]Index ROE'!$A$1:$N$25,25,FALSE)</f>
        <v>20.335837808045401</v>
      </c>
      <c r="N11">
        <f>VLOOKUP(A11,'[1]LIQIDITY 2'!$A$3:$E$16,5,FALSE)</f>
        <v>4.1470000000000002</v>
      </c>
      <c r="O11" cm="1">
        <f t="array" ref="O11">IFERROR(_xll.FDS(B11,"FDS_ECON_RCPI_Q(0)"),$D$23)</f>
        <v>3.2361504999999999</v>
      </c>
      <c r="P11">
        <f>VLOOKUP(E11,[1]GDP_GROWTH!$B$10:$W$165,22,FALSE)</f>
        <v>2.0868572594445189</v>
      </c>
      <c r="Q11">
        <f t="shared" si="0"/>
        <v>-2.6202801764041603</v>
      </c>
      <c r="R11" s="58">
        <f t="shared" si="1"/>
        <v>0.13824376148985973</v>
      </c>
      <c r="S11">
        <f t="shared" si="2"/>
        <v>16.188837808045399</v>
      </c>
      <c r="T11">
        <f t="shared" si="3"/>
        <v>17.0996873080454</v>
      </c>
      <c r="U11" cm="1">
        <f t="array" ref="U11">_xlfn.PERCENTRANK.EXC(_xlfn._xlws.FILTER(Q$3:Q$15, ISNUMBER(Q$3:Q$15)),Q11)*100</f>
        <v>14.2</v>
      </c>
      <c r="V11" cm="1">
        <f t="array" ref="V11">_xlfn.PERCENTRANK.EXC(_xlfn._xlws.FILTER(R$3:R$15, ISNUMBER(R$3:R$15)),R11)*100</f>
        <v>21.4</v>
      </c>
      <c r="W11" cm="1">
        <f t="array" ref="W11">_xlfn.PERCENTRANK.EXC(_xlfn._xlws.FILTER(S$3:S$15, ISNUMBER(S$3:S$15)),S11)*100</f>
        <v>78.5</v>
      </c>
      <c r="X11" cm="1">
        <f t="array" ref="X11">(1-_xlfn.PERCENTRANK.EXC(_xlfn._xlws.FILTER(G$3:G$15, ISNUMBER(G$3:G$15)),G11))*100</f>
        <v>14.3</v>
      </c>
      <c r="Y11" cm="1">
        <f t="array" ref="Y11">(1-_xlfn.PERCENTRANK.EXC(_xlfn._xlws.FILTER(H$3:H$15, ISNUMBER(H$3:H$15)),H11))*100</f>
        <v>21.499999999999996</v>
      </c>
      <c r="Z11" cm="1">
        <f t="array" ref="Z11">_xlfn.PERCENTRANK.EXC(_xlfn._xlws.FILTER(T$3:T$15, ISNUMBER(T$3:T$15)),T11)*100</f>
        <v>78.5</v>
      </c>
      <c r="AA11" cm="1">
        <f t="array" ref="AA11">_xlfn.PERCENTRANK.EXC(_xlfn._xlws.FILTER(P$3:P$15, ISNUMBER(P$3:P$15)),P11)*100</f>
        <v>71.399999999999991</v>
      </c>
      <c r="AB11">
        <f>U11*[1]Assumption!$E$39 + V11*[1]Assumption!$F$39 + X11*[1]Assumption!$G$39 + Y11*[1]Assumption!$H$39 + W11*[1]Assumption!$I$39 +Z11* [1]Assumption!$K$39 + AA11* [1]Assumption!$J$39</f>
        <v>30.71</v>
      </c>
      <c r="AC11" cm="1">
        <f t="array" ref="AC11">_xlfn.PERCENTRANK.EXC(_xlfn._xlws.FILTER(AB$3:AB$15, ISNUMBER(AB$3:AB$15)),AB11)*100</f>
        <v>21.4</v>
      </c>
    </row>
    <row r="12" spans="1:29" x14ac:dyDescent="0.3">
      <c r="A12" t="s">
        <v>141</v>
      </c>
      <c r="B12" t="s">
        <v>145</v>
      </c>
      <c r="C12" t="str" cm="1">
        <f t="array" ref="C12">_xll.FDS(A12,"FG_COMPANY_NAME")</f>
        <v>iShares MSCI France ETF</v>
      </c>
      <c r="D12" t="s">
        <v>141</v>
      </c>
      <c r="E12" t="s">
        <v>77</v>
      </c>
      <c r="F12" s="2" cm="1">
        <f t="array" ref="F12">_xll.FDS(D12,"JULIAN(FMA_DIV_YLD(NTMA,NOW,NOW,M,""PORTAGG"",""MEANR"").dates)")</f>
        <v>45322</v>
      </c>
      <c r="G12" s="4" cm="1">
        <f t="array" ref="G12">_xll.FDS(D12,"FG_PE(0)")</f>
        <v>14.993596002468699</v>
      </c>
      <c r="H12" s="4" cm="1">
        <f t="array" ref="H12">_xll.FDS(D12,"FG_PE_NTM(0,,,90,0)")</f>
        <v>13.778519709402801</v>
      </c>
      <c r="I12" cm="1">
        <f t="array" ref="I12">_xll.FDS(D12,"FMA_DIV_YLD(NTMA,NOW,NOW,M,""PORTAGG"",""MEANR"")")</f>
        <v>3.1762927673166601</v>
      </c>
      <c r="J12" s="58" cm="1">
        <f t="array" ref="J12">IFERROR(_xll.FDS(D12,"FG_FCF_YIELD_NTM(0)"),(1/G12*100))</f>
        <v>5.9276889937407402</v>
      </c>
      <c r="K12" s="3" cm="1">
        <f t="array" ref="K12">_xll.FDS(D12,"FMA_EVAL_EBITDA(NTMA,0,,,""PORTAGG"",""MEANR"")")</f>
        <v>9.1052561046341207</v>
      </c>
      <c r="L12" cm="1">
        <f t="array" ref="L12">_xll.FDS(D12,"FMA_EVAL_EBIT(LTMA,NOW,NOW,M,""PORTAGG"",""MEANR"")")</f>
        <v>12.9504837737628</v>
      </c>
      <c r="M12">
        <f>HLOOKUP(D12,'[1]Index ROE'!$A$1:$N$25,25,FALSE)</f>
        <v>13.2206625586117</v>
      </c>
      <c r="N12">
        <f>VLOOKUP(A12,'[1]LIQIDITY 2'!$A$3:$E$16,5,FALSE)</f>
        <v>2.7959999999999998</v>
      </c>
      <c r="O12" cm="1">
        <f t="array" ref="O12">IFERROR(_xll.FDS(B12,"FDS_ECON_RCPI_Q(0)"),$D$23)</f>
        <v>3.8333430000000002</v>
      </c>
      <c r="P12">
        <f>VLOOKUP(E12,[1]GDP_GROWTH!$B$10:$W$165,22,FALSE)</f>
        <v>0.9426946158151317</v>
      </c>
      <c r="Q12">
        <f t="shared" si="0"/>
        <v>0.38029276731666029</v>
      </c>
      <c r="R12" s="58">
        <f t="shared" si="1"/>
        <v>3.1316889937407404</v>
      </c>
      <c r="S12">
        <f t="shared" si="2"/>
        <v>10.424662558611701</v>
      </c>
      <c r="T12">
        <f t="shared" si="3"/>
        <v>9.3873195586117006</v>
      </c>
      <c r="U12" cm="1">
        <f t="array" ref="U12">_xlfn.PERCENTRANK.EXC(_xlfn._xlws.FILTER(Q$3:Q$15, ISNUMBER(Q$3:Q$15)),Q12)*100</f>
        <v>57.099999999999994</v>
      </c>
      <c r="V12" cm="1">
        <f t="array" ref="V12">_xlfn.PERCENTRANK.EXC(_xlfn._xlws.FILTER(R$3:R$15, ISNUMBER(R$3:R$15)),R12)*100</f>
        <v>64.2</v>
      </c>
      <c r="W12" cm="1">
        <f t="array" ref="W12">_xlfn.PERCENTRANK.EXC(_xlfn._xlws.FILTER(S$3:S$15, ISNUMBER(S$3:S$15)),S12)*100</f>
        <v>57.099999999999994</v>
      </c>
      <c r="X12" cm="1">
        <f t="array" ref="X12">(1-_xlfn.PERCENTRANK.EXC(_xlfn._xlws.FILTER(G$3:G$15, ISNUMBER(G$3:G$15)),G12))*100</f>
        <v>64.3</v>
      </c>
      <c r="Y12" cm="1">
        <f t="array" ref="Y12">(1-_xlfn.PERCENTRANK.EXC(_xlfn._xlws.FILTER(H$3:H$15, ISNUMBER(H$3:H$15)),H12))*100</f>
        <v>71.500000000000014</v>
      </c>
      <c r="Z12" cm="1">
        <f t="array" ref="Z12">_xlfn.PERCENTRANK.EXC(_xlfn._xlws.FILTER(T$3:T$15, ISNUMBER(T$3:T$15)),T12)*100</f>
        <v>35.699999999999996</v>
      </c>
      <c r="AA12" cm="1">
        <f t="array" ref="AA12">_xlfn.PERCENTRANK.EXC(_xlfn._xlws.FILTER(P$3:P$15, ISNUMBER(P$3:P$15)),P12)*100</f>
        <v>28.499999999999996</v>
      </c>
      <c r="AB12">
        <f>U12*[1]Assumption!$E$39 + V12*[1]Assumption!$F$39 + X12*[1]Assumption!$G$39 + Y12*[1]Assumption!$H$39 + W12*[1]Assumption!$I$39 +Z12* [1]Assumption!$K$39 + AA12* [1]Assumption!$J$39</f>
        <v>62.135000000000005</v>
      </c>
      <c r="AC12" cm="1">
        <f t="array" ref="AC12">_xlfn.PERCENTRANK.EXC(_xlfn._xlws.FILTER(AB$3:AB$15, ISNUMBER(AB$3:AB$15)),AB12)*100</f>
        <v>57.099999999999994</v>
      </c>
    </row>
    <row r="13" spans="1:29" x14ac:dyDescent="0.3">
      <c r="A13" t="s">
        <v>143</v>
      </c>
      <c r="B13" t="s">
        <v>146</v>
      </c>
      <c r="C13" t="str" cm="1">
        <f t="array" ref="C13">_xll.FDS(A13,"FG_COMPANY_NAME")</f>
        <v>iShares MSCI Netherlands ETF</v>
      </c>
      <c r="D13" t="s">
        <v>143</v>
      </c>
      <c r="E13" t="s">
        <v>81</v>
      </c>
      <c r="F13" s="2" cm="1">
        <f t="array" ref="F13">_xll.FDS(D13,"JULIAN(FMA_DIV_YLD(NTMA,NOW,NOW,M,""PORTAGG"",""MEANR"").dates)")</f>
        <v>45322</v>
      </c>
      <c r="G13" s="4" cm="1">
        <f t="array" ref="G13">_xll.FDS(D13,"FG_PE(0)")</f>
        <v>18.533876890926798</v>
      </c>
      <c r="H13" s="4" cm="1">
        <f t="array" ref="H13">_xll.FDS(D13,"FG_PE_NTM(0,,,90,0)")</f>
        <v>16.109568606249599</v>
      </c>
      <c r="I13" cm="1">
        <f t="array" ref="I13">_xll.FDS(D13,"FMA_DIV_YLD(NTMA,NOW,NOW,M,""PORTAGG"",""MEANR"")")</f>
        <v>2.5911892548089002</v>
      </c>
      <c r="J13" s="58" cm="1">
        <f t="array" ref="J13">IFERROR(_xll.FDS(D13,"FG_FCF_YIELD_NTM(0)"),(1/G13*100))</f>
        <v>3.7272867929437101</v>
      </c>
      <c r="K13" s="3" cm="1">
        <f t="array" ref="K13">_xll.FDS(D13,"FMA_EVAL_EBITDA(NTMA,0,,,""PORTAGG"",""MEANR"")")</f>
        <v>13.4131630001747</v>
      </c>
      <c r="L13" cm="1">
        <f t="array" ref="L13">_xll.FDS(D13,"FMA_EVAL_EBIT(LTMA,NOW,NOW,M,""PORTAGG"",""MEANR"")")</f>
        <v>21.093570525672099</v>
      </c>
      <c r="M13">
        <f>HLOOKUP(D13,'[1]Index ROE'!$A$1:$N$25,25,FALSE)</f>
        <v>12.7454576665132</v>
      </c>
      <c r="N13">
        <f>VLOOKUP(A13,'[1]LIQIDITY 2'!$A$3:$E$16,5,FALSE)</f>
        <v>2.5830000000000002</v>
      </c>
      <c r="O13" cm="1">
        <f t="array" ref="O13">IFERROR(_xll.FDS(B13,"FDS_ECON_RCPI_Q(0)"),$D$23)</f>
        <v>0.8052127</v>
      </c>
      <c r="P13">
        <f>VLOOKUP(E13,[1]GDP_GROWTH!$B$10:$W$165,22,FALSE)</f>
        <v>1.7793785730007783</v>
      </c>
      <c r="Q13">
        <f t="shared" si="0"/>
        <v>8.1892548088999817E-3</v>
      </c>
      <c r="R13" s="58">
        <f t="shared" si="1"/>
        <v>1.1442867929437099</v>
      </c>
      <c r="S13">
        <f t="shared" si="2"/>
        <v>10.1624576665132</v>
      </c>
      <c r="T13">
        <f t="shared" si="3"/>
        <v>11.9402449665132</v>
      </c>
      <c r="U13" cm="1">
        <f t="array" ref="U13">_xlfn.PERCENTRANK.EXC(_xlfn._xlws.FILTER(Q$3:Q$15, ISNUMBER(Q$3:Q$15)),Q13)*100</f>
        <v>42.8</v>
      </c>
      <c r="V13" cm="1">
        <f t="array" ref="V13">_xlfn.PERCENTRANK.EXC(_xlfn._xlws.FILTER(R$3:R$15, ISNUMBER(R$3:R$15)),R13)*100</f>
        <v>35.699999999999996</v>
      </c>
      <c r="W13" cm="1">
        <f t="array" ref="W13">_xlfn.PERCENTRANK.EXC(_xlfn._xlws.FILTER(S$3:S$15, ISNUMBER(S$3:S$15)),S13)*100</f>
        <v>50</v>
      </c>
      <c r="X13" cm="1">
        <f t="array" ref="X13">(1-_xlfn.PERCENTRANK.EXC(_xlfn._xlws.FILTER(G$3:G$15, ISNUMBER(G$3:G$15)),G13))*100</f>
        <v>28.6</v>
      </c>
      <c r="Y13" cm="1">
        <f t="array" ref="Y13">(1-_xlfn.PERCENTRANK.EXC(_xlfn._xlws.FILTER(H$3:H$15, ISNUMBER(H$3:H$15)),H13))*100</f>
        <v>42.900000000000006</v>
      </c>
      <c r="Z13" cm="1">
        <f t="array" ref="Z13">_xlfn.PERCENTRANK.EXC(_xlfn._xlws.FILTER(T$3:T$15, ISNUMBER(T$3:T$15)),T13)*100</f>
        <v>64.2</v>
      </c>
      <c r="AA13" cm="1">
        <f t="array" ref="AA13">_xlfn.PERCENTRANK.EXC(_xlfn._xlws.FILTER(P$3:P$15, ISNUMBER(P$3:P$15)),P13)*100</f>
        <v>50</v>
      </c>
      <c r="AB13">
        <f>U13*[1]Assumption!$E$39 + V13*[1]Assumption!$F$39 + X13*[1]Assumption!$G$39 + Y13*[1]Assumption!$H$39 + W13*[1]Assumption!$I$39 +Z13* [1]Assumption!$K$39 + AA13* [1]Assumption!$J$39</f>
        <v>40.36</v>
      </c>
      <c r="AC13" cm="1">
        <f t="array" ref="AC13">_xlfn.PERCENTRANK.EXC(_xlfn._xlws.FILTER(AB$3:AB$15, ISNUMBER(AB$3:AB$15)),AB13)*100</f>
        <v>35.699999999999996</v>
      </c>
    </row>
    <row r="14" spans="1:29" x14ac:dyDescent="0.3">
      <c r="A14" t="s">
        <v>140</v>
      </c>
      <c r="B14" t="s">
        <v>43</v>
      </c>
      <c r="C14" t="str" cm="1">
        <f t="array" ref="C14">_xll.FDS(A14,"FG_COMPANY_NAME")</f>
        <v>iShares MSCI Sweden ETF</v>
      </c>
      <c r="D14" t="s">
        <v>140</v>
      </c>
      <c r="E14" t="s">
        <v>83</v>
      </c>
      <c r="F14" s="2" cm="1">
        <f t="array" ref="F14">_xll.FDS(D14,"JULIAN(FMA_DIV_YLD(NTMA,NOW,NOW,M,""PORTAGG"",""MEANR"").dates)")</f>
        <v>45322</v>
      </c>
      <c r="G14" s="4" cm="1">
        <f t="array" ref="G14">_xll.FDS(D14,"FG_PE(0)")</f>
        <v>14.7430353142228</v>
      </c>
      <c r="H14" s="4" cm="1">
        <f t="array" ref="H14">_xll.FDS(D14,"FG_PE_NTM(0,,,90,0)")</f>
        <v>15.716504352589601</v>
      </c>
      <c r="I14" cm="1">
        <f t="array" ref="I14">_xll.FDS(D14,"FMA_DIV_YLD(NTMA,NOW,NOW,M,""PORTAGG"",""MEANR"")")</f>
        <v>3.3228123367482998</v>
      </c>
      <c r="J14" s="58" cm="1">
        <f t="array" ref="J14">IFERROR(_xll.FDS(D14,"FG_FCF_YIELD_NTM(0)"),(1/G14*100))</f>
        <v>5.4848401681132701</v>
      </c>
      <c r="K14" s="3" cm="1">
        <f t="array" ref="K14">_xll.FDS(D14,"FMA_EVAL_EBITDA(NTMA,0,,,""PORTAGG"",""MEANR"")")</f>
        <v>10.9908294479161</v>
      </c>
      <c r="L14" cm="1">
        <f t="array" ref="L14">_xll.FDS(D14,"FMA_EVAL_EBIT(LTMA,NOW,NOW,M,""PORTAGG"",""MEANR"")")</f>
        <v>15.5221305566814</v>
      </c>
      <c r="M14">
        <f>HLOOKUP(D14,'[1]Index ROE'!$A$1:$N$25,25,FALSE)</f>
        <v>15.368047405644401</v>
      </c>
      <c r="N14">
        <f>VLOOKUP(A14,'[1]LIQIDITY 2'!$A$3:$E$16,5,FALSE)</f>
        <v>2.3029999999999999</v>
      </c>
      <c r="O14" cm="1">
        <f t="array" ref="O14">IFERROR(_xll.FDS(B14,"FDS_ECON_RCPI_Q(0)"),$D$23)</f>
        <v>5.5508465999999999</v>
      </c>
      <c r="P14">
        <f>VLOOKUP(E14,[1]GDP_GROWTH!$B$10:$W$165,22,FALSE)</f>
        <v>1.8182767577278436</v>
      </c>
      <c r="Q14">
        <f t="shared" si="0"/>
        <v>1.0198123367482999</v>
      </c>
      <c r="R14" s="58">
        <f t="shared" si="1"/>
        <v>3.1818401681132702</v>
      </c>
      <c r="S14">
        <f t="shared" si="2"/>
        <v>13.0650474056444</v>
      </c>
      <c r="T14">
        <f t="shared" si="3"/>
        <v>9.8172008056444007</v>
      </c>
      <c r="U14" cm="1">
        <f t="array" ref="U14">_xlfn.PERCENTRANK.EXC(_xlfn._xlws.FILTER(Q$3:Q$15, ISNUMBER(Q$3:Q$15)),Q14)*100</f>
        <v>64.2</v>
      </c>
      <c r="V14" cm="1">
        <f t="array" ref="V14">_xlfn.PERCENTRANK.EXC(_xlfn._xlws.FILTER(R$3:R$15, ISNUMBER(R$3:R$15)),R14)*100</f>
        <v>71.399999999999991</v>
      </c>
      <c r="W14" cm="1">
        <f t="array" ref="W14">_xlfn.PERCENTRANK.EXC(_xlfn._xlws.FILTER(S$3:S$15, ISNUMBER(S$3:S$15)),S14)*100</f>
        <v>71.399999999999991</v>
      </c>
      <c r="X14" cm="1">
        <f t="array" ref="X14">(1-_xlfn.PERCENTRANK.EXC(_xlfn._xlws.FILTER(G$3:G$15, ISNUMBER(G$3:G$15)),G14))*100</f>
        <v>71.500000000000014</v>
      </c>
      <c r="Y14" cm="1">
        <f t="array" ref="Y14">(1-_xlfn.PERCENTRANK.EXC(_xlfn._xlws.FILTER(H$3:H$15, ISNUMBER(H$3:H$15)),H14))*100</f>
        <v>50</v>
      </c>
      <c r="Z14" cm="1">
        <f t="array" ref="Z14">_xlfn.PERCENTRANK.EXC(_xlfn._xlws.FILTER(T$3:T$15, ISNUMBER(T$3:T$15)),T14)*100</f>
        <v>42.8</v>
      </c>
      <c r="AA14" cm="1">
        <f t="array" ref="AA14">_xlfn.PERCENTRANK.EXC(_xlfn._xlws.FILTER(P$3:P$15, ISNUMBER(P$3:P$15)),P14)*100</f>
        <v>57.099999999999994</v>
      </c>
      <c r="AB14">
        <f>U14*[1]Assumption!$E$39 + V14*[1]Assumption!$F$39 + X14*[1]Assumption!$G$39 + Y14*[1]Assumption!$H$39 + W14*[1]Assumption!$I$39 +Z14* [1]Assumption!$K$39 + AA14* [1]Assumption!$J$39</f>
        <v>62.855000000000004</v>
      </c>
      <c r="AC14" cm="1">
        <f t="array" ref="AC14">_xlfn.PERCENTRANK.EXC(_xlfn._xlws.FILTER(AB$3:AB$15, ISNUMBER(AB$3:AB$15)),AB14)*100</f>
        <v>71.399999999999991</v>
      </c>
    </row>
    <row r="15" spans="1:29" x14ac:dyDescent="0.3">
      <c r="A15" t="s">
        <v>142</v>
      </c>
      <c r="B15" t="s">
        <v>144</v>
      </c>
      <c r="C15" t="str" cm="1">
        <f t="array" ref="C15">_xll.FDS(A15,"FG_COMPANY_NAME")</f>
        <v>iShares MSCI Italy ETF</v>
      </c>
      <c r="D15" t="s">
        <v>142</v>
      </c>
      <c r="E15" t="s">
        <v>79</v>
      </c>
      <c r="F15" s="2" cm="1">
        <f t="array" ref="F15">_xll.FDS(D15,"JULIAN(FMA_DIV_YLD(NTMA,NOW,NOW,M,""PORTAGG"",""MEANR"").dates)")</f>
        <v>45322</v>
      </c>
      <c r="G15" s="4" cm="1">
        <f t="array" ref="G15">_xll.FDS(D15,"FG_PE(0)")</f>
        <v>9.5420534756175694</v>
      </c>
      <c r="H15" s="4" cm="1">
        <f t="array" ref="H15">_xll.FDS(D15,"FG_PE_NTM(0,,,90,0)")</f>
        <v>8.9883293677550906</v>
      </c>
      <c r="I15" cm="1">
        <f t="array" ref="I15">_xll.FDS(D15,"FMA_DIV_YLD(NTMA,NOW,NOW,M,""PORTAGG"",""MEANR"")")</f>
        <v>5.3855755721273999</v>
      </c>
      <c r="J15" s="58" cm="1">
        <f t="array" ref="J15">IFERROR(_xll.FDS(D15,"FG_FCF_YIELD_NTM(0)"),(1/G15*100))</f>
        <v>6.5148218490508301</v>
      </c>
      <c r="K15" s="3" cm="1">
        <f t="array" ref="K15">_xll.FDS(D15,"FMA_EVAL_EBITDA(NTMA,0,,,""PORTAGG"",""MEANR"")")</f>
        <v>7.2662176352795402</v>
      </c>
      <c r="L15" cm="1">
        <f t="array" ref="L15">_xll.FDS(D15,"FMA_EVAL_EBIT(LTMA,NOW,NOW,M,""PORTAGG"",""MEANR"")")</f>
        <v>11.094471488430001</v>
      </c>
      <c r="M15">
        <f>HLOOKUP(D15,'[1]Index ROE'!$A$1:$N$25,25,FALSE)</f>
        <v>13.358439707112201</v>
      </c>
      <c r="N15">
        <f>VLOOKUP(A15,'[1]LIQIDITY 2'!$A$3:$E$16,5,FALSE)</f>
        <v>3.8340000000000001</v>
      </c>
      <c r="O15" cm="1">
        <f t="array" ref="O15">IFERROR(_xll.FDS(B15,"FDS_ECON_RCPI_Q(0)"),$D$23)</f>
        <v>0.98369870000000004</v>
      </c>
      <c r="P15">
        <f>VLOOKUP(E15,[1]GDP_GROWTH!$B$10:$W$165,22,FALSE)</f>
        <v>0.32855305426654491</v>
      </c>
      <c r="Q15">
        <f t="shared" si="0"/>
        <v>1.5515755721273998</v>
      </c>
      <c r="R15" s="58">
        <f t="shared" si="1"/>
        <v>2.68082184905083</v>
      </c>
      <c r="S15">
        <f t="shared" si="2"/>
        <v>9.5244397071122009</v>
      </c>
      <c r="T15">
        <f t="shared" si="3"/>
        <v>12.374741007112201</v>
      </c>
      <c r="U15" cm="1">
        <f t="array" ref="U15">_xlfn.PERCENTRANK.EXC(_xlfn._xlws.FILTER(Q$3:Q$15, ISNUMBER(Q$3:Q$15)),Q15)*100</f>
        <v>78.5</v>
      </c>
      <c r="V15" cm="1">
        <f t="array" ref="V15">_xlfn.PERCENTRANK.EXC(_xlfn._xlws.FILTER(R$3:R$15, ISNUMBER(R$3:R$15)),R15)*100</f>
        <v>50</v>
      </c>
      <c r="W15" cm="1">
        <f t="array" ref="W15">_xlfn.PERCENTRANK.EXC(_xlfn._xlws.FILTER(S$3:S$15, ISNUMBER(S$3:S$15)),S15)*100</f>
        <v>28.499999999999996</v>
      </c>
      <c r="X15" cm="1">
        <f t="array" ref="X15">(1-_xlfn.PERCENTRANK.EXC(_xlfn._xlws.FILTER(G$3:G$15, ISNUMBER(G$3:G$15)),G15))*100</f>
        <v>85.8</v>
      </c>
      <c r="Y15" cm="1">
        <f t="array" ref="Y15">(1-_xlfn.PERCENTRANK.EXC(_xlfn._xlws.FILTER(H$3:H$15, ISNUMBER(H$3:H$15)),H15))*100</f>
        <v>92.9</v>
      </c>
      <c r="Z15" cm="1">
        <f t="array" ref="Z15">_xlfn.PERCENTRANK.EXC(_xlfn._xlws.FILTER(T$3:T$15, ISNUMBER(T$3:T$15)),T15)*100</f>
        <v>71.399999999999991</v>
      </c>
      <c r="AA15" cm="1">
        <f t="array" ref="AA15">_xlfn.PERCENTRANK.EXC(_xlfn._xlws.FILTER(P$3:P$15, ISNUMBER(P$3:P$15)),P15)*100</f>
        <v>14.2</v>
      </c>
      <c r="AB15">
        <f>U15*[1]Assumption!$E$39 + V15*[1]Assumption!$F$39 + X15*[1]Assumption!$G$39 + Y15*[1]Assumption!$H$39 + W15*[1]Assumption!$I$39 +Z15* [1]Assumption!$K$39 + AA15* [1]Assumption!$J$39</f>
        <v>71.09</v>
      </c>
      <c r="AC15" cm="1">
        <f t="array" ref="AC15">_xlfn.PERCENTRANK.EXC(_xlfn._xlws.FILTER(AB$3:AB$15, ISNUMBER(AB$3:AB$15)),AB15)*100</f>
        <v>78.5</v>
      </c>
    </row>
    <row r="16" spans="1:29" x14ac:dyDescent="0.3">
      <c r="F16" s="2"/>
      <c r="G16" s="4"/>
      <c r="H16" s="4"/>
      <c r="J16" s="58"/>
      <c r="K16" s="3"/>
    </row>
    <row r="17" spans="1:15" x14ac:dyDescent="0.3">
      <c r="F17" s="2"/>
      <c r="G17" s="4"/>
      <c r="H17" s="4"/>
      <c r="J17" s="58"/>
      <c r="K17" s="3"/>
    </row>
    <row r="18" spans="1:15" x14ac:dyDescent="0.3">
      <c r="A18" t="s">
        <v>213</v>
      </c>
      <c r="F18" s="2"/>
      <c r="G18" s="4"/>
      <c r="H18" s="4"/>
      <c r="J18" s="58"/>
      <c r="K18" s="3"/>
    </row>
    <row r="19" spans="1:15" x14ac:dyDescent="0.3">
      <c r="A19" t="s">
        <v>71</v>
      </c>
      <c r="B19" t="s">
        <v>214</v>
      </c>
      <c r="C19" t="s">
        <v>215</v>
      </c>
      <c r="D19" t="str">
        <f>A19</f>
        <v>VGK</v>
      </c>
      <c r="F19" s="2" cm="1">
        <f t="array" ref="F19">_xll.FDS(D19,"JULIAN(FMA_DIV_YLD(NTMA,NOW,NOW,M,""PORTAGG"",""MEANR"").dates)")</f>
        <v>45289</v>
      </c>
      <c r="G19" s="4" cm="1">
        <f t="array" ref="G19">_xll.FDS(D19,"FG_PE(0)")</f>
        <v>12.628456993981899</v>
      </c>
      <c r="H19" s="4" cm="1">
        <f t="array" ref="H19">_xll.FDS(D19,"FG_PE_NTM(0,,,90,0)")</f>
        <v>11.619872008447899</v>
      </c>
      <c r="I19" cm="1">
        <f t="array" ref="I19">_xll.FDS(D19,"FMA_DIV_YLD(NTMA,NOW,NOW,M,""PORTAGG"",""MEANR"")")</f>
        <v>3.6264177869997898</v>
      </c>
      <c r="J19" s="58" cm="1">
        <f t="array" ref="J19">_xll.FDS(D19,"FG_FCF_YIELD_NTM(0)")</f>
        <v>6.3456193754813102</v>
      </c>
      <c r="K19" s="3" cm="1">
        <f t="array" ref="K19">_xll.FDS(D19,"FMA_EVAL_EBITDA(NTMA,0,,,""PORTAGG"",""MEANR"")")</f>
        <v>8.0858929991218105</v>
      </c>
      <c r="L19" cm="1">
        <f t="array" ref="L19">_xll.FDS(D19,"FMA_EVAL_EBIT(LTMA,NOW,NOW,M,""PORTAGG"",""MEANR"")")</f>
        <v>12.816205115857301</v>
      </c>
    </row>
    <row r="20" spans="1:15" x14ac:dyDescent="0.3">
      <c r="A20" t="s">
        <v>4</v>
      </c>
      <c r="C20" t="s">
        <v>216</v>
      </c>
      <c r="D20" t="str">
        <f>A20</f>
        <v>VWO</v>
      </c>
      <c r="F20" s="2" cm="1">
        <f t="array" ref="F20">_xll.FDS(D20,"JULIAN(FMA_DIV_YLD(NTMA,NOW,NOW,M,""PORTAGG"",""MEANR"").dates)")</f>
        <v>45289</v>
      </c>
      <c r="G20" s="4" cm="1">
        <f t="array" ref="G20">_xll.FDS(D20,"FG_PE(0)")</f>
        <v>13.3668245835043</v>
      </c>
      <c r="H20" s="4" cm="1">
        <f t="array" ref="H20">_xll.FDS(D20,"FG_PE_NTM(0,,,90,0)")</f>
        <v>10.625924839519699</v>
      </c>
      <c r="I20" cm="1">
        <f t="array" ref="I20">_xll.FDS(D20,"FMA_DIV_YLD(NTMA,NOW,NOW,M,""PORTAGG"",""MEANR"")")</f>
        <v>3.05637582417096</v>
      </c>
      <c r="J20" s="76" cm="1">
        <f t="array" ref="J20">_xll.FDS(D20,"FG_FCF_YIELD_NTM(0)")</f>
        <v>6.6813361849907702</v>
      </c>
      <c r="K20" s="3" cm="1">
        <f t="array" ref="K20">_xll.FDS(D20,"FMA_EVAL_EBITDA(NTMA,0,,,""PORTAGG"",""MEANR"")")</f>
        <v>7.4738852844258803</v>
      </c>
      <c r="L20" cm="1">
        <f t="array" ref="L20">_xll.FDS(D20,"FMA_EVAL_EBIT(LTMA,NOW,NOW,M,""PORTAGG"",""MEANR"")")</f>
        <v>14.230512222929701</v>
      </c>
    </row>
    <row r="21" spans="1:15" x14ac:dyDescent="0.3">
      <c r="F21" s="2"/>
      <c r="G21" s="4"/>
      <c r="H21" s="4"/>
      <c r="J21" s="58"/>
      <c r="K21" s="3"/>
      <c r="O21" s="8">
        <f>1/H10</f>
        <v>3.810637345332115E-2</v>
      </c>
    </row>
    <row r="22" spans="1:15" x14ac:dyDescent="0.3">
      <c r="B22" t="s">
        <v>217</v>
      </c>
      <c r="C22" t="s">
        <v>72</v>
      </c>
      <c r="D22" t="s">
        <v>218</v>
      </c>
      <c r="F22" s="2"/>
      <c r="G22" s="4" t="s">
        <v>87</v>
      </c>
      <c r="H22" s="8">
        <f>1/H20</f>
        <v>9.4109455421783395E-2</v>
      </c>
      <c r="I22" s="27">
        <v>5.5199999999999999E-2</v>
      </c>
      <c r="J22" s="58"/>
      <c r="K22" s="3"/>
    </row>
    <row r="23" spans="1:15" x14ac:dyDescent="0.3">
      <c r="B23" t="s">
        <v>39</v>
      </c>
      <c r="C23" t="s">
        <v>86</v>
      </c>
      <c r="D23">
        <v>3</v>
      </c>
      <c r="G23" t="s">
        <v>231</v>
      </c>
      <c r="H23" s="8">
        <f>1/H10</f>
        <v>3.810637345332115E-2</v>
      </c>
      <c r="I23" s="27">
        <v>3.6499999999999998E-2</v>
      </c>
    </row>
    <row r="24" spans="1:15" x14ac:dyDescent="0.3">
      <c r="H24" s="8"/>
      <c r="I24" s="8"/>
      <c r="J24" s="8"/>
    </row>
    <row r="25" spans="1:15" x14ac:dyDescent="0.3">
      <c r="H25" s="8"/>
      <c r="I25" s="8"/>
    </row>
    <row r="27" spans="1:15" ht="15" thickBot="1" x14ac:dyDescent="0.35"/>
    <row r="28" spans="1:15" x14ac:dyDescent="0.3">
      <c r="D28" s="61"/>
      <c r="E28" s="62" t="s">
        <v>183</v>
      </c>
      <c r="F28" s="62" t="s">
        <v>184</v>
      </c>
      <c r="G28" s="62" t="s">
        <v>223</v>
      </c>
      <c r="H28" s="62" t="s">
        <v>185</v>
      </c>
      <c r="I28" s="62" t="s">
        <v>186</v>
      </c>
      <c r="J28" s="62"/>
      <c r="K28" s="63" t="s">
        <v>187</v>
      </c>
    </row>
    <row r="29" spans="1:15" x14ac:dyDescent="0.3">
      <c r="D29" s="29" t="s">
        <v>60</v>
      </c>
      <c r="E29" s="58">
        <f>J3</f>
        <v>1.0926101874095799</v>
      </c>
      <c r="F29" s="116">
        <v>-9.3828148339384354E-3</v>
      </c>
      <c r="G29" s="5"/>
      <c r="H29" s="8">
        <f>E29/100+F29</f>
        <v>1.5432870401573644E-3</v>
      </c>
      <c r="I29">
        <f t="shared" ref="I29:I41" si="4">N3</f>
        <v>4.6825999999999999</v>
      </c>
      <c r="K29" s="30">
        <f>H29-I29/100</f>
        <v>-4.5282712959842639E-2</v>
      </c>
    </row>
    <row r="30" spans="1:15" x14ac:dyDescent="0.3">
      <c r="D30" s="29" t="s">
        <v>11</v>
      </c>
      <c r="E30" s="58">
        <f t="shared" ref="E30:E41" si="5">J4</f>
        <v>4.6901038872193901</v>
      </c>
      <c r="F30" s="116">
        <v>1.118183823985186E-2</v>
      </c>
      <c r="G30" s="5"/>
      <c r="H30" s="8">
        <f t="shared" ref="H30:H41" si="6">E30/100+F30</f>
        <v>5.808287711204576E-2</v>
      </c>
      <c r="I30">
        <f t="shared" si="4"/>
        <v>4.2389999999999999</v>
      </c>
      <c r="K30" s="30">
        <f t="shared" ref="K30:K41" si="7">H30-I30/100</f>
        <v>1.5692877112045762E-2</v>
      </c>
    </row>
    <row r="31" spans="1:15" x14ac:dyDescent="0.3">
      <c r="D31" s="29" t="s">
        <v>14</v>
      </c>
      <c r="E31" s="58">
        <f t="shared" si="5"/>
        <v>5.2733971600377396</v>
      </c>
      <c r="F31" s="116">
        <v>4.0913730819901684E-2</v>
      </c>
      <c r="G31" s="5"/>
      <c r="H31" s="8">
        <f t="shared" si="6"/>
        <v>9.3647702420279089E-2</v>
      </c>
      <c r="I31">
        <f t="shared" si="4"/>
        <v>3.5358000000000001</v>
      </c>
      <c r="K31" s="30">
        <f t="shared" si="7"/>
        <v>5.8289702420279088E-2</v>
      </c>
    </row>
    <row r="32" spans="1:15" x14ac:dyDescent="0.3">
      <c r="D32" s="29" t="s">
        <v>6</v>
      </c>
      <c r="E32" s="58">
        <f t="shared" si="5"/>
        <v>6.5784434211682097</v>
      </c>
      <c r="F32" s="116">
        <v>2.8248150063170385E-2</v>
      </c>
      <c r="G32" s="5"/>
      <c r="H32" s="8">
        <f t="shared" si="6"/>
        <v>9.4032584274852477E-2</v>
      </c>
      <c r="I32">
        <f t="shared" si="4"/>
        <v>2.3090000000000002</v>
      </c>
      <c r="K32" s="30">
        <f t="shared" si="7"/>
        <v>7.0942584274852477E-2</v>
      </c>
    </row>
    <row r="33" spans="4:16" x14ac:dyDescent="0.3">
      <c r="D33" s="29" t="s">
        <v>12</v>
      </c>
      <c r="E33" s="58">
        <f t="shared" si="5"/>
        <v>4.1454667909148704</v>
      </c>
      <c r="F33" s="116">
        <v>2.4091746036149608E-2</v>
      </c>
      <c r="G33" s="5"/>
      <c r="H33" s="8">
        <f t="shared" si="6"/>
        <v>6.554641394529831E-2</v>
      </c>
      <c r="I33">
        <f t="shared" si="4"/>
        <v>0.71050000000000002</v>
      </c>
      <c r="K33" s="30">
        <f t="shared" si="7"/>
        <v>5.8441413945298309E-2</v>
      </c>
    </row>
    <row r="34" spans="4:16" x14ac:dyDescent="0.3">
      <c r="D34" s="29" t="s">
        <v>10</v>
      </c>
      <c r="E34" s="58">
        <f t="shared" si="5"/>
        <v>5.0162652072727001</v>
      </c>
      <c r="F34" s="116">
        <v>4.6568940112279522E-2</v>
      </c>
      <c r="G34" s="5"/>
      <c r="H34" s="8">
        <f t="shared" si="6"/>
        <v>9.6731592185006515E-2</v>
      </c>
      <c r="I34">
        <f t="shared" si="4"/>
        <v>0.89900000000000002</v>
      </c>
      <c r="K34" s="30">
        <f t="shared" si="7"/>
        <v>8.7741592185006517E-2</v>
      </c>
    </row>
    <row r="35" spans="4:16" x14ac:dyDescent="0.3">
      <c r="D35" s="29" t="s">
        <v>13</v>
      </c>
      <c r="E35" s="58">
        <f t="shared" si="5"/>
        <v>6.6832979988036101</v>
      </c>
      <c r="F35" s="116">
        <v>3.8222003323122866E-3</v>
      </c>
      <c r="G35" s="5"/>
      <c r="H35" s="8">
        <f t="shared" si="6"/>
        <v>7.0655180320348385E-2</v>
      </c>
      <c r="I35">
        <f t="shared" si="4"/>
        <v>3.988</v>
      </c>
      <c r="K35" s="30">
        <f t="shared" si="7"/>
        <v>3.0775180320348386E-2</v>
      </c>
    </row>
    <row r="36" spans="4:16" x14ac:dyDescent="0.3">
      <c r="D36" s="29" t="s">
        <v>15</v>
      </c>
      <c r="E36" s="58">
        <f t="shared" si="5"/>
        <v>3.6529856603407498</v>
      </c>
      <c r="F36" s="116">
        <v>0.12987102312694576</v>
      </c>
      <c r="G36" s="6">
        <v>0.95</v>
      </c>
      <c r="H36" s="8">
        <f t="shared" si="6"/>
        <v>0.16640087973035325</v>
      </c>
      <c r="I36">
        <f t="shared" si="4"/>
        <v>4.1470000000000002</v>
      </c>
      <c r="K36" s="30">
        <f t="shared" si="7"/>
        <v>0.12493087973035324</v>
      </c>
    </row>
    <row r="37" spans="4:16" x14ac:dyDescent="0.3">
      <c r="D37" s="29" t="s">
        <v>1</v>
      </c>
      <c r="E37" s="58">
        <f t="shared" si="5"/>
        <v>4.28524376148986</v>
      </c>
      <c r="F37" s="116">
        <v>5.9880207152647857E-2</v>
      </c>
      <c r="G37" s="6">
        <v>0.8</v>
      </c>
      <c r="H37" s="8">
        <f t="shared" si="6"/>
        <v>0.10273264476754645</v>
      </c>
      <c r="I37">
        <f t="shared" si="4"/>
        <v>4.1470000000000002</v>
      </c>
      <c r="K37" s="30">
        <f t="shared" si="7"/>
        <v>6.1262644767546455E-2</v>
      </c>
    </row>
    <row r="38" spans="4:16" x14ac:dyDescent="0.3">
      <c r="D38" s="29" t="s">
        <v>141</v>
      </c>
      <c r="E38" s="58">
        <f t="shared" si="5"/>
        <v>5.9276889937407402</v>
      </c>
      <c r="F38" s="116">
        <v>1.8532039012292278E-2</v>
      </c>
      <c r="G38" s="5"/>
      <c r="H38" s="8">
        <f t="shared" si="6"/>
        <v>7.7808928949699679E-2</v>
      </c>
      <c r="I38">
        <f t="shared" si="4"/>
        <v>2.7959999999999998</v>
      </c>
      <c r="K38" s="30">
        <f t="shared" si="7"/>
        <v>4.9848928949699681E-2</v>
      </c>
    </row>
    <row r="39" spans="4:16" x14ac:dyDescent="0.3">
      <c r="D39" s="29" t="s">
        <v>143</v>
      </c>
      <c r="E39" s="58">
        <f t="shared" si="5"/>
        <v>3.7272867929437101</v>
      </c>
      <c r="F39" s="116">
        <v>3.4784346207782146E-2</v>
      </c>
      <c r="G39" s="5"/>
      <c r="H39" s="8">
        <f t="shared" si="6"/>
        <v>7.2057214137219244E-2</v>
      </c>
      <c r="I39">
        <f t="shared" si="4"/>
        <v>2.5830000000000002</v>
      </c>
      <c r="K39" s="30">
        <f t="shared" si="7"/>
        <v>4.6227214137219239E-2</v>
      </c>
    </row>
    <row r="40" spans="4:16" x14ac:dyDescent="0.3">
      <c r="D40" s="29" t="s">
        <v>140</v>
      </c>
      <c r="E40" s="58">
        <f t="shared" si="5"/>
        <v>5.4848401681132701</v>
      </c>
      <c r="F40" s="116">
        <v>2.430496240599922E-2</v>
      </c>
      <c r="G40" s="5"/>
      <c r="H40" s="8">
        <f t="shared" si="6"/>
        <v>7.9153364087131917E-2</v>
      </c>
      <c r="I40">
        <f t="shared" si="4"/>
        <v>2.3029999999999999</v>
      </c>
      <c r="K40" s="30">
        <f t="shared" si="7"/>
        <v>5.6123364087131922E-2</v>
      </c>
    </row>
    <row r="41" spans="4:16" ht="15" thickBot="1" x14ac:dyDescent="0.35">
      <c r="D41" s="11" t="s">
        <v>142</v>
      </c>
      <c r="E41" s="65">
        <f t="shared" si="5"/>
        <v>6.5148218490508301</v>
      </c>
      <c r="F41" s="117">
        <v>9.2744046638129074E-3</v>
      </c>
      <c r="G41" s="13"/>
      <c r="H41" s="8">
        <f t="shared" si="6"/>
        <v>7.4422623154321202E-2</v>
      </c>
      <c r="I41" s="12">
        <f t="shared" si="4"/>
        <v>3.8340000000000001</v>
      </c>
      <c r="J41" s="12"/>
      <c r="K41" s="31">
        <f t="shared" si="7"/>
        <v>3.6082623154321203E-2</v>
      </c>
    </row>
    <row r="42" spans="4:16" x14ac:dyDescent="0.3">
      <c r="G42" s="5"/>
    </row>
    <row r="45" spans="4:16" x14ac:dyDescent="0.3">
      <c r="D45" s="1"/>
      <c r="E45" s="1"/>
    </row>
    <row r="48" spans="4:16" x14ac:dyDescent="0.3">
      <c r="P48" s="8"/>
    </row>
    <row r="50" spans="4:16" x14ac:dyDescent="0.3">
      <c r="D50" s="1"/>
      <c r="E50" s="1"/>
      <c r="F50" s="1" t="s">
        <v>189</v>
      </c>
      <c r="G50" s="1" t="s">
        <v>220</v>
      </c>
      <c r="H50" s="1" t="s">
        <v>193</v>
      </c>
      <c r="I50" s="1" t="s">
        <v>221</v>
      </c>
      <c r="J50" s="1" t="s">
        <v>222</v>
      </c>
      <c r="P50" s="8"/>
    </row>
    <row r="51" spans="4:16" x14ac:dyDescent="0.3">
      <c r="D51" s="1"/>
      <c r="E51" s="1"/>
      <c r="F51" t="s">
        <v>15</v>
      </c>
      <c r="G51" s="27">
        <v>3.9E-2</v>
      </c>
      <c r="H51" s="27">
        <v>3.7499999999999999E-2</v>
      </c>
      <c r="I51" s="8">
        <f>H51/G51</f>
        <v>0.96153846153846145</v>
      </c>
    </row>
    <row r="52" spans="4:16" x14ac:dyDescent="0.3">
      <c r="P52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067DD-ACC0-45BB-A03A-640C15DA2138}">
  <dimension ref="A2:AC42"/>
  <sheetViews>
    <sheetView workbookViewId="0">
      <selection activeCell="G39" sqref="G39"/>
    </sheetView>
  </sheetViews>
  <sheetFormatPr defaultRowHeight="14.4" x14ac:dyDescent="0.3"/>
  <cols>
    <col min="1" max="1" width="12" customWidth="1"/>
    <col min="2" max="2" width="15" bestFit="1" customWidth="1"/>
    <col min="3" max="3" width="41.44140625" customWidth="1"/>
    <col min="4" max="4" width="15.44140625" customWidth="1"/>
    <col min="5" max="5" width="18.109375" bestFit="1" customWidth="1"/>
    <col min="6" max="6" width="12.6640625" customWidth="1"/>
    <col min="7" max="7" width="17.109375" customWidth="1"/>
    <col min="8" max="8" width="16.33203125" customWidth="1"/>
    <col min="9" max="9" width="12.109375" customWidth="1"/>
    <col min="10" max="10" width="14.6640625" customWidth="1"/>
    <col min="11" max="11" width="13" customWidth="1"/>
    <col min="12" max="12" width="8.6640625" customWidth="1"/>
    <col min="14" max="15" width="10.5546875" customWidth="1"/>
    <col min="16" max="16" width="15" customWidth="1"/>
    <col min="17" max="17" width="12.44140625" customWidth="1"/>
    <col min="18" max="20" width="13.33203125" customWidth="1"/>
    <col min="21" max="21" width="14" customWidth="1"/>
    <col min="22" max="22" width="16.33203125" customWidth="1"/>
    <col min="23" max="23" width="14.6640625" customWidth="1"/>
    <col min="24" max="24" width="14.33203125" customWidth="1"/>
    <col min="25" max="25" width="11.6640625" customWidth="1"/>
    <col min="26" max="26" width="14.6640625" customWidth="1"/>
    <col min="27" max="28" width="11.6640625" customWidth="1"/>
  </cols>
  <sheetData>
    <row r="2" spans="1:29" ht="43.2" x14ac:dyDescent="0.3">
      <c r="B2" t="s">
        <v>188</v>
      </c>
      <c r="D2" s="33" t="s">
        <v>0</v>
      </c>
      <c r="E2" s="33" t="s">
        <v>189</v>
      </c>
      <c r="F2" s="33"/>
      <c r="G2" s="33" t="s">
        <v>190</v>
      </c>
      <c r="H2" s="33" t="s">
        <v>191</v>
      </c>
      <c r="I2" s="33" t="s">
        <v>192</v>
      </c>
      <c r="J2" s="33" t="s">
        <v>193</v>
      </c>
      <c r="K2" s="33" t="s">
        <v>194</v>
      </c>
      <c r="L2" s="33" t="s">
        <v>195</v>
      </c>
      <c r="M2" s="33" t="s">
        <v>196</v>
      </c>
      <c r="N2" s="33" t="s">
        <v>197</v>
      </c>
      <c r="O2" s="33" t="s">
        <v>198</v>
      </c>
      <c r="P2" s="33" t="s">
        <v>199</v>
      </c>
      <c r="Q2" s="33" t="s">
        <v>200</v>
      </c>
      <c r="R2" s="33" t="s">
        <v>201</v>
      </c>
      <c r="S2" s="33" t="s">
        <v>202</v>
      </c>
      <c r="T2" s="33" t="s">
        <v>203</v>
      </c>
      <c r="U2" s="33" t="s">
        <v>204</v>
      </c>
      <c r="V2" s="33" t="s">
        <v>205</v>
      </c>
      <c r="W2" s="33" t="s">
        <v>206</v>
      </c>
      <c r="X2" s="33" t="s">
        <v>207</v>
      </c>
      <c r="Y2" s="33" t="s">
        <v>208</v>
      </c>
      <c r="Z2" s="33" t="s">
        <v>209</v>
      </c>
      <c r="AA2" s="59" t="s">
        <v>210</v>
      </c>
      <c r="AB2" s="33" t="s">
        <v>211</v>
      </c>
      <c r="AC2" s="33" t="s">
        <v>212</v>
      </c>
    </row>
    <row r="3" spans="1:29" x14ac:dyDescent="0.3">
      <c r="A3" t="s">
        <v>9</v>
      </c>
      <c r="B3" t="s">
        <v>41</v>
      </c>
      <c r="C3" t="str" cm="1">
        <f t="array" ref="C3">_xll.FDS(A3,"FG_COMPANY_NAME")</f>
        <v>iShares MSCI India ETF</v>
      </c>
      <c r="D3" t="s">
        <v>9</v>
      </c>
      <c r="F3" s="2" cm="1">
        <f t="array" ref="F3">_xll.FDS(D3,"JULIAN(FMA_DIV_YLD(NTMA,NOW,NOW,M,""PORTAGG"",""MEANR"").dates)")</f>
        <v>45322</v>
      </c>
      <c r="G3" s="4" cm="1">
        <f t="array" ref="G3">_xll.FDS(D3,"FG_PE(0)")</f>
        <v>25.184047994358401</v>
      </c>
      <c r="H3" s="4" cm="1">
        <f t="array" ref="H3">_xll.FDS(D3,"FG_PE_NTM(0,,,90,0)")</f>
        <v>22.437204141618501</v>
      </c>
      <c r="I3" cm="1">
        <f t="array" ref="I3">_xll.FDS(D3,"FMA_DIV_YLD(NTMA,NOW,NOW,M,""PORTAGG"",""MEANR"")")</f>
        <v>1.3766339911916601</v>
      </c>
      <c r="J3" s="58" cm="1">
        <f t="array" ref="J3">IFERROR(_xll.FDS(D3,"FG_FCF_YIELD_NTM(0)"),(1/G3*100))</f>
        <v>2.8583201253747399</v>
      </c>
      <c r="K3" s="3" cm="1">
        <f t="array" ref="K3">_xll.FDS(D3,"FMA_EVAL_EBITDA(NTMA,0,,,""PORTAGG"",""MEANR"")")</f>
        <v>14.929224440833501</v>
      </c>
      <c r="L3" cm="1">
        <f t="array" ref="L3">_xll.FDS(D3,"FMA_EVAL_EBIT(LTMA,NOW,NOW,M,""PORTAGG"",""MEANR"")")</f>
        <v>22.602439764754799</v>
      </c>
      <c r="M3" t="e">
        <f>HLOOKUP(D3,'[1]Index ROE'!$A$1:$N$25,25,FALSE)</f>
        <v>#N/A</v>
      </c>
      <c r="N3" t="e">
        <f>VLOOKUP(A3,'[1]LIQIDITY 2'!$A$3:$E$16,5,FALSE)</f>
        <v>#N/A</v>
      </c>
      <c r="O3" cm="1">
        <f t="array" ref="O3">IFERROR(_xll.FDS(B3,"FDS_ECON_RCPI_Q(0)"),$D$23)</f>
        <v>4.6770573000000004</v>
      </c>
      <c r="P3" t="e">
        <f>VLOOKUP(E3,[1]GDP_GROWTH!$B$10:$W$165,22,FALSE)</f>
        <v>#N/A</v>
      </c>
      <c r="Q3" t="e">
        <f t="shared" ref="Q3:Q5" si="0">I3-N3</f>
        <v>#N/A</v>
      </c>
      <c r="R3" s="58" t="e">
        <f t="shared" ref="R3:R5" si="1">J3-N3</f>
        <v>#N/A</v>
      </c>
      <c r="S3" t="e">
        <f t="shared" ref="S3:S5" si="2">M3-N3</f>
        <v>#N/A</v>
      </c>
      <c r="T3" t="e">
        <f t="shared" ref="T3:T5" si="3">M3-O3</f>
        <v>#N/A</v>
      </c>
      <c r="U3" t="e" cm="1" vm="1">
        <f t="array" ref="U3">_xlfn.PERCENTRANK.EXC(_xlfn._xlws.FILTER(Q$3:Q$15, ISNUMBER(Q$3:Q$15)),Q3)*100</f>
        <v>#VALUE!</v>
      </c>
      <c r="V3" t="e" cm="1" vm="1">
        <f t="array" ref="V3">_xlfn.PERCENTRANK.EXC(_xlfn._xlws.FILTER(R$3:R$15, ISNUMBER(R$3:R$15)),R3)*100</f>
        <v>#VALUE!</v>
      </c>
      <c r="W3" t="e" cm="1" vm="1">
        <f t="array" ref="W3">_xlfn.PERCENTRANK.EXC(_xlfn._xlws.FILTER(S$3:S$15, ISNUMBER(S$3:S$15)),S3)*100</f>
        <v>#VALUE!</v>
      </c>
      <c r="X3" cm="1">
        <f t="array" ref="X3">(1-_xlfn.PERCENTRANK.EXC(_xlfn._xlws.FILTER(G$3:G$15, ISNUMBER(G$3:G$15)),G3))*100</f>
        <v>25</v>
      </c>
      <c r="Y3" cm="1">
        <f t="array" ref="Y3">(1-_xlfn.PERCENTRANK.EXC(_xlfn._xlws.FILTER(H$3:H$15, ISNUMBER(H$3:H$15)),H3))*100</f>
        <v>25</v>
      </c>
      <c r="Z3" t="e" cm="1" vm="1">
        <f t="array" ref="Z3">_xlfn.PERCENTRANK.EXC(_xlfn._xlws.FILTER(T$3:T$15, ISNUMBER(T$3:T$15)),T3)*100</f>
        <v>#VALUE!</v>
      </c>
      <c r="AA3" t="e" cm="1" vm="1">
        <f t="array" ref="AA3">_xlfn.PERCENTRANK.EXC(_xlfn._xlws.FILTER(P$3:P$15, ISNUMBER(P$3:P$15)),P3)*100</f>
        <v>#VALUE!</v>
      </c>
      <c r="AB3" t="e" vm="2">
        <f>U3*[1]Assumption!$E$39 + V3*[1]Assumption!$F$39 + X3*[1]Assumption!$G$39 + Y3*[1]Assumption!$H$39 + W3*[1]Assumption!$I$39 +Z3* [1]Assumption!$K$39 + AA3* [1]Assumption!$J$39</f>
        <v>#VALUE!</v>
      </c>
      <c r="AC3" t="e" cm="1" vm="1">
        <f t="array" ref="AC3">_xlfn.PERCENTRANK.EXC(_xlfn._xlws.FILTER(AB$3:AB$15, ISNUMBER(AB$3:AB$15)),AB3)*100</f>
        <v>#VALUE!</v>
      </c>
    </row>
    <row r="4" spans="1:29" x14ac:dyDescent="0.3">
      <c r="A4" t="s">
        <v>4</v>
      </c>
      <c r="B4" t="s">
        <v>40</v>
      </c>
      <c r="C4" t="str" cm="1">
        <f t="array" ref="C4">_xll.FDS(A4,"FG_COMPANY_NAME")</f>
        <v>Vanguard FTSE Emerging Markets ETF</v>
      </c>
      <c r="D4" t="s">
        <v>4</v>
      </c>
      <c r="F4" s="2" cm="1">
        <f t="array" ref="F4">_xll.FDS(D4,"JULIAN(FMA_DIV_YLD(NTMA,NOW,NOW,M,""PORTAGG"",""MEANR"").dates)")</f>
        <v>45289</v>
      </c>
      <c r="G4" s="4" cm="1">
        <f t="array" ref="G4">_xll.FDS(D4,"FG_PE(0)")</f>
        <v>13.3668245835043</v>
      </c>
      <c r="H4" s="4" cm="1">
        <f t="array" ref="H4">_xll.FDS(D4,"FG_PE_NTM(0,,,90,0)")</f>
        <v>10.625924839519699</v>
      </c>
      <c r="I4" cm="1">
        <f t="array" ref="I4">_xll.FDS(D4,"FMA_DIV_YLD(NTMA,NOW,NOW,M,""PORTAGG"",""MEANR"")")</f>
        <v>3.05637582417096</v>
      </c>
      <c r="J4" s="58" cm="1">
        <f t="array" ref="J4">IFERROR(_xll.FDS(D4,"FG_FCF_YIELD_NTM(0)"),(1/G4*100))</f>
        <v>6.6813361849907702</v>
      </c>
      <c r="K4" s="3" cm="1">
        <f t="array" ref="K4">_xll.FDS(D4,"FMA_EVAL_EBITDA(NTMA,0,,,""PORTAGG"",""MEANR"")")</f>
        <v>7.4738852844258803</v>
      </c>
      <c r="L4" cm="1">
        <f t="array" ref="L4">_xll.FDS(D4,"FMA_EVAL_EBIT(LTMA,NOW,NOW,M,""PORTAGG"",""MEANR"")")</f>
        <v>14.230512222929701</v>
      </c>
      <c r="M4" t="e">
        <f>HLOOKUP(D4,'[1]Index ROE'!$A$1:$N$25,25,FALSE)</f>
        <v>#N/A</v>
      </c>
      <c r="N4" t="e">
        <f>VLOOKUP(A4,'[1]LIQIDITY 2'!$A$3:$E$16,5,FALSE)</f>
        <v>#N/A</v>
      </c>
      <c r="O4" cm="1">
        <f t="array" ref="O4">IFERROR(_xll.FDS(B4,"FDS_ECON_RCPI_Q(0)"),$D$23)</f>
        <v>4.0519876000000004</v>
      </c>
      <c r="P4" t="e">
        <f>VLOOKUP(E4,[1]GDP_GROWTH!$B$10:$W$165,22,FALSE)</f>
        <v>#N/A</v>
      </c>
      <c r="Q4" t="e">
        <f t="shared" si="0"/>
        <v>#N/A</v>
      </c>
      <c r="R4" s="58" t="e">
        <f t="shared" si="1"/>
        <v>#N/A</v>
      </c>
      <c r="S4" t="e">
        <f t="shared" si="2"/>
        <v>#N/A</v>
      </c>
      <c r="T4" t="e">
        <f t="shared" si="3"/>
        <v>#N/A</v>
      </c>
      <c r="U4" t="e" cm="1" vm="1">
        <f t="array" ref="U4">_xlfn.PERCENTRANK.EXC(_xlfn._xlws.FILTER(Q$3:Q$15, ISNUMBER(Q$3:Q$15)),Q4)*100</f>
        <v>#VALUE!</v>
      </c>
      <c r="V4" t="e" cm="1" vm="1">
        <f t="array" ref="V4">_xlfn.PERCENTRANK.EXC(_xlfn._xlws.FILTER(R$3:R$15, ISNUMBER(R$3:R$15)),R4)*100</f>
        <v>#VALUE!</v>
      </c>
      <c r="W4" t="e" cm="1" vm="1">
        <f t="array" ref="W4">_xlfn.PERCENTRANK.EXC(_xlfn._xlws.FILTER(S$3:S$15, ISNUMBER(S$3:S$15)),S4)*100</f>
        <v>#VALUE!</v>
      </c>
      <c r="X4" cm="1">
        <f t="array" ref="X4">(1-_xlfn.PERCENTRANK.EXC(_xlfn._xlws.FILTER(G$3:G$15, ISNUMBER(G$3:G$15)),G4))*100</f>
        <v>50</v>
      </c>
      <c r="Y4" cm="1">
        <f t="array" ref="Y4">(1-_xlfn.PERCENTRANK.EXC(_xlfn._xlws.FILTER(H$3:H$15, ISNUMBER(H$3:H$15)),H4))*100</f>
        <v>50</v>
      </c>
      <c r="Z4" t="e" cm="1" vm="1">
        <f t="array" ref="Z4">_xlfn.PERCENTRANK.EXC(_xlfn._xlws.FILTER(T$3:T$15, ISNUMBER(T$3:T$15)),T4)*100</f>
        <v>#VALUE!</v>
      </c>
      <c r="AA4" t="e" cm="1" vm="1">
        <f t="array" ref="AA4">_xlfn.PERCENTRANK.EXC(_xlfn._xlws.FILTER(P$3:P$15, ISNUMBER(P$3:P$15)),P4)*100</f>
        <v>#VALUE!</v>
      </c>
      <c r="AB4" t="e" vm="2">
        <f>U4*[1]Assumption!$E$39 + V4*[1]Assumption!$F$39 + X4*[1]Assumption!$G$39 + Y4*[1]Assumption!$H$39 + W4*[1]Assumption!$I$39 +Z4* [1]Assumption!$K$39 + AA4* [1]Assumption!$J$39</f>
        <v>#VALUE!</v>
      </c>
      <c r="AC4" t="e" cm="1" vm="1">
        <f t="array" ref="AC4">_xlfn.PERCENTRANK.EXC(_xlfn._xlws.FILTER(AB$3:AB$15, ISNUMBER(AB$3:AB$15)),AB4)*100</f>
        <v>#VALUE!</v>
      </c>
    </row>
    <row r="5" spans="1:29" x14ac:dyDescent="0.3">
      <c r="A5" t="s">
        <v>153</v>
      </c>
      <c r="B5" t="s">
        <v>36</v>
      </c>
      <c r="C5" t="str" cm="1">
        <f t="array" ref="C5">_xll.FDS(A5,"FG_COMPANY_NAME")</f>
        <v>iShares China Large-Cap ETF</v>
      </c>
      <c r="D5" t="s">
        <v>153</v>
      </c>
      <c r="F5" s="2" cm="1">
        <f t="array" ref="F5">_xll.FDS(D5,"JULIAN(FMA_DIV_YLD(NTMA,NOW,NOW,M,""PORTAGG"",""MEANR"").dates)")</f>
        <v>45322</v>
      </c>
      <c r="G5" s="4" cm="1">
        <f t="array" ref="G5">_xll.FDS(D5,"FG_PE(0)")</f>
        <v>8.1952810578793205</v>
      </c>
      <c r="H5" s="4" cm="1">
        <f t="array" ref="H5">_xll.FDS(D5,"FG_PE_NTM(0,,,90,0)")</f>
        <v>6.7751575619777</v>
      </c>
      <c r="I5" cm="1">
        <f t="array" ref="I5">_xll.FDS(D5,"FMA_DIV_YLD(NTMA,NOW,NOW,M,""PORTAGG"",""MEANR"")")</f>
        <v>3.8621972803390898</v>
      </c>
      <c r="J5" s="58" cm="1">
        <f t="array" ref="J5">IFERROR(_xll.FDS(D5,"FG_FCF_YIELD_NTM(0)"),(1/G5*100))</f>
        <v>8.2737192825380106</v>
      </c>
      <c r="K5" s="3" cm="1">
        <f t="array" ref="K5">_xll.FDS(D5,"FMA_EVAL_EBITDA(NTMA,0,,,""PORTAGG"",""MEANR"")")</f>
        <v>6.9579373808574099</v>
      </c>
      <c r="L5" cm="1">
        <f t="array" ref="L5">_xll.FDS(D5,"FMA_EVAL_EBIT(LTMA,NOW,NOW,M,""PORTAGG"",""MEANR"")")</f>
        <v>10.5078240026369</v>
      </c>
      <c r="M5" t="e">
        <f>HLOOKUP(D5,'[1]Index ROE'!$A$1:$N$25,25,FALSE)</f>
        <v>#N/A</v>
      </c>
      <c r="N5" t="e">
        <f>VLOOKUP(A5,'[1]LIQIDITY 2'!$A$3:$E$16,5,FALSE)</f>
        <v>#N/A</v>
      </c>
      <c r="O5" cm="1">
        <f t="array" ref="O5">IFERROR(_xll.FDS(B5,"FDS_ECON_RCPI_Q(0)"),$D$23)</f>
        <v>3.1790657000000002</v>
      </c>
      <c r="P5" t="e">
        <f>VLOOKUP(E5,[1]GDP_GROWTH!$B$10:$W$165,22,FALSE)</f>
        <v>#N/A</v>
      </c>
      <c r="Q5" t="e">
        <f t="shared" si="0"/>
        <v>#N/A</v>
      </c>
      <c r="R5" s="58" t="e">
        <f t="shared" si="1"/>
        <v>#N/A</v>
      </c>
      <c r="S5" t="e">
        <f t="shared" si="2"/>
        <v>#N/A</v>
      </c>
      <c r="T5" t="e">
        <f t="shared" si="3"/>
        <v>#N/A</v>
      </c>
      <c r="U5" t="e" cm="1" vm="1">
        <f t="array" ref="U5">_xlfn.PERCENTRANK.EXC(_xlfn._xlws.FILTER(Q$3:Q$15, ISNUMBER(Q$3:Q$15)),Q5)*100</f>
        <v>#VALUE!</v>
      </c>
      <c r="V5" t="e" cm="1" vm="1">
        <f t="array" ref="V5">_xlfn.PERCENTRANK.EXC(_xlfn._xlws.FILTER(R$3:R$15, ISNUMBER(R$3:R$15)),R5)*100</f>
        <v>#VALUE!</v>
      </c>
      <c r="W5" t="e" cm="1" vm="1">
        <f t="array" ref="W5">_xlfn.PERCENTRANK.EXC(_xlfn._xlws.FILTER(S$3:S$15, ISNUMBER(S$3:S$15)),S5)*100</f>
        <v>#VALUE!</v>
      </c>
      <c r="X5" cm="1">
        <f t="array" ref="X5">(1-_xlfn.PERCENTRANK.EXC(_xlfn._xlws.FILTER(G$3:G$15, ISNUMBER(G$3:G$15)),G5))*100</f>
        <v>75</v>
      </c>
      <c r="Y5" cm="1">
        <f t="array" ref="Y5">(1-_xlfn.PERCENTRANK.EXC(_xlfn._xlws.FILTER(H$3:H$15, ISNUMBER(H$3:H$15)),H5))*100</f>
        <v>75</v>
      </c>
      <c r="Z5" t="e" cm="1" vm="1">
        <f t="array" ref="Z5">_xlfn.PERCENTRANK.EXC(_xlfn._xlws.FILTER(T$3:T$15, ISNUMBER(T$3:T$15)),T5)*100</f>
        <v>#VALUE!</v>
      </c>
      <c r="AA5" t="e" cm="1" vm="1">
        <f t="array" ref="AA5">_xlfn.PERCENTRANK.EXC(_xlfn._xlws.FILTER(P$3:P$15, ISNUMBER(P$3:P$15)),P5)*100</f>
        <v>#VALUE!</v>
      </c>
      <c r="AB5" t="e" vm="2">
        <f>U5*[1]Assumption!$E$39 + V5*[1]Assumption!$F$39 + X5*[1]Assumption!$G$39 + Y5*[1]Assumption!$H$39 + W5*[1]Assumption!$I$39 +Z5* [1]Assumption!$K$39 + AA5* [1]Assumption!$J$39</f>
        <v>#VALUE!</v>
      </c>
      <c r="AC5" t="e" cm="1" vm="1">
        <f t="array" ref="AC5">_xlfn.PERCENTRANK.EXC(_xlfn._xlws.FILTER(AB$3:AB$15, ISNUMBER(AB$3:AB$15)),AB5)*100</f>
        <v>#VALUE!</v>
      </c>
    </row>
    <row r="6" spans="1:29" x14ac:dyDescent="0.3">
      <c r="F6" s="2"/>
      <c r="G6" s="4"/>
      <c r="H6" s="4"/>
      <c r="J6" s="58"/>
      <c r="K6" s="3"/>
      <c r="R6" s="58"/>
    </row>
    <row r="7" spans="1:29" x14ac:dyDescent="0.3">
      <c r="F7" s="2"/>
      <c r="G7" s="4"/>
      <c r="H7" s="4"/>
      <c r="J7" s="58"/>
      <c r="K7" s="3"/>
      <c r="R7" s="58"/>
    </row>
    <row r="8" spans="1:29" x14ac:dyDescent="0.3">
      <c r="F8" s="2"/>
      <c r="G8" s="4"/>
      <c r="H8" s="4"/>
      <c r="J8" s="58"/>
      <c r="K8" s="3"/>
      <c r="R8" s="58"/>
    </row>
    <row r="9" spans="1:29" x14ac:dyDescent="0.3">
      <c r="F9" s="2"/>
      <c r="G9" s="4"/>
      <c r="H9" s="4"/>
      <c r="J9" s="58"/>
      <c r="K9" s="3"/>
      <c r="R9" s="58"/>
    </row>
    <row r="10" spans="1:29" x14ac:dyDescent="0.3">
      <c r="F10" s="2"/>
      <c r="G10" s="4"/>
      <c r="H10" s="4"/>
      <c r="J10" s="76"/>
      <c r="K10" s="3"/>
      <c r="R10" s="58"/>
    </row>
    <row r="11" spans="1:29" x14ac:dyDescent="0.3">
      <c r="F11" s="2"/>
      <c r="G11" s="4"/>
      <c r="H11" s="4"/>
      <c r="J11" s="76"/>
      <c r="K11" s="3"/>
      <c r="R11" s="58"/>
    </row>
    <row r="12" spans="1:29" x14ac:dyDescent="0.3">
      <c r="F12" s="2"/>
      <c r="G12" s="4"/>
      <c r="H12" s="4"/>
      <c r="J12" s="58"/>
      <c r="K12" s="3"/>
      <c r="R12" s="58"/>
    </row>
    <row r="13" spans="1:29" x14ac:dyDescent="0.3">
      <c r="F13" s="2"/>
      <c r="G13" s="4"/>
      <c r="H13" s="4"/>
      <c r="J13" s="58"/>
      <c r="K13" s="3"/>
      <c r="R13" s="58"/>
    </row>
    <row r="14" spans="1:29" x14ac:dyDescent="0.3">
      <c r="F14" s="2"/>
      <c r="G14" s="4"/>
      <c r="H14" s="4"/>
      <c r="J14" s="58"/>
      <c r="K14" s="3"/>
      <c r="R14" s="58"/>
    </row>
    <row r="15" spans="1:29" x14ac:dyDescent="0.3">
      <c r="F15" s="2"/>
      <c r="G15" s="4"/>
      <c r="H15" s="4"/>
      <c r="J15" s="58"/>
      <c r="K15" s="3"/>
      <c r="R15" s="58"/>
    </row>
    <row r="16" spans="1:29" x14ac:dyDescent="0.3">
      <c r="F16" s="2"/>
      <c r="G16" s="4"/>
      <c r="H16" s="4"/>
      <c r="J16" s="58"/>
      <c r="K16" s="3"/>
    </row>
    <row r="17" spans="1:15" x14ac:dyDescent="0.3">
      <c r="F17" s="2"/>
      <c r="G17" s="4"/>
      <c r="H17" s="4"/>
      <c r="J17" s="58"/>
      <c r="K17" s="3"/>
    </row>
    <row r="18" spans="1:15" x14ac:dyDescent="0.3">
      <c r="A18" t="s">
        <v>213</v>
      </c>
      <c r="F18" s="2"/>
      <c r="G18" s="4"/>
      <c r="H18" s="4"/>
      <c r="J18" s="58"/>
      <c r="K18" s="3"/>
    </row>
    <row r="19" spans="1:15" x14ac:dyDescent="0.3">
      <c r="A19" t="s">
        <v>71</v>
      </c>
      <c r="B19" t="s">
        <v>214</v>
      </c>
      <c r="C19" t="s">
        <v>215</v>
      </c>
      <c r="D19" t="str">
        <f>A19</f>
        <v>VGK</v>
      </c>
      <c r="F19" s="2" cm="1">
        <f t="array" ref="F19">_xll.FDS(D19,"JULIAN(FMA_DIV_YLD(NTMA,NOW,NOW,M,""PORTAGG"",""MEANR"").dates)")</f>
        <v>45289</v>
      </c>
      <c r="G19" s="4" cm="1">
        <f t="array" ref="G19">_xll.FDS(D19,"FG_PE(0)")</f>
        <v>12.628456993981899</v>
      </c>
      <c r="H19" s="4" cm="1">
        <f t="array" ref="H19">_xll.FDS(D19,"FG_PE_NTM(0,,,90,0)")</f>
        <v>11.619872008447899</v>
      </c>
      <c r="I19" cm="1">
        <f t="array" ref="I19">_xll.FDS(D19,"FMA_DIV_YLD(NTMA,NOW,NOW,M,""PORTAGG"",""MEANR"")")</f>
        <v>3.6264177869997898</v>
      </c>
      <c r="J19" s="58" cm="1">
        <f t="array" ref="J19">_xll.FDS(D19,"FG_FCF_YIELD_NTM(0)")</f>
        <v>6.3456193754813102</v>
      </c>
      <c r="K19" s="3" cm="1">
        <f t="array" ref="K19">_xll.FDS(D19,"FMA_EVAL_EBITDA(NTMA,0,,,""PORTAGG"",""MEANR"")")</f>
        <v>8.0858929991218105</v>
      </c>
      <c r="L19" cm="1">
        <f t="array" ref="L19">_xll.FDS(D19,"FMA_EVAL_EBIT(LTMA,NOW,NOW,M,""PORTAGG"",""MEANR"")")</f>
        <v>12.816205115857301</v>
      </c>
    </row>
    <row r="20" spans="1:15" x14ac:dyDescent="0.3">
      <c r="A20" t="s">
        <v>4</v>
      </c>
      <c r="C20" t="s">
        <v>216</v>
      </c>
      <c r="D20" t="str">
        <f>A20</f>
        <v>VWO</v>
      </c>
      <c r="F20" s="2" cm="1">
        <f t="array" ref="F20">_xll.FDS(D20,"JULIAN(FMA_DIV_YLD(NTMA,NOW,NOW,M,""PORTAGG"",""MEANR"").dates)")</f>
        <v>45289</v>
      </c>
      <c r="G20" s="4" cm="1">
        <f t="array" ref="G20">_xll.FDS(D20,"FG_PE(0)")</f>
        <v>13.3668245835043</v>
      </c>
      <c r="H20" s="4" cm="1">
        <f t="array" ref="H20">_xll.FDS(D20,"FG_PE_NTM(0,,,90,0)")</f>
        <v>10.625924839519699</v>
      </c>
      <c r="I20" cm="1">
        <f t="array" ref="I20">_xll.FDS(D20,"FMA_DIV_YLD(NTMA,NOW,NOW,M,""PORTAGG"",""MEANR"")")</f>
        <v>3.05637582417096</v>
      </c>
      <c r="J20" s="76" cm="1">
        <f t="array" ref="J20">_xll.FDS(D20,"FG_FCF_YIELD_NTM(0)")</f>
        <v>6.6813361849907702</v>
      </c>
      <c r="K20" s="3" cm="1">
        <f t="array" ref="K20">_xll.FDS(D20,"FMA_EVAL_EBITDA(NTMA,0,,,""PORTAGG"",""MEANR"")")</f>
        <v>7.4738852844258803</v>
      </c>
      <c r="L20" cm="1">
        <f t="array" ref="L20">_xll.FDS(D20,"FMA_EVAL_EBIT(LTMA,NOW,NOW,M,""PORTAGG"",""MEANR"")")</f>
        <v>14.230512222929701</v>
      </c>
    </row>
    <row r="21" spans="1:15" x14ac:dyDescent="0.3">
      <c r="F21" s="2"/>
      <c r="G21" s="4"/>
      <c r="H21" s="4"/>
      <c r="J21" s="58"/>
      <c r="K21" s="3"/>
      <c r="O21" s="8" t="e">
        <f>1/H10</f>
        <v>#DIV/0!</v>
      </c>
    </row>
    <row r="22" spans="1:15" x14ac:dyDescent="0.3">
      <c r="B22" t="s">
        <v>217</v>
      </c>
      <c r="C22" t="s">
        <v>72</v>
      </c>
      <c r="D22" t="s">
        <v>218</v>
      </c>
      <c r="F22" s="2"/>
      <c r="G22" s="4" t="s">
        <v>87</v>
      </c>
      <c r="H22" s="8">
        <f>1/H20</f>
        <v>9.4109455421783395E-2</v>
      </c>
      <c r="I22" s="27">
        <v>5.5199999999999999E-2</v>
      </c>
      <c r="J22" s="58"/>
      <c r="K22" s="3"/>
    </row>
    <row r="23" spans="1:15" x14ac:dyDescent="0.3">
      <c r="B23" t="s">
        <v>39</v>
      </c>
      <c r="C23" t="s">
        <v>86</v>
      </c>
      <c r="D23">
        <v>3</v>
      </c>
      <c r="G23" t="s">
        <v>231</v>
      </c>
      <c r="H23" s="8" t="e">
        <f>1/H10</f>
        <v>#DIV/0!</v>
      </c>
      <c r="I23" s="27">
        <v>3.6499999999999998E-2</v>
      </c>
    </row>
    <row r="24" spans="1:15" x14ac:dyDescent="0.3">
      <c r="H24" s="8"/>
      <c r="I24" s="8"/>
      <c r="J24" s="8"/>
    </row>
    <row r="25" spans="1:15" x14ac:dyDescent="0.3">
      <c r="H25" s="8"/>
      <c r="I25" s="8"/>
    </row>
    <row r="27" spans="1:15" ht="15" thickBot="1" x14ac:dyDescent="0.35"/>
    <row r="28" spans="1:15" x14ac:dyDescent="0.3">
      <c r="D28" s="61"/>
      <c r="E28" s="62" t="s">
        <v>183</v>
      </c>
      <c r="F28" t="s">
        <v>192</v>
      </c>
      <c r="G28" s="62" t="s">
        <v>184</v>
      </c>
      <c r="H28" s="62" t="s">
        <v>223</v>
      </c>
      <c r="I28" s="62" t="s">
        <v>185</v>
      </c>
      <c r="J28" s="62" t="s">
        <v>186</v>
      </c>
      <c r="K28" s="62"/>
      <c r="L28" s="63" t="s">
        <v>187</v>
      </c>
    </row>
    <row r="29" spans="1:15" x14ac:dyDescent="0.3">
      <c r="D29" s="29" t="s">
        <v>9</v>
      </c>
      <c r="E29" s="58">
        <f>J3</f>
        <v>2.8583201253747399</v>
      </c>
      <c r="F29">
        <f>I3</f>
        <v>1.3766339911916601</v>
      </c>
      <c r="G29" s="64">
        <v>7.0000000000000007E-2</v>
      </c>
      <c r="H29" s="5"/>
      <c r="I29" s="8">
        <f>F29/100+G29</f>
        <v>8.3766339911916607E-2</v>
      </c>
      <c r="J29">
        <f>'Gloval value '!I37</f>
        <v>4.1470000000000002</v>
      </c>
      <c r="L29" s="30">
        <f>I29-J29/100</f>
        <v>4.2296339911916607E-2</v>
      </c>
    </row>
    <row r="30" spans="1:15" x14ac:dyDescent="0.3">
      <c r="D30" s="29" t="s">
        <v>4</v>
      </c>
      <c r="E30" s="58">
        <f t="shared" ref="E30:E31" si="4">J4</f>
        <v>6.6813361849907702</v>
      </c>
      <c r="F30">
        <f>I4</f>
        <v>3.05637582417096</v>
      </c>
      <c r="G30" s="64">
        <v>0.05</v>
      </c>
      <c r="H30" s="5"/>
      <c r="I30" s="8">
        <f t="shared" ref="I30:I31" si="5">F30/100+G30</f>
        <v>8.056375824170961E-2</v>
      </c>
      <c r="J30">
        <f>J29</f>
        <v>4.1470000000000002</v>
      </c>
      <c r="L30" s="30">
        <f t="shared" ref="L30:L31" si="6">I30-J30/100</f>
        <v>3.909375824170961E-2</v>
      </c>
    </row>
    <row r="31" spans="1:15" x14ac:dyDescent="0.3">
      <c r="D31" s="29" t="s">
        <v>153</v>
      </c>
      <c r="E31" s="58">
        <f t="shared" si="4"/>
        <v>8.2737192825380106</v>
      </c>
      <c r="F31">
        <f>I5</f>
        <v>3.8621972803390898</v>
      </c>
      <c r="G31" s="64">
        <v>0.05</v>
      </c>
      <c r="H31" s="5"/>
      <c r="I31" s="8">
        <f t="shared" si="5"/>
        <v>8.8621972803390903E-2</v>
      </c>
      <c r="J31">
        <f>J30</f>
        <v>4.1470000000000002</v>
      </c>
      <c r="L31" s="30">
        <f t="shared" si="6"/>
        <v>4.7151972803390903E-2</v>
      </c>
    </row>
    <row r="32" spans="1:15" x14ac:dyDescent="0.3">
      <c r="G32" s="5"/>
    </row>
    <row r="35" spans="4:16" x14ac:dyDescent="0.3">
      <c r="D35" s="1"/>
      <c r="E35" s="1"/>
    </row>
    <row r="38" spans="4:16" x14ac:dyDescent="0.3">
      <c r="P38" s="8"/>
    </row>
    <row r="40" spans="4:16" x14ac:dyDescent="0.3">
      <c r="D40" s="1"/>
      <c r="E40" s="1"/>
      <c r="F40" s="1"/>
      <c r="G40" s="1"/>
      <c r="H40" s="1"/>
      <c r="I40" s="1"/>
      <c r="J40" s="1"/>
      <c r="P40" s="8"/>
    </row>
    <row r="41" spans="4:16" x14ac:dyDescent="0.3">
      <c r="D41" s="1"/>
      <c r="E41" s="1"/>
      <c r="G41" s="27"/>
      <c r="H41" s="27"/>
      <c r="I41" s="8"/>
    </row>
    <row r="42" spans="4:16" x14ac:dyDescent="0.3">
      <c r="P42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541B1-B2DC-4F04-8921-0E1C38F74C4C}">
  <dimension ref="A1:AC59"/>
  <sheetViews>
    <sheetView workbookViewId="0">
      <selection activeCell="E34" sqref="E34"/>
    </sheetView>
  </sheetViews>
  <sheetFormatPr defaultRowHeight="14.4" x14ac:dyDescent="0.3"/>
  <cols>
    <col min="1" max="1" width="12" customWidth="1"/>
    <col min="2" max="2" width="15" bestFit="1" customWidth="1"/>
    <col min="3" max="3" width="41.44140625" customWidth="1"/>
    <col min="4" max="4" width="15.44140625" customWidth="1"/>
    <col min="5" max="5" width="18.109375" customWidth="1"/>
    <col min="6" max="6" width="9.88671875" customWidth="1"/>
    <col min="7" max="7" width="7.5546875" customWidth="1"/>
    <col min="8" max="8" width="9.44140625" customWidth="1"/>
    <col min="9" max="9" width="8.5546875" customWidth="1"/>
    <col min="10" max="10" width="11" customWidth="1"/>
    <col min="11" max="11" width="12.88671875" customWidth="1"/>
    <col min="12" max="12" width="8.5546875" customWidth="1"/>
    <col min="14" max="15" width="10.5546875" customWidth="1"/>
    <col min="16" max="16" width="15" customWidth="1"/>
    <col min="17" max="17" width="12.44140625" customWidth="1"/>
    <col min="18" max="20" width="13.44140625" customWidth="1"/>
    <col min="21" max="21" width="14" customWidth="1"/>
    <col min="22" max="22" width="16.44140625" customWidth="1"/>
    <col min="23" max="23" width="14.5546875" customWidth="1"/>
    <col min="24" max="24" width="14.44140625" customWidth="1"/>
    <col min="25" max="25" width="11.5546875" customWidth="1"/>
    <col min="26" max="26" width="14.5546875" customWidth="1"/>
    <col min="27" max="28" width="11.5546875" customWidth="1"/>
  </cols>
  <sheetData>
    <row r="1" spans="1:29" x14ac:dyDescent="0.3">
      <c r="U1" s="5">
        <v>0.05</v>
      </c>
      <c r="V1" s="5">
        <v>0.25</v>
      </c>
      <c r="W1" s="5">
        <v>0.25</v>
      </c>
      <c r="X1" s="5">
        <v>0.25</v>
      </c>
      <c r="Y1" s="5">
        <v>0.1</v>
      </c>
      <c r="Z1" s="5">
        <v>0</v>
      </c>
      <c r="AA1" s="5">
        <v>0.1</v>
      </c>
    </row>
    <row r="2" spans="1:29" ht="50.25" customHeight="1" x14ac:dyDescent="0.3">
      <c r="B2" t="s">
        <v>188</v>
      </c>
      <c r="D2" s="33" t="s">
        <v>0</v>
      </c>
      <c r="E2" s="33" t="s">
        <v>189</v>
      </c>
      <c r="F2" s="33"/>
      <c r="G2" s="33" t="s">
        <v>190</v>
      </c>
      <c r="H2" s="33" t="s">
        <v>191</v>
      </c>
      <c r="I2" s="33" t="s">
        <v>192</v>
      </c>
      <c r="J2" s="33" t="s">
        <v>193</v>
      </c>
      <c r="K2" s="33" t="s">
        <v>194</v>
      </c>
      <c r="L2" s="33" t="s">
        <v>195</v>
      </c>
      <c r="M2" s="33" t="s">
        <v>196</v>
      </c>
      <c r="N2" s="33" t="s">
        <v>197</v>
      </c>
      <c r="O2" s="33" t="s">
        <v>198</v>
      </c>
      <c r="P2" s="33" t="s">
        <v>199</v>
      </c>
      <c r="Q2" s="33" t="s">
        <v>200</v>
      </c>
      <c r="R2" s="33" t="s">
        <v>201</v>
      </c>
      <c r="S2" s="33" t="s">
        <v>202</v>
      </c>
      <c r="T2" s="33" t="s">
        <v>203</v>
      </c>
      <c r="U2" s="33" t="s">
        <v>204</v>
      </c>
      <c r="V2" s="33" t="s">
        <v>205</v>
      </c>
      <c r="W2" s="33" t="s">
        <v>206</v>
      </c>
      <c r="X2" s="33" t="s">
        <v>207</v>
      </c>
      <c r="Y2" s="33" t="s">
        <v>208</v>
      </c>
      <c r="Z2" s="33" t="s">
        <v>209</v>
      </c>
      <c r="AA2" s="59" t="s">
        <v>210</v>
      </c>
      <c r="AB2" s="33" t="s">
        <v>211</v>
      </c>
      <c r="AC2" s="33" t="s">
        <v>212</v>
      </c>
    </row>
    <row r="3" spans="1:29" x14ac:dyDescent="0.3">
      <c r="A3" t="s">
        <v>232</v>
      </c>
      <c r="B3" t="s">
        <v>233</v>
      </c>
      <c r="C3" t="s">
        <v>234</v>
      </c>
      <c r="D3" t="s">
        <v>232</v>
      </c>
      <c r="E3" t="s">
        <v>76</v>
      </c>
      <c r="F3" s="2" cm="1">
        <f t="array" ref="F3">_xll.FDS(D3,"JULIAN(FMA_DIV_YLD(NTMA,NOW,NOW,M,""PORTAGG"",""MEANR"").dates)")</f>
        <v>45322</v>
      </c>
      <c r="G3" s="4" cm="1">
        <f t="array" ref="G3">_xll.FDS(D3,"FMA_PE(LTM,0,,,""PORTAGG"",""MEANR"")")</f>
        <v>13.6706985154962</v>
      </c>
      <c r="H3" s="4" cm="1">
        <f t="array" ref="H3">_xll.FDS(D3,"FMA_PE(NTMA,0,,,""PORTAGG"",""MEANR"")")</f>
        <v>11.0504621879473</v>
      </c>
      <c r="I3" cm="1">
        <f t="array" ref="I3">_xll.FDS(D3,"FMA_DIV_YLD(NTMA,NOW,NOW,M,""PORTAGG"",""MEANR"")")</f>
        <v>2.9857056932824699</v>
      </c>
      <c r="J3" s="58" cm="1">
        <f t="array" ref="J3">IFERROR(_xll.FDS(D3,"FG_FCF_YIELD_NTM(0)"),(1/G3*100))</f>
        <v>6.2242559301850102</v>
      </c>
      <c r="K3" s="3" cm="1">
        <f t="array" ref="K3">_xll.FDS(D3,"FMA_EVAL_EBITDA(NTMA,0,,,""PORTAGG"",""MEANR"")")</f>
        <v>9.2228424071442792</v>
      </c>
      <c r="L3" cm="1">
        <f t="array" ref="L3">_xll.FDS(D3,"FMA_EVAL_EBIT(LTMA,NOW,NOW,M,""PORTAGG"",""MEANR"")")</f>
        <v>15.1237223588244</v>
      </c>
      <c r="M3">
        <f>HLOOKUP(D3,'Index ROE'!$A$1:$V$25,25,FALSE)</f>
        <v>12.0461204621416</v>
      </c>
      <c r="N3">
        <f>VLOOKUP(A3,'LIQIDITY 2'!$A$3:$E$26,5,FALSE)</f>
        <v>2.4449000000000001</v>
      </c>
      <c r="O3" cm="1">
        <f t="array" ref="O3">IFERROR(_xll.FDS(B3,"IMF_IFS_RCPI_Q(0)"),$D$31)</f>
        <v>-0.32258100000000001</v>
      </c>
      <c r="P3">
        <f>VLOOKUP(E3,GDP_GROWTH!$B$10:$W$165,22,FALSE)</f>
        <v>5.6866931054303738</v>
      </c>
      <c r="Q3">
        <f t="shared" ref="Q3:Q23" si="0">I3-N3</f>
        <v>0.54080569328246986</v>
      </c>
      <c r="R3" s="58">
        <f t="shared" ref="R3:R23" si="1">J3-N3</f>
        <v>3.7793559301850101</v>
      </c>
      <c r="S3">
        <f t="shared" ref="S3:S23" si="2">M3-N3</f>
        <v>9.6012204621415993</v>
      </c>
      <c r="T3">
        <f>M3-O3</f>
        <v>12.368701462141599</v>
      </c>
      <c r="U3" cm="1">
        <f t="array" ref="U3">_xlfn.PERCENTRANK.EXC(_xlfn._xlws.FILTER(Q$3:Q$23, ISNUMBER(Q$3:Q$23)),Q3)*100</f>
        <v>72.7</v>
      </c>
      <c r="V3" cm="1">
        <f t="array" ref="V3">_xlfn.PERCENTRANK.EXC(_xlfn._xlws.FILTER(R$3:R$23, ISNUMBER(R$3:R$23)),R3)*100</f>
        <v>72.7</v>
      </c>
      <c r="W3" cm="1">
        <f t="array" ref="W3">_xlfn.PERCENTRANK.EXC(_xlfn._xlws.FILTER(S$3:S$23, ISNUMBER(S$3:S$23)),S3)*100</f>
        <v>86.3</v>
      </c>
      <c r="X3" cm="1">
        <f t="array" ref="X3">(1-_xlfn.PERCENTRANK.EXC(_xlfn._xlws.FILTER(G$3:G$23, ISNUMBER(G$3:G$23)),G3))*100</f>
        <v>45.499999999999993</v>
      </c>
      <c r="Y3" cm="1">
        <f t="array" ref="Y3">(1-_xlfn.PERCENTRANK.EXC(_xlfn._xlws.FILTER(H$3:H$23, ISNUMBER(H$3:H$23)),H3))*100</f>
        <v>45.499999999999993</v>
      </c>
      <c r="Z3" cm="1">
        <f t="array" ref="Z3">_xlfn.PERCENTRANK.EXC(_xlfn._xlws.FILTER(T$3:T$23, ISNUMBER(T$3:T$23)),T3)*100</f>
        <v>86.3</v>
      </c>
      <c r="AA3" cm="1">
        <f t="array" ref="AA3">_xlfn.PERCENTRANK.EXC(_xlfn._xlws.FILTER(P$3:P$23, ISNUMBER(P$3:P$23)),P3)*100</f>
        <v>86.3</v>
      </c>
      <c r="AB3">
        <f>SUMPRODUCT($U$1:$AA$1,U3:AA3)</f>
        <v>67.94</v>
      </c>
      <c r="AC3" cm="1">
        <f t="array" ref="AC3">_xlfn.PERCENTRANK.EXC(_xlfn._xlws.FILTER(AB$3:AB$23, ISNUMBER(AB$3:AB$23)),AB3)*100</f>
        <v>81.8</v>
      </c>
    </row>
    <row r="4" spans="1:29" x14ac:dyDescent="0.3">
      <c r="A4" t="s">
        <v>235</v>
      </c>
      <c r="B4" t="s">
        <v>236</v>
      </c>
      <c r="C4" t="s">
        <v>237</v>
      </c>
      <c r="D4" t="s">
        <v>235</v>
      </c>
      <c r="E4" t="s">
        <v>238</v>
      </c>
      <c r="F4" s="2" cm="1">
        <f t="array" ref="F4">_xll.FDS(D4,"JULIAN(FMA_DIV_YLD(NTMA,NOW,NOW,M,""PORTAGG"",""MEANR"").dates)")</f>
        <v>45322</v>
      </c>
      <c r="G4" s="4" cm="1">
        <f t="array" ref="G4">_xll.FDS(D4,"FMA_PE(LTM,0,,,""PORTAGG"",""MEANR"")")</f>
        <v>7.5101740212444303</v>
      </c>
      <c r="H4" s="4" cm="1">
        <f t="array" ref="H4">_xll.FDS(D4,"FMA_PE(NTMA,0,,,""PORTAGG"",""MEANR"")")</f>
        <v>8.0089827873617008</v>
      </c>
      <c r="I4" cm="1">
        <f t="array" ref="I4">_xll.FDS(D4,"FMA_DIV_YLD(NTMA,NOW,NOW,M,""PORTAGG"",""MEANR"")")</f>
        <v>6.7805560296194596</v>
      </c>
      <c r="J4" s="58" cm="1">
        <f t="array" ref="J4">IFERROR(_xll.FDS(D4,"FG_FCF_YIELD_NTM(0)"),(1/G4*100))</f>
        <v>9.0790543752605899</v>
      </c>
      <c r="K4" s="3" cm="1">
        <f t="array" ref="K4">_xll.FDS(D4,"FMA_EVAL_EBITDA(NTMA,0,,,""PORTAGG"",""MEANR"")")</f>
        <v>6.2504375495478799</v>
      </c>
      <c r="L4" cm="1">
        <f t="array" ref="L4">_xll.FDS(D4,"FMA_EVAL_EBIT(LTMA,NOW,NOW,M,""PORTAGG"",""MEANR"")")</f>
        <v>9.7708377320368598</v>
      </c>
      <c r="M4">
        <f>HLOOKUP(D4,'Index ROE'!$A$1:$V$25,25,FALSE)</f>
        <v>13.805506634060601</v>
      </c>
      <c r="N4">
        <f>VLOOKUP(A4,'LIQIDITY 2'!$A$3:$E$26,5,FALSE)</f>
        <v>2.3009455000000001</v>
      </c>
      <c r="O4" cm="1">
        <f t="array" ref="O4">IFERROR(_xll.FDS(B4,"IMF_IFS_RCPI_Q(0)"),$D$31)</f>
        <v>4.5860630000000002</v>
      </c>
      <c r="P4">
        <f>VLOOKUP(E4,GDP_GROWTH!$B$10:$W$165,22,FALSE)</f>
        <v>2.8445276358834981</v>
      </c>
      <c r="Q4">
        <f t="shared" si="0"/>
        <v>4.4796105296194595</v>
      </c>
      <c r="R4" s="58">
        <f t="shared" si="1"/>
        <v>6.7781088752605898</v>
      </c>
      <c r="S4">
        <f t="shared" si="2"/>
        <v>11.504561134060602</v>
      </c>
      <c r="T4">
        <f t="shared" ref="T4:T23" si="3">M4-O4</f>
        <v>9.2194436340605996</v>
      </c>
      <c r="U4" cm="1">
        <f t="array" ref="U4">_xlfn.PERCENTRANK.EXC(_xlfn._xlws.FILTER(Q$3:Q$23, ISNUMBER(Q$3:Q$23)),Q4)*100</f>
        <v>95.399999999999991</v>
      </c>
      <c r="V4" cm="1">
        <f t="array" ref="V4">_xlfn.PERCENTRANK.EXC(_xlfn._xlws.FILTER(R$3:R$23, ISNUMBER(R$3:R$23)),R4)*100</f>
        <v>95.399999999999991</v>
      </c>
      <c r="W4" cm="1">
        <f t="array" ref="W4">_xlfn.PERCENTRANK.EXC(_xlfn._xlws.FILTER(S$3:S$23, ISNUMBER(S$3:S$23)),S4)*100</f>
        <v>95.399999999999991</v>
      </c>
      <c r="X4" cm="1">
        <f t="array" ref="X4">(1-_xlfn.PERCENTRANK.EXC(_xlfn._xlws.FILTER(G$3:G$23, ISNUMBER(G$3:G$23)),G4))*100</f>
        <v>81.899999999999991</v>
      </c>
      <c r="Y4" cm="1">
        <f t="array" ref="Y4">(1-_xlfn.PERCENTRANK.EXC(_xlfn._xlws.FILTER(H$3:H$23, ISNUMBER(H$3:H$23)),H4))*100</f>
        <v>81.899999999999991</v>
      </c>
      <c r="Z4" cm="1">
        <f t="array" ref="Z4">_xlfn.PERCENTRANK.EXC(_xlfn._xlws.FILTER(T$3:T$23, ISNUMBER(T$3:T$23)),T4)*100</f>
        <v>54.500000000000007</v>
      </c>
      <c r="AA4" cm="1">
        <f t="array" ref="AA4">_xlfn.PERCENTRANK.EXC(_xlfn._xlws.FILTER(P$3:P$23, ISNUMBER(P$3:P$23)),P4)*100</f>
        <v>50</v>
      </c>
      <c r="AB4">
        <f t="shared" ref="AB4:AB23" si="4">SUMPRODUCT($U$1:$AA$1,U4:AA4)</f>
        <v>86.134999999999991</v>
      </c>
      <c r="AC4" cm="1">
        <f t="array" ref="AC4">_xlfn.PERCENTRANK.EXC(_xlfn._xlws.FILTER(AB$3:AB$23, ISNUMBER(AB$3:AB$23)),AB4)*100</f>
        <v>95.399999999999991</v>
      </c>
    </row>
    <row r="5" spans="1:29" x14ac:dyDescent="0.3">
      <c r="A5" t="s">
        <v>239</v>
      </c>
      <c r="B5" t="s">
        <v>240</v>
      </c>
      <c r="C5" t="s">
        <v>241</v>
      </c>
      <c r="D5" t="s">
        <v>239</v>
      </c>
      <c r="E5" t="s">
        <v>242</v>
      </c>
      <c r="F5" s="2" cm="1">
        <f t="array" ref="F5">_xll.FDS(D5,"JULIAN(FMA_DIV_YLD(NTMA,NOW,NOW,M,""PORTAGG"",""MEANR"").dates)")</f>
        <v>45322</v>
      </c>
      <c r="G5" s="4" cm="1">
        <f t="array" ref="G5">_xll.FDS(D5,"FMA_PE(LTM,0,,,""PORTAGG"",""MEANR"")")</f>
        <v>14.5609086650012</v>
      </c>
      <c r="H5" s="4" cm="1">
        <f t="array" ref="H5">_xll.FDS(D5,"FMA_PE(NTMA,0,,,""PORTAGG"",""MEANR"")")</f>
        <v>12.9193203964769</v>
      </c>
      <c r="I5" cm="1">
        <f t="array" ref="I5">_xll.FDS(D5,"FMA_DIV_YLD(NTMA,NOW,NOW,M,""PORTAGG"",""MEANR"")")</f>
        <v>4.1563859592551404</v>
      </c>
      <c r="J5" s="58" cm="1">
        <f t="array" ref="J5">IFERROR(_xll.FDS(D5,"FG_FCF_YIELD_NTM(0)"),(1/G5*100))</f>
        <v>8.3741607455796903</v>
      </c>
      <c r="K5" s="3" cm="1">
        <f t="array" ref="K5">_xll.FDS(D5,"FMA_EVAL_EBITDA(NTMA,0,,,""PORTAGG"",""MEANR"")")</f>
        <v>6.2912628219834401</v>
      </c>
      <c r="L5" cm="1">
        <f t="array" ref="L5">_xll.FDS(D5,"FMA_EVAL_EBIT(LTMA,NOW,NOW,M,""PORTAGG"",""MEANR"")")</f>
        <v>9.6108108032955801</v>
      </c>
      <c r="M5">
        <f>HLOOKUP(D5,'Index ROE'!$A$1:$V$25,25,FALSE)</f>
        <v>14.0315214518572</v>
      </c>
      <c r="N5">
        <f>VLOOKUP(A5,'LIQIDITY 2'!$A$3:$E$26,5,FALSE)</f>
        <v>6.6256620000000002</v>
      </c>
      <c r="O5" cm="1">
        <f t="array" ref="O5">IFERROR(_xll.FDS(B5,"IMF_IFS_RCPI_Q(0)"),$D$31)</f>
        <v>2.6812450000000001</v>
      </c>
      <c r="P5">
        <f>VLOOKUP(E5,GDP_GROWTH!$B$10:$W$165,22,FALSE)</f>
        <v>3.8153657829076093</v>
      </c>
      <c r="Q5">
        <f t="shared" si="0"/>
        <v>-2.4692760407448597</v>
      </c>
      <c r="R5" s="58">
        <f t="shared" si="1"/>
        <v>1.7484987455796901</v>
      </c>
      <c r="S5">
        <f t="shared" si="2"/>
        <v>7.4058594518572001</v>
      </c>
      <c r="T5">
        <f t="shared" si="3"/>
        <v>11.3502764518572</v>
      </c>
      <c r="U5" cm="1">
        <f t="array" ref="U5">_xlfn.PERCENTRANK.EXC(_xlfn._xlws.FILTER(Q$3:Q$23, ISNUMBER(Q$3:Q$23)),Q5)*100</f>
        <v>36.299999999999997</v>
      </c>
      <c r="V5" cm="1">
        <f t="array" ref="V5">_xlfn.PERCENTRANK.EXC(_xlfn._xlws.FILTER(R$3:R$23, ISNUMBER(R$3:R$23)),R5)*100</f>
        <v>59</v>
      </c>
      <c r="W5" cm="1">
        <f t="array" ref="W5">_xlfn.PERCENTRANK.EXC(_xlfn._xlws.FILTER(S$3:S$23, ISNUMBER(S$3:S$23)),S5)*100</f>
        <v>50</v>
      </c>
      <c r="X5" cm="1">
        <f t="array" ref="X5">(1-_xlfn.PERCENTRANK.EXC(_xlfn._xlws.FILTER(G$3:G$23, ISNUMBER(G$3:G$23)),G5))*100</f>
        <v>41</v>
      </c>
      <c r="Y5" cm="1">
        <f t="array" ref="Y5">(1-_xlfn.PERCENTRANK.EXC(_xlfn._xlws.FILTER(H$3:H$23, ISNUMBER(H$3:H$23)),H5))*100</f>
        <v>36.4</v>
      </c>
      <c r="Z5" cm="1">
        <f t="array" ref="Z5">_xlfn.PERCENTRANK.EXC(_xlfn._xlws.FILTER(T$3:T$23, ISNUMBER(T$3:T$23)),T5)*100</f>
        <v>77.2</v>
      </c>
      <c r="AA5" cm="1">
        <f t="array" ref="AA5">_xlfn.PERCENTRANK.EXC(_xlfn._xlws.FILTER(P$3:P$23, ISNUMBER(P$3:P$23)),P5)*100</f>
        <v>68.100000000000009</v>
      </c>
      <c r="AB5">
        <f t="shared" si="4"/>
        <v>49.765000000000001</v>
      </c>
      <c r="AC5" cm="1">
        <f t="array" ref="AC5">_xlfn.PERCENTRANK.EXC(_xlfn._xlws.FILTER(AB$3:AB$23, ISNUMBER(AB$3:AB$23)),AB5)*100</f>
        <v>54.500000000000007</v>
      </c>
    </row>
    <row r="6" spans="1:29" x14ac:dyDescent="0.3">
      <c r="A6" t="s">
        <v>243</v>
      </c>
      <c r="B6" t="s">
        <v>244</v>
      </c>
      <c r="C6" t="s">
        <v>245</v>
      </c>
      <c r="D6" t="s">
        <v>243</v>
      </c>
      <c r="E6" t="s">
        <v>246</v>
      </c>
      <c r="F6" s="2" cm="1">
        <f t="array" ref="F6">_xll.FDS(D6,"JULIAN(FMA_DIV_YLD(NTMA,NOW,NOW,M,""PORTAGG"",""MEANR"").dates)")</f>
        <v>45322</v>
      </c>
      <c r="G6" s="4" cm="1">
        <f t="array" ref="G6">_xll.FDS(D6,"FMA_PE(LTM,0,,,""PORTAGG"",""MEANR"")")</f>
        <v>11.6048886270952</v>
      </c>
      <c r="H6" s="4" cm="1">
        <f t="array" ref="H6">_xll.FDS(D6,"FMA_PE(NTMA,0,,,""PORTAGG"",""MEANR"")")</f>
        <v>9.8569241890660493</v>
      </c>
      <c r="I6" cm="1">
        <f t="array" ref="I6">_xll.FDS(D6,"FMA_DIV_YLD(NTMA,NOW,NOW,M,""PORTAGG"",""MEANR"")")</f>
        <v>2.8983798009575099</v>
      </c>
      <c r="J6" s="58" cm="1">
        <f t="array" ref="J6">IFERROR(_xll.FDS(D6,"FG_FCF_YIELD_NTM(0)"),(1/G6*100))</f>
        <v>6.6534708849269304</v>
      </c>
      <c r="K6" s="3" cm="1">
        <f t="array" ref="K6">_xll.FDS(D6,"FMA_EVAL_EBITDA(NTMA,0,,,""PORTAGG"",""MEANR"")")</f>
        <v>8.9237454675061194</v>
      </c>
      <c r="L6" cm="1">
        <f t="array" ref="L6">_xll.FDS(D6,"FMA_EVAL_EBIT(LTMA,NOW,NOW,M,""PORTAGG"",""MEANR"")")</f>
        <v>12.8411583501958</v>
      </c>
      <c r="M6">
        <f>HLOOKUP(D6,'Index ROE'!$A$1:$V$25,25,FALSE)</f>
        <v>11.9407094450334</v>
      </c>
      <c r="N6">
        <f>VLOOKUP(A6,'LIQIDITY 2'!$A$3:$E$26,5,FALSE)</f>
        <v>6.1835019999999998</v>
      </c>
      <c r="O6" cm="1">
        <f t="array" ref="O6">IFERROR(_xll.FDS(B6,"IMF_IFS_RCPI_Q(0)"),$D$31)</f>
        <v>3.2433991</v>
      </c>
      <c r="P6">
        <f>VLOOKUP(E6,GDP_GROWTH!$B$10:$W$165,22,FALSE)</f>
        <v>3.9454348254778893</v>
      </c>
      <c r="Q6">
        <f t="shared" si="0"/>
        <v>-3.2851221990424899</v>
      </c>
      <c r="R6" s="58">
        <f t="shared" si="1"/>
        <v>0.46996888492693056</v>
      </c>
      <c r="S6">
        <f t="shared" si="2"/>
        <v>5.7572074450334005</v>
      </c>
      <c r="T6">
        <f t="shared" si="3"/>
        <v>8.6973103450334008</v>
      </c>
      <c r="U6" cm="1">
        <f t="array" ref="U6">_xlfn.PERCENTRANK.EXC(_xlfn._xlws.FILTER(Q$3:Q$23, ISNUMBER(Q$3:Q$23)),Q6)*100</f>
        <v>27.200000000000003</v>
      </c>
      <c r="V6" cm="1">
        <f t="array" ref="V6">_xlfn.PERCENTRANK.EXC(_xlfn._xlws.FILTER(R$3:R$23, ISNUMBER(R$3:R$23)),R6)*100</f>
        <v>50</v>
      </c>
      <c r="W6" cm="1">
        <f t="array" ref="W6">_xlfn.PERCENTRANK.EXC(_xlfn._xlws.FILTER(S$3:S$23, ISNUMBER(S$3:S$23)),S6)*100</f>
        <v>27.200000000000003</v>
      </c>
      <c r="X6" cm="1">
        <f t="array" ref="X6">(1-_xlfn.PERCENTRANK.EXC(_xlfn._xlws.FILTER(G$3:G$23, ISNUMBER(G$3:G$23)),G6))*100</f>
        <v>59.099999999999994</v>
      </c>
      <c r="Y6" cm="1">
        <f t="array" ref="Y6">(1-_xlfn.PERCENTRANK.EXC(_xlfn._xlws.FILTER(H$3:H$23, ISNUMBER(H$3:H$23)),H6))*100</f>
        <v>63.7</v>
      </c>
      <c r="Z6" cm="1">
        <f t="array" ref="Z6">_xlfn.PERCENTRANK.EXC(_xlfn._xlws.FILTER(T$3:T$23, ISNUMBER(T$3:T$23)),T6)*100</f>
        <v>36.299999999999997</v>
      </c>
      <c r="AA6" cm="1">
        <f t="array" ref="AA6">_xlfn.PERCENTRANK.EXC(_xlfn._xlws.FILTER(P$3:P$23, ISNUMBER(P$3:P$23)),P6)*100</f>
        <v>72.7</v>
      </c>
      <c r="AB6">
        <f t="shared" si="4"/>
        <v>49.07500000000001</v>
      </c>
      <c r="AC6" cm="1">
        <f t="array" ref="AC6">_xlfn.PERCENTRANK.EXC(_xlfn._xlws.FILTER(AB$3:AB$23, ISNUMBER(AB$3:AB$23)),AB6)*100</f>
        <v>50</v>
      </c>
    </row>
    <row r="7" spans="1:29" x14ac:dyDescent="0.3">
      <c r="A7" t="s">
        <v>247</v>
      </c>
      <c r="B7" t="s">
        <v>248</v>
      </c>
      <c r="C7" t="s">
        <v>249</v>
      </c>
      <c r="D7" t="s">
        <v>247</v>
      </c>
      <c r="E7" t="s">
        <v>250</v>
      </c>
      <c r="F7" s="2" cm="1">
        <f t="array" ref="F7">_xll.FDS(D7,"JULIAN(FMA_DIV_YLD(NTMA,NOW,NOW,M,""PORTAGG"",""MEANR"").dates)")</f>
        <v>45322</v>
      </c>
      <c r="G7" s="4" cm="1">
        <f t="array" ref="G7">_xll.FDS(D7,"FMA_PE(LTM,0,,,""PORTAGG"",""MEANR"")")</f>
        <v>7.2872942520000201</v>
      </c>
      <c r="H7" s="4" cm="1">
        <f t="array" ref="H7">_xll.FDS(D7,"FMA_PE(NTMA,0,,,""PORTAGG"",""MEANR"")")</f>
        <v>8.5415138056056197</v>
      </c>
      <c r="I7" cm="1">
        <f t="array" ref="I7">_xll.FDS(D7,"FMA_DIV_YLD(NTMA,NOW,NOW,M,""PORTAGG"",""MEANR"")")</f>
        <v>4.9997647220255503</v>
      </c>
      <c r="J7" s="58" cm="1">
        <f t="array" ref="J7">IFERROR(_xll.FDS(D7,"FG_FCF_YIELD_NTM(0)"),(1/G7*100))</f>
        <v>3.58849447742567</v>
      </c>
      <c r="K7" s="3" cm="1">
        <f t="array" ref="K7">_xll.FDS(D7,"FMA_EVAL_EBITDA(NTMA,0,,,""PORTAGG"",""MEANR"")")</f>
        <v>4.3991100233841598</v>
      </c>
      <c r="L7" cm="1">
        <f t="array" ref="L7">_xll.FDS(D7,"FMA_EVAL_EBIT(LTMA,NOW,NOW,M,""PORTAGG"",""MEANR"")")</f>
        <v>6.9703395777324904</v>
      </c>
      <c r="M7">
        <f>HLOOKUP(D7,'Index ROE'!$A$1:$V$25,25,FALSE)</f>
        <v>12.394579327579899</v>
      </c>
      <c r="N7">
        <f>VLOOKUP(A7,'LIQIDITY 2'!$A$3:$E$26,5,FALSE)</f>
        <v>5.4668000000000001</v>
      </c>
      <c r="O7" cm="1">
        <f t="array" ref="O7">IFERROR(_xll.FDS(B7,"IMF_IFS_RCPI_Q(0)"),$D$31)</f>
        <v>6.2023080000000004</v>
      </c>
      <c r="P7">
        <f>VLOOKUP(E7,GDP_GROWTH!$B$10:$W$165,22,FALSE)</f>
        <v>3.7030435940290873</v>
      </c>
      <c r="Q7">
        <f t="shared" si="0"/>
        <v>-0.46703527797444977</v>
      </c>
      <c r="R7" s="58">
        <f t="shared" si="1"/>
        <v>-1.8783055225743301</v>
      </c>
      <c r="S7">
        <f t="shared" si="2"/>
        <v>6.9277793275798993</v>
      </c>
      <c r="T7">
        <f t="shared" si="3"/>
        <v>6.1922713275798991</v>
      </c>
      <c r="U7" cm="1">
        <f t="array" ref="U7">_xlfn.PERCENTRANK.EXC(_xlfn._xlws.FILTER(Q$3:Q$23, ISNUMBER(Q$3:Q$23)),Q7)*100</f>
        <v>54.500000000000007</v>
      </c>
      <c r="V7" cm="1">
        <f t="array" ref="V7">_xlfn.PERCENTRANK.EXC(_xlfn._xlws.FILTER(R$3:R$23, ISNUMBER(R$3:R$23)),R7)*100</f>
        <v>18.099999999999998</v>
      </c>
      <c r="W7" cm="1">
        <f t="array" ref="W7">_xlfn.PERCENTRANK.EXC(_xlfn._xlws.FILTER(S$3:S$23, ISNUMBER(S$3:S$23)),S7)*100</f>
        <v>45.4</v>
      </c>
      <c r="X7" cm="1">
        <f t="array" ref="X7">(1-_xlfn.PERCENTRANK.EXC(_xlfn._xlws.FILTER(G$3:G$23, ISNUMBER(G$3:G$23)),G7))*100</f>
        <v>91</v>
      </c>
      <c r="Y7" cm="1">
        <f t="array" ref="Y7">(1-_xlfn.PERCENTRANK.EXC(_xlfn._xlws.FILTER(H$3:H$23, ISNUMBER(H$3:H$23)),H7))*100</f>
        <v>77.3</v>
      </c>
      <c r="Z7" cm="1">
        <f t="array" ref="Z7">_xlfn.PERCENTRANK.EXC(_xlfn._xlws.FILTER(T$3:T$23, ISNUMBER(T$3:T$23)),T7)*100</f>
        <v>18.099999999999998</v>
      </c>
      <c r="AA7" cm="1">
        <f t="array" ref="AA7">_xlfn.PERCENTRANK.EXC(_xlfn._xlws.FILTER(P$3:P$23, ISNUMBER(P$3:P$23)),P7)*100</f>
        <v>63.6</v>
      </c>
      <c r="AB7">
        <f t="shared" si="4"/>
        <v>55.44</v>
      </c>
      <c r="AC7" cm="1">
        <f t="array" ref="AC7">_xlfn.PERCENTRANK.EXC(_xlfn._xlws.FILTER(AB$3:AB$23, ISNUMBER(AB$3:AB$23)),AB7)*100</f>
        <v>63.6</v>
      </c>
    </row>
    <row r="8" spans="1:29" x14ac:dyDescent="0.3">
      <c r="A8" t="s">
        <v>251</v>
      </c>
      <c r="B8" t="s">
        <v>252</v>
      </c>
      <c r="C8" t="s">
        <v>253</v>
      </c>
      <c r="D8" t="s">
        <v>251</v>
      </c>
      <c r="E8" t="s">
        <v>254</v>
      </c>
      <c r="F8" s="2" cm="1">
        <f t="array" ref="F8">_xll.FDS(D8,"JULIAN(FMA_DIV_YLD(NTMA,NOW,NOW,M,""PORTAGG"",""MEANR"").dates)")</f>
        <v>45322</v>
      </c>
      <c r="G8" s="4" cm="1">
        <f t="array" ref="G8">_xll.FDS(D8,"FMA_PE(LTM,0,,,""PORTAGG"",""MEANR"")")</f>
        <v>15.209997009559601</v>
      </c>
      <c r="H8" s="4" cm="1">
        <f t="array" ref="H8">_xll.FDS(D8,"FMA_PE(NTMA,0,,,""PORTAGG"",""MEANR"")")</f>
        <v>11.4469791559327</v>
      </c>
      <c r="I8" cm="1">
        <f t="array" ref="I8">_xll.FDS(D8,"FMA_DIV_YLD(NTMA,NOW,NOW,M,""PORTAGG"",""MEANR"")")</f>
        <v>3.5689303531926799</v>
      </c>
      <c r="J8" s="58" cm="1">
        <f t="array" ref="J8">IFERROR(_xll.FDS(D8,"FG_FCF_YIELD_NTM(0)"),(1/G8*100))</f>
        <v>4.9464953309422803</v>
      </c>
      <c r="K8" s="3" cm="1">
        <f t="array" ref="K8">_xll.FDS(D8,"FMA_EVAL_EBITDA(NTMA,0,,,""PORTAGG"",""MEANR"")")</f>
        <v>6.6804129074298801</v>
      </c>
      <c r="L8" cm="1">
        <f t="array" ref="L8">_xll.FDS(D8,"FMA_EVAL_EBIT(LTMA,NOW,NOW,M,""PORTAGG"",""MEANR"")")</f>
        <v>13.724893337447201</v>
      </c>
      <c r="M8">
        <f>HLOOKUP(D8,'Index ROE'!$A$1:$V$25,25,FALSE)</f>
        <v>12.932447367368299</v>
      </c>
      <c r="N8">
        <f>VLOOKUP(A8,'LIQIDITY 2'!$A$3:$E$26,5,FALSE)</f>
        <v>6.7309049999999999</v>
      </c>
      <c r="O8" cm="1">
        <f t="array" ref="O8">IFERROR(_xll.FDS(B8,"IMF_IFS_RCPI_Q(0)"),$D$31)</f>
        <v>3.9030174999999998</v>
      </c>
      <c r="P8">
        <f>VLOOKUP(E8,GDP_GROWTH!$B$10:$W$165,22,FALSE)</f>
        <v>2.3642552134477857</v>
      </c>
      <c r="Q8">
        <f t="shared" si="0"/>
        <v>-3.16197464680732</v>
      </c>
      <c r="R8" s="58">
        <f t="shared" si="1"/>
        <v>-1.7844096690577196</v>
      </c>
      <c r="S8">
        <f t="shared" si="2"/>
        <v>6.2015423673682992</v>
      </c>
      <c r="T8">
        <f t="shared" si="3"/>
        <v>9.0294298673683002</v>
      </c>
      <c r="U8" cm="1">
        <f t="array" ref="U8">_xlfn.PERCENTRANK.EXC(_xlfn._xlws.FILTER(Q$3:Q$23, ISNUMBER(Q$3:Q$23)),Q8)*100</f>
        <v>31.8</v>
      </c>
      <c r="V8" cm="1">
        <f t="array" ref="V8">_xlfn.PERCENTRANK.EXC(_xlfn._xlws.FILTER(R$3:R$23, ISNUMBER(R$3:R$23)),R8)*100</f>
        <v>22.7</v>
      </c>
      <c r="W8" cm="1">
        <f t="array" ref="W8">_xlfn.PERCENTRANK.EXC(_xlfn._xlws.FILTER(S$3:S$23, ISNUMBER(S$3:S$23)),S8)*100</f>
        <v>31.8</v>
      </c>
      <c r="X8" cm="1">
        <f t="array" ref="X8">(1-_xlfn.PERCENTRANK.EXC(_xlfn._xlws.FILTER(G$3:G$23, ISNUMBER(G$3:G$23)),G8))*100</f>
        <v>36.4</v>
      </c>
      <c r="Y8" cm="1">
        <f t="array" ref="Y8">(1-_xlfn.PERCENTRANK.EXC(_xlfn._xlws.FILTER(H$3:H$23, ISNUMBER(H$3:H$23)),H8))*100</f>
        <v>41</v>
      </c>
      <c r="Z8" cm="1">
        <f t="array" ref="Z8">_xlfn.PERCENTRANK.EXC(_xlfn._xlws.FILTER(T$3:T$23, ISNUMBER(T$3:T$23)),T8)*100</f>
        <v>50</v>
      </c>
      <c r="AA8" cm="1">
        <f t="array" ref="AA8">_xlfn.PERCENTRANK.EXC(_xlfn._xlws.FILTER(P$3:P$23, ISNUMBER(P$3:P$23)),P8)*100</f>
        <v>36.299999999999997</v>
      </c>
      <c r="AB8">
        <f t="shared" si="4"/>
        <v>32.045000000000002</v>
      </c>
      <c r="AC8" cm="1">
        <f t="array" ref="AC8">_xlfn.PERCENTRANK.EXC(_xlfn._xlws.FILTER(AB$3:AB$23, ISNUMBER(AB$3:AB$23)),AB8)*100</f>
        <v>22.7</v>
      </c>
    </row>
    <row r="9" spans="1:29" x14ac:dyDescent="0.3">
      <c r="A9" t="s">
        <v>255</v>
      </c>
      <c r="B9" t="s">
        <v>256</v>
      </c>
      <c r="C9" t="s">
        <v>257</v>
      </c>
      <c r="D9" t="s">
        <v>255</v>
      </c>
      <c r="E9" t="s">
        <v>258</v>
      </c>
      <c r="F9" s="2" cm="1">
        <f t="array" ref="F9">_xll.FDS(D9,"JULIAN(FMA_DIV_YLD(NTMA,NOW,NOW,M,""PORTAGG"",""MEANR"").dates)")</f>
        <v>45322</v>
      </c>
      <c r="G9" s="4" cm="1">
        <f t="array" ref="G9">_xll.FDS(D9,"FMA_PE(LTM,0,,,""PORTAGG"",""MEANR"")")</f>
        <v>19.560208021076999</v>
      </c>
      <c r="H9" s="4" cm="1">
        <f t="array" ref="H9">_xll.FDS(D9,"FMA_PE(NTMA,0,,,""PORTAGG"",""MEANR"")")</f>
        <v>13.8497827276937</v>
      </c>
      <c r="I9" cm="1">
        <f t="array" ref="I9">_xll.FDS(D9,"FMA_DIV_YLD(NTMA,NOW,NOW,M,""PORTAGG"",""MEANR"")")</f>
        <v>4.2344474675094803</v>
      </c>
      <c r="J9" s="58" cm="1">
        <f t="array" ref="J9">IFERROR(_xll.FDS(D9,"FG_FCF_YIELD_NTM(0)"),(1/G9*100))</f>
        <v>7.2727967430507396</v>
      </c>
      <c r="K9" s="3" cm="1">
        <f t="array" ref="K9">_xll.FDS(D9,"FMA_EVAL_EBITDA(NTMA,0,,,""PORTAGG"",""MEANR"")")</f>
        <v>8.8556409320220908</v>
      </c>
      <c r="L9" cm="1">
        <f t="array" ref="L9">_xll.FDS(D9,"FMA_EVAL_EBIT(LTMA,NOW,NOW,M,""PORTAGG"",""MEANR"")")</f>
        <v>17.606986688700601</v>
      </c>
      <c r="M9">
        <f>HLOOKUP(D9,'Index ROE'!$A$1:$V$25,25,FALSE)</f>
        <v>9.5572838314107695</v>
      </c>
      <c r="N9">
        <f>VLOOKUP(A9,'LIQIDITY 2'!$A$3:$E$26,5,FALSE)</f>
        <v>3.8068659999999999</v>
      </c>
      <c r="O9" cm="1">
        <f t="array" ref="O9">IFERROR(_xll.FDS(B9,"IMF_IFS_RCPI_Q(0)"),$D$31)</f>
        <v>3.2433991</v>
      </c>
      <c r="P9">
        <f>VLOOKUP(E9,GDP_GROWTH!$B$10:$W$165,22,FALSE)</f>
        <v>3.5466921531802975</v>
      </c>
      <c r="Q9">
        <f t="shared" si="0"/>
        <v>0.42758146750948045</v>
      </c>
      <c r="R9" s="58">
        <f t="shared" si="1"/>
        <v>3.4659307430507398</v>
      </c>
      <c r="S9">
        <f t="shared" si="2"/>
        <v>5.7504178314107701</v>
      </c>
      <c r="T9">
        <f t="shared" si="3"/>
        <v>6.31388473141077</v>
      </c>
      <c r="U9" cm="1">
        <f t="array" ref="U9">_xlfn.PERCENTRANK.EXC(_xlfn._xlws.FILTER(Q$3:Q$23, ISNUMBER(Q$3:Q$23)),Q9)*100</f>
        <v>59</v>
      </c>
      <c r="V9" cm="1">
        <f t="array" ref="V9">_xlfn.PERCENTRANK.EXC(_xlfn._xlws.FILTER(R$3:R$23, ISNUMBER(R$3:R$23)),R9)*100</f>
        <v>68.100000000000009</v>
      </c>
      <c r="W9" cm="1">
        <f t="array" ref="W9">_xlfn.PERCENTRANK.EXC(_xlfn._xlws.FILTER(S$3:S$23, ISNUMBER(S$3:S$23)),S9)*100</f>
        <v>22.7</v>
      </c>
      <c r="X9" cm="1">
        <f t="array" ref="X9">(1-_xlfn.PERCENTRANK.EXC(_xlfn._xlws.FILTER(G$3:G$23, ISNUMBER(G$3:G$23)),G9))*100</f>
        <v>22.799999999999997</v>
      </c>
      <c r="Y9" cm="1">
        <f t="array" ref="Y9">(1-_xlfn.PERCENTRANK.EXC(_xlfn._xlws.FILTER(H$3:H$23, ISNUMBER(H$3:H$23)),H9))*100</f>
        <v>27.3</v>
      </c>
      <c r="Z9" cm="1">
        <f t="array" ref="Z9">_xlfn.PERCENTRANK.EXC(_xlfn._xlws.FILTER(T$3:T$23, ISNUMBER(T$3:T$23)),T9)*100</f>
        <v>22.7</v>
      </c>
      <c r="AA9" cm="1">
        <f t="array" ref="AA9">_xlfn.PERCENTRANK.EXC(_xlfn._xlws.FILTER(P$3:P$23, ISNUMBER(P$3:P$23)),P9)*100</f>
        <v>59</v>
      </c>
      <c r="AB9">
        <f t="shared" si="4"/>
        <v>39.979999999999997</v>
      </c>
      <c r="AC9" cm="1">
        <f t="array" ref="AC9">_xlfn.PERCENTRANK.EXC(_xlfn._xlws.FILTER(AB$3:AB$23, ISNUMBER(AB$3:AB$23)),AB9)*100</f>
        <v>36.299999999999997</v>
      </c>
    </row>
    <row r="10" spans="1:29" x14ac:dyDescent="0.3">
      <c r="A10" t="s">
        <v>259</v>
      </c>
      <c r="B10" t="s">
        <v>260</v>
      </c>
      <c r="C10" t="s">
        <v>261</v>
      </c>
      <c r="D10" t="s">
        <v>259</v>
      </c>
      <c r="E10" t="s">
        <v>262</v>
      </c>
      <c r="F10" s="2" cm="1">
        <f t="array" ref="F10">_xll.FDS(D10,"JULIAN(FMA_DIV_YLD(NTMA,NOW,NOW,M,""PORTAGG"",""MEANR"").dates)")</f>
        <v>45322</v>
      </c>
      <c r="G10" s="4" cm="1">
        <f t="array" ref="G10">_xll.FDS(D10,"FMA_PE(LTM,0,,,""PORTAGG"",""MEANR"")")</f>
        <v>21.4324867501564</v>
      </c>
      <c r="H10" s="4" cm="1">
        <f t="array" ref="H10">_xll.FDS(D10,"FMA_PE(NTMA,0,,,""PORTAGG"",""MEANR"")")</f>
        <v>16.0303234752325</v>
      </c>
      <c r="I10" cm="1">
        <f t="array" ref="I10">_xll.FDS(D10,"FMA_DIV_YLD(NTMA,NOW,NOW,M,""PORTAGG"",""MEANR"")")</f>
        <v>3.4107606547792502</v>
      </c>
      <c r="J10" s="58" cm="1">
        <f t="array" ref="J10">IFERROR(_xll.FDS(D10,"FG_FCF_YIELD_NTM(0)"),(1/G10*100))</f>
        <v>4.0211679427439</v>
      </c>
      <c r="K10" s="3" cm="1">
        <f t="array" ref="K10">_xll.FDS(D10,"FMA_EVAL_EBITDA(NTMA,0,,,""PORTAGG"",""MEANR"")")</f>
        <v>9.2963427357243908</v>
      </c>
      <c r="L10" cm="1">
        <f t="array" ref="L10">_xll.FDS(D10,"FMA_EVAL_EBIT(LTMA,NOW,NOW,M,""PORTAGG"",""MEANR"")")</f>
        <v>19.961469621641101</v>
      </c>
      <c r="M10">
        <f>HLOOKUP(D10,'Index ROE'!$A$1:$V$25,25,FALSE)</f>
        <v>11.9152161134332</v>
      </c>
      <c r="N10">
        <f>VLOOKUP(A10,'LIQIDITY 2'!$A$3:$E$26,5,FALSE)</f>
        <v>4.1153000000000004</v>
      </c>
      <c r="O10" cm="1">
        <f t="array" ref="O10">IFERROR(_xll.FDS(B10,"IMF_IFS_RCPI_Q(0)"),$D$31)</f>
        <v>3.2433991</v>
      </c>
      <c r="P10">
        <f>VLOOKUP(E10,GDP_GROWTH!$B$10:$W$165,22,FALSE)</f>
        <v>3.5195870793715778</v>
      </c>
      <c r="Q10">
        <f t="shared" si="0"/>
        <v>-0.70453934522075023</v>
      </c>
      <c r="R10" s="58">
        <f t="shared" si="1"/>
        <v>-9.413205725610041E-2</v>
      </c>
      <c r="S10">
        <f t="shared" si="2"/>
        <v>7.7999161134331993</v>
      </c>
      <c r="T10">
        <f t="shared" si="3"/>
        <v>8.6718170134332002</v>
      </c>
      <c r="U10" cm="1">
        <f t="array" ref="U10">_xlfn.PERCENTRANK.EXC(_xlfn._xlws.FILTER(Q$3:Q$23, ISNUMBER(Q$3:Q$23)),Q10)*100</f>
        <v>50</v>
      </c>
      <c r="V10" cm="1">
        <f t="array" ref="V10">_xlfn.PERCENTRANK.EXC(_xlfn._xlws.FILTER(R$3:R$23, ISNUMBER(R$3:R$23)),R10)*100</f>
        <v>45.4</v>
      </c>
      <c r="W10" cm="1">
        <f t="array" ref="W10">_xlfn.PERCENTRANK.EXC(_xlfn._xlws.FILTER(S$3:S$23, ISNUMBER(S$3:S$23)),S10)*100</f>
        <v>59</v>
      </c>
      <c r="X10" cm="1">
        <f t="array" ref="X10">(1-_xlfn.PERCENTRANK.EXC(_xlfn._xlws.FILTER(G$3:G$23, ISNUMBER(G$3:G$23)),G10))*100</f>
        <v>13.700000000000001</v>
      </c>
      <c r="Y10" cm="1">
        <f t="array" ref="Y10">(1-_xlfn.PERCENTRANK.EXC(_xlfn._xlws.FILTER(H$3:H$23, ISNUMBER(H$3:H$23)),H10))*100</f>
        <v>13.700000000000001</v>
      </c>
      <c r="Z10" cm="1">
        <f t="array" ref="Z10">_xlfn.PERCENTRANK.EXC(_xlfn._xlws.FILTER(T$3:T$23, ISNUMBER(T$3:T$23)),T10)*100</f>
        <v>31.8</v>
      </c>
      <c r="AA10" cm="1">
        <f t="array" ref="AA10">_xlfn.PERCENTRANK.EXC(_xlfn._xlws.FILTER(P$3:P$23, ISNUMBER(P$3:P$23)),P10)*100</f>
        <v>54.500000000000007</v>
      </c>
      <c r="AB10">
        <f t="shared" si="4"/>
        <v>38.844999999999999</v>
      </c>
      <c r="AC10" cm="1">
        <f t="array" ref="AC10">_xlfn.PERCENTRANK.EXC(_xlfn._xlws.FILTER(AB$3:AB$23, ISNUMBER(AB$3:AB$23)),AB10)*100</f>
        <v>31.8</v>
      </c>
    </row>
    <row r="11" spans="1:29" x14ac:dyDescent="0.3">
      <c r="A11" t="s">
        <v>263</v>
      </c>
      <c r="B11" t="s">
        <v>264</v>
      </c>
      <c r="C11" t="s">
        <v>265</v>
      </c>
      <c r="D11" t="s">
        <v>263</v>
      </c>
      <c r="E11" t="s">
        <v>266</v>
      </c>
      <c r="F11" s="2" cm="1">
        <f t="array" ref="F11">_xll.FDS(D11,"JULIAN(FMA_DIV_YLD(NTMA,NOW,NOW,M,""PORTAGG"",""MEANR"").dates)")</f>
        <v>45322</v>
      </c>
      <c r="G11" s="4" cm="1">
        <f t="array" ref="G11">_xll.FDS(D11,"FMA_PE(LTM,0,,,""PORTAGG"",""MEANR"")")</f>
        <v>12.887264480376899</v>
      </c>
      <c r="H11" s="4" cm="1">
        <f t="array" ref="H11">_xll.FDS(D11,"FMA_PE(NTMA,0,,,""PORTAGG"",""MEANR"")")</f>
        <v>13.0295042052313</v>
      </c>
      <c r="I11" cm="1">
        <f t="array" ref="I11">_xll.FDS(D11,"FMA_DIV_YLD(NTMA,NOW,NOW,M,""PORTAGG"",""MEANR"")")</f>
        <v>3.7506151636644298</v>
      </c>
      <c r="J11" s="58" cm="1">
        <f t="array" ref="J11">IFERROR(_xll.FDS(D11,"FG_FCF_YIELD_NTM(0)"),(1/G11*100))</f>
        <v>7.6990763609145096</v>
      </c>
      <c r="K11" s="3" cm="1">
        <f t="array" ref="K11">_xll.FDS(D11,"FMA_EVAL_EBITDA(NTMA,0,,,""PORTAGG"",""MEANR"")")</f>
        <v>6.3131999786363497</v>
      </c>
      <c r="L11" cm="1">
        <f t="array" ref="L11">_xll.FDS(D11,"FMA_EVAL_EBIT(LTMA,NOW,NOW,M,""PORTAGG"",""MEANR"")")</f>
        <v>10.618753369171401</v>
      </c>
      <c r="M11">
        <f>HLOOKUP(D11,'Index ROE'!$A$1:$V$25,25,FALSE)</f>
        <v>13.699010099052099</v>
      </c>
      <c r="N11">
        <f>VLOOKUP(A11,'LIQIDITY 2'!$A$3:$E$26,5,FALSE)</f>
        <v>9.3171999999999997</v>
      </c>
      <c r="O11" cm="1">
        <f t="array" ref="O11">IFERROR(_xll.FDS(B11,"IMF_IFS_RCPI_Q(0)"),$D$31)</f>
        <v>4.4145545999999998</v>
      </c>
      <c r="P11">
        <f>VLOOKUP(E11,GDP_GROWTH!$B$10:$W$165,22,FALSE)</f>
        <v>0.75528355941661962</v>
      </c>
      <c r="Q11">
        <f t="shared" si="0"/>
        <v>-5.5665848363355703</v>
      </c>
      <c r="R11" s="58">
        <f t="shared" si="1"/>
        <v>-1.6181236390854901</v>
      </c>
      <c r="S11">
        <f t="shared" si="2"/>
        <v>4.3818100990520996</v>
      </c>
      <c r="T11">
        <f t="shared" si="3"/>
        <v>9.2844554990521004</v>
      </c>
      <c r="U11" cm="1">
        <f t="array" ref="U11">_xlfn.PERCENTRANK.EXC(_xlfn._xlws.FILTER(Q$3:Q$23, ISNUMBER(Q$3:Q$23)),Q11)*100</f>
        <v>18.099999999999998</v>
      </c>
      <c r="V11" cm="1">
        <f t="array" ref="V11">_xlfn.PERCENTRANK.EXC(_xlfn._xlws.FILTER(R$3:R$23, ISNUMBER(R$3:R$23)),R11)*100</f>
        <v>27.200000000000003</v>
      </c>
      <c r="W11" cm="1">
        <f t="array" ref="W11">_xlfn.PERCENTRANK.EXC(_xlfn._xlws.FILTER(S$3:S$23, ISNUMBER(S$3:S$23)),S11)*100</f>
        <v>13.600000000000001</v>
      </c>
      <c r="X11" cm="1">
        <f t="array" ref="X11">(1-_xlfn.PERCENTRANK.EXC(_xlfn._xlws.FILTER(G$3:G$23, ISNUMBER(G$3:G$23)),G11))*100</f>
        <v>50</v>
      </c>
      <c r="Y11" cm="1">
        <f t="array" ref="Y11">(1-_xlfn.PERCENTRANK.EXC(_xlfn._xlws.FILTER(H$3:H$23, ISNUMBER(H$3:H$23)),H11))*100</f>
        <v>31.899999999999995</v>
      </c>
      <c r="Z11" cm="1">
        <f t="array" ref="Z11">_xlfn.PERCENTRANK.EXC(_xlfn._xlws.FILTER(T$3:T$23, ISNUMBER(T$3:T$23)),T11)*100</f>
        <v>59</v>
      </c>
      <c r="AA11" cm="1">
        <f t="array" ref="AA11">_xlfn.PERCENTRANK.EXC(_xlfn._xlws.FILTER(P$3:P$23, ISNUMBER(P$3:P$23)),P11)*100</f>
        <v>4.5</v>
      </c>
      <c r="AB11">
        <f t="shared" si="4"/>
        <v>27.245000000000001</v>
      </c>
      <c r="AC11" cm="1">
        <f t="array" ref="AC11">_xlfn.PERCENTRANK.EXC(_xlfn._xlws.FILTER(AB$3:AB$23, ISNUMBER(AB$3:AB$23)),AB11)*100</f>
        <v>9</v>
      </c>
    </row>
    <row r="12" spans="1:29" x14ac:dyDescent="0.3">
      <c r="A12" t="s">
        <v>267</v>
      </c>
      <c r="B12" t="s">
        <v>268</v>
      </c>
      <c r="C12" t="s">
        <v>269</v>
      </c>
      <c r="D12" t="s">
        <v>267</v>
      </c>
      <c r="E12" t="s">
        <v>270</v>
      </c>
      <c r="F12" s="2" cm="1">
        <f t="array" ref="F12">_xll.FDS(D12,"JULIAN(FMA_DIV_YLD(NTMA,NOW,NOW,M,""PORTAGG"",""MEANR"").dates)")</f>
        <v>45322</v>
      </c>
      <c r="G12" s="4" cm="1">
        <f t="array" ref="G12">_xll.FDS(D12,"FMA_PE(LTM,0,,,""PORTAGG"",""MEANR"")")</f>
        <v>17.277710001607002</v>
      </c>
      <c r="H12" s="4" cm="1">
        <f t="array" ref="H12">_xll.FDS(D12,"FMA_PE(NTMA,0,,,""PORTAGG"",""MEANR"")")</f>
        <v>10.486303563152299</v>
      </c>
      <c r="I12" cm="1">
        <f t="array" ref="I12">_xll.FDS(D12,"FMA_DIV_YLD(NTMA,NOW,NOW,M,""PORTAGG"",""MEANR"")")</f>
        <v>2.3920142013150598</v>
      </c>
      <c r="J12" s="58" cm="1">
        <f t="array" ref="J12">IFERROR(_xll.FDS(D12,"FG_FCF_YIELD_NTM(0)"),(1/G12*100))</f>
        <v>4.6870233397208603</v>
      </c>
      <c r="K12" s="3" cm="1">
        <f t="array" ref="K12">_xll.FDS(D12,"FMA_EVAL_EBITDA(NTMA,0,,,""PORTAGG"",""MEANR"")")</f>
        <v>6.7288185015396396</v>
      </c>
      <c r="L12" cm="1">
        <f t="array" ref="L12">_xll.FDS(D12,"FMA_EVAL_EBIT(LTMA,NOW,NOW,M,""PORTAGG"",""MEANR"")")</f>
        <v>20.818146566904598</v>
      </c>
      <c r="M12">
        <f>HLOOKUP(D12,'Index ROE'!$A$1:$V$25,25,FALSE)</f>
        <v>8.9018523713911009</v>
      </c>
      <c r="N12">
        <f>VLOOKUP(A12,'LIQIDITY 2'!$A$3:$E$26,5,FALSE)</f>
        <v>3.4447999999999999</v>
      </c>
      <c r="O12" cm="1">
        <f t="array" ref="O12">IFERROR(_xll.FDS(B12,"IMF_IFS_RCPI_Q(0)"),$D$31)</f>
        <v>3.404687</v>
      </c>
      <c r="P12">
        <f>VLOOKUP(E12,GDP_GROWTH!$B$10:$W$165,22,FALSE)</f>
        <v>2.41003689527024</v>
      </c>
      <c r="Q12">
        <f t="shared" si="0"/>
        <v>-1.05278579868494</v>
      </c>
      <c r="R12" s="58">
        <f t="shared" si="1"/>
        <v>1.2422233397208604</v>
      </c>
      <c r="S12">
        <f t="shared" si="2"/>
        <v>5.457052371391101</v>
      </c>
      <c r="T12">
        <f t="shared" si="3"/>
        <v>5.4971653713911008</v>
      </c>
      <c r="U12" cm="1">
        <f t="array" ref="U12">_xlfn.PERCENTRANK.EXC(_xlfn._xlws.FILTER(Q$3:Q$23, ISNUMBER(Q$3:Q$23)),Q12)*100</f>
        <v>45.4</v>
      </c>
      <c r="V12" cm="1">
        <f t="array" ref="V12">_xlfn.PERCENTRANK.EXC(_xlfn._xlws.FILTER(R$3:R$23, ISNUMBER(R$3:R$23)),R12)*100</f>
        <v>54.500000000000007</v>
      </c>
      <c r="W12" cm="1">
        <f t="array" ref="W12">_xlfn.PERCENTRANK.EXC(_xlfn._xlws.FILTER(S$3:S$23, ISNUMBER(S$3:S$23)),S12)*100</f>
        <v>18.099999999999998</v>
      </c>
      <c r="X12" cm="1">
        <f t="array" ref="X12">(1-_xlfn.PERCENTRANK.EXC(_xlfn._xlws.FILTER(G$3:G$23, ISNUMBER(G$3:G$23)),G12))*100</f>
        <v>31.899999999999995</v>
      </c>
      <c r="Y12" cm="1">
        <f t="array" ref="Y12">(1-_xlfn.PERCENTRANK.EXC(_xlfn._xlws.FILTER(H$3:H$23, ISNUMBER(H$3:H$23)),H12))*100</f>
        <v>50</v>
      </c>
      <c r="Z12" cm="1">
        <f t="array" ref="Z12">_xlfn.PERCENTRANK.EXC(_xlfn._xlws.FILTER(T$3:T$23, ISNUMBER(T$3:T$23)),T12)*100</f>
        <v>9</v>
      </c>
      <c r="AA12" cm="1">
        <f t="array" ref="AA12">_xlfn.PERCENTRANK.EXC(_xlfn._xlws.FILTER(P$3:P$23, ISNUMBER(P$3:P$23)),P12)*100</f>
        <v>40.9</v>
      </c>
      <c r="AB12">
        <f t="shared" si="4"/>
        <v>37.484999999999999</v>
      </c>
      <c r="AC12" cm="1">
        <f t="array" ref="AC12">_xlfn.PERCENTRANK.EXC(_xlfn._xlws.FILTER(AB$3:AB$23, ISNUMBER(AB$3:AB$23)),AB12)*100</f>
        <v>27.200000000000003</v>
      </c>
    </row>
    <row r="13" spans="1:29" x14ac:dyDescent="0.3">
      <c r="A13" t="s">
        <v>271</v>
      </c>
      <c r="B13" t="s">
        <v>272</v>
      </c>
      <c r="C13" t="s">
        <v>273</v>
      </c>
      <c r="D13" t="s">
        <v>271</v>
      </c>
      <c r="E13" t="s">
        <v>274</v>
      </c>
      <c r="F13" s="2" cm="1">
        <f t="array" ref="F13">_xll.FDS(D13,"JULIAN(FMA_DIV_YLD(NTMA,NOW,NOW,M,""PORTAGG"",""MEANR"").dates)")</f>
        <v>45322</v>
      </c>
      <c r="G13" s="4" cm="1">
        <f t="array" ref="G13">_xll.FDS(D13,"FMA_PE(LTM,0,,,""PORTAGG"",""MEANR"")")</f>
        <v>7.3560816493040599</v>
      </c>
      <c r="H13" s="4" cm="1">
        <f t="array" ref="H13">_xll.FDS(D13,"FMA_PE(NTMA,0,,,""PORTAGG"",""MEANR"")")</f>
        <v>7.8670378812113801</v>
      </c>
      <c r="I13" cm="1">
        <f t="array" ref="I13">_xll.FDS(D13,"FMA_DIV_YLD(NTMA,NOW,NOW,M,""PORTAGG"",""MEANR"")")</f>
        <v>5.8798272913972696</v>
      </c>
      <c r="J13" s="58" cm="1">
        <f t="array" ref="J13">IFERROR(_xll.FDS(D13,"FG_FCF_YIELD_NTM(0)"),(1/G13*100))</f>
        <v>9.9136186869947807</v>
      </c>
      <c r="K13" s="3" cm="1">
        <f t="array" ref="K13">_xll.FDS(D13,"FMA_EVAL_EBITDA(NTMA,0,,,""PORTAGG"",""MEANR"")")</f>
        <v>4.8671933901731004</v>
      </c>
      <c r="L13" cm="1">
        <f t="array" ref="L13">_xll.FDS(D13,"FMA_EVAL_EBIT(LTMA,NOW,NOW,M,""PORTAGG"",""MEANR"")")</f>
        <v>6.8994673503805801</v>
      </c>
      <c r="M13">
        <f>HLOOKUP(D13,'Index ROE'!$A$1:$V$25,25,FALSE)</f>
        <v>18.6294532976694</v>
      </c>
      <c r="N13">
        <f>VLOOKUP(A13,'LIQIDITY 2'!$A$3:$E$26,5,FALSE)</f>
        <v>10.94022</v>
      </c>
      <c r="O13" cm="1">
        <f t="array" ref="O13">IFERROR(_xll.FDS(B13,"IMF_IFS_RCPI_Q(0)"),$D$31)</f>
        <v>4.7076507000000003</v>
      </c>
      <c r="P13">
        <f>VLOOKUP(E13,GDP_GROWTH!$B$10:$W$165,22,FALSE)</f>
        <v>0.86151944639016875</v>
      </c>
      <c r="Q13">
        <f t="shared" si="0"/>
        <v>-5.0603927086027305</v>
      </c>
      <c r="R13" s="58">
        <f t="shared" si="1"/>
        <v>-1.0266013130052194</v>
      </c>
      <c r="S13">
        <f t="shared" si="2"/>
        <v>7.6892332976694</v>
      </c>
      <c r="T13">
        <f t="shared" si="3"/>
        <v>13.9218025976694</v>
      </c>
      <c r="U13" cm="1">
        <f t="array" ref="U13">_xlfn.PERCENTRANK.EXC(_xlfn._xlws.FILTER(Q$3:Q$23, ISNUMBER(Q$3:Q$23)),Q13)*100</f>
        <v>22.7</v>
      </c>
      <c r="V13" cm="1">
        <f t="array" ref="V13">_xlfn.PERCENTRANK.EXC(_xlfn._xlws.FILTER(R$3:R$23, ISNUMBER(R$3:R$23)),R13)*100</f>
        <v>36.299999999999997</v>
      </c>
      <c r="W13" cm="1">
        <f t="array" ref="W13">_xlfn.PERCENTRANK.EXC(_xlfn._xlws.FILTER(S$3:S$23, ISNUMBER(S$3:S$23)),S13)*100</f>
        <v>54.500000000000007</v>
      </c>
      <c r="X13" cm="1">
        <f t="array" ref="X13">(1-_xlfn.PERCENTRANK.EXC(_xlfn._xlws.FILTER(G$3:G$23, ISNUMBER(G$3:G$23)),G13))*100</f>
        <v>86.4</v>
      </c>
      <c r="Y13" cm="1">
        <f t="array" ref="Y13">(1-_xlfn.PERCENTRANK.EXC(_xlfn._xlws.FILTER(H$3:H$23, ISNUMBER(H$3:H$23)),H13))*100</f>
        <v>86.4</v>
      </c>
      <c r="Z13" cm="1">
        <f t="array" ref="Z13">_xlfn.PERCENTRANK.EXC(_xlfn._xlws.FILTER(T$3:T$23, ISNUMBER(T$3:T$23)),T13)*100</f>
        <v>95.399999999999991</v>
      </c>
      <c r="AA13" cm="1">
        <f t="array" ref="AA13">_xlfn.PERCENTRANK.EXC(_xlfn._xlws.FILTER(P$3:P$23, ISNUMBER(P$3:P$23)),P13)*100</f>
        <v>13.600000000000001</v>
      </c>
      <c r="AB13">
        <f t="shared" si="4"/>
        <v>55.435000000000002</v>
      </c>
      <c r="AC13" cm="1">
        <f t="array" ref="AC13">_xlfn.PERCENTRANK.EXC(_xlfn._xlws.FILTER(AB$3:AB$23, ISNUMBER(AB$3:AB$23)),AB13)*100</f>
        <v>59</v>
      </c>
    </row>
    <row r="14" spans="1:29" x14ac:dyDescent="0.3">
      <c r="A14" t="s">
        <v>275</v>
      </c>
      <c r="B14" t="s">
        <v>276</v>
      </c>
      <c r="C14" t="s">
        <v>277</v>
      </c>
      <c r="D14" t="s">
        <v>275</v>
      </c>
      <c r="E14" t="s">
        <v>278</v>
      </c>
      <c r="F14" s="2" cm="1">
        <f t="array" ref="F14">_xll.FDS(D14,"JULIAN(FMA_DIV_YLD(NTMA,NOW,NOW,M,""PORTAGG"",""MEANR"").dates)")</f>
        <v>45322</v>
      </c>
      <c r="G14" s="4" cm="1">
        <f t="array" ref="G14">_xll.FDS(D14,"FMA_PE(LTM,0,,,""PORTAGG"",""MEANR"")")</f>
        <v>8.8507292088603595</v>
      </c>
      <c r="H14" s="4" cm="1">
        <f t="array" ref="H14">_xll.FDS(D14,"FMA_PE(NTMA,0,,,""PORTAGG"",""MEANR"")")</f>
        <v>9.3950518301721395</v>
      </c>
      <c r="I14" cm="1">
        <f t="array" ref="I14">_xll.FDS(D14,"FMA_DIV_YLD(NTMA,NOW,NOW,M,""PORTAGG"",""MEANR"")")</f>
        <v>4.2758678655454103</v>
      </c>
      <c r="J14" s="58" cm="1">
        <f t="array" ref="J14">IFERROR(_xll.FDS(D14,"FG_FCF_YIELD_NTM(0)"),(1/G14*100))</f>
        <v>4.85258035608783</v>
      </c>
      <c r="K14" s="3" cm="1">
        <f t="array" ref="K14">_xll.FDS(D14,"FMA_EVAL_EBITDA(NTMA,0,,,""PORTAGG"",""MEANR"")")</f>
        <v>7.0457541879349899</v>
      </c>
      <c r="L14" cm="1">
        <f t="array" ref="L14">_xll.FDS(D14,"FMA_EVAL_EBIT(LTMA,NOW,NOW,M,""PORTAGG"",""MEANR"")")</f>
        <v>12.077421914398499</v>
      </c>
      <c r="M14">
        <f>HLOOKUP(D14,'Index ROE'!$A$1:$V$25,25,FALSE)</f>
        <v>14.5722752976358</v>
      </c>
      <c r="N14">
        <f>VLOOKUP(A14,'LIQIDITY 2'!$A$3:$E$26,5,FALSE)</f>
        <v>11.711349999999999</v>
      </c>
      <c r="O14" cm="1">
        <f t="array" ref="O14">IFERROR(_xll.FDS(B14,"IMF_IFS_RCPI_Q(0)"),$D$31)</f>
        <v>5.6333609999999998</v>
      </c>
      <c r="P14">
        <f>VLOOKUP(E14,GDP_GROWTH!$B$10:$W$165,22,FALSE)</f>
        <v>2.0053433544621524</v>
      </c>
      <c r="Q14">
        <f t="shared" si="0"/>
        <v>-7.4354821344545892</v>
      </c>
      <c r="R14" s="58">
        <f t="shared" si="1"/>
        <v>-6.8587696439121695</v>
      </c>
      <c r="S14">
        <f t="shared" si="2"/>
        <v>2.8609252976358004</v>
      </c>
      <c r="T14">
        <f t="shared" si="3"/>
        <v>8.9389142976358009</v>
      </c>
      <c r="U14" cm="1">
        <f t="array" ref="U14">_xlfn.PERCENTRANK.EXC(_xlfn._xlws.FILTER(Q$3:Q$23, ISNUMBER(Q$3:Q$23)),Q14)*100</f>
        <v>9</v>
      </c>
      <c r="V14" cm="1">
        <f t="array" ref="V14">_xlfn.PERCENTRANK.EXC(_xlfn._xlws.FILTER(R$3:R$23, ISNUMBER(R$3:R$23)),R14)*100</f>
        <v>9</v>
      </c>
      <c r="W14" cm="1">
        <f t="array" ref="W14">_xlfn.PERCENTRANK.EXC(_xlfn._xlws.FILTER(S$3:S$23, ISNUMBER(S$3:S$23)),S14)*100</f>
        <v>4.5</v>
      </c>
      <c r="X14" cm="1">
        <f t="array" ref="X14">(1-_xlfn.PERCENTRANK.EXC(_xlfn._xlws.FILTER(G$3:G$23, ISNUMBER(G$3:G$23)),G14))*100</f>
        <v>72.8</v>
      </c>
      <c r="Y14" cm="1">
        <f t="array" ref="Y14">(1-_xlfn.PERCENTRANK.EXC(_xlfn._xlws.FILTER(H$3:H$23, ISNUMBER(H$3:H$23)),H14))*100</f>
        <v>68.199999999999989</v>
      </c>
      <c r="Z14" cm="1">
        <f t="array" ref="Z14">_xlfn.PERCENTRANK.EXC(_xlfn._xlws.FILTER(T$3:T$23, ISNUMBER(T$3:T$23)),T14)*100</f>
        <v>45.4</v>
      </c>
      <c r="AA14" cm="1">
        <f t="array" ref="AA14">_xlfn.PERCENTRANK.EXC(_xlfn._xlws.FILTER(P$3:P$23, ISNUMBER(P$3:P$23)),P14)*100</f>
        <v>27.200000000000003</v>
      </c>
      <c r="AB14">
        <f t="shared" si="4"/>
        <v>31.564999999999998</v>
      </c>
      <c r="AC14" cm="1">
        <f t="array" ref="AC14">_xlfn.PERCENTRANK.EXC(_xlfn._xlws.FILTER(AB$3:AB$23, ISNUMBER(AB$3:AB$23)),AB14)*100</f>
        <v>13.600000000000001</v>
      </c>
    </row>
    <row r="15" spans="1:29" x14ac:dyDescent="0.3">
      <c r="A15" t="s">
        <v>279</v>
      </c>
      <c r="B15" t="s">
        <v>280</v>
      </c>
      <c r="C15" t="s">
        <v>281</v>
      </c>
      <c r="D15" t="s">
        <v>279</v>
      </c>
      <c r="E15" t="s">
        <v>282</v>
      </c>
      <c r="F15" s="2" cm="1">
        <f t="array" ref="F15">_xll.FDS(D15,"JULIAN(FMA_DIV_YLD(NTMA,NOW,NOW,M,""PORTAGG"",""MEANR"").dates)")</f>
        <v>45322</v>
      </c>
      <c r="G15" s="4" cm="1">
        <f t="array" ref="G15">_xll.FDS(D15,"FMA_PE(LTM,0,,,""PORTAGG"",""MEANR"")")</f>
        <v>7.6702797654345298</v>
      </c>
      <c r="H15" s="4" cm="1">
        <f t="array" ref="H15">_xll.FDS(D15,"FMA_PE(NTMA,0,,,""PORTAGG"",""MEANR"")")</f>
        <v>7.0591977712107497</v>
      </c>
      <c r="I15" cm="1">
        <f t="array" ref="I15">_xll.FDS(D15,"FMA_DIV_YLD(NTMA,NOW,NOW,M,""PORTAGG"",""MEANR"")")</f>
        <v>4.6265814984407196</v>
      </c>
      <c r="J15" s="58" cm="1">
        <f t="array" ref="J15">IFERROR(_xll.FDS(D15,"FG_FCF_YIELD_NTM(0)"),(1/G15*100))</f>
        <v>2.9096102499486198</v>
      </c>
      <c r="K15" s="3" cm="1">
        <f t="array" ref="K15">_xll.FDS(D15,"FMA_EVAL_EBITDA(NTMA,0,,,""PORTAGG"",""MEANR"")")</f>
        <v>5.2541555723322197</v>
      </c>
      <c r="L15" cm="1">
        <f t="array" ref="L15">_xll.FDS(D15,"FMA_EVAL_EBIT(LTMA,NOW,NOW,M,""PORTAGG"",""MEANR"")")</f>
        <v>7.0953917484211599</v>
      </c>
      <c r="M15">
        <f>HLOOKUP(D15,'Index ROE'!$A$1:$V$25,25,FALSE)</f>
        <v>13.1253657894167</v>
      </c>
      <c r="N15">
        <f>VLOOKUP(A15,'LIQIDITY 2'!$A$3:$E$26,5,FALSE)</f>
        <v>3.4950000000000001</v>
      </c>
      <c r="O15" cm="1">
        <f t="array" ref="O15">IFERROR(_xll.FDS(B15,"IMF_IFS_RCPI_Q(0)"),$D$31)</f>
        <v>3.3094649999999999</v>
      </c>
      <c r="P15">
        <f>VLOOKUP(E15,GDP_GROWTH!$B$10:$W$165,22,FALSE)</f>
        <v>0.85736345187500396</v>
      </c>
      <c r="Q15">
        <f t="shared" si="0"/>
        <v>1.1315814984407195</v>
      </c>
      <c r="R15" s="58">
        <f t="shared" si="1"/>
        <v>-0.58538975005138028</v>
      </c>
      <c r="S15">
        <f t="shared" si="2"/>
        <v>9.6303657894167003</v>
      </c>
      <c r="T15">
        <f t="shared" si="3"/>
        <v>9.8159007894167001</v>
      </c>
      <c r="U15" cm="1">
        <f t="array" ref="U15">_xlfn.PERCENTRANK.EXC(_xlfn._xlws.FILTER(Q$3:Q$23, ISNUMBER(Q$3:Q$23)),Q15)*100</f>
        <v>90.9</v>
      </c>
      <c r="V15" cm="1">
        <f t="array" ref="V15">_xlfn.PERCENTRANK.EXC(_xlfn._xlws.FILTER(R$3:R$23, ISNUMBER(R$3:R$23)),R15)*100</f>
        <v>40.9</v>
      </c>
      <c r="W15" cm="1">
        <f t="array" ref="W15">_xlfn.PERCENTRANK.EXC(_xlfn._xlws.FILTER(S$3:S$23, ISNUMBER(S$3:S$23)),S15)*100</f>
        <v>90.9</v>
      </c>
      <c r="X15" cm="1">
        <f t="array" ref="X15">(1-_xlfn.PERCENTRANK.EXC(_xlfn._xlws.FILTER(G$3:G$23, ISNUMBER(G$3:G$23)),G15))*100</f>
        <v>77.3</v>
      </c>
      <c r="Y15" cm="1">
        <f t="array" ref="Y15">(1-_xlfn.PERCENTRANK.EXC(_xlfn._xlws.FILTER(H$3:H$23, ISNUMBER(H$3:H$23)),H15))*100</f>
        <v>91</v>
      </c>
      <c r="Z15" cm="1">
        <f t="array" ref="Z15">_xlfn.PERCENTRANK.EXC(_xlfn._xlws.FILTER(T$3:T$23, ISNUMBER(T$3:T$23)),T15)*100</f>
        <v>63.6</v>
      </c>
      <c r="AA15" cm="1">
        <f t="array" ref="AA15">_xlfn.PERCENTRANK.EXC(_xlfn._xlws.FILTER(P$3:P$23, ISNUMBER(P$3:P$23)),P15)*100</f>
        <v>9</v>
      </c>
      <c r="AB15">
        <f t="shared" si="4"/>
        <v>66.820000000000007</v>
      </c>
      <c r="AC15" cm="1">
        <f t="array" ref="AC15">_xlfn.PERCENTRANK.EXC(_xlfn._xlws.FILTER(AB$3:AB$23, ISNUMBER(AB$3:AB$23)),AB15)*100</f>
        <v>77.2</v>
      </c>
    </row>
    <row r="16" spans="1:29" x14ac:dyDescent="0.3">
      <c r="A16" t="s">
        <v>9</v>
      </c>
      <c r="B16" t="s">
        <v>283</v>
      </c>
      <c r="C16" t="s">
        <v>284</v>
      </c>
      <c r="D16" t="s">
        <v>9</v>
      </c>
      <c r="E16" t="s">
        <v>182</v>
      </c>
      <c r="F16" s="2" cm="1">
        <f t="array" ref="F16">_xll.FDS(D16,"JULIAN(FMA_DIV_YLD(NTMA,NOW,NOW,M,""PORTAGG"",""MEANR"").dates)")</f>
        <v>45322</v>
      </c>
      <c r="G16" s="4" cm="1">
        <f t="array" ref="G16">_xll.FDS(D16,"FMA_PE(LTM,0,,,""PORTAGG"",""MEANR"")")</f>
        <v>26.0561601796812</v>
      </c>
      <c r="H16" s="4" cm="1">
        <f t="array" ref="H16">_xll.FDS(D16,"FMA_PE(NTMA,0,,,""PORTAGG"",""MEANR"")")</f>
        <v>22.437204141618501</v>
      </c>
      <c r="I16" cm="1">
        <f t="array" ref="I16">_xll.FDS(D16,"FMA_DIV_YLD(NTMA,NOW,NOW,M,""PORTAGG"",""MEANR"")")</f>
        <v>1.3766339911916601</v>
      </c>
      <c r="J16" s="58" cm="1">
        <f t="array" ref="J16">IFERROR(_xll.FDS(D16,"FG_FCF_YIELD_NTM(0)"),(1/G16*100))</f>
        <v>2.8583201253747399</v>
      </c>
      <c r="K16" s="3" cm="1">
        <f t="array" ref="K16">_xll.FDS(D16,"FMA_EVAL_EBITDA(NTMA,0,,,""PORTAGG"",""MEANR"")")</f>
        <v>14.929224440833501</v>
      </c>
      <c r="L16" cm="1">
        <f t="array" ref="L16">_xll.FDS(D16,"FMA_EVAL_EBIT(LTMA,NOW,NOW,M,""PORTAGG"",""MEANR"")")</f>
        <v>22.602439764754799</v>
      </c>
      <c r="M16">
        <f>HLOOKUP(D16,'Index ROE'!$A$1:$V$25,25,FALSE)</f>
        <v>16.0763665032879</v>
      </c>
      <c r="N16">
        <f>VLOOKUP(A16,'LIQIDITY 2'!$A$3:$E$26,5,FALSE)</f>
        <v>7.0984999999999996</v>
      </c>
      <c r="O16" cm="1">
        <f t="array" ref="O16">IFERROR(_xll.FDS(B16,"IMF_IFS_RCPI_Q(0)"),$D$31)</f>
        <v>3.2433991</v>
      </c>
      <c r="P16">
        <f>VLOOKUP(E16,GDP_GROWTH!$B$10:$W$165,22,FALSE)</f>
        <v>4.5925545086595072</v>
      </c>
      <c r="Q16">
        <f t="shared" si="0"/>
        <v>-5.7218660088083393</v>
      </c>
      <c r="R16" s="58">
        <f t="shared" si="1"/>
        <v>-4.2401798746252597</v>
      </c>
      <c r="S16">
        <f t="shared" si="2"/>
        <v>8.9778665032879008</v>
      </c>
      <c r="T16">
        <f t="shared" si="3"/>
        <v>12.832967403287901</v>
      </c>
      <c r="U16" cm="1">
        <f t="array" ref="U16">_xlfn.PERCENTRANK.EXC(_xlfn._xlws.FILTER(Q$3:Q$23, ISNUMBER(Q$3:Q$23)),Q16)*100</f>
        <v>13.600000000000001</v>
      </c>
      <c r="V16" cm="1">
        <f t="array" ref="V16">_xlfn.PERCENTRANK.EXC(_xlfn._xlws.FILTER(R$3:R$23, ISNUMBER(R$3:R$23)),R16)*100</f>
        <v>13.600000000000001</v>
      </c>
      <c r="W16" cm="1">
        <f t="array" ref="W16">_xlfn.PERCENTRANK.EXC(_xlfn._xlws.FILTER(S$3:S$23, ISNUMBER(S$3:S$23)),S16)*100</f>
        <v>72.7</v>
      </c>
      <c r="X16" cm="1">
        <f t="array" ref="X16">(1-_xlfn.PERCENTRANK.EXC(_xlfn._xlws.FILTER(G$3:G$23, ISNUMBER(G$3:G$23)),G16))*100</f>
        <v>4.6000000000000041</v>
      </c>
      <c r="Y16" cm="1">
        <f t="array" ref="Y16">(1-_xlfn.PERCENTRANK.EXC(_xlfn._xlws.FILTER(H$3:H$23, ISNUMBER(H$3:H$23)),H16))*100</f>
        <v>4.6000000000000041</v>
      </c>
      <c r="Z16" cm="1">
        <f t="array" ref="Z16">_xlfn.PERCENTRANK.EXC(_xlfn._xlws.FILTER(T$3:T$23, ISNUMBER(T$3:T$23)),T16)*100</f>
        <v>90.9</v>
      </c>
      <c r="AA16" cm="1">
        <f t="array" ref="AA16">_xlfn.PERCENTRANK.EXC(_xlfn._xlws.FILTER(P$3:P$23, ISNUMBER(P$3:P$23)),P16)*100</f>
        <v>77.2</v>
      </c>
      <c r="AB16">
        <f t="shared" si="4"/>
        <v>31.585000000000008</v>
      </c>
      <c r="AC16" cm="1">
        <f t="array" ref="AC16">_xlfn.PERCENTRANK.EXC(_xlfn._xlws.FILTER(AB$3:AB$23, ISNUMBER(AB$3:AB$23)),AB16)*100</f>
        <v>18.099999999999998</v>
      </c>
    </row>
    <row r="17" spans="1:29" x14ac:dyDescent="0.3">
      <c r="A17" t="s">
        <v>285</v>
      </c>
      <c r="B17" t="s">
        <v>233</v>
      </c>
      <c r="C17" t="s">
        <v>286</v>
      </c>
      <c r="D17" t="s">
        <v>285</v>
      </c>
      <c r="E17" t="s">
        <v>76</v>
      </c>
      <c r="F17" s="2" cm="1">
        <f t="array" ref="F17">_xll.FDS(D17,"JULIAN(FMA_DIV_YLD(NTMA,NOW,NOW,M,""PORTAGG"",""MEANR"").dates)")</f>
        <v>45322</v>
      </c>
      <c r="G17" s="4" cm="1">
        <f t="array" ref="G17">_xll.FDS(D17,"FMA_PE(LTM,0,,,""PORTAGG"",""MEANR"")")</f>
        <v>10.919445252811</v>
      </c>
      <c r="H17" s="4" cm="1">
        <f t="array" ref="H17">_xll.FDS(D17,"FMA_PE(NTMA,0,,,""PORTAGG"",""MEANR"")")</f>
        <v>8.7830565908807792</v>
      </c>
      <c r="I17" cm="1">
        <f t="array" ref="I17">_xll.FDS(D17,"FMA_DIV_YLD(NTMA,NOW,NOW,M,""PORTAGG"",""MEANR"")")</f>
        <v>2.98300620266355</v>
      </c>
      <c r="J17" s="58" cm="1">
        <f t="array" ref="J17">IFERROR(_xll.FDS(D17,"FG_FCF_YIELD_NTM(0)"),(1/G17*100))</f>
        <v>7.74019914899654</v>
      </c>
      <c r="K17" s="3" cm="1">
        <f t="array" ref="K17">_xll.FDS(D17,"FMA_EVAL_EBITDA(NTMA,0,,,""PORTAGG"",""MEANR"")")</f>
        <v>7.8238856322393602</v>
      </c>
      <c r="L17" cm="1">
        <f t="array" ref="L17">_xll.FDS(D17,"FMA_EVAL_EBIT(LTMA,NOW,NOW,M,""PORTAGG"",""MEANR"")")</f>
        <v>12.6575008439993</v>
      </c>
      <c r="M17">
        <f>HLOOKUP(D17,'Index ROE'!$A$1:$V$25,25,FALSE)</f>
        <v>11.562351585169701</v>
      </c>
      <c r="N17">
        <f>VLOOKUP(A17,'LIQIDITY 2'!$A$3:$E$26,5,FALSE)</f>
        <v>2.4449000000000001</v>
      </c>
      <c r="O17" cm="1">
        <f t="array" ref="O17">IFERROR(_xll.FDS(B17,"IMF_IFS_RCPI_Q(0)"),$D$31)</f>
        <v>-0.32258100000000001</v>
      </c>
      <c r="P17">
        <f>VLOOKUP(E17,GDP_GROWTH!$B$10:$W$165,22,FALSE)</f>
        <v>5.6866931054303738</v>
      </c>
      <c r="Q17">
        <f t="shared" si="0"/>
        <v>0.53810620266354992</v>
      </c>
      <c r="R17" s="58">
        <f t="shared" si="1"/>
        <v>5.2952991489965395</v>
      </c>
      <c r="S17">
        <f t="shared" si="2"/>
        <v>9.1174515851697002</v>
      </c>
      <c r="T17">
        <f t="shared" si="3"/>
        <v>11.8849325851697</v>
      </c>
      <c r="U17" cm="1">
        <f t="array" ref="U17">_xlfn.PERCENTRANK.EXC(_xlfn._xlws.FILTER(Q$3:Q$23, ISNUMBER(Q$3:Q$23)),Q17)*100</f>
        <v>68.100000000000009</v>
      </c>
      <c r="V17" cm="1">
        <f t="array" ref="V17">_xlfn.PERCENTRANK.EXC(_xlfn._xlws.FILTER(R$3:R$23, ISNUMBER(R$3:R$23)),R17)*100</f>
        <v>90.9</v>
      </c>
      <c r="W17" cm="1">
        <f t="array" ref="W17">_xlfn.PERCENTRANK.EXC(_xlfn._xlws.FILTER(S$3:S$23, ISNUMBER(S$3:S$23)),S17)*100</f>
        <v>81.8</v>
      </c>
      <c r="X17" cm="1">
        <f t="array" ref="X17">(1-_xlfn.PERCENTRANK.EXC(_xlfn._xlws.FILTER(G$3:G$23, ISNUMBER(G$3:G$23)),G17))*100</f>
        <v>63.7</v>
      </c>
      <c r="Y17" cm="1">
        <f t="array" ref="Y17">(1-_xlfn.PERCENTRANK.EXC(_xlfn._xlws.FILTER(H$3:H$23, ISNUMBER(H$3:H$23)),H17))*100</f>
        <v>72.8</v>
      </c>
      <c r="Z17" cm="1">
        <f t="array" ref="Z17">_xlfn.PERCENTRANK.EXC(_xlfn._xlws.FILTER(T$3:T$23, ISNUMBER(T$3:T$23)),T17)*100</f>
        <v>81.8</v>
      </c>
      <c r="AA17" cm="1">
        <f t="array" ref="AA17">_xlfn.PERCENTRANK.EXC(_xlfn._xlws.FILTER(P$3:P$23, ISNUMBER(P$3:P$23)),P17)*100</f>
        <v>86.3</v>
      </c>
      <c r="AB17">
        <f t="shared" si="4"/>
        <v>78.414999999999992</v>
      </c>
      <c r="AC17" cm="1">
        <f t="array" ref="AC17">_xlfn.PERCENTRANK.EXC(_xlfn._xlws.FILTER(AB$3:AB$23, ISNUMBER(AB$3:AB$23)),AB17)*100</f>
        <v>90.9</v>
      </c>
    </row>
    <row r="18" spans="1:29" x14ac:dyDescent="0.3">
      <c r="A18" t="s">
        <v>1</v>
      </c>
      <c r="B18" t="s">
        <v>287</v>
      </c>
      <c r="C18" t="s">
        <v>288</v>
      </c>
      <c r="D18" t="s">
        <v>289</v>
      </c>
      <c r="E18" t="s">
        <v>290</v>
      </c>
      <c r="F18" s="2" cm="1">
        <f t="array" ref="F18">_xll.FDS(D18,"JULIAN(FMA_DIV_YLD(NTMA,NOW,NOW,M,""PORTAGG"",""MEANR"").dates)")</f>
        <v>45322</v>
      </c>
      <c r="G18" s="4" cm="1">
        <f t="array" ref="G18">_xll.FDS(D18,"FMA_PE(LTM,0,,,""PORTAGG"",""MEANR"")")</f>
        <v>12.2890031032347</v>
      </c>
      <c r="H18" s="4" cm="1">
        <f t="array" ref="H18">_xll.FDS(D18,"FMA_PE(NTMA,0,,,""PORTAGG"",""MEANR"")")</f>
        <v>10.2139322759616</v>
      </c>
      <c r="I18" cm="1">
        <f t="array" ref="I18">_xll.FDS(D18,"FMA_DIV_YLD(NTMA,NOW,NOW,M,""PORTAGG"",""MEANR"")")</f>
        <v>4.9077946746380796</v>
      </c>
      <c r="J18" s="58" cm="1">
        <f t="array" ref="J18">IFERROR(_xll.FDS(D18,"FG_FCF_YIELD_NTM(0)"),(1/G18*100))</f>
        <v>8.1373565585379399</v>
      </c>
      <c r="K18" s="3" cm="1">
        <f t="array" ref="K18">_xll.FDS(D18,"FMA_EVAL_EBITDA(NTMA,0,,,""PORTAGG"",""MEANR"")")</f>
        <v>8.9795637692564192</v>
      </c>
      <c r="L18" cm="1">
        <f t="array" ref="L18">_xll.FDS(D18,"FMA_EVAL_EBIT(LTMA,NOW,NOW,M,""PORTAGG"",""MEANR"")")</f>
        <v>16.384883617583998</v>
      </c>
      <c r="M18">
        <f>HLOOKUP(D18,'Index ROE'!$A$1:$V$25,25,FALSE)</f>
        <v>12.1192289718939</v>
      </c>
      <c r="N18">
        <f>VLOOKUP(A18,'LIQIDITY 2'!$A$3:$E$26,5,FALSE)</f>
        <v>4.1153000000000004</v>
      </c>
      <c r="O18" cm="1">
        <f t="array" ref="O18">IFERROR(_xll.FDS(B18,"IMF_IFS_RCPI_Q(0)"),$D$31)</f>
        <v>3.2433991</v>
      </c>
      <c r="P18">
        <f>VLOOKUP(E18,GDP_GROWTH!$B$10:$W$165,22,FALSE)</f>
        <v>1.453731693851934</v>
      </c>
      <c r="Q18">
        <f t="shared" si="0"/>
        <v>0.79249467463807921</v>
      </c>
      <c r="R18" s="58">
        <f t="shared" si="1"/>
        <v>4.0220565585379395</v>
      </c>
      <c r="S18">
        <f t="shared" si="2"/>
        <v>8.0039289718938988</v>
      </c>
      <c r="T18">
        <f t="shared" si="3"/>
        <v>8.8758298718939006</v>
      </c>
      <c r="U18" cm="1">
        <f t="array" ref="U18">_xlfn.PERCENTRANK.EXC(_xlfn._xlws.FILTER(Q$3:Q$23, ISNUMBER(Q$3:Q$23)),Q18)*100</f>
        <v>81.8</v>
      </c>
      <c r="V18" cm="1">
        <f t="array" ref="V18">_xlfn.PERCENTRANK.EXC(_xlfn._xlws.FILTER(R$3:R$23, ISNUMBER(R$3:R$23)),R18)*100</f>
        <v>77.2</v>
      </c>
      <c r="W18" cm="1">
        <f t="array" ref="W18">_xlfn.PERCENTRANK.EXC(_xlfn._xlws.FILTER(S$3:S$23, ISNUMBER(S$3:S$23)),S18)*100</f>
        <v>63.6</v>
      </c>
      <c r="X18" cm="1">
        <f t="array" ref="X18">(1-_xlfn.PERCENTRANK.EXC(_xlfn._xlws.FILTER(G$3:G$23, ISNUMBER(G$3:G$23)),G18))*100</f>
        <v>54.6</v>
      </c>
      <c r="Y18" cm="1">
        <f t="array" ref="Y18">(1-_xlfn.PERCENTRANK.EXC(_xlfn._xlws.FILTER(H$3:H$23, ISNUMBER(H$3:H$23)),H18))*100</f>
        <v>54.6</v>
      </c>
      <c r="Z18" cm="1">
        <f t="array" ref="Z18">_xlfn.PERCENTRANK.EXC(_xlfn._xlws.FILTER(T$3:T$23, ISNUMBER(T$3:T$23)),T18)*100</f>
        <v>40.9</v>
      </c>
      <c r="AA18" cm="1">
        <f t="array" ref="AA18">_xlfn.PERCENTRANK.EXC(_xlfn._xlws.FILTER(P$3:P$23, ISNUMBER(P$3:P$23)),P18)*100</f>
        <v>22.7</v>
      </c>
      <c r="AB18">
        <f t="shared" si="4"/>
        <v>60.67</v>
      </c>
      <c r="AC18" cm="1">
        <f t="array" ref="AC18">_xlfn.PERCENTRANK.EXC(_xlfn._xlws.FILTER(AB$3:AB$23, ISNUMBER(AB$3:AB$23)),AB18)*100</f>
        <v>72.7</v>
      </c>
    </row>
    <row r="19" spans="1:29" x14ac:dyDescent="0.3">
      <c r="A19" t="s">
        <v>291</v>
      </c>
      <c r="B19" t="s">
        <v>292</v>
      </c>
      <c r="C19" t="s">
        <v>293</v>
      </c>
      <c r="D19" t="s">
        <v>291</v>
      </c>
      <c r="E19" t="s">
        <v>294</v>
      </c>
      <c r="F19" s="2" cm="1">
        <f t="array" ref="F19">_xll.FDS(D19,"JULIAN(FMA_DIV_YLD(NTMA,NOW,NOW,M,""PORTAGG"",""MEANR"").dates)")</f>
        <v>45322</v>
      </c>
      <c r="G19" s="4" cm="1">
        <f t="array" ref="G19">_xll.FDS(D19,"FMA_PE(LTM,0,,,""PORTAGG"",""MEANR"")")</f>
        <v>17.456332384167801</v>
      </c>
      <c r="H19" s="4" cm="1">
        <f t="array" ref="H19">_xll.FDS(D19,"FMA_PE(NTMA,0,,,""PORTAGG"",""MEANR"")")</f>
        <v>14.339940238818601</v>
      </c>
      <c r="I19" cm="1">
        <f t="array" ref="I19">_xll.FDS(D19,"FMA_DIV_YLD(NTMA,NOW,NOW,M,""PORTAGG"",""MEANR"")")</f>
        <v>3.5391090449545901</v>
      </c>
      <c r="J19" s="58" cm="1">
        <f t="array" ref="J19">IFERROR(_xll.FDS(D19,"FG_FCF_YIELD_NTM(0)"),(1/G19*100))</f>
        <v>4.4341585475069296</v>
      </c>
      <c r="K19" s="3" cm="1">
        <f t="array" ref="K19">_xll.FDS(D19,"FMA_EVAL_EBITDA(NTMA,0,,,""PORTAGG"",""MEANR"")")</f>
        <v>9.6492646817577601</v>
      </c>
      <c r="L19" cm="1">
        <f t="array" ref="L19">_xll.FDS(D19,"FMA_EVAL_EBIT(LTMA,NOW,NOW,M,""PORTAGG"",""MEANR"")")</f>
        <v>19.456367459237701</v>
      </c>
      <c r="M19">
        <f>HLOOKUP(D19,'Index ROE'!$A$1:$V$25,25,FALSE)</f>
        <v>9.3493955236852209</v>
      </c>
      <c r="N19">
        <f>VLOOKUP(A19,'LIQIDITY 2'!$A$3:$E$26,5,FALSE)</f>
        <v>2.5656050000000001</v>
      </c>
      <c r="O19" cm="1">
        <f t="array" ref="O19">IFERROR(_xll.FDS(B19,"IMF_IFS_RCPI_Q(0)"),$D$31)</f>
        <v>3.2433991</v>
      </c>
      <c r="P19">
        <f>VLOOKUP(E19,GDP_GROWTH!$B$10:$W$165,22,FALSE)</f>
        <v>1.3158022817511328</v>
      </c>
      <c r="Q19">
        <f t="shared" si="0"/>
        <v>0.97350404495458998</v>
      </c>
      <c r="R19" s="58">
        <f t="shared" si="1"/>
        <v>1.8685535475069295</v>
      </c>
      <c r="S19">
        <f t="shared" si="2"/>
        <v>6.7837905236852212</v>
      </c>
      <c r="T19">
        <f t="shared" si="3"/>
        <v>6.1059964236852213</v>
      </c>
      <c r="U19" cm="1">
        <f t="array" ref="U19">_xlfn.PERCENTRANK.EXC(_xlfn._xlws.FILTER(Q$3:Q$23, ISNUMBER(Q$3:Q$23)),Q19)*100</f>
        <v>86.3</v>
      </c>
      <c r="V19" cm="1">
        <f t="array" ref="V19">_xlfn.PERCENTRANK.EXC(_xlfn._xlws.FILTER(R$3:R$23, ISNUMBER(R$3:R$23)),R19)*100</f>
        <v>63.6</v>
      </c>
      <c r="W19" cm="1">
        <f t="array" ref="W19">_xlfn.PERCENTRANK.EXC(_xlfn._xlws.FILTER(S$3:S$23, ISNUMBER(S$3:S$23)),S19)*100</f>
        <v>40.9</v>
      </c>
      <c r="X19" cm="1">
        <f t="array" ref="X19">(1-_xlfn.PERCENTRANK.EXC(_xlfn._xlws.FILTER(G$3:G$23, ISNUMBER(G$3:G$23)),G19))*100</f>
        <v>27.3</v>
      </c>
      <c r="Y19" cm="1">
        <f t="array" ref="Y19">(1-_xlfn.PERCENTRANK.EXC(_xlfn._xlws.FILTER(H$3:H$23, ISNUMBER(H$3:H$23)),H19))*100</f>
        <v>22.799999999999997</v>
      </c>
      <c r="Z19" cm="1">
        <f t="array" ref="Z19">_xlfn.PERCENTRANK.EXC(_xlfn._xlws.FILTER(T$3:T$23, ISNUMBER(T$3:T$23)),T19)*100</f>
        <v>13.600000000000001</v>
      </c>
      <c r="AA19" cm="1">
        <f t="array" ref="AA19">_xlfn.PERCENTRANK.EXC(_xlfn._xlws.FILTER(P$3:P$23, ISNUMBER(P$3:P$23)),P19)*100</f>
        <v>18.099999999999998</v>
      </c>
      <c r="AB19">
        <f t="shared" si="4"/>
        <v>41.355000000000004</v>
      </c>
      <c r="AC19" cm="1">
        <f t="array" ref="AC19">_xlfn.PERCENTRANK.EXC(_xlfn._xlws.FILTER(AB$3:AB$23, ISNUMBER(AB$3:AB$23)),AB19)*100</f>
        <v>40.9</v>
      </c>
    </row>
    <row r="20" spans="1:29" x14ac:dyDescent="0.3">
      <c r="A20" t="s">
        <v>295</v>
      </c>
      <c r="B20" t="s">
        <v>296</v>
      </c>
      <c r="C20" t="s">
        <v>297</v>
      </c>
      <c r="D20" t="s">
        <v>295</v>
      </c>
      <c r="E20" t="s">
        <v>298</v>
      </c>
      <c r="F20" s="2" cm="1">
        <f t="array" ref="F20">_xll.FDS(D20,"JULIAN(FMA_DIV_YLD(NTMA,NOW,NOW,M,""PORTAGG"",""MEANR"").dates)")</f>
        <v>45322</v>
      </c>
      <c r="G20" s="4" cm="1">
        <f t="array" ref="G20">_xll.FDS(D20,"FMA_PE(LTM,0,,,""PORTAGG"",""MEANR"")")</f>
        <v>6.8089379856106103</v>
      </c>
      <c r="H20" s="4" cm="1">
        <f t="array" ref="H20">_xll.FDS(D20,"FMA_PE(NTMA,0,,,""PORTAGG"",""MEANR"")")</f>
        <v>5.2149387816639896</v>
      </c>
      <c r="I20" cm="1">
        <f t="array" ref="I20">_xll.FDS(D20,"FMA_DIV_YLD(NTMA,NOW,NOW,M,""PORTAGG"",""MEANR"")")</f>
        <v>4.41554574340865</v>
      </c>
      <c r="J20" s="58" cm="1">
        <f t="array" ref="J20">IFERROR(_xll.FDS(D20,"FG_FCF_YIELD_NTM(0)"),(1/G20*100))</f>
        <v>13.321577934391</v>
      </c>
      <c r="K20" s="3" cm="1">
        <f t="array" ref="K20">_xll.FDS(D20,"FMA_EVAL_EBITDA(NTMA,0,,,""PORTAGG"",""MEANR"")")</f>
        <v>4.1662232081893</v>
      </c>
      <c r="L20" cm="1">
        <f t="array" ref="L20">_xll.FDS(D20,"FMA_EVAL_EBIT(LTMA,NOW,NOW,M,""PORTAGG"",""MEANR"")")</f>
        <v>6.5867758312440596</v>
      </c>
      <c r="M20">
        <f>HLOOKUP(D20,'Index ROE'!$A$1:$V$25,25,FALSE)</f>
        <v>25.929266033517202</v>
      </c>
      <c r="N20">
        <f>VLOOKUP(A20,'LIQIDITY 2'!$A$3:$E$26,5,FALSE)</f>
        <v>22.446152000000001</v>
      </c>
      <c r="O20" cm="1">
        <f t="array" ref="O20">IFERROR(_xll.FDS(B20,"IMF_IFS_RCPI_Q(0)"),$D$31)</f>
        <v>62.724220000000003</v>
      </c>
      <c r="P20">
        <f>VLOOKUP(E20,GDP_GROWTH!$B$10:$W$165,22,FALSE)</f>
        <v>4.8494927539907469</v>
      </c>
      <c r="Q20">
        <f t="shared" si="0"/>
        <v>-18.030606256591351</v>
      </c>
      <c r="R20" s="58">
        <f t="shared" si="1"/>
        <v>-9.1245740656090017</v>
      </c>
      <c r="S20">
        <f t="shared" si="2"/>
        <v>3.4831140335172002</v>
      </c>
      <c r="T20">
        <f t="shared" si="3"/>
        <v>-36.794953966482801</v>
      </c>
      <c r="U20" cm="1">
        <f t="array" ref="U20">_xlfn.PERCENTRANK.EXC(_xlfn._xlws.FILTER(Q$3:Q$23, ISNUMBER(Q$3:Q$23)),Q20)*100</f>
        <v>4.5</v>
      </c>
      <c r="V20" cm="1">
        <f t="array" ref="V20">_xlfn.PERCENTRANK.EXC(_xlfn._xlws.FILTER(R$3:R$23, ISNUMBER(R$3:R$23)),R20)*100</f>
        <v>4.5</v>
      </c>
      <c r="W20" cm="1">
        <f t="array" ref="W20">_xlfn.PERCENTRANK.EXC(_xlfn._xlws.FILTER(S$3:S$23, ISNUMBER(S$3:S$23)),S20)*100</f>
        <v>9</v>
      </c>
      <c r="X20" cm="1">
        <f t="array" ref="X20">(1-_xlfn.PERCENTRANK.EXC(_xlfn._xlws.FILTER(G$3:G$23, ISNUMBER(G$3:G$23)),G20))*100</f>
        <v>95.5</v>
      </c>
      <c r="Y20" cm="1">
        <f t="array" ref="Y20">(1-_xlfn.PERCENTRANK.EXC(_xlfn._xlws.FILTER(H$3:H$23, ISNUMBER(H$3:H$23)),H20))*100</f>
        <v>95.5</v>
      </c>
      <c r="Z20" cm="1">
        <f t="array" ref="Z20">_xlfn.PERCENTRANK.EXC(_xlfn._xlws.FILTER(T$3:T$23, ISNUMBER(T$3:T$23)),T20)*100</f>
        <v>4.5</v>
      </c>
      <c r="AA20" cm="1">
        <f t="array" ref="AA20">_xlfn.PERCENTRANK.EXC(_xlfn._xlws.FILTER(P$3:P$23, ISNUMBER(P$3:P$23)),P20)*100</f>
        <v>81.8</v>
      </c>
      <c r="AB20">
        <f t="shared" si="4"/>
        <v>45.205000000000005</v>
      </c>
      <c r="AC20" cm="1">
        <f t="array" ref="AC20">_xlfn.PERCENTRANK.EXC(_xlfn._xlws.FILTER(AB$3:AB$23, ISNUMBER(AB$3:AB$23)),AB20)*100</f>
        <v>45.4</v>
      </c>
    </row>
    <row r="21" spans="1:29" x14ac:dyDescent="0.3">
      <c r="A21" t="s">
        <v>299</v>
      </c>
      <c r="B21" t="s">
        <v>300</v>
      </c>
      <c r="C21" t="s">
        <v>301</v>
      </c>
      <c r="D21" t="s">
        <v>299</v>
      </c>
      <c r="E21" t="s">
        <v>302</v>
      </c>
      <c r="F21" s="2" cm="1">
        <f t="array" ref="F21">_xll.FDS(D21,"JULIAN(FMA_DIV_YLD(NTMA,NOW,NOW,M,""PORTAGG"",""MEANR"").dates)")</f>
        <v>45322</v>
      </c>
      <c r="G21" s="4" cm="1">
        <f t="array" ref="G21">_xll.FDS(D21,"FMA_PE(LTM,0,,,""PORTAGG"",""MEANR"")")</f>
        <v>9.5011101413522692</v>
      </c>
      <c r="H21" s="4" cm="1">
        <f t="array" ref="H21">_xll.FDS(D21,"FMA_PE(NTMA,0,,,""PORTAGG"",""MEANR"")")</f>
        <v>10.073380493941199</v>
      </c>
      <c r="I21" cm="1">
        <f t="array" ref="I21">_xll.FDS(D21,"FMA_DIV_YLD(NTMA,NOW,NOW,M,""PORTAGG"",""MEANR"")")</f>
        <v>4.6408547541612304</v>
      </c>
      <c r="J21" s="58" cm="1">
        <f t="array" ref="J21">IFERROR(_xll.FDS(D21,"FG_FCF_YIELD_NTM(0)"),(1/G21*100))</f>
        <v>8.6324355804611805</v>
      </c>
      <c r="K21" s="3" cm="1">
        <f t="array" ref="K21">_xll.FDS(D21,"FMA_EVAL_EBITDA(NTMA,0,,,""PORTAGG"",""MEANR"")")</f>
        <v>6.8406271672045698</v>
      </c>
      <c r="L21" cm="1">
        <f t="array" ref="L21">_xll.FDS(D21,"FMA_EVAL_EBIT(LTMA,NOW,NOW,M,""PORTAGG"",""MEANR"")")</f>
        <v>10.076405626847</v>
      </c>
      <c r="M21">
        <f>HLOOKUP(D21,'Index ROE'!$A$1:$V$25,25,FALSE)</f>
        <v>13.225118228357401</v>
      </c>
      <c r="N21">
        <f>VLOOKUP(A21,'LIQIDITY 2'!$A$3:$E$26,5,FALSE)</f>
        <v>4.1153000000000004</v>
      </c>
      <c r="O21" cm="1">
        <f t="array" ref="O21">IFERROR(_xll.FDS(B21,"IMF_IFS_RCPI_Q(0)"),$D$31)</f>
        <v>3.2433991</v>
      </c>
      <c r="P21">
        <f>VLOOKUP(E21,GDP_GROWTH!$B$10:$W$165,22,FALSE)</f>
        <v>2.4407957064008778</v>
      </c>
      <c r="Q21">
        <f t="shared" si="0"/>
        <v>0.52555475416122999</v>
      </c>
      <c r="R21" s="58">
        <f t="shared" si="1"/>
        <v>4.5171355804611801</v>
      </c>
      <c r="S21">
        <f t="shared" si="2"/>
        <v>9.1098182283574012</v>
      </c>
      <c r="T21">
        <f t="shared" si="3"/>
        <v>9.9817191283574012</v>
      </c>
      <c r="U21" cm="1">
        <f t="array" ref="U21">_xlfn.PERCENTRANK.EXC(_xlfn._xlws.FILTER(Q$3:Q$23, ISNUMBER(Q$3:Q$23)),Q21)*100</f>
        <v>63.6</v>
      </c>
      <c r="V21" cm="1">
        <f t="array" ref="V21">_xlfn.PERCENTRANK.EXC(_xlfn._xlws.FILTER(R$3:R$23, ISNUMBER(R$3:R$23)),R21)*100</f>
        <v>81.8</v>
      </c>
      <c r="W21" cm="1">
        <f t="array" ref="W21">_xlfn.PERCENTRANK.EXC(_xlfn._xlws.FILTER(S$3:S$23, ISNUMBER(S$3:S$23)),S21)*100</f>
        <v>77.2</v>
      </c>
      <c r="X21" cm="1">
        <f t="array" ref="X21">(1-_xlfn.PERCENTRANK.EXC(_xlfn._xlws.FILTER(G$3:G$23, ISNUMBER(G$3:G$23)),G21))*100</f>
        <v>68.199999999999989</v>
      </c>
      <c r="Y21" cm="1">
        <f t="array" ref="Y21">(1-_xlfn.PERCENTRANK.EXC(_xlfn._xlws.FILTER(H$3:H$23, ISNUMBER(H$3:H$23)),H21))*100</f>
        <v>59.099999999999994</v>
      </c>
      <c r="Z21" cm="1">
        <f t="array" ref="Z21">_xlfn.PERCENTRANK.EXC(_xlfn._xlws.FILTER(T$3:T$23, ISNUMBER(T$3:T$23)),T21)*100</f>
        <v>68.100000000000009</v>
      </c>
      <c r="AA21" cm="1">
        <f t="array" ref="AA21">_xlfn.PERCENTRANK.EXC(_xlfn._xlws.FILTER(P$3:P$23, ISNUMBER(P$3:P$23)),P21)*100</f>
        <v>45.4</v>
      </c>
      <c r="AB21">
        <f t="shared" si="4"/>
        <v>70.430000000000007</v>
      </c>
      <c r="AC21" cm="1">
        <f t="array" ref="AC21">_xlfn.PERCENTRANK.EXC(_xlfn._xlws.FILTER(AB$3:AB$23, ISNUMBER(AB$3:AB$23)),AB21)*100</f>
        <v>86.3</v>
      </c>
    </row>
    <row r="22" spans="1:29" x14ac:dyDescent="0.3">
      <c r="A22" t="s">
        <v>303</v>
      </c>
      <c r="B22" t="s">
        <v>304</v>
      </c>
      <c r="C22" t="s">
        <v>305</v>
      </c>
      <c r="D22" t="s">
        <v>303</v>
      </c>
      <c r="E22" t="s">
        <v>306</v>
      </c>
      <c r="F22" s="2" cm="1">
        <f t="array" ref="F22">_xll.FDS(D22,"JULIAN(FMA_DIV_YLD(NTMA,NOW,NOW,M,""PORTAGG"",""MEANR"").dates)")</f>
        <v>45322</v>
      </c>
      <c r="G22" s="4" cm="1">
        <f t="array" ref="G22">_xll.FDS(D22,"FMA_PE(LTM,0,,,""PORTAGG"",""MEANR"")")</f>
        <v>20.019273030805898</v>
      </c>
      <c r="H22" s="4" cm="1">
        <f t="array" ref="H22">_xll.FDS(D22,"FMA_PE(NTMA,0,,,""PORTAGG"",""MEANR"")")</f>
        <v>14.6261563109456</v>
      </c>
      <c r="I22" cm="1">
        <f t="array" ref="I22">_xll.FDS(D22,"FMA_DIV_YLD(NTMA,NOW,NOW,M,""PORTAGG"",""MEANR"")")</f>
        <v>2.7977407250692301</v>
      </c>
      <c r="J22" s="58" cm="1">
        <f t="array" ref="J22">IFERROR(_xll.FDS(D22,"FG_FCF_YIELD_NTM(0)"),(1/G22*100))</f>
        <v>7.5295510639423702</v>
      </c>
      <c r="K22" s="3" cm="1">
        <f t="array" ref="K22">_xll.FDS(D22,"FMA_EVAL_EBITDA(NTMA,0,,,""PORTAGG"",""MEANR"")")</f>
        <v>9.3639531018687592</v>
      </c>
      <c r="L22" cm="1">
        <f t="array" ref="L22">_xll.FDS(D22,"FMA_EVAL_EBIT(LTMA,NOW,NOW,M,""PORTAGG"",""MEANR"")")</f>
        <v>16.745148804843399</v>
      </c>
      <c r="M22">
        <f>HLOOKUP(D22,'Index ROE'!$A$1:$V$25,25,FALSE)</f>
        <v>10.7481226516778</v>
      </c>
      <c r="N22">
        <f>VLOOKUP(A22,'LIQIDITY 2'!$A$3:$E$26,5,FALSE)</f>
        <v>2.2365295999999999</v>
      </c>
      <c r="O22" cm="1">
        <f t="array" ref="O22">IFERROR(_xll.FDS(B22,"IMF_IFS_RCPI_Q(0)"),$D$31)</f>
        <v>3.5401577999999998</v>
      </c>
      <c r="P22">
        <f>VLOOKUP(E22,GDP_GROWTH!$B$10:$W$165,22,FALSE)</f>
        <v>8.3599457036252378</v>
      </c>
      <c r="Q22">
        <f t="shared" si="0"/>
        <v>0.56121112506923021</v>
      </c>
      <c r="R22" s="58">
        <f t="shared" si="1"/>
        <v>5.2930214639423703</v>
      </c>
      <c r="S22">
        <f t="shared" si="2"/>
        <v>8.5115930516777993</v>
      </c>
      <c r="T22">
        <f t="shared" si="3"/>
        <v>7.2079648516778008</v>
      </c>
      <c r="U22" cm="1">
        <f t="array" ref="U22">_xlfn.PERCENTRANK.EXC(_xlfn._xlws.FILTER(Q$3:Q$23, ISNUMBER(Q$3:Q$23)),Q22)*100</f>
        <v>77.2</v>
      </c>
      <c r="V22" cm="1">
        <f t="array" ref="V22">_xlfn.PERCENTRANK.EXC(_xlfn._xlws.FILTER(R$3:R$23, ISNUMBER(R$3:R$23)),R22)*100</f>
        <v>86.3</v>
      </c>
      <c r="W22" cm="1">
        <f t="array" ref="W22">_xlfn.PERCENTRANK.EXC(_xlfn._xlws.FILTER(S$3:S$23, ISNUMBER(S$3:S$23)),S22)*100</f>
        <v>68.100000000000009</v>
      </c>
      <c r="X22" cm="1">
        <f t="array" ref="X22">(1-_xlfn.PERCENTRANK.EXC(_xlfn._xlws.FILTER(G$3:G$23, ISNUMBER(G$3:G$23)),G22))*100</f>
        <v>18.200000000000006</v>
      </c>
      <c r="Y22" cm="1">
        <f t="array" ref="Y22">(1-_xlfn.PERCENTRANK.EXC(_xlfn._xlws.FILTER(H$3:H$23, ISNUMBER(H$3:H$23)),H22))*100</f>
        <v>18.200000000000006</v>
      </c>
      <c r="Z22" cm="1">
        <f t="array" ref="Z22">_xlfn.PERCENTRANK.EXC(_xlfn._xlws.FILTER(T$3:T$23, ISNUMBER(T$3:T$23)),T22)*100</f>
        <v>27.200000000000003</v>
      </c>
      <c r="AA22" cm="1">
        <f t="array" ref="AA22">_xlfn.PERCENTRANK.EXC(_xlfn._xlws.FILTER(P$3:P$23, ISNUMBER(P$3:P$23)),P22)*100</f>
        <v>95.399999999999991</v>
      </c>
      <c r="AB22">
        <f t="shared" si="4"/>
        <v>58.370000000000005</v>
      </c>
      <c r="AC22" cm="1">
        <f t="array" ref="AC22">_xlfn.PERCENTRANK.EXC(_xlfn._xlws.FILTER(AB$3:AB$23, ISNUMBER(AB$3:AB$23)),AB22)*100</f>
        <v>68.100000000000009</v>
      </c>
    </row>
    <row r="23" spans="1:29" x14ac:dyDescent="0.3">
      <c r="A23" t="s">
        <v>307</v>
      </c>
      <c r="B23" t="s">
        <v>308</v>
      </c>
      <c r="C23" t="s">
        <v>309</v>
      </c>
      <c r="D23" t="s">
        <v>307</v>
      </c>
      <c r="E23" t="s">
        <v>310</v>
      </c>
      <c r="F23" s="2" cm="1">
        <f t="array" ref="F23">_xll.FDS(D23,"JULIAN(FMA_DIV_YLD(NTMA,NOW,NOW,M,""PORTAGG"",""MEANR"").dates)")</f>
        <v>45322</v>
      </c>
      <c r="G23" s="4" cm="1">
        <f t="array" ref="G23">_xll.FDS(D23,"FMA_PE(LTM,0,,,""PORTAGG"",""MEANR"")")</f>
        <v>22.6365952853746</v>
      </c>
      <c r="H23" s="4" cm="1">
        <f t="array" ref="H23">_xll.FDS(D23,"FMA_PE(NTMA,0,,,""PORTAGG"",""MEANR"")")</f>
        <v>18.5689288336225</v>
      </c>
      <c r="I23" cm="1">
        <f t="array" ref="I23">_xll.FDS(D23,"FMA_DIV_YLD(NTMA,NOW,NOW,M,""PORTAGG"",""MEANR"")")</f>
        <v>3.50092524513295</v>
      </c>
      <c r="J23" s="58" cm="1">
        <f t="array" ref="J23">IFERROR(_xll.FDS(D23,"FG_FCF_YIELD_NTM(0)"),(1/G23*100))</f>
        <v>4.0181242862753797</v>
      </c>
      <c r="K23" s="3" cm="1">
        <f t="array" ref="K23">_xll.FDS(D23,"FMA_EVAL_EBITDA(NTMA,0,,,""PORTAGG"",""MEANR"")")</f>
        <v>10.8966642513099</v>
      </c>
      <c r="L23" cm="1">
        <f t="array" ref="L23">_xll.FDS(D23,"FMA_EVAL_EBIT(LTMA,NOW,NOW,M,""PORTAGG"",""MEANR"")")</f>
        <v>21.590134665146799</v>
      </c>
      <c r="M23">
        <f>HLOOKUP(D23,'Index ROE'!$A$1:$V$25,25,FALSE)</f>
        <v>11.7570018859186</v>
      </c>
      <c r="N23">
        <f>VLOOKUP(A23,'LIQIDITY 2'!$A$3:$E$26,5,FALSE)</f>
        <v>5.2811159999999999</v>
      </c>
      <c r="O23" cm="1">
        <f t="array" ref="O23">IFERROR(_xll.FDS(B23,"IMF_IFS_RCPI_Q(0)"),$D$31)</f>
        <v>1.5943921000000001</v>
      </c>
      <c r="P23">
        <f>VLOOKUP(E23,GDP_GROWTH!$B$10:$W$165,22,FALSE)</f>
        <v>2.105673262075014</v>
      </c>
      <c r="Q23">
        <f t="shared" si="0"/>
        <v>-1.7801907548670499</v>
      </c>
      <c r="R23" s="58">
        <f t="shared" si="1"/>
        <v>-1.2629917137246203</v>
      </c>
      <c r="S23">
        <f t="shared" si="2"/>
        <v>6.4758858859185997</v>
      </c>
      <c r="T23">
        <f t="shared" si="3"/>
        <v>10.162609785918599</v>
      </c>
      <c r="U23" cm="1">
        <f t="array" ref="U23">_xlfn.PERCENTRANK.EXC(_xlfn._xlws.FILTER(Q$3:Q$23, ISNUMBER(Q$3:Q$23)),Q23)*100</f>
        <v>40.9</v>
      </c>
      <c r="V23" cm="1">
        <f t="array" ref="V23">_xlfn.PERCENTRANK.EXC(_xlfn._xlws.FILTER(R$3:R$23, ISNUMBER(R$3:R$23)),R23)*100</f>
        <v>31.8</v>
      </c>
      <c r="W23" cm="1">
        <f t="array" ref="W23">_xlfn.PERCENTRANK.EXC(_xlfn._xlws.FILTER(S$3:S$23, ISNUMBER(S$3:S$23)),S23)*100</f>
        <v>36.299999999999997</v>
      </c>
      <c r="X23" cm="1">
        <f t="array" ref="X23">(1-_xlfn.PERCENTRANK.EXC(_xlfn._xlws.FILTER(G$3:G$23, ISNUMBER(G$3:G$23)),G23))*100</f>
        <v>9.0999999999999979</v>
      </c>
      <c r="Y23" cm="1">
        <f t="array" ref="Y23">(1-_xlfn.PERCENTRANK.EXC(_xlfn._xlws.FILTER(H$3:H$23, ISNUMBER(H$3:H$23)),H23))*100</f>
        <v>9.0999999999999979</v>
      </c>
      <c r="Z23" cm="1">
        <f t="array" ref="Z23">_xlfn.PERCENTRANK.EXC(_xlfn._xlws.FILTER(T$3:T$23, ISNUMBER(T$3:T$23)),T23)*100</f>
        <v>72.7</v>
      </c>
      <c r="AA23" cm="1">
        <f t="array" ref="AA23">_xlfn.PERCENTRANK.EXC(_xlfn._xlws.FILTER(P$3:P$23, ISNUMBER(P$3:P$23)),P23)*100</f>
        <v>31.8</v>
      </c>
      <c r="AB23">
        <f t="shared" si="4"/>
        <v>25.434999999999999</v>
      </c>
      <c r="AC23" cm="1">
        <f t="array" ref="AC23">_xlfn.PERCENTRANK.EXC(_xlfn._xlws.FILTER(AB$3:AB$23, ISNUMBER(AB$3:AB$23)),AB23)*100</f>
        <v>4.5</v>
      </c>
    </row>
    <row r="24" spans="1:29" x14ac:dyDescent="0.3">
      <c r="F24" s="2"/>
      <c r="G24" s="4"/>
      <c r="H24" s="4"/>
      <c r="J24" s="58"/>
      <c r="K24" s="3"/>
    </row>
    <row r="25" spans="1:29" x14ac:dyDescent="0.3">
      <c r="F25" s="2"/>
      <c r="G25" s="4"/>
      <c r="H25" s="4"/>
      <c r="J25" s="58"/>
      <c r="K25" s="3"/>
    </row>
    <row r="26" spans="1:29" x14ac:dyDescent="0.3">
      <c r="A26" t="s">
        <v>213</v>
      </c>
      <c r="F26" s="2"/>
      <c r="G26" s="4"/>
      <c r="H26" s="4"/>
      <c r="J26" s="58"/>
      <c r="K26" s="3"/>
    </row>
    <row r="27" spans="1:29" x14ac:dyDescent="0.3">
      <c r="A27" t="s">
        <v>71</v>
      </c>
      <c r="B27" t="s">
        <v>214</v>
      </c>
      <c r="C27" t="s">
        <v>215</v>
      </c>
      <c r="D27" t="str">
        <f>A27</f>
        <v>VGK</v>
      </c>
      <c r="F27" s="2" cm="1">
        <f t="array" ref="F27">_xll.FDS(D27,"JULIAN(FMA_DIV_YLD(NTMA,NOW,NOW,M,""PORTAGG"",""MEANR"").dates)")</f>
        <v>45289</v>
      </c>
      <c r="G27" s="4" cm="1">
        <f t="array" ref="G27">_xll.FDS(D27,"FG_PE(0)")</f>
        <v>12.628456993981899</v>
      </c>
      <c r="H27" s="4" cm="1">
        <f t="array" ref="H27">_xll.FDS(D27,"FG_PE_NTM(0,,,90,0)")</f>
        <v>11.619872008447899</v>
      </c>
      <c r="I27" cm="1">
        <f t="array" ref="I27">_xll.FDS(D27,"FMA_DIV_YLD(NTMA,NOW,NOW,M,""PORTAGG"",""MEANR"")")</f>
        <v>3.6264177869997898</v>
      </c>
      <c r="J27" s="58" cm="1">
        <f t="array" ref="J27">_xll.FDS(D27,"FG_FCF_YIELD_NTM(0)")</f>
        <v>6.3456193754813102</v>
      </c>
      <c r="K27" s="3" cm="1">
        <f t="array" ref="K27">_xll.FDS(D27,"FMA_EVAL_EBITDA(NTMA,0,,,""PORTAGG"",""MEANR"")")</f>
        <v>8.0858929991218105</v>
      </c>
      <c r="L27" cm="1">
        <f t="array" ref="L27">_xll.FDS(D27,"FMA_EVAL_EBIT(LTMA,NOW,NOW,M,""PORTAGG"",""MEANR"")")</f>
        <v>12.816205115857301</v>
      </c>
    </row>
    <row r="28" spans="1:29" x14ac:dyDescent="0.3">
      <c r="A28" t="s">
        <v>4</v>
      </c>
      <c r="C28" t="s">
        <v>216</v>
      </c>
      <c r="D28" t="str">
        <f>A28</f>
        <v>VWO</v>
      </c>
      <c r="F28" s="2" cm="1">
        <f t="array" ref="F28">_xll.FDS(D28,"JULIAN(FMA_DIV_YLD(NTMA,NOW,NOW,M,""PORTAGG"",""MEANR"").dates)")</f>
        <v>45289</v>
      </c>
      <c r="G28" s="4" cm="1">
        <f t="array" ref="G28">_xll.FDS(D28,"FG_PE(0)")</f>
        <v>13.3668245835043</v>
      </c>
      <c r="H28" s="4" cm="1">
        <f t="array" ref="H28">_xll.FDS(D28,"FG_PE_NTM(0,,,90,0)")</f>
        <v>10.625924839519699</v>
      </c>
      <c r="I28" cm="1">
        <f t="array" ref="I28">_xll.FDS(D28,"FMA_DIV_YLD(NTMA,NOW,NOW,M,""PORTAGG"",""MEANR"")")</f>
        <v>3.05637582417096</v>
      </c>
      <c r="J28" s="58" cm="1">
        <f t="array" ref="J28">_xll.FDS(D28,"FG_FCF_YIELD_NTM(0)")</f>
        <v>6.6813361849907702</v>
      </c>
      <c r="K28" s="3" cm="1">
        <f t="array" ref="K28">_xll.FDS(D28,"FMA_EVAL_EBITDA(NTMA,0,,,""PORTAGG"",""MEANR"")")</f>
        <v>7.4738852844258803</v>
      </c>
      <c r="L28" cm="1">
        <f t="array" ref="L28">_xll.FDS(D28,"FMA_EVAL_EBIT(LTMA,NOW,NOW,M,""PORTAGG"",""MEANR"")")</f>
        <v>14.230512222929701</v>
      </c>
    </row>
    <row r="29" spans="1:29" x14ac:dyDescent="0.3">
      <c r="F29" s="2"/>
      <c r="G29" s="4"/>
      <c r="H29" s="4"/>
      <c r="J29" s="58"/>
      <c r="K29" s="3"/>
    </row>
    <row r="30" spans="1:29" x14ac:dyDescent="0.3">
      <c r="B30" t="s">
        <v>217</v>
      </c>
      <c r="C30" t="s">
        <v>72</v>
      </c>
      <c r="D30" t="s">
        <v>218</v>
      </c>
      <c r="F30" s="2"/>
      <c r="G30" s="4"/>
      <c r="H30" s="4"/>
      <c r="J30" s="58"/>
      <c r="K30" s="3"/>
    </row>
    <row r="31" spans="1:29" x14ac:dyDescent="0.3">
      <c r="B31" t="s">
        <v>39</v>
      </c>
      <c r="C31" t="s">
        <v>86</v>
      </c>
      <c r="D31" cm="1">
        <f t="array" ref="D31">_xll.FDS(B31,"IMF_IFS_RCPI_Q(0)")</f>
        <v>3.2433991</v>
      </c>
      <c r="E31" s="2"/>
    </row>
    <row r="41" spans="4:5" x14ac:dyDescent="0.3">
      <c r="D41" s="1"/>
      <c r="E41" s="1"/>
    </row>
    <row r="48" spans="4:5" x14ac:dyDescent="0.3">
      <c r="D48" s="1"/>
      <c r="E48" s="1"/>
    </row>
    <row r="53" spans="4:5" x14ac:dyDescent="0.3">
      <c r="D53" s="1"/>
      <c r="E53" s="1"/>
    </row>
    <row r="58" spans="4:5" x14ac:dyDescent="0.3">
      <c r="D58" s="1"/>
      <c r="E58" s="1"/>
    </row>
    <row r="59" spans="4:5" x14ac:dyDescent="0.3">
      <c r="D59" s="1"/>
      <c r="E59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60"/>
  <sheetViews>
    <sheetView topLeftCell="A4" workbookViewId="0">
      <selection activeCell="V10" sqref="V10"/>
    </sheetView>
  </sheetViews>
  <sheetFormatPr defaultRowHeight="14.4" x14ac:dyDescent="0.3"/>
  <cols>
    <col min="1" max="1" width="12" customWidth="1"/>
    <col min="2" max="2" width="25.33203125" customWidth="1"/>
    <col min="3" max="3" width="20.88671875" customWidth="1"/>
    <col min="4" max="4" width="0.33203125" customWidth="1"/>
    <col min="5" max="5" width="18" customWidth="1"/>
    <col min="6" max="6" width="13.44140625" customWidth="1"/>
    <col min="7" max="7" width="15.33203125" customWidth="1"/>
    <col min="8" max="8" width="16.33203125" customWidth="1"/>
    <col min="9" max="9" width="7.33203125" customWidth="1"/>
    <col min="10" max="10" width="6.5546875" customWidth="1"/>
    <col min="11" max="11" width="18.88671875" customWidth="1"/>
    <col min="12" max="12" width="13.33203125" customWidth="1"/>
    <col min="13" max="13" width="13" customWidth="1"/>
    <col min="14" max="14" width="13.44140625" customWidth="1"/>
    <col min="15" max="15" width="5" customWidth="1"/>
    <col min="16" max="16" width="9.6640625" customWidth="1"/>
  </cols>
  <sheetData>
    <row r="1" spans="1:19" ht="15" thickBot="1" x14ac:dyDescent="0.35">
      <c r="C1" t="s">
        <v>0</v>
      </c>
      <c r="E1" t="s">
        <v>155</v>
      </c>
      <c r="F1" t="s">
        <v>2</v>
      </c>
      <c r="G1" t="s">
        <v>3</v>
      </c>
      <c r="H1" t="s">
        <v>5</v>
      </c>
      <c r="K1" t="s">
        <v>156</v>
      </c>
      <c r="L1" t="s">
        <v>2</v>
      </c>
      <c r="M1" t="s">
        <v>21</v>
      </c>
      <c r="N1" t="s">
        <v>22</v>
      </c>
      <c r="P1" s="1" t="s">
        <v>26</v>
      </c>
      <c r="Q1" t="s">
        <v>27</v>
      </c>
      <c r="S1" t="s">
        <v>157</v>
      </c>
    </row>
    <row r="2" spans="1:19" s="15" customFormat="1" ht="15" thickBot="1" x14ac:dyDescent="0.35">
      <c r="A2" s="14"/>
      <c r="K2" s="41">
        <f>'Aset class Rankings'!E13</f>
        <v>0.33</v>
      </c>
      <c r="L2" s="41">
        <f>'Aset class Rankings'!F13</f>
        <v>0.33</v>
      </c>
      <c r="M2" s="41">
        <f>'Aset class Rankings'!G13</f>
        <v>0.33</v>
      </c>
    </row>
    <row r="3" spans="1:19" x14ac:dyDescent="0.3">
      <c r="A3" t="s">
        <v>4</v>
      </c>
      <c r="C3" t="str">
        <f>A3</f>
        <v>VWO</v>
      </c>
      <c r="E3" s="3" cm="1">
        <f t="array" ref="E3">_xll.FDS(C3,"FG_TOTAL_RETURNC(0,-1AM)")</f>
        <v>-0.86612104999999995</v>
      </c>
      <c r="F3" s="3" cm="1">
        <f t="array" ref="F3">_xll.FDS(C3,"FG_TOTAL_RETURNC(0,-3AM)")</f>
        <v>3.7310243000000001</v>
      </c>
      <c r="G3" s="3" cm="1">
        <f t="array" ref="G3">_xll.FDS(C3,"FG_TOTAL_RETURNC(0,-6AM)")</f>
        <v>1.0425686999999999</v>
      </c>
      <c r="H3" s="8" cm="1">
        <f t="array" ref="H3">_xll.FDS(C3,"P_PRICE(0)/P_PRICE_HIGH_PR(0,,,USD,,,""PRICE"",""INTRA"",""52W"")")</f>
        <v>0.92946640000000003</v>
      </c>
      <c r="K3" s="4">
        <f>_xlfn.RANK.EQ(H3,H$3:H$14)</f>
        <v>9</v>
      </c>
      <c r="L3" s="4">
        <f>_xlfn.RANK.EQ(F3,F$3:F$14)</f>
        <v>7</v>
      </c>
      <c r="M3" s="4">
        <f>_xlfn.RANK.EQ(G3,G$3:G$14)</f>
        <v>9</v>
      </c>
      <c r="N3" s="4"/>
      <c r="P3" s="3">
        <f t="shared" ref="P3:P13" si="0">SUMPRODUCT($K$2:$M$2,K3:M3)</f>
        <v>8.25</v>
      </c>
      <c r="Q3">
        <f t="shared" ref="Q3:Q13" si="1">COUNTIF(K3:N3,"&gt;70")</f>
        <v>0</v>
      </c>
      <c r="S3" s="3">
        <f>12-_xlfn.RANK.EQ(P3,$P$3:$P$14)</f>
        <v>8</v>
      </c>
    </row>
    <row r="4" spans="1:19" x14ac:dyDescent="0.3">
      <c r="A4" t="s">
        <v>1</v>
      </c>
      <c r="C4" t="str">
        <f t="shared" ref="C4:C14" si="2">A4</f>
        <v>SPY</v>
      </c>
      <c r="E4" s="3" cm="1">
        <f t="array" ref="E4">_xll.FDS(C4,"FG_TOTAL_RETURNC(0,-1AM)")</f>
        <v>3.6502479999999999</v>
      </c>
      <c r="F4" s="3" cm="1">
        <f t="array" ref="F4">_xll.FDS(C4,"FG_TOTAL_RETURNC(0,-3AM)")</f>
        <v>12.698293</v>
      </c>
      <c r="G4" s="3" cm="1">
        <f t="array" ref="G4">_xll.FDS(C4,"FG_TOTAL_RETURNC(0,-6AM)")</f>
        <v>11.715019</v>
      </c>
      <c r="H4" s="8" cm="1">
        <f t="array" ref="H4">_xll.FDS(C4,"P_PRICE(0)/P_PRICE_HIGH_PR(0,,,USD,,,""PRICE"",""INTRA"",""52W"")")</f>
        <v>0.98129093999999994</v>
      </c>
      <c r="I4" s="42"/>
      <c r="K4" s="4">
        <f t="shared" ref="K4:K14" si="3">_xlfn.RANK.EQ(H4,H$3:H$14)</f>
        <v>2</v>
      </c>
      <c r="L4" s="4">
        <f t="shared" ref="L4:L14" si="4">_xlfn.RANK.EQ(F4,F$3:F$14)</f>
        <v>2</v>
      </c>
      <c r="M4" s="4">
        <f t="shared" ref="M4:M14" si="5">_xlfn.RANK.EQ(G4,G$3:G$14)</f>
        <v>2</v>
      </c>
      <c r="N4" s="4"/>
      <c r="P4" s="3">
        <f t="shared" si="0"/>
        <v>1.98</v>
      </c>
      <c r="Q4">
        <f t="shared" si="1"/>
        <v>0</v>
      </c>
      <c r="S4" s="3">
        <f t="shared" ref="S4:S14" si="6">12-_xlfn.RANK.EQ(P4,$P$3:$P$14)</f>
        <v>0</v>
      </c>
    </row>
    <row r="5" spans="1:19" x14ac:dyDescent="0.3">
      <c r="A5" t="s">
        <v>147</v>
      </c>
      <c r="C5" t="str">
        <f t="shared" si="2"/>
        <v>GLD</v>
      </c>
      <c r="E5" s="3" cm="1">
        <f t="array" ref="E5">_xll.FDS(C5,"FG_TOTAL_RETURNC(0,-1AM)")</f>
        <v>-2.7304887999999998</v>
      </c>
      <c r="F5" s="3" cm="1">
        <f t="array" ref="F5">_xll.FDS(C5,"FG_TOTAL_RETURNC(0,-3AM)")</f>
        <v>2.2270203</v>
      </c>
      <c r="G5" s="3" cm="1">
        <f t="array" ref="G5">_xll.FDS(C5,"FG_TOTAL_RETURNC(0,-6AM)")</f>
        <v>3.902018</v>
      </c>
      <c r="H5" s="8" cm="1">
        <f t="array" ref="H5">_xll.FDS(C5,"P_PRICE(0)/P_PRICE_HIGH_PR(0,,,USD,,,""PRICE"",""INTRA"",""52W"")")</f>
        <v>0.95521175999999997</v>
      </c>
      <c r="I5" s="42"/>
      <c r="K5" s="4">
        <f t="shared" si="3"/>
        <v>7</v>
      </c>
      <c r="L5" s="4">
        <f t="shared" si="4"/>
        <v>9</v>
      </c>
      <c r="M5" s="4">
        <f t="shared" si="5"/>
        <v>7</v>
      </c>
      <c r="N5" s="4"/>
      <c r="P5" s="3">
        <f t="shared" si="0"/>
        <v>7.59</v>
      </c>
      <c r="Q5">
        <f t="shared" si="1"/>
        <v>0</v>
      </c>
      <c r="S5" s="3">
        <f t="shared" si="6"/>
        <v>6</v>
      </c>
    </row>
    <row r="6" spans="1:19" x14ac:dyDescent="0.3">
      <c r="A6" t="s">
        <v>148</v>
      </c>
      <c r="C6" t="str">
        <f t="shared" si="2"/>
        <v>UUP</v>
      </c>
      <c r="E6" s="3" cm="1">
        <f t="array" ref="E6">_xll.FDS(C6,"FG_TOTAL_RETURNC(0,-1AM)")</f>
        <v>2.8779507</v>
      </c>
      <c r="F6" s="3" cm="1">
        <f t="array" ref="F6">_xll.FDS(C6,"FG_TOTAL_RETURNC(0,-3AM)")</f>
        <v>0.81541540000000001</v>
      </c>
      <c r="G6" s="3" cm="1">
        <f t="array" ref="G6">_xll.FDS(C6,"FG_TOTAL_RETURNC(0,-6AM)")</f>
        <v>5.1557301999999998</v>
      </c>
      <c r="H6" s="8" cm="1">
        <f t="array" ref="H6">_xll.FDS(C6,"P_PRICE(0)/P_PRICE_HIGH_PR(0,,,USD,,,""PRICE"",""INTRA"",""52W"")")</f>
        <v>0.93618429999999997</v>
      </c>
      <c r="I6" s="42"/>
      <c r="K6" s="4">
        <f t="shared" si="3"/>
        <v>8</v>
      </c>
      <c r="L6" s="4">
        <f t="shared" si="4"/>
        <v>10</v>
      </c>
      <c r="M6" s="4">
        <f t="shared" si="5"/>
        <v>6</v>
      </c>
      <c r="N6" s="4"/>
      <c r="P6" s="3">
        <f t="shared" si="0"/>
        <v>7.92</v>
      </c>
      <c r="Q6">
        <f t="shared" si="1"/>
        <v>0</v>
      </c>
      <c r="S6" s="3">
        <f t="shared" si="6"/>
        <v>7</v>
      </c>
    </row>
    <row r="7" spans="1:19" x14ac:dyDescent="0.3">
      <c r="A7" t="s">
        <v>15</v>
      </c>
      <c r="C7" t="str">
        <f t="shared" si="2"/>
        <v>QQQ</v>
      </c>
      <c r="E7" s="3" cm="1">
        <f t="array" ref="E7">_xll.FDS(C7,"FG_TOTAL_RETURNC(0,-1AM)")</f>
        <v>4.6366810000000003</v>
      </c>
      <c r="F7" s="3" cm="1">
        <f t="array" ref="F7">_xll.FDS(C7,"FG_TOTAL_RETURNC(0,-3AM)")</f>
        <v>13.895726</v>
      </c>
      <c r="G7" s="3" cm="1">
        <f t="array" ref="G7">_xll.FDS(C7,"FG_TOTAL_RETURNC(0,-6AM)")</f>
        <v>17.476738000000001</v>
      </c>
      <c r="H7" s="8" cm="1">
        <f t="array" ref="H7">_xll.FDS(C7,"P_PRICE(0)/P_PRICE_HIGH_PR(0,,,USD,,,""PRICE"",""INTRA"",""52W"")")</f>
        <v>0.97588459999999999</v>
      </c>
      <c r="I7" s="1"/>
      <c r="K7" s="4">
        <f t="shared" si="3"/>
        <v>5</v>
      </c>
      <c r="L7" s="4">
        <f t="shared" si="4"/>
        <v>1</v>
      </c>
      <c r="M7" s="4">
        <f t="shared" si="5"/>
        <v>1</v>
      </c>
      <c r="N7" s="4"/>
      <c r="P7" s="3">
        <f t="shared" si="0"/>
        <v>2.31</v>
      </c>
      <c r="Q7">
        <f t="shared" si="1"/>
        <v>0</v>
      </c>
      <c r="S7" s="3">
        <f t="shared" si="6"/>
        <v>2</v>
      </c>
    </row>
    <row r="8" spans="1:19" x14ac:dyDescent="0.3">
      <c r="A8" t="s">
        <v>149</v>
      </c>
      <c r="C8" t="str">
        <f t="shared" si="2"/>
        <v>DBA</v>
      </c>
      <c r="E8" s="3" cm="1">
        <f t="array" ref="E8">_xll.FDS(C8,"FG_TOTAL_RETURNC(0,-1AM)")</f>
        <v>6.6957709999999997</v>
      </c>
      <c r="F8" s="3" cm="1">
        <f t="array" ref="F8">_xll.FDS(C8,"FG_TOTAL_RETURNC(0,-3AM)")</f>
        <v>2.8388620000000002</v>
      </c>
      <c r="G8" s="3" cm="1">
        <f t="array" ref="G8">_xll.FDS(C8,"FG_TOTAL_RETURNC(0,-6AM)")</f>
        <v>7.4020146999999996</v>
      </c>
      <c r="H8" s="8" cm="1">
        <f t="array" ref="H8">_xll.FDS(C8,"P_PRICE(0)/P_PRICE_HIGH_PR(0,,,USD,,,""PRICE"",""INTRA"",""52W"")")</f>
        <v>0.97776790000000002</v>
      </c>
      <c r="I8" s="1"/>
      <c r="K8" s="4">
        <f t="shared" si="3"/>
        <v>3</v>
      </c>
      <c r="L8" s="4">
        <f t="shared" si="4"/>
        <v>8</v>
      </c>
      <c r="M8" s="4">
        <f t="shared" si="5"/>
        <v>5</v>
      </c>
      <c r="N8" s="4"/>
      <c r="P8" s="3">
        <f t="shared" si="0"/>
        <v>5.28</v>
      </c>
      <c r="Q8">
        <f t="shared" si="1"/>
        <v>0</v>
      </c>
      <c r="S8" s="3">
        <f t="shared" si="6"/>
        <v>4</v>
      </c>
    </row>
    <row r="9" spans="1:19" x14ac:dyDescent="0.3">
      <c r="A9" t="s">
        <v>158</v>
      </c>
      <c r="C9" t="str">
        <f t="shared" si="2"/>
        <v>USO</v>
      </c>
      <c r="E9" s="3" cm="1">
        <f t="array" ref="E9">_xll.FDS(C9,"FG_TOTAL_RETURNC(0,-1AM)")</f>
        <v>6.8068265999999999</v>
      </c>
      <c r="F9" s="3" cm="1">
        <f t="array" ref="F9">_xll.FDS(C9,"FG_TOTAL_RETURNC(0,-3AM)")</f>
        <v>-0.37026405000000001</v>
      </c>
      <c r="G9" s="3" cm="1">
        <f t="array" ref="G9">_xll.FDS(C9,"FG_TOTAL_RETURNC(0,-6AM)")</f>
        <v>-2.1548807999999999</v>
      </c>
      <c r="H9" s="8" cm="1">
        <f t="array" ref="H9">_xll.FDS(C9,"P_PRICE(0)/P_PRICE_HIGH_PR(0,,,USD,,,""PRICE"",""INTRA"",""52W"")")</f>
        <v>0.87225359999999996</v>
      </c>
      <c r="I9" s="1"/>
      <c r="K9" s="4">
        <f t="shared" si="3"/>
        <v>10</v>
      </c>
      <c r="L9" s="4">
        <f t="shared" si="4"/>
        <v>11</v>
      </c>
      <c r="M9" s="4">
        <f t="shared" si="5"/>
        <v>11</v>
      </c>
      <c r="N9" s="4"/>
      <c r="P9" s="3">
        <f t="shared" si="0"/>
        <v>10.56</v>
      </c>
      <c r="Q9">
        <f t="shared" si="1"/>
        <v>0</v>
      </c>
      <c r="S9" s="3">
        <f t="shared" si="6"/>
        <v>10</v>
      </c>
    </row>
    <row r="10" spans="1:19" x14ac:dyDescent="0.3">
      <c r="A10" t="s">
        <v>150</v>
      </c>
      <c r="C10" t="str">
        <f t="shared" si="2"/>
        <v>TLT</v>
      </c>
      <c r="E10" s="3" cm="1">
        <f t="array" ref="E10">_xll.FDS(C10,"FG_TOTAL_RETURNC(0,-1AM)")</f>
        <v>-4.0183067000000001</v>
      </c>
      <c r="F10" s="3" cm="1">
        <f t="array" ref="F10">_xll.FDS(C10,"FG_TOTAL_RETURNC(0,-3AM)")</f>
        <v>6.1860559999999998</v>
      </c>
      <c r="G10" s="3" cm="1">
        <f t="array" ref="G10">_xll.FDS(C10,"FG_TOTAL_RETURNC(0,-6AM)")</f>
        <v>-1.3095140000000001</v>
      </c>
      <c r="H10" s="8" cm="1">
        <f t="array" ref="H10">_xll.FDS(C10,"P_PRICE(0)/P_PRICE_HIGH_PR(0,,,USD,,,""PRICE"",""INTRA"",""52W"")")</f>
        <v>0.84647112999999996</v>
      </c>
      <c r="K10" s="4">
        <f t="shared" si="3"/>
        <v>11</v>
      </c>
      <c r="L10" s="4">
        <f t="shared" si="4"/>
        <v>6</v>
      </c>
      <c r="M10" s="4">
        <f t="shared" si="5"/>
        <v>10</v>
      </c>
      <c r="N10" s="4"/>
      <c r="P10" s="3">
        <f t="shared" si="0"/>
        <v>8.91</v>
      </c>
      <c r="Q10">
        <f t="shared" si="1"/>
        <v>0</v>
      </c>
      <c r="S10" s="3">
        <f t="shared" si="6"/>
        <v>9</v>
      </c>
    </row>
    <row r="11" spans="1:19" x14ac:dyDescent="0.3">
      <c r="A11" t="s">
        <v>71</v>
      </c>
      <c r="C11" t="str">
        <f t="shared" si="2"/>
        <v>VGK</v>
      </c>
      <c r="E11" s="3" cm="1">
        <f t="array" ref="E11">_xll.FDS(C11,"FG_TOTAL_RETURNC(0,-1AM)")</f>
        <v>-1.5089570999999999</v>
      </c>
      <c r="F11" s="3" cm="1">
        <f t="array" ref="F11">_xll.FDS(C11,"FG_TOTAL_RETURNC(0,-3AM)")</f>
        <v>7.9225779999999997</v>
      </c>
      <c r="G11" s="3" cm="1">
        <f t="array" ref="G11">_xll.FDS(C11,"FG_TOTAL_RETURNC(0,-6AM)")</f>
        <v>2.7382493000000001</v>
      </c>
      <c r="H11" s="8" cm="1">
        <f t="array" ref="H11">_xll.FDS(C11,"P_PRICE(0)/P_PRICE_HIGH_PR(0,,,USD,,,""PRICE"",""INTRA"",""52W"")")</f>
        <v>0.96526223</v>
      </c>
      <c r="K11" s="4">
        <f t="shared" si="3"/>
        <v>6</v>
      </c>
      <c r="L11" s="4">
        <f t="shared" si="4"/>
        <v>5</v>
      </c>
      <c r="M11" s="4">
        <f t="shared" si="5"/>
        <v>8</v>
      </c>
      <c r="P11" s="3">
        <f t="shared" si="0"/>
        <v>6.27</v>
      </c>
      <c r="Q11">
        <f t="shared" si="1"/>
        <v>0</v>
      </c>
      <c r="S11" s="3">
        <f t="shared" si="6"/>
        <v>5</v>
      </c>
    </row>
    <row r="12" spans="1:19" x14ac:dyDescent="0.3">
      <c r="A12" t="s">
        <v>161</v>
      </c>
      <c r="C12" t="str">
        <f t="shared" si="2"/>
        <v>EMXC</v>
      </c>
      <c r="E12" s="3" cm="1">
        <f t="array" ref="E12">_xll.FDS(C12,"FG_TOTAL_RETURNC(0,-1AM)")</f>
        <v>0.69661139999999999</v>
      </c>
      <c r="F12" s="3" cm="1">
        <f t="array" ref="F12">_xll.FDS(C12,"FG_TOTAL_RETURNC(0,-3AM)")</f>
        <v>9.7653029999999994</v>
      </c>
      <c r="G12" s="3" cm="1">
        <f t="array" ref="G12">_xll.FDS(C12,"FG_TOTAL_RETURNC(0,-6AM)")</f>
        <v>7.7649236000000004</v>
      </c>
      <c r="H12" s="8" cm="1">
        <f t="array" ref="H12">_xll.FDS(C12,"P_PRICE(0)/P_PRICE_HIGH_PR(0,,,USD,,,""PRICE"",""INTRA"",""52W"")")</f>
        <v>0.97643787000000004</v>
      </c>
      <c r="K12" s="4">
        <f t="shared" si="3"/>
        <v>4</v>
      </c>
      <c r="L12" s="4">
        <f t="shared" si="4"/>
        <v>4</v>
      </c>
      <c r="M12" s="4">
        <f t="shared" si="5"/>
        <v>4</v>
      </c>
      <c r="P12" s="3">
        <f t="shared" ref="P12" si="7">SUMPRODUCT($K$2:$M$2,K12:M12)</f>
        <v>3.96</v>
      </c>
      <c r="Q12">
        <f t="shared" ref="Q12" si="8">COUNTIF(K12:N12,"&gt;70")</f>
        <v>0</v>
      </c>
      <c r="S12" s="3">
        <f t="shared" si="6"/>
        <v>3</v>
      </c>
    </row>
    <row r="13" spans="1:19" x14ac:dyDescent="0.3">
      <c r="A13" t="s">
        <v>12</v>
      </c>
      <c r="C13" t="str">
        <f t="shared" si="2"/>
        <v>EWJ</v>
      </c>
      <c r="E13" s="3" cm="1">
        <f t="array" ref="E13">_xll.FDS(C13,"FG_TOTAL_RETURNC(0,-1AM)")</f>
        <v>0.46665667999999999</v>
      </c>
      <c r="F13" s="3" cm="1">
        <f t="array" ref="F13">_xll.FDS(C13,"FG_TOTAL_RETURNC(0,-3AM)")</f>
        <v>11.979972999999999</v>
      </c>
      <c r="G13" s="3" cm="1">
        <f t="array" ref="G13">_xll.FDS(C13,"FG_TOTAL_RETURNC(0,-6AM)")</f>
        <v>10.283041000000001</v>
      </c>
      <c r="H13" s="8" cm="1">
        <f t="array" ref="H13">_xll.FDS(C13,"P_PRICE(0)/P_PRICE_HIGH_PR(0,,,USD,,,""PRICE"",""INTRA"",""52W"")")</f>
        <v>0.99249005000000001</v>
      </c>
      <c r="K13" s="4">
        <f t="shared" si="3"/>
        <v>1</v>
      </c>
      <c r="L13" s="4">
        <f t="shared" si="4"/>
        <v>3</v>
      </c>
      <c r="M13" s="4">
        <f t="shared" si="5"/>
        <v>3</v>
      </c>
      <c r="P13" s="3">
        <f t="shared" si="0"/>
        <v>2.31</v>
      </c>
      <c r="Q13">
        <f t="shared" si="1"/>
        <v>0</v>
      </c>
      <c r="S13" s="3">
        <f t="shared" si="6"/>
        <v>2</v>
      </c>
    </row>
    <row r="14" spans="1:19" x14ac:dyDescent="0.3">
      <c r="A14" t="s">
        <v>153</v>
      </c>
      <c r="C14" t="str">
        <f t="shared" si="2"/>
        <v>FXI</v>
      </c>
      <c r="E14" s="3" cm="1">
        <f t="array" ref="E14">_xll.FDS(C14,"FG_TOTAL_RETURNC(0,-1AM)")</f>
        <v>-2.3317158</v>
      </c>
      <c r="F14" s="3" cm="1">
        <f t="array" ref="F14">_xll.FDS(C14,"FG_TOTAL_RETURNC(0,-3AM)")</f>
        <v>-12.418842</v>
      </c>
      <c r="G14" s="3" cm="1">
        <f t="array" ref="G14">_xll.FDS(C14,"FG_TOTAL_RETURNC(0,-6AM)")</f>
        <v>-18.378878</v>
      </c>
      <c r="H14" s="8" cm="1">
        <f t="array" ref="H14">_xll.FDS(C14,"P_PRICE(0)/P_PRICE_HIGH_PR(0,,,USD,,,""PRICE"",""INTRA"",""52W"")")</f>
        <v>0.72691554000000003</v>
      </c>
      <c r="K14" s="4">
        <f t="shared" si="3"/>
        <v>12</v>
      </c>
      <c r="L14" s="4">
        <f t="shared" si="4"/>
        <v>12</v>
      </c>
      <c r="M14" s="4">
        <f t="shared" si="5"/>
        <v>12</v>
      </c>
      <c r="P14" s="3">
        <f>SUMPRODUCT($K$2:$M$2,K14:M14)</f>
        <v>11.879999999999999</v>
      </c>
      <c r="Q14">
        <f>COUNTIF(K14:N14,"&gt;70")</f>
        <v>0</v>
      </c>
      <c r="S14" s="3">
        <f t="shared" si="6"/>
        <v>11</v>
      </c>
    </row>
    <row r="22" spans="3:3" ht="15" customHeight="1" x14ac:dyDescent="0.3"/>
    <row r="23" spans="3:3" ht="15" customHeight="1" x14ac:dyDescent="0.3"/>
    <row r="24" spans="3:3" ht="15" customHeight="1" x14ac:dyDescent="0.3"/>
    <row r="25" spans="3:3" ht="15" customHeight="1" x14ac:dyDescent="0.3">
      <c r="C25" s="1"/>
    </row>
    <row r="26" spans="3:3" ht="15" customHeight="1" x14ac:dyDescent="0.3"/>
    <row r="27" spans="3:3" ht="15" customHeight="1" x14ac:dyDescent="0.3"/>
    <row r="28" spans="3:3" ht="15" customHeight="1" x14ac:dyDescent="0.3"/>
    <row r="29" spans="3:3" ht="15" customHeight="1" x14ac:dyDescent="0.3"/>
    <row r="30" spans="3:3" ht="15" customHeight="1" x14ac:dyDescent="0.3"/>
    <row r="31" spans="3:3" ht="15" customHeight="1" x14ac:dyDescent="0.3"/>
    <row r="32" spans="3:3" ht="15" customHeight="1" x14ac:dyDescent="0.3">
      <c r="C32" s="1"/>
    </row>
    <row r="33" spans="3:3" ht="15" customHeight="1" x14ac:dyDescent="0.3"/>
    <row r="34" spans="3:3" ht="15" customHeight="1" x14ac:dyDescent="0.3"/>
    <row r="35" spans="3:3" ht="15" customHeight="1" x14ac:dyDescent="0.3"/>
    <row r="36" spans="3:3" ht="15" customHeight="1" x14ac:dyDescent="0.3"/>
    <row r="37" spans="3:3" ht="15" customHeight="1" x14ac:dyDescent="0.3">
      <c r="C37" s="1"/>
    </row>
    <row r="38" spans="3:3" ht="15" customHeight="1" x14ac:dyDescent="0.3"/>
    <row r="39" spans="3:3" ht="15" customHeight="1" x14ac:dyDescent="0.3"/>
    <row r="40" spans="3:3" ht="15" customHeight="1" x14ac:dyDescent="0.3"/>
    <row r="41" spans="3:3" ht="15" customHeight="1" x14ac:dyDescent="0.3"/>
    <row r="42" spans="3:3" ht="15" customHeight="1" x14ac:dyDescent="0.3">
      <c r="C42" s="1"/>
    </row>
    <row r="43" spans="3:3" ht="15" customHeight="1" x14ac:dyDescent="0.3">
      <c r="C43" s="1"/>
    </row>
    <row r="44" spans="3:3" ht="15" customHeight="1" x14ac:dyDescent="0.3"/>
    <row r="45" spans="3:3" ht="15" customHeight="1" x14ac:dyDescent="0.3"/>
    <row r="46" spans="3:3" ht="15" customHeight="1" x14ac:dyDescent="0.3"/>
    <row r="47" spans="3:3" ht="15" customHeight="1" x14ac:dyDescent="0.3"/>
    <row r="48" spans="3:3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257"/>
  <sheetViews>
    <sheetView zoomScale="82" zoomScaleNormal="82" workbookViewId="0">
      <pane xSplit="1" topLeftCell="B1" activePane="topRight" state="frozen"/>
      <selection activeCell="L48" sqref="L48"/>
      <selection pane="topRight" activeCell="M27" sqref="M27"/>
    </sheetView>
  </sheetViews>
  <sheetFormatPr defaultRowHeight="14.4" x14ac:dyDescent="0.3"/>
  <cols>
    <col min="1" max="1" width="12" customWidth="1"/>
    <col min="2" max="2" width="41.44140625" customWidth="1"/>
    <col min="3" max="3" width="22.44140625" customWidth="1"/>
    <col min="4" max="4" width="14.5546875" bestFit="1" customWidth="1"/>
    <col min="5" max="5" width="13.88671875" customWidth="1"/>
    <col min="6" max="6" width="11.33203125" customWidth="1"/>
    <col min="7" max="7" width="12.5546875" customWidth="1"/>
    <col min="8" max="8" width="10.33203125" bestFit="1" customWidth="1"/>
    <col min="9" max="9" width="12" customWidth="1"/>
    <col min="10" max="10" width="11.5546875" customWidth="1"/>
    <col min="11" max="11" width="25" customWidth="1"/>
    <col min="12" max="12" width="17.44140625" customWidth="1"/>
    <col min="13" max="13" width="20.109375" customWidth="1"/>
    <col min="14" max="14" width="0.33203125" customWidth="1"/>
    <col min="15" max="15" width="15.6640625" bestFit="1" customWidth="1"/>
    <col min="16" max="16" width="15.33203125" customWidth="1"/>
    <col min="17" max="17" width="18.44140625" customWidth="1"/>
    <col min="18" max="18" width="17.109375" customWidth="1"/>
    <col min="19" max="19" width="6.5546875" customWidth="1"/>
    <col min="20" max="21" width="17.5546875" customWidth="1"/>
    <col min="22" max="22" width="18.88671875" customWidth="1"/>
    <col min="23" max="23" width="13.33203125" customWidth="1"/>
    <col min="24" max="24" width="13" customWidth="1"/>
    <col min="25" max="25" width="13.44140625" customWidth="1"/>
    <col min="26" max="26" width="13" customWidth="1"/>
    <col min="27" max="27" width="12.109375" customWidth="1"/>
    <col min="28" max="28" width="11.44140625" customWidth="1"/>
    <col min="29" max="31" width="13.6640625" customWidth="1"/>
    <col min="32" max="32" width="10.33203125" customWidth="1"/>
    <col min="33" max="33" width="7" customWidth="1"/>
    <col min="34" max="34" width="9.6640625" customWidth="1"/>
  </cols>
  <sheetData>
    <row r="1" spans="1:37" ht="62.25" customHeight="1" thickBot="1" x14ac:dyDescent="0.35">
      <c r="C1" t="s">
        <v>0</v>
      </c>
      <c r="D1" s="26" t="s">
        <v>137</v>
      </c>
      <c r="E1" s="33" t="s">
        <v>138</v>
      </c>
      <c r="F1" s="33" t="s">
        <v>8</v>
      </c>
      <c r="G1" s="33" t="s">
        <v>17</v>
      </c>
      <c r="H1" s="33" t="s">
        <v>16</v>
      </c>
      <c r="I1" s="33" t="s">
        <v>19</v>
      </c>
      <c r="J1" s="33" t="s">
        <v>25</v>
      </c>
      <c r="K1" t="s">
        <v>18</v>
      </c>
      <c r="L1" t="s">
        <v>46</v>
      </c>
      <c r="M1" t="s">
        <v>47</v>
      </c>
      <c r="O1" t="s">
        <v>2</v>
      </c>
      <c r="P1" t="s">
        <v>3</v>
      </c>
      <c r="Q1" t="s">
        <v>5</v>
      </c>
      <c r="R1" t="s">
        <v>63</v>
      </c>
      <c r="T1" t="s">
        <v>65</v>
      </c>
      <c r="U1" t="s">
        <v>66</v>
      </c>
      <c r="V1" t="s">
        <v>64</v>
      </c>
      <c r="W1" t="s">
        <v>2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48</v>
      </c>
      <c r="AD1" t="s">
        <v>49</v>
      </c>
      <c r="AE1" s="33" t="s">
        <v>139</v>
      </c>
      <c r="AH1" s="1" t="s">
        <v>26</v>
      </c>
      <c r="AI1" t="s">
        <v>27</v>
      </c>
    </row>
    <row r="2" spans="1:37" s="15" customFormat="1" ht="15" thickBot="1" x14ac:dyDescent="0.35">
      <c r="A2" s="14"/>
      <c r="U2" s="16" t="e">
        <f>#REF!</f>
        <v>#REF!</v>
      </c>
      <c r="V2" s="16" t="e">
        <f>#REF!</f>
        <v>#REF!</v>
      </c>
      <c r="W2" s="16" t="e">
        <f>#REF!</f>
        <v>#REF!</v>
      </c>
      <c r="X2" s="16" t="e">
        <f>#REF!</f>
        <v>#REF!</v>
      </c>
      <c r="Z2" s="15" t="e">
        <f>#REF!</f>
        <v>#REF!</v>
      </c>
      <c r="AA2" s="16" t="e">
        <f>#REF!</f>
        <v>#REF!</v>
      </c>
      <c r="AB2" s="16" t="e">
        <f>#REF!</f>
        <v>#REF!</v>
      </c>
      <c r="AC2" s="16" t="e">
        <f>#REF!</f>
        <v>#REF!</v>
      </c>
      <c r="AD2" s="16" t="e">
        <f>#REF!</f>
        <v>#REF!</v>
      </c>
      <c r="AE2" s="16" t="e">
        <f>#REF!</f>
        <v>#REF!</v>
      </c>
      <c r="AF2" s="16" t="e">
        <f>SUM(V2:AD2)</f>
        <v>#REF!</v>
      </c>
    </row>
    <row r="3" spans="1:37" hidden="1" x14ac:dyDescent="0.3">
      <c r="A3" t="s">
        <v>60</v>
      </c>
      <c r="B3" t="str" cm="1">
        <f t="array" ref="B3">_xll.FDS(A3,"FG_COMPANY_NAME")</f>
        <v>iShares MSCI New Zealand ETF</v>
      </c>
      <c r="C3" t="s">
        <v>60</v>
      </c>
      <c r="D3" s="37" t="e">
        <f>VLOOKUP(C3,#REF!,5,FALSE)</f>
        <v>#REF!</v>
      </c>
      <c r="E3" cm="1">
        <f t="array" ref="E3">_xll.FDS(C3,"FMA_COS_UP(""EPS"",""1M"",+1,0,,,""PORTAGG"",""MEANR"")")</f>
        <v>2</v>
      </c>
      <c r="F3" cm="1">
        <f t="array" ref="F3">_xll.FDS(C3,"FMA_COS_DOWN(""EPS"",""1M"",+1,0,,,""PORTAGG"",""MEANR"")")</f>
        <v>8</v>
      </c>
      <c r="G3" cm="1">
        <f t="array" ref="G3">_xll.FDS(A3,"SIZE(FG_CONSTITUENTS)")</f>
        <v>16</v>
      </c>
      <c r="H3" s="8">
        <f t="shared" ref="H3:H11" si="0">E3/$G3</f>
        <v>0.125</v>
      </c>
      <c r="I3" s="8">
        <f t="shared" ref="I3:I11" si="1">F3/$G3</f>
        <v>0.5</v>
      </c>
      <c r="J3" s="8">
        <f t="shared" ref="J3:J11" si="2">H3-I3</f>
        <v>-0.375</v>
      </c>
      <c r="K3" s="5" cm="1">
        <f t="array" ref="K3">_xll.FDS(A3,"FMA_PCT_ABOVE_MAVG(200,0,,,,""PORTAGG"")")/100</f>
        <v>0.5</v>
      </c>
      <c r="L3" s="19" cm="1">
        <f t="array" ref="L3">_xll.FDSB(A3,"PERCENT_CHANGE(FMA_EPS(+1,0,,,,""PORTAGG"",""MEAN""),FMA_EPS(+1,-1AM,,,,""PORTAGG"",""MEAN""))")</f>
        <v>-2.0850324267174298</v>
      </c>
      <c r="M3" s="19" cm="1">
        <f t="array" ref="M3">_xll.FDSB(A3,"PERCENT_CHANGE(FMA_EPS(+1,0,,,,""PORTAGG"",""MEAN""),FMA_EPS(+1,-3AM,,,,""PORTAGG"",""MEAN""))")</f>
        <v>-5.7155623808583096</v>
      </c>
      <c r="O3" s="3" cm="1">
        <f t="array" ref="O3">_xll.FDS(C3,"FG_TOTAL_RETURNC(0,-3AM)")</f>
        <v>5.3220510000000001</v>
      </c>
      <c r="P3" s="3" cm="1">
        <f t="array" ref="P3">_xll.FDS(C3,"FG_TOTAL_RETURNC(0,-6AM)")</f>
        <v>-3.5106777999999998</v>
      </c>
      <c r="Q3" s="8" cm="1">
        <f t="array" ref="Q3">_xll.FDS(C3,"P_PRICE(0)/P_PRICE_HIGH_PR(0,,,USD,,,""PRICE"",""INTRA"",""52W"")")</f>
        <v>0.86435693999999996</v>
      </c>
      <c r="R3" s="8" cm="1">
        <f t="array" ref="R3">_xll.FDS(C3,"P_PRICE(0)/P_PRICE_low_PR(0,,,USD,,,""PRICE"",""INTRA"",""52W"")-1")</f>
        <v>8.5057019999999997E-2</v>
      </c>
      <c r="T3" s="4" cm="1">
        <f t="array" ref="T3">_xlfn.PERCENTRANK.EXC(_xlfn._xlws.FILTER($R$3:$R$15, ISNUMBER($R$3:$R$15)),R3)*100</f>
        <v>14.2</v>
      </c>
      <c r="U3" s="4">
        <f t="shared" ref="U3:U11" si="3">100-T3</f>
        <v>85.8</v>
      </c>
      <c r="V3" s="4" cm="1">
        <f t="array" ref="V3">_xlfn.PERCENTRANK.EXC(_xlfn._xlws.FILTER($Q$3:$Q$15, ISNUMBER($Q$3:$Q$15)),Q3)*100</f>
        <v>7.1</v>
      </c>
      <c r="W3" s="4" cm="1">
        <f t="array" ref="W3">_xlfn.PERCENTRANK.EXC(_xlfn._xlws.FILTER($O$3:$O$15, ISNUMBER($O$3:$O$15)),O3)*100</f>
        <v>14.2</v>
      </c>
      <c r="X3" s="4" cm="1">
        <f t="array" ref="X3">_xlfn.PERCENTRANK.EXC(_xlfn._xlws.FILTER($P$3:$P$15, ISNUMBER($P$3:$P$15)),P3)*100</f>
        <v>7.1</v>
      </c>
      <c r="Z3" s="4" cm="1">
        <f t="array" ref="Z3">_xlfn.PERCENTRANK.EXC(_xlfn._xlws.FILTER($K$3:$K$15, ISNUMBER($K$3:$K$15)),K3)*100</f>
        <v>7.1</v>
      </c>
      <c r="AA3" s="4" cm="1">
        <f t="array" ref="AA3">_xlfn.PERCENTRANK.EXC(_xlfn._xlws.FILTER($H$3:$H$15, ISNUMBER($H$3:$H$15)),H3)*100</f>
        <v>7.1</v>
      </c>
      <c r="AB3" s="4" cm="1">
        <f t="array" ref="AB3">_xlfn.PERCENTRANK.EXC(_xlfn._xlws.FILTER($J$3:$J$15, ISNUMBER($J$3:$J$15)),J3)*100</f>
        <v>7.1</v>
      </c>
      <c r="AC3" s="4">
        <f>_xlfn.PERCENTRANK.EXC($L$3:$L$15,L3)*100</f>
        <v>71.399999999999991</v>
      </c>
      <c r="AD3" s="4">
        <f>_xlfn.PERCENTRANK.EXC($M$3:$M$15,M3)*100</f>
        <v>21.4</v>
      </c>
      <c r="AE3" s="4" t="e">
        <f>_xlfn.PERCENTRANK.EXC($D$3:$D$15,D3)*100</f>
        <v>#REF!</v>
      </c>
      <c r="AF3" s="4" t="e">
        <f t="shared" ref="AF3:AF11" si="4">SUMPRODUCT($U$2:$AE$2,U3:AE3)</f>
        <v>#REF!</v>
      </c>
      <c r="AH3" s="3" t="e" cm="1" vm="1">
        <f t="array" ref="AH3">_xlfn.PERCENTRANK.EXC(_xlfn._xlws.FILTER($AF$3:$AF$15, ISNUMBER($AF$3:$AF$15)),AF3)*100</f>
        <v>#VALUE!</v>
      </c>
      <c r="AI3">
        <f t="shared" ref="AI3:AI11" si="5">COUNTIF(V3:AB3,"&gt;70")</f>
        <v>0</v>
      </c>
      <c r="AK3" s="4"/>
    </row>
    <row r="4" spans="1:37" hidden="1" x14ac:dyDescent="0.3">
      <c r="A4" t="s">
        <v>11</v>
      </c>
      <c r="B4" t="str" cm="1">
        <f t="array" ref="B4">_xll.FDS(A4,"FG_COMPANY_NAME")</f>
        <v>iShares MSCI Australia ETF</v>
      </c>
      <c r="C4" t="s">
        <v>11</v>
      </c>
      <c r="D4" s="37" t="e">
        <f>VLOOKUP(C4,#REF!,5,FALSE)</f>
        <v>#REF!</v>
      </c>
      <c r="E4" cm="1">
        <f t="array" ref="E4">_xll.FDS(C4,"FMA_COS_UP(""EPS"",""1M"",+1,0,,,""PORTAGG"",""MEANR"")")</f>
        <v>24</v>
      </c>
      <c r="F4" cm="1">
        <f t="array" ref="F4">_xll.FDS(C4,"FMA_COS_DOWN(""EPS"",""1M"",+1,0,,,""PORTAGG"",""MEANR"")")</f>
        <v>23</v>
      </c>
      <c r="G4" cm="1">
        <f t="array" ref="G4">_xll.FDS(A4,"SIZE(FG_CONSTITUENTS)")</f>
        <v>59</v>
      </c>
      <c r="H4" s="8">
        <f t="shared" si="0"/>
        <v>0.40677966101694918</v>
      </c>
      <c r="I4" s="8">
        <f t="shared" si="1"/>
        <v>0.38983050847457629</v>
      </c>
      <c r="J4" s="8">
        <f t="shared" si="2"/>
        <v>1.6949152542372892E-2</v>
      </c>
      <c r="K4" s="5" cm="1">
        <f t="array" ref="K4">_xll.FDS(A4,"FMA_PCT_ABOVE_MAVG(200,0,,,,""PORTAGG"")")/100</f>
        <v>0.66101694915254194</v>
      </c>
      <c r="L4" s="19" cm="1">
        <f t="array" ref="L4">_xll.FDSB(A4,"PERCENT_CHANGE(FMA_EPS(+1,0,,,,""PORTAGG"",""MEAN""),FMA_EPS(+1,-1AM,,,,""PORTAGG"",""MEAN""))")</f>
        <v>-2.2111065471867399</v>
      </c>
      <c r="M4" s="19" cm="1">
        <f t="array" ref="M4">_xll.FDSB(A4,"PERCENT_CHANGE(FMA_EPS(+1,0,,,,""PORTAGG"",""MEAN""),FMA_EPS(+1,-3AM,,,,""PORTAGG"",""MEAN""))")</f>
        <v>-2.0706208847151801</v>
      </c>
      <c r="O4" s="3" cm="1">
        <f t="array" ref="O4">_xll.FDS(C4,"FG_TOTAL_RETURNC(0,-3AM)")</f>
        <v>9.1366530000000008</v>
      </c>
      <c r="P4" s="3" cm="1">
        <f t="array" ref="P4">_xll.FDS(C4,"FG_TOTAL_RETURNC(0,-6AM)")</f>
        <v>5.4088354000000001</v>
      </c>
      <c r="Q4" s="8" cm="1">
        <f t="array" ref="Q4">_xll.FDS(C4,"P_PRICE(0)/P_PRICE_HIGH_PR(0,,,USD,,,""PRICE"",""INTRA"",""52W"")")</f>
        <v>0.93149570000000004</v>
      </c>
      <c r="R4" s="8" cm="1">
        <f t="array" ref="R4">_xll.FDS(C4,"P_PRICE(0)/P_PRICE_low_PR(0,,,USD,,,""PRICE"",""INTRA"",""52W"")-1")</f>
        <v>0.12316716</v>
      </c>
      <c r="T4" s="4" cm="1">
        <f t="array" ref="T4">_xlfn.PERCENTRANK.EXC(_xlfn._xlws.FILTER($R$3:$R$15, ISNUMBER($R$3:$R$15)),R4)*100</f>
        <v>28.499999999999996</v>
      </c>
      <c r="U4" s="4">
        <f t="shared" si="3"/>
        <v>71.5</v>
      </c>
      <c r="V4" s="4" cm="1">
        <f t="array" ref="V4">_xlfn.PERCENTRANK.EXC(_xlfn._xlws.FILTER($Q$3:$Q$15, ISNUMBER($Q$3:$Q$15)),Q4)*100</f>
        <v>28.499999999999996</v>
      </c>
      <c r="W4" s="4" cm="1">
        <f t="array" ref="W4">_xlfn.PERCENTRANK.EXC(_xlfn._xlws.FILTER($O$3:$O$15, ISNUMBER($O$3:$O$15)),O4)*100</f>
        <v>57.099999999999994</v>
      </c>
      <c r="X4" s="4" cm="1">
        <f t="array" ref="X4">_xlfn.PERCENTRANK.EXC(_xlfn._xlws.FILTER($P$3:$P$15, ISNUMBER($P$3:$P$15)),P4)*100</f>
        <v>50</v>
      </c>
      <c r="Z4" s="4" cm="1">
        <f t="array" ref="Z4">_xlfn.PERCENTRANK.EXC(_xlfn._xlws.FILTER($K$3:$K$15, ISNUMBER($K$3:$K$15)),K4)*100</f>
        <v>57.099999999999994</v>
      </c>
      <c r="AA4" s="4" cm="1">
        <f t="array" ref="AA4">_xlfn.PERCENTRANK.EXC(_xlfn._xlws.FILTER($H$3:$H$15, ISNUMBER($H$3:$H$15)),H4)*100</f>
        <v>64.2</v>
      </c>
      <c r="AB4" s="4" cm="1">
        <f t="array" ref="AB4">_xlfn.PERCENTRANK.EXC(_xlfn._xlws.FILTER($J$3:$J$15, ISNUMBER($J$3:$J$15)),J4)*100</f>
        <v>71.399999999999991</v>
      </c>
      <c r="AC4" s="4">
        <f t="shared" ref="AC4:AC15" si="6">_xlfn.PERCENTRANK.EXC($L$3:$L$15,L4)*100</f>
        <v>57.099999999999994</v>
      </c>
      <c r="AD4" s="4">
        <f t="shared" ref="AD4:AD15" si="7">_xlfn.PERCENTRANK.EXC($M$3:$M$15,M4)*100</f>
        <v>57.099999999999994</v>
      </c>
      <c r="AE4" s="4" t="e">
        <f t="shared" ref="AE4:AE15" si="8">_xlfn.PERCENTRANK.EXC($D$3:$D$15,D4)*100</f>
        <v>#REF!</v>
      </c>
      <c r="AF4" s="4" t="e">
        <f t="shared" si="4"/>
        <v>#REF!</v>
      </c>
      <c r="AH4" s="3" t="e" cm="1" vm="1">
        <f t="array" ref="AH4">_xlfn.PERCENTRANK.EXC(_xlfn._xlws.FILTER($AF$3:$AF$15, ISNUMBER($AF$3:$AF$15)),AF4)*100</f>
        <v>#VALUE!</v>
      </c>
      <c r="AI4">
        <f t="shared" si="5"/>
        <v>1</v>
      </c>
      <c r="AK4" s="4"/>
    </row>
    <row r="5" spans="1:37" hidden="1" x14ac:dyDescent="0.3">
      <c r="A5" t="s">
        <v>14</v>
      </c>
      <c r="B5" t="str" cm="1">
        <f t="array" ref="B5">_xll.FDS(A5,"FG_COMPANY_NAME")</f>
        <v>iShares MSCI Canada ETF</v>
      </c>
      <c r="C5" t="s">
        <v>14</v>
      </c>
      <c r="D5" s="37" t="e">
        <f>VLOOKUP(C5,#REF!,5,FALSE)</f>
        <v>#REF!</v>
      </c>
      <c r="E5" cm="1">
        <f t="array" ref="E5">_xll.FDS(C5,"FMA_COS_UP(""EPS"",""1M"",+1,0,,,""PORTAGG"",""MEANR"")")</f>
        <v>32</v>
      </c>
      <c r="F5" cm="1">
        <f t="array" ref="F5">_xll.FDS(C5,"FMA_COS_DOWN(""EPS"",""1M"",+1,0,,,""PORTAGG"",""MEANR"")")</f>
        <v>34</v>
      </c>
      <c r="G5" cm="1">
        <f t="array" ref="G5">_xll.FDS(A5,"SIZE(FG_CONSTITUENTS)")</f>
        <v>89</v>
      </c>
      <c r="H5" s="8">
        <f t="shared" si="0"/>
        <v>0.3595505617977528</v>
      </c>
      <c r="I5" s="8">
        <f t="shared" si="1"/>
        <v>0.38202247191011235</v>
      </c>
      <c r="J5" s="8">
        <f t="shared" si="2"/>
        <v>-2.247191011235955E-2</v>
      </c>
      <c r="K5" s="5" cm="1">
        <f t="array" ref="K5">_xll.FDS(A5,"FMA_PCT_ABOVE_MAVG(200,0,,,,""PORTAGG"")")/100</f>
        <v>0.59550561797752799</v>
      </c>
      <c r="L5" s="19" cm="1">
        <f t="array" ref="L5">_xll.FDSB(A5,"PERCENT_CHANGE(FMA_EPS(+1,0,,,,""PORTAGG"",""MEAN""),FMA_EPS(+1,-1AM,,,,""PORTAGG"",""MEAN""))")</f>
        <v>-2.5732667992323299</v>
      </c>
      <c r="M5" s="19" cm="1">
        <f t="array" ref="M5">_xll.FDSB(A5,"PERCENT_CHANGE(FMA_EPS(+1,0,,,,""PORTAGG"",""MEAN""),FMA_EPS(+1,-3AM,,,,""PORTAGG"",""MEAN""))")</f>
        <v>-4.2778510004902097</v>
      </c>
      <c r="O5" s="3" cm="1">
        <f t="array" ref="O5">_xll.FDS(C5,"FG_TOTAL_RETURNC(0,-3AM)")</f>
        <v>6.9062590000000004</v>
      </c>
      <c r="P5" s="3" cm="1">
        <f t="array" ref="P5">_xll.FDS(C5,"FG_TOTAL_RETURNC(0,-6AM)")</f>
        <v>2.319312</v>
      </c>
      <c r="Q5" s="8" cm="1">
        <f t="array" ref="Q5">_xll.FDS(C5,"P_PRICE(0)/P_PRICE_HIGH_PR(0,,,USD,,,""PRICE"",""INTRA"",""52W"")")</f>
        <v>0.95404160000000005</v>
      </c>
      <c r="R5" s="8" cm="1">
        <f t="array" ref="R5">_xll.FDS(C5,"P_PRICE(0)/P_PRICE_low_PR(0,,,USD,,,""PRICE"",""INTRA"",""52W"")-1")</f>
        <v>0.12352753</v>
      </c>
      <c r="T5" s="4" cm="1">
        <f t="array" ref="T5">_xlfn.PERCENTRANK.EXC(_xlfn._xlws.FILTER($R$3:$R$15, ISNUMBER($R$3:$R$15)),R5)*100</f>
        <v>35.699999999999996</v>
      </c>
      <c r="U5" s="4">
        <f t="shared" si="3"/>
        <v>64.300000000000011</v>
      </c>
      <c r="V5" s="4" cm="1">
        <f t="array" ref="V5">_xlfn.PERCENTRANK.EXC(_xlfn._xlws.FILTER($Q$3:$Q$15, ISNUMBER($Q$3:$Q$15)),Q5)*100</f>
        <v>42.8</v>
      </c>
      <c r="W5" s="4" cm="1">
        <f t="array" ref="W5">_xlfn.PERCENTRANK.EXC(_xlfn._xlws.FILTER($O$3:$O$15, ISNUMBER($O$3:$O$15)),O5)*100</f>
        <v>28.499999999999996</v>
      </c>
      <c r="X5" s="4" cm="1">
        <f t="array" ref="X5">_xlfn.PERCENTRANK.EXC(_xlfn._xlws.FILTER($P$3:$P$15, ISNUMBER($P$3:$P$15)),P5)*100</f>
        <v>35.699999999999996</v>
      </c>
      <c r="Z5" s="4" cm="1">
        <f t="array" ref="Z5">_xlfn.PERCENTRANK.EXC(_xlfn._xlws.FILTER($K$3:$K$15, ISNUMBER($K$3:$K$15)),K5)*100</f>
        <v>42.8</v>
      </c>
      <c r="AA5" s="4" cm="1">
        <f t="array" ref="AA5">_xlfn.PERCENTRANK.EXC(_xlfn._xlws.FILTER($H$3:$H$15, ISNUMBER($H$3:$H$15)),H5)*100</f>
        <v>35.699999999999996</v>
      </c>
      <c r="AB5" s="4" cm="1">
        <f t="array" ref="AB5">_xlfn.PERCENTRANK.EXC(_xlfn._xlws.FILTER($J$3:$J$15, ISNUMBER($J$3:$J$15)),J5)*100</f>
        <v>64.2</v>
      </c>
      <c r="AC5" s="4">
        <f t="shared" si="6"/>
        <v>35.699999999999996</v>
      </c>
      <c r="AD5" s="4">
        <f t="shared" si="7"/>
        <v>28.499999999999996</v>
      </c>
      <c r="AE5" s="4" t="e">
        <f t="shared" si="8"/>
        <v>#REF!</v>
      </c>
      <c r="AF5" s="4" t="e">
        <f t="shared" si="4"/>
        <v>#REF!</v>
      </c>
      <c r="AH5" s="3" t="e" cm="1" vm="1">
        <f t="array" ref="AH5">_xlfn.PERCENTRANK.EXC(_xlfn._xlws.FILTER($AF$3:$AF$15, ISNUMBER($AF$3:$AF$15)),AF5)*100</f>
        <v>#VALUE!</v>
      </c>
      <c r="AI5">
        <f t="shared" si="5"/>
        <v>0</v>
      </c>
      <c r="AK5" s="4"/>
    </row>
    <row r="6" spans="1:37" hidden="1" x14ac:dyDescent="0.3">
      <c r="A6" t="s">
        <v>6</v>
      </c>
      <c r="B6" t="str" cm="1">
        <f t="array" ref="B6">_xll.FDS(A6,"FG_COMPANY_NAME")</f>
        <v>iShares MSCI Germany ETF</v>
      </c>
      <c r="C6" t="s">
        <v>6</v>
      </c>
      <c r="D6" s="37" t="e">
        <f>VLOOKUP(C6,#REF!,5,FALSE)</f>
        <v>#REF!</v>
      </c>
      <c r="E6" cm="1">
        <f t="array" ref="E6">_xll.FDS(C6,"FMA_COS_UP(""EPS"",""1M"",+1,0,,,""PORTAGG"",""MEANR"")")</f>
        <v>25</v>
      </c>
      <c r="F6" cm="1">
        <f t="array" ref="F6">_xll.FDS(C6,"FMA_COS_DOWN(""EPS"",""1M"",+1,0,,,""PORTAGG"",""MEANR"")")</f>
        <v>27</v>
      </c>
      <c r="G6" cm="1">
        <f t="array" ref="G6">_xll.FDS(A6,"SIZE(FG_CONSTITUENTS)")</f>
        <v>58</v>
      </c>
      <c r="H6" s="8">
        <f t="shared" si="0"/>
        <v>0.43103448275862066</v>
      </c>
      <c r="I6" s="8">
        <f t="shared" si="1"/>
        <v>0.46551724137931033</v>
      </c>
      <c r="J6" s="8">
        <f t="shared" si="2"/>
        <v>-3.4482758620689669E-2</v>
      </c>
      <c r="K6" s="5" cm="1">
        <f t="array" ref="K6">_xll.FDS(A6,"FMA_PCT_ABOVE_MAVG(200,0,,,,""PORTAGG"")")/100</f>
        <v>0.58620689655172398</v>
      </c>
      <c r="L6" s="19" cm="1">
        <f t="array" ref="L6">_xll.FDSB(A6,"PERCENT_CHANGE(FMA_EPS(+1,0,,,,""PORTAGG"",""MEAN""),FMA_EPS(+1,-1AM,,,,""PORTAGG"",""MEAN""))")</f>
        <v>-4.4408999690608502</v>
      </c>
      <c r="M6" s="19" cm="1">
        <f t="array" ref="M6">_xll.FDSB(A6,"PERCENT_CHANGE(FMA_EPS(+1,0,,,,""PORTAGG"",""MEAN""),FMA_EPS(+1,-3AM,,,,""PORTAGG"",""MEAN""))")</f>
        <v>-2.9577297879445301</v>
      </c>
      <c r="O6" s="3" cm="1">
        <f t="array" ref="O6">_xll.FDS(C6,"FG_TOTAL_RETURNC(0,-3AM)")</f>
        <v>9.093178</v>
      </c>
      <c r="P6" s="3" cm="1">
        <f t="array" ref="P6">_xll.FDS(C6,"FG_TOTAL_RETURNC(0,-6AM)")</f>
        <v>2.4955750000000001</v>
      </c>
      <c r="Q6" s="8" cm="1">
        <f t="array" ref="Q6">_xll.FDS(C6,"P_PRICE(0)/P_PRICE_HIGH_PR(0,,,USD,,,""PRICE"",""INTRA"",""52W"")")</f>
        <v>0.96354514000000002</v>
      </c>
      <c r="R6" s="8" cm="1">
        <f t="array" ref="R6">_xll.FDS(C6,"P_PRICE(0)/P_PRICE_low_PR(0,,,USD,,,""PRICE"",""INTRA"",""52W"")-1")</f>
        <v>0.16616069999999999</v>
      </c>
      <c r="T6" s="4" cm="1">
        <f t="array" ref="T6">_xlfn.PERCENTRANK.EXC(_xlfn._xlws.FILTER($R$3:$R$15, ISNUMBER($R$3:$R$15)),R6)*100</f>
        <v>50</v>
      </c>
      <c r="U6" s="4">
        <f t="shared" si="3"/>
        <v>50</v>
      </c>
      <c r="V6" s="4" cm="1">
        <f t="array" ref="V6">_xlfn.PERCENTRANK.EXC(_xlfn._xlws.FILTER($Q$3:$Q$15, ISNUMBER($Q$3:$Q$15)),Q6)*100</f>
        <v>57.099999999999994</v>
      </c>
      <c r="W6" s="4" cm="1">
        <f t="array" ref="W6">_xlfn.PERCENTRANK.EXC(_xlfn._xlws.FILTER($O$3:$O$15, ISNUMBER($O$3:$O$15)),O6)*100</f>
        <v>50</v>
      </c>
      <c r="X6" s="4" cm="1">
        <f t="array" ref="X6">_xlfn.PERCENTRANK.EXC(_xlfn._xlws.FILTER($P$3:$P$15, ISNUMBER($P$3:$P$15)),P6)*100</f>
        <v>42.8</v>
      </c>
      <c r="Z6" s="4" cm="1">
        <f t="array" ref="Z6">_xlfn.PERCENTRANK.EXC(_xlfn._xlws.FILTER($K$3:$K$15, ISNUMBER($K$3:$K$15)),K6)*100</f>
        <v>35.699999999999996</v>
      </c>
      <c r="AA6" s="4" cm="1">
        <f t="array" ref="AA6">_xlfn.PERCENTRANK.EXC(_xlfn._xlws.FILTER($H$3:$H$15, ISNUMBER($H$3:$H$15)),H6)*100</f>
        <v>78.5</v>
      </c>
      <c r="AB6" s="4" cm="1">
        <f t="array" ref="AB6">_xlfn.PERCENTRANK.EXC(_xlfn._xlws.FILTER($J$3:$J$15, ISNUMBER($J$3:$J$15)),J6)*100</f>
        <v>57.099999999999994</v>
      </c>
      <c r="AC6" s="4">
        <f t="shared" si="6"/>
        <v>7.1</v>
      </c>
      <c r="AD6" s="4">
        <f t="shared" si="7"/>
        <v>42.8</v>
      </c>
      <c r="AE6" s="4" t="e">
        <f t="shared" si="8"/>
        <v>#REF!</v>
      </c>
      <c r="AF6" s="4" t="e">
        <f t="shared" si="4"/>
        <v>#REF!</v>
      </c>
      <c r="AH6" s="3" t="e" cm="1" vm="1">
        <f t="array" ref="AH6">_xlfn.PERCENTRANK.EXC(_xlfn._xlws.FILTER($AF$3:$AF$15, ISNUMBER($AF$3:$AF$15)),AF6)*100</f>
        <v>#VALUE!</v>
      </c>
      <c r="AI6">
        <f t="shared" si="5"/>
        <v>1</v>
      </c>
      <c r="AK6" s="4"/>
    </row>
    <row r="7" spans="1:37" hidden="1" x14ac:dyDescent="0.3">
      <c r="A7" t="s">
        <v>12</v>
      </c>
      <c r="B7" t="str" cm="1">
        <f t="array" ref="B7">_xll.FDS(A7,"FG_COMPANY_NAME")</f>
        <v>iShares MSCI Japan ETF</v>
      </c>
      <c r="C7" t="s">
        <v>12</v>
      </c>
      <c r="D7" s="37" t="e">
        <f>VLOOKUP(C7,#REF!,5,FALSE)</f>
        <v>#REF!</v>
      </c>
      <c r="E7" cm="1">
        <f t="array" ref="E7">_xll.FDS(C7,"FMA_COS_UP(""EPS"",""1M"",+1,0,,,""PORTAGG"",""MEANR"")")</f>
        <v>95</v>
      </c>
      <c r="F7" cm="1">
        <f t="array" ref="F7">_xll.FDS(C7,"FMA_COS_DOWN(""EPS"",""1M"",+1,0,,,""PORTAGG"",""MEANR"")")</f>
        <v>87</v>
      </c>
      <c r="G7" cm="1">
        <f t="array" ref="G7">_xll.FDS(A7,"SIZE(FG_CONSTITUENTS)")</f>
        <v>226</v>
      </c>
      <c r="H7" s="8">
        <f t="shared" si="0"/>
        <v>0.42035398230088494</v>
      </c>
      <c r="I7" s="8">
        <f t="shared" si="1"/>
        <v>0.38495575221238937</v>
      </c>
      <c r="J7" s="8">
        <f t="shared" si="2"/>
        <v>3.5398230088495575E-2</v>
      </c>
      <c r="K7" s="5" cm="1">
        <f t="array" ref="K7">_xll.FDS(A7,"FMA_PCT_ABOVE_MAVG(200,0,,,,""PORTAGG"")")/100</f>
        <v>0.71681415929203496</v>
      </c>
      <c r="L7" s="19" cm="1">
        <f t="array" ref="L7">_xll.FDSB(A7,"PERCENT_CHANGE(FMA_EPS(+1,0,,,,""PORTAGG"",""MEAN""),FMA_EPS(+1,-1AM,,,,""PORTAGG"",""MEAN""))")</f>
        <v>-2.4029073916216799</v>
      </c>
      <c r="M7" s="19" cm="1">
        <f t="array" ref="M7">_xll.FDSB(A7,"PERCENT_CHANGE(FMA_EPS(+1,0,,,,""PORTAGG"",""MEAN""),FMA_EPS(+1,-3AM,,,,""PORTAGG"",""MEAN""))")</f>
        <v>1.42647733658266</v>
      </c>
      <c r="O7" s="3" cm="1">
        <f t="array" ref="O7">_xll.FDS(C7,"FG_TOTAL_RETURNC(0,-3AM)")</f>
        <v>11.979972999999999</v>
      </c>
      <c r="P7" s="3" cm="1">
        <f t="array" ref="P7">_xll.FDS(C7,"FG_TOTAL_RETURNC(0,-6AM)")</f>
        <v>10.283041000000001</v>
      </c>
      <c r="Q7" s="8" cm="1">
        <f t="array" ref="Q7">_xll.FDS(C7,"P_PRICE(0)/P_PRICE_HIGH_PR(0,,,USD,,,""PRICE"",""INTRA"",""52W"")")</f>
        <v>0.99249005000000001</v>
      </c>
      <c r="R7" s="8" cm="1">
        <f t="array" ref="R7">_xll.FDS(C7,"P_PRICE(0)/P_PRICE_low_PR(0,,,USD,,,""PRICE"",""INTRA"",""52W"")-1")</f>
        <v>0.22335255000000001</v>
      </c>
      <c r="T7" s="4" cm="1">
        <f t="array" ref="T7">_xlfn.PERCENTRANK.EXC(_xlfn._xlws.FILTER($R$3:$R$15, ISNUMBER($R$3:$R$15)),R7)*100</f>
        <v>71.399999999999991</v>
      </c>
      <c r="U7" s="4">
        <f t="shared" si="3"/>
        <v>28.600000000000009</v>
      </c>
      <c r="V7" s="4" cm="1">
        <f t="array" ref="V7">_xlfn.PERCENTRANK.EXC(_xlfn._xlws.FILTER($Q$3:$Q$15, ISNUMBER($Q$3:$Q$15)),Q7)*100</f>
        <v>92.800000000000011</v>
      </c>
      <c r="W7" s="4" cm="1">
        <f t="array" ref="W7">_xlfn.PERCENTRANK.EXC(_xlfn._xlws.FILTER($O$3:$O$15, ISNUMBER($O$3:$O$15)),O7)*100</f>
        <v>64.2</v>
      </c>
      <c r="X7" s="4" cm="1">
        <f t="array" ref="X7">_xlfn.PERCENTRANK.EXC(_xlfn._xlws.FILTER($P$3:$P$15, ISNUMBER($P$3:$P$15)),P7)*100</f>
        <v>71.399999999999991</v>
      </c>
      <c r="Z7" s="4" cm="1">
        <f t="array" ref="Z7">_xlfn.PERCENTRANK.EXC(_xlfn._xlws.FILTER($K$3:$K$15, ISNUMBER($K$3:$K$15)),K7)*100</f>
        <v>85.7</v>
      </c>
      <c r="AA7" s="4" cm="1">
        <f t="array" ref="AA7">_xlfn.PERCENTRANK.EXC(_xlfn._xlws.FILTER($H$3:$H$15, ISNUMBER($H$3:$H$15)),H7)*100</f>
        <v>71.399999999999991</v>
      </c>
      <c r="AB7" s="4" cm="1">
        <f t="array" ref="AB7">_xlfn.PERCENTRANK.EXC(_xlfn._xlws.FILTER($J$3:$J$15, ISNUMBER($J$3:$J$15)),J7)*100</f>
        <v>78.5</v>
      </c>
      <c r="AC7" s="4">
        <f t="shared" si="6"/>
        <v>50</v>
      </c>
      <c r="AD7" s="4">
        <f t="shared" si="7"/>
        <v>92.800000000000011</v>
      </c>
      <c r="AE7" s="4" t="e">
        <f t="shared" si="8"/>
        <v>#REF!</v>
      </c>
      <c r="AF7" s="4" t="e">
        <f t="shared" si="4"/>
        <v>#REF!</v>
      </c>
      <c r="AH7" s="3" t="e" cm="1" vm="1">
        <f t="array" ref="AH7">_xlfn.PERCENTRANK.EXC(_xlfn._xlws.FILTER($AF$3:$AF$15, ISNUMBER($AF$3:$AF$15)),AF7)*100</f>
        <v>#VALUE!</v>
      </c>
      <c r="AI7">
        <f t="shared" si="5"/>
        <v>5</v>
      </c>
      <c r="AK7" s="4"/>
    </row>
    <row r="8" spans="1:37" hidden="1" x14ac:dyDescent="0.3">
      <c r="A8" t="s">
        <v>10</v>
      </c>
      <c r="B8" t="str" cm="1">
        <f t="array" ref="B8">_xll.FDS(A8,"FG_COMPANY_NAME")</f>
        <v>iShares MSCI Switzerland ETF</v>
      </c>
      <c r="C8" t="s">
        <v>10</v>
      </c>
      <c r="D8" s="37" t="e">
        <f>VLOOKUP(C8,#REF!,5,FALSE)</f>
        <v>#REF!</v>
      </c>
      <c r="E8" cm="1">
        <f t="array" ref="E8">_xll.FDS(C8,"FMA_COS_UP(""EPS"",""1M"",+1,0,,,""PORTAGG"",""MEANR"")")</f>
        <v>14</v>
      </c>
      <c r="F8" cm="1">
        <f t="array" ref="F8">_xll.FDS(C8,"FMA_COS_DOWN(""EPS"",""1M"",+1,0,,,""PORTAGG"",""MEANR"")")</f>
        <v>27</v>
      </c>
      <c r="G8" cm="1">
        <f t="array" ref="G8">_xll.FDS(A8,"SIZE(FG_CONSTITUENTS)")</f>
        <v>46</v>
      </c>
      <c r="H8" s="8">
        <f t="shared" si="0"/>
        <v>0.30434782608695654</v>
      </c>
      <c r="I8" s="8">
        <f t="shared" si="1"/>
        <v>0.58695652173913049</v>
      </c>
      <c r="J8" s="8">
        <f t="shared" si="2"/>
        <v>-0.28260869565217395</v>
      </c>
      <c r="K8" s="5" cm="1">
        <f t="array" ref="K8">_xll.FDS(A8,"FMA_PCT_ABOVE_MAVG(200,0,,,,""PORTAGG"")")/100</f>
        <v>0.57777777777777795</v>
      </c>
      <c r="L8" s="19" cm="1">
        <f t="array" ref="L8">_xll.FDSB(A8,"PERCENT_CHANGE(FMA_EPS(+1,0,,,,""PORTAGG"",""MEAN""),FMA_EPS(+1,-1AM,,,,""PORTAGG"",""MEAN""))")</f>
        <v>-3.94144806292292</v>
      </c>
      <c r="M8" s="19" cm="1">
        <f t="array" ref="M8">_xll.FDSB(A8,"PERCENT_CHANGE(FMA_EPS(+1,0,,,,""PORTAGG"",""MEAN""),FMA_EPS(+1,-3AM,,,,""PORTAGG"",""MEAN""))")</f>
        <v>-2.8378613467633498</v>
      </c>
      <c r="O8" s="3" cm="1">
        <f t="array" ref="O8">_xll.FDS(C8,"FG_TOTAL_RETURNC(0,-3AM)")</f>
        <v>5.9192179999999999</v>
      </c>
      <c r="P8" s="3" cm="1">
        <f t="array" ref="P8">_xll.FDS(C8,"FG_TOTAL_RETURNC(0,-6AM)")</f>
        <v>-1.8709659999999999</v>
      </c>
      <c r="Q8" s="8" cm="1">
        <f t="array" ref="Q8">_xll.FDS(C8,"P_PRICE(0)/P_PRICE_HIGH_PR(0,,,USD,,,""PRICE"",""INTRA"",""52W"")")</f>
        <v>0.93246143999999997</v>
      </c>
      <c r="R8" s="8" cm="1">
        <f t="array" ref="R8">_xll.FDS(C8,"P_PRICE(0)/P_PRICE_low_PR(0,,,USD,,,""PRICE"",""INTRA"",""52W"")-1")</f>
        <v>9.8194959999999998E-2</v>
      </c>
      <c r="T8" s="4" cm="1">
        <f t="array" ref="T8">_xlfn.PERCENTRANK.EXC(_xlfn._xlws.FILTER($R$3:$R$15, ISNUMBER($R$3:$R$15)),R8)*100</f>
        <v>21.4</v>
      </c>
      <c r="U8" s="4">
        <f t="shared" si="3"/>
        <v>78.599999999999994</v>
      </c>
      <c r="V8" s="4" cm="1">
        <f t="array" ref="V8">_xlfn.PERCENTRANK.EXC(_xlfn._xlws.FILTER($Q$3:$Q$15, ISNUMBER($Q$3:$Q$15)),Q8)*100</f>
        <v>35.699999999999996</v>
      </c>
      <c r="W8" s="4" cm="1">
        <f t="array" ref="W8">_xlfn.PERCENTRANK.EXC(_xlfn._xlws.FILTER($O$3:$O$15, ISNUMBER($O$3:$O$15)),O8)*100</f>
        <v>21.4</v>
      </c>
      <c r="X8" s="4" cm="1">
        <f t="array" ref="X8">_xlfn.PERCENTRANK.EXC(_xlfn._xlws.FILTER($P$3:$P$15, ISNUMBER($P$3:$P$15)),P8)*100</f>
        <v>14.2</v>
      </c>
      <c r="Z8" s="4" cm="1">
        <f t="array" ref="Z8">_xlfn.PERCENTRANK.EXC(_xlfn._xlws.FILTER($K$3:$K$15, ISNUMBER($K$3:$K$15)),K8)*100</f>
        <v>21.4</v>
      </c>
      <c r="AA8" s="4" cm="1">
        <f t="array" ref="AA8">_xlfn.PERCENTRANK.EXC(_xlfn._xlws.FILTER($H$3:$H$15, ISNUMBER($H$3:$H$15)),H8)*100</f>
        <v>28.499999999999996</v>
      </c>
      <c r="AB8" s="4" cm="1">
        <f t="array" ref="AB8">_xlfn.PERCENTRANK.EXC(_xlfn._xlws.FILTER($J$3:$J$15, ISNUMBER($J$3:$J$15)),J8)*100</f>
        <v>21.4</v>
      </c>
      <c r="AC8" s="4">
        <f t="shared" si="6"/>
        <v>14.2</v>
      </c>
      <c r="AD8" s="4">
        <f t="shared" si="7"/>
        <v>50</v>
      </c>
      <c r="AE8" s="4" t="e">
        <f t="shared" si="8"/>
        <v>#REF!</v>
      </c>
      <c r="AF8" s="4" t="e">
        <f t="shared" si="4"/>
        <v>#REF!</v>
      </c>
      <c r="AH8" s="3" t="e" cm="1" vm="1">
        <f t="array" ref="AH8">_xlfn.PERCENTRANK.EXC(_xlfn._xlws.FILTER($AF$3:$AF$15, ISNUMBER($AF$3:$AF$15)),AF8)*100</f>
        <v>#VALUE!</v>
      </c>
      <c r="AI8">
        <f t="shared" si="5"/>
        <v>0</v>
      </c>
      <c r="AK8" s="4"/>
    </row>
    <row r="9" spans="1:37" hidden="1" x14ac:dyDescent="0.3">
      <c r="A9" t="s">
        <v>13</v>
      </c>
      <c r="B9" t="str" cm="1">
        <f t="array" ref="B9">_xll.FDS(A9,"FG_COMPANY_NAME")</f>
        <v>iShares MSCI United Kingdom ETF</v>
      </c>
      <c r="C9" t="s">
        <v>13</v>
      </c>
      <c r="D9" s="37" t="e">
        <f>VLOOKUP(C9,#REF!,5,FALSE)</f>
        <v>#REF!</v>
      </c>
      <c r="E9" cm="1">
        <f t="array" ref="E9">_xll.FDS(C9,"FMA_COS_UP(""EPS"",""1M"",+1,0,,,""PORTAGG"",""MEANR"")")</f>
        <v>34</v>
      </c>
      <c r="F9" cm="1">
        <f t="array" ref="F9">_xll.FDS(C9,"FMA_COS_DOWN(""EPS"",""1M"",+1,0,,,""PORTAGG"",""MEANR"")")</f>
        <v>39</v>
      </c>
      <c r="G9" cm="1">
        <f t="array" ref="G9">_xll.FDS(A9,"SIZE(FG_CONSTITUENTS)")</f>
        <v>85</v>
      </c>
      <c r="H9" s="8">
        <f t="shared" si="0"/>
        <v>0.4</v>
      </c>
      <c r="I9" s="8">
        <f t="shared" si="1"/>
        <v>0.45882352941176469</v>
      </c>
      <c r="J9" s="8">
        <f t="shared" si="2"/>
        <v>-5.8823529411764663E-2</v>
      </c>
      <c r="K9" s="5" cm="1">
        <f t="array" ref="K9">_xll.FDS(A9,"FMA_PCT_ABOVE_MAVG(200,0,,,,""PORTAGG"")")/100</f>
        <v>0.58333333333333304</v>
      </c>
      <c r="L9" s="19" cm="1">
        <f t="array" ref="L9">_xll.FDSB(A9,"PERCENT_CHANGE(FMA_EPS(+1,0,,,,""PORTAGG"",""MEAN""),FMA_EPS(+1,-1AM,,,,""PORTAGG"",""MEAN""))")</f>
        <v>-2.10584239413306</v>
      </c>
      <c r="M9" s="19" cm="1">
        <f t="array" ref="M9">_xll.FDSB(A9,"PERCENT_CHANGE(FMA_EPS(+1,0,,,,""PORTAGG"",""MEAN""),FMA_EPS(+1,-3AM,,,,""PORTAGG"",""MEAN""))")</f>
        <v>-5.72170825055405</v>
      </c>
      <c r="O9" s="3" cm="1">
        <f t="array" ref="O9">_xll.FDS(C9,"FG_TOTAL_RETURNC(0,-3AM)")</f>
        <v>3.6435008</v>
      </c>
      <c r="P9" s="3" cm="1">
        <f t="array" ref="P9">_xll.FDS(C9,"FG_TOTAL_RETURNC(0,-6AM)")</f>
        <v>-0.27900933999999999</v>
      </c>
      <c r="Q9" s="8" cm="1">
        <f t="array" ref="Q9">_xll.FDS(C9,"P_PRICE(0)/P_PRICE_HIGH_PR(0,,,USD,,,""PRICE"",""INTRA"",""52W"")")</f>
        <v>0.93053319999999995</v>
      </c>
      <c r="R9" s="8" cm="1">
        <f t="array" ref="R9">_xll.FDS(C9,"P_PRICE(0)/P_PRICE_low_PR(0,,,USD,,,""PRICE"",""INTRA"",""52W"")-1")</f>
        <v>5.5999993999999997E-2</v>
      </c>
      <c r="T9" s="4" cm="1">
        <f t="array" ref="T9">_xlfn.PERCENTRANK.EXC(_xlfn._xlws.FILTER($R$3:$R$15, ISNUMBER($R$3:$R$15)),R9)*100</f>
        <v>7.1</v>
      </c>
      <c r="U9" s="4">
        <f t="shared" si="3"/>
        <v>92.9</v>
      </c>
      <c r="V9" s="4" cm="1">
        <f t="array" ref="V9">_xlfn.PERCENTRANK.EXC(_xlfn._xlws.FILTER($Q$3:$Q$15, ISNUMBER($Q$3:$Q$15)),Q9)*100</f>
        <v>21.4</v>
      </c>
      <c r="W9" s="4" cm="1">
        <f t="array" ref="W9">_xlfn.PERCENTRANK.EXC(_xlfn._xlws.FILTER($O$3:$O$15, ISNUMBER($O$3:$O$15)),O9)*100</f>
        <v>7.1</v>
      </c>
      <c r="X9" s="4" cm="1">
        <f t="array" ref="X9">_xlfn.PERCENTRANK.EXC(_xlfn._xlws.FILTER($P$3:$P$15, ISNUMBER($P$3:$P$15)),P9)*100</f>
        <v>21.4</v>
      </c>
      <c r="Z9" s="4" cm="1">
        <f t="array" ref="Z9">_xlfn.PERCENTRANK.EXC(_xlfn._xlws.FILTER($K$3:$K$15, ISNUMBER($K$3:$K$15)),K9)*100</f>
        <v>28.499999999999996</v>
      </c>
      <c r="AA9" s="4" cm="1">
        <f t="array" ref="AA9">_xlfn.PERCENTRANK.EXC(_xlfn._xlws.FILTER($H$3:$H$15, ISNUMBER($H$3:$H$15)),H9)*100</f>
        <v>57.099999999999994</v>
      </c>
      <c r="AB9" s="4" cm="1">
        <f t="array" ref="AB9">_xlfn.PERCENTRANK.EXC(_xlfn._xlws.FILTER($J$3:$J$15, ISNUMBER($J$3:$J$15)),J9)*100</f>
        <v>42.8</v>
      </c>
      <c r="AC9" s="4">
        <f t="shared" si="6"/>
        <v>64.2</v>
      </c>
      <c r="AD9" s="4">
        <f t="shared" si="7"/>
        <v>14.2</v>
      </c>
      <c r="AE9" s="4" t="e">
        <f t="shared" si="8"/>
        <v>#REF!</v>
      </c>
      <c r="AF9" s="4" t="e">
        <f t="shared" si="4"/>
        <v>#REF!</v>
      </c>
      <c r="AH9" s="3" t="e" cm="1" vm="1">
        <f t="array" ref="AH9">_xlfn.PERCENTRANK.EXC(_xlfn._xlws.FILTER($AF$3:$AF$15, ISNUMBER($AF$3:$AF$15)),AF9)*100</f>
        <v>#VALUE!</v>
      </c>
      <c r="AI9">
        <f t="shared" si="5"/>
        <v>0</v>
      </c>
      <c r="AK9" s="4"/>
    </row>
    <row r="10" spans="1:37" hidden="1" x14ac:dyDescent="0.3">
      <c r="A10" t="s">
        <v>15</v>
      </c>
      <c r="B10" t="str" cm="1">
        <f t="array" ref="B10">_xll.FDS(A10,"FG_COMPANY_NAME")</f>
        <v>Invesco QQQ Trust Series I</v>
      </c>
      <c r="C10" t="s">
        <v>15</v>
      </c>
      <c r="D10" s="37" t="e">
        <f>VLOOKUP(C10,#REF!,5,FALSE)</f>
        <v>#REF!</v>
      </c>
      <c r="E10" cm="1">
        <f t="array" ref="E10">_xll.FDS(C10,"FMA_COS_UP(""EPS"",""1M"",+1,0,,,""PORTAGG"",""MEANR"")")</f>
        <v>56</v>
      </c>
      <c r="F10" cm="1">
        <f t="array" ref="F10">_xll.FDS(C10,"FMA_COS_DOWN(""EPS"",""1M"",+1,0,,,""PORTAGG"",""MEANR"")")</f>
        <v>21</v>
      </c>
      <c r="G10" cm="1">
        <f t="array" ref="G10">_xll.FDS(A10,"SIZE(FG_CONSTITUENTS)")</f>
        <v>102</v>
      </c>
      <c r="H10" s="8">
        <f t="shared" si="0"/>
        <v>0.5490196078431373</v>
      </c>
      <c r="I10" s="8">
        <f t="shared" si="1"/>
        <v>0.20588235294117646</v>
      </c>
      <c r="J10" s="8">
        <f t="shared" si="2"/>
        <v>0.34313725490196084</v>
      </c>
      <c r="K10" s="5" cm="1">
        <f t="array" ref="K10">_xll.FDS(A10,"FMA_PCT_ABOVE_MAVG(200,0,,,,""PORTAGG"")")/100</f>
        <v>0.75490196078431393</v>
      </c>
      <c r="L10" s="19" cm="1">
        <f t="array" ref="L10">_xll.FDSB(A10,"PERCENT_CHANGE(FMA_EPS(+1,0,,,,""PORTAGG"",""MEAN""),FMA_EPS(+1,-1AM,,,,""PORTAGG"",""MEAN""))")</f>
        <v>-8.41037471970391E-2</v>
      </c>
      <c r="M10" s="19" cm="1">
        <f t="array" ref="M10">_xll.FDSB(A10,"PERCENT_CHANGE(FMA_EPS(+1,0,,,,""PORTAGG"",""MEAN""),FMA_EPS(+1,-3AM,,,,""PORTAGG"",""MEAN""))")</f>
        <v>1.06403645205293</v>
      </c>
      <c r="O10" s="3" cm="1">
        <f t="array" ref="O10">_xll.FDS(C10,"FG_TOTAL_RETURNC(0,-3AM)")</f>
        <v>13.895726</v>
      </c>
      <c r="P10" s="3" cm="1">
        <f t="array" ref="P10">_xll.FDS(C10,"FG_TOTAL_RETURNC(0,-6AM)")</f>
        <v>17.476738000000001</v>
      </c>
      <c r="Q10" s="8" cm="1">
        <f t="array" ref="Q10">_xll.FDS(C10,"P_PRICE(0)/P_PRICE_HIGH_PR(0,,,USD,,,""PRICE"",""INTRA"",""52W"")")</f>
        <v>0.97588459999999999</v>
      </c>
      <c r="R10" s="8" cm="1">
        <f t="array" ref="R10">_xll.FDS(C10,"P_PRICE(0)/P_PRICE_low_PR(0,,,USD,,,""PRICE"",""INTRA"",""52W"")-1")</f>
        <v>0.50268230000000003</v>
      </c>
      <c r="T10" s="4" cm="1">
        <f t="array" ref="T10">_xlfn.PERCENTRANK.EXC(_xlfn._xlws.FILTER($R$3:$R$15, ISNUMBER($R$3:$R$15)),R10)*100</f>
        <v>92.800000000000011</v>
      </c>
      <c r="U10" s="4">
        <f t="shared" si="3"/>
        <v>7.1999999999999886</v>
      </c>
      <c r="V10" s="4" cm="1">
        <f t="array" ref="V10">_xlfn.PERCENTRANK.EXC(_xlfn._xlws.FILTER($Q$3:$Q$15, ISNUMBER($Q$3:$Q$15)),Q10)*100</f>
        <v>78.5</v>
      </c>
      <c r="W10" s="4" cm="1">
        <f t="array" ref="W10">_xlfn.PERCENTRANK.EXC(_xlfn._xlws.FILTER($O$3:$O$15, ISNUMBER($O$3:$O$15)),O10)*100</f>
        <v>78.5</v>
      </c>
      <c r="X10" s="4" cm="1">
        <f t="array" ref="X10">_xlfn.PERCENTRANK.EXC(_xlfn._xlws.FILTER($P$3:$P$15, ISNUMBER($P$3:$P$15)),P10)*100</f>
        <v>92.800000000000011</v>
      </c>
      <c r="Z10" s="4" cm="1">
        <f t="array" ref="Z10">_xlfn.PERCENTRANK.EXC(_xlfn._xlws.FILTER($K$3:$K$15, ISNUMBER($K$3:$K$15)),K10)*100</f>
        <v>92.800000000000011</v>
      </c>
      <c r="AA10" s="4" cm="1">
        <f t="array" ref="AA10">_xlfn.PERCENTRANK.EXC(_xlfn._xlws.FILTER($H$3:$H$15, ISNUMBER($H$3:$H$15)),H10)*100</f>
        <v>85.7</v>
      </c>
      <c r="AB10" s="4" cm="1">
        <f t="array" ref="AB10">_xlfn.PERCENTRANK.EXC(_xlfn._xlws.FILTER($J$3:$J$15, ISNUMBER($J$3:$J$15)),J10)*100</f>
        <v>92.800000000000011</v>
      </c>
      <c r="AC10" s="4">
        <f t="shared" si="6"/>
        <v>85.7</v>
      </c>
      <c r="AD10" s="4">
        <f t="shared" si="7"/>
        <v>85.7</v>
      </c>
      <c r="AE10" s="4" t="e">
        <f t="shared" si="8"/>
        <v>#REF!</v>
      </c>
      <c r="AF10" s="4" t="e">
        <f t="shared" si="4"/>
        <v>#REF!</v>
      </c>
      <c r="AH10" s="3" t="e" cm="1" vm="1">
        <f t="array" ref="AH10">_xlfn.PERCENTRANK.EXC(_xlfn._xlws.FILTER($AF$3:$AF$15, ISNUMBER($AF$3:$AF$15)),AF10)*100</f>
        <v>#VALUE!</v>
      </c>
      <c r="AI10">
        <f t="shared" si="5"/>
        <v>6</v>
      </c>
      <c r="AK10" s="4"/>
    </row>
    <row r="11" spans="1:37" hidden="1" x14ac:dyDescent="0.3">
      <c r="A11" t="s">
        <v>1</v>
      </c>
      <c r="B11" t="str" cm="1">
        <f t="array" ref="B11">_xll.FDS(A11,"FG_COMPANY_NAME")</f>
        <v>SPDR S&amp;P 500 ETF Trust</v>
      </c>
      <c r="C11" t="s">
        <v>1</v>
      </c>
      <c r="D11" s="37" t="e">
        <f>VLOOKUP(C11,#REF!,5,FALSE)</f>
        <v>#REF!</v>
      </c>
      <c r="E11" cm="1">
        <f t="array" ref="E11">_xll.FDS(C11,"FMA_COS_UP(""EPS"",""1M"",+1,0,,,""PORTAGG"",""MEANR"")")</f>
        <v>285</v>
      </c>
      <c r="F11" cm="1">
        <f t="array" ref="F11">_xll.FDS(C11,"FMA_COS_DOWN(""EPS"",""1M"",+1,0,,,""PORTAGG"",""MEANR"")")</f>
        <v>133</v>
      </c>
      <c r="G11" cm="1">
        <f t="array" ref="G11">_xll.FDS(A11,"SIZE(FG_CONSTITUENTS)")</f>
        <v>504</v>
      </c>
      <c r="H11" s="8">
        <f t="shared" si="0"/>
        <v>0.56547619047619047</v>
      </c>
      <c r="I11" s="8">
        <f t="shared" si="1"/>
        <v>0.2638888888888889</v>
      </c>
      <c r="J11" s="8">
        <f t="shared" si="2"/>
        <v>0.30158730158730157</v>
      </c>
      <c r="K11" s="5" cm="1">
        <f t="array" ref="K11">_xll.FDS(A11,"FMA_PCT_ABOVE_MAVG(200,0,,,,""PORTAGG"")")/100</f>
        <v>0.70775347912524889</v>
      </c>
      <c r="L11" s="19" cm="1">
        <f t="array" ref="L11">_xll.FDSB(A11,"PERCENT_CHANGE(FMA_EPS(+1,0,,,,""PORTAGG"",""MEAN""),FMA_EPS(+1,-1AM,,,,""PORTAGG"",""MEAN""))")</f>
        <v>-7.0276755465720599E-3</v>
      </c>
      <c r="M11" s="19" cm="1">
        <f t="array" ref="M11">_xll.FDSB(A11,"PERCENT_CHANGE(FMA_EPS(+1,0,,,,""PORTAGG"",""MEAN""),FMA_EPS(+1,-3AM,,,,""PORTAGG"",""MEAN""))")</f>
        <v>-0.923449211704923</v>
      </c>
      <c r="O11" s="3" cm="1">
        <f t="array" ref="O11">_xll.FDS(C11,"FG_TOTAL_RETURNC(0,-3AM)")</f>
        <v>12.698293</v>
      </c>
      <c r="P11" s="3" cm="1">
        <f t="array" ref="P11">_xll.FDS(C11,"FG_TOTAL_RETURNC(0,-6AM)")</f>
        <v>11.715019</v>
      </c>
      <c r="Q11" s="8" cm="1">
        <f t="array" ref="Q11">_xll.FDS(C11,"P_PRICE(0)/P_PRICE_HIGH_PR(0,,,USD,,,""PRICE"",""INTRA"",""52W"")")</f>
        <v>0.98129093999999994</v>
      </c>
      <c r="R11" s="8" cm="1">
        <f t="array" ref="R11">_xll.FDS(C11,"P_PRICE(0)/P_PRICE_low_PR(0,,,USD,,,""PRICE"",""INTRA"",""52W"")-1")</f>
        <v>0.29799031999999998</v>
      </c>
      <c r="T11" s="4" cm="1">
        <f t="array" ref="T11">_xlfn.PERCENTRANK.EXC(_xlfn._xlws.FILTER($R$3:$R$15, ISNUMBER($R$3:$R$15)),R11)*100</f>
        <v>85.7</v>
      </c>
      <c r="U11" s="4">
        <f t="shared" si="3"/>
        <v>14.299999999999997</v>
      </c>
      <c r="V11" s="4" cm="1">
        <f t="array" ref="V11">_xlfn.PERCENTRANK.EXC(_xlfn._xlws.FILTER($Q$3:$Q$15, ISNUMBER($Q$3:$Q$15)),Q11)*100</f>
        <v>85.7</v>
      </c>
      <c r="W11" s="4" cm="1">
        <f t="array" ref="W11">_xlfn.PERCENTRANK.EXC(_xlfn._xlws.FILTER($O$3:$O$15, ISNUMBER($O$3:$O$15)),O11)*100</f>
        <v>71.399999999999991</v>
      </c>
      <c r="X11" s="4" cm="1">
        <f t="array" ref="X11">_xlfn.PERCENTRANK.EXC(_xlfn._xlws.FILTER($P$3:$P$15, ISNUMBER($P$3:$P$15)),P11)*100</f>
        <v>85.7</v>
      </c>
      <c r="Z11" s="4" cm="1">
        <f t="array" ref="Z11">_xlfn.PERCENTRANK.EXC(_xlfn._xlws.FILTER($K$3:$K$15, ISNUMBER($K$3:$K$15)),K11)*100</f>
        <v>78.5</v>
      </c>
      <c r="AA11" s="4" cm="1">
        <f t="array" ref="AA11">_xlfn.PERCENTRANK.EXC(_xlfn._xlws.FILTER($H$3:$H$15, ISNUMBER($H$3:$H$15)),H11)*100</f>
        <v>92.800000000000011</v>
      </c>
      <c r="AB11" s="4" cm="1">
        <f t="array" ref="AB11">_xlfn.PERCENTRANK.EXC(_xlfn._xlws.FILTER($J$3:$J$15, ISNUMBER($J$3:$J$15)),J11)*100</f>
        <v>85.7</v>
      </c>
      <c r="AC11" s="4">
        <f t="shared" si="6"/>
        <v>92.800000000000011</v>
      </c>
      <c r="AD11" s="4">
        <f t="shared" si="7"/>
        <v>71.399999999999991</v>
      </c>
      <c r="AE11" s="4" t="e">
        <f t="shared" si="8"/>
        <v>#REF!</v>
      </c>
      <c r="AF11" s="4" t="e">
        <f t="shared" si="4"/>
        <v>#REF!</v>
      </c>
      <c r="AH11" s="3" t="e" cm="1" vm="1">
        <f t="array" ref="AH11">_xlfn.PERCENTRANK.EXC(_xlfn._xlws.FILTER($AF$3:$AF$15, ISNUMBER($AF$3:$AF$15)),AF11)*100</f>
        <v>#VALUE!</v>
      </c>
      <c r="AI11">
        <f t="shared" si="5"/>
        <v>6</v>
      </c>
      <c r="AK11" s="4"/>
    </row>
    <row r="12" spans="1:37" hidden="1" x14ac:dyDescent="0.3">
      <c r="A12" t="s">
        <v>141</v>
      </c>
      <c r="B12" t="str" cm="1">
        <f t="array" ref="B12">_xll.FDS(A12,"FG_COMPANY_NAME")</f>
        <v>iShares MSCI France ETF</v>
      </c>
      <c r="C12" t="s">
        <v>141</v>
      </c>
      <c r="D12" s="37" t="e">
        <f>VLOOKUP(C12,#REF!,5,FALSE)</f>
        <v>#REF!</v>
      </c>
      <c r="E12" cm="1">
        <f t="array" ref="E12">_xll.FDS(C12,"FMA_COS_UP(""EPS"",""1M"",+1,0,,,""PORTAGG"",""MEANR"")")</f>
        <v>23</v>
      </c>
      <c r="F12" cm="1">
        <f t="array" ref="F12">_xll.FDS(C12,"FMA_COS_DOWN(""EPS"",""1M"",+1,0,,,""PORTAGG"",""MEANR"")")</f>
        <v>32</v>
      </c>
      <c r="G12" cm="1">
        <f t="array" ref="G12">_xll.FDS(A12,"SIZE(FG_CONSTITUENTS)")</f>
        <v>63</v>
      </c>
      <c r="H12" s="8">
        <f t="shared" ref="H12:H15" si="9">E12/$G12</f>
        <v>0.36507936507936506</v>
      </c>
      <c r="I12" s="8">
        <f t="shared" ref="I12:I15" si="10">F12/$G12</f>
        <v>0.50793650793650791</v>
      </c>
      <c r="J12" s="8">
        <f t="shared" ref="J12:J15" si="11">H12-I12</f>
        <v>-0.14285714285714285</v>
      </c>
      <c r="K12" s="5" cm="1">
        <f t="array" ref="K12">_xll.FDS(A12,"FMA_PCT_ABOVE_MAVG(200,0,,,,""PORTAGG"")")/100</f>
        <v>0.67741935483871007</v>
      </c>
      <c r="L12" s="19" cm="1">
        <f t="array" ref="L12">_xll.FDSB(A12,"PERCENT_CHANGE(FMA_EPS(+1,0,,,,""PORTAGG"",""MEAN""),FMA_EPS(+1,-1AM,,,,""PORTAGG"",""MEAN""))")</f>
        <v>-3.3366894787794701</v>
      </c>
      <c r="M12" s="19" cm="1">
        <f t="array" ref="M12">_xll.FDSB(A12,"PERCENT_CHANGE(FMA_EPS(+1,0,,,,""PORTAGG"",""MEAN""),FMA_EPS(+1,-3AM,,,,""PORTAGG"",""MEAN""))")</f>
        <v>-3.43137562287118</v>
      </c>
      <c r="O12" s="3" cm="1">
        <f t="array" ref="O12">_xll.FDS(C12,"FG_TOTAL_RETURNC(0,-3AM)")</f>
        <v>7.3219894999999999</v>
      </c>
      <c r="P12" s="3" cm="1">
        <f t="array" ref="P12">_xll.FDS(C12,"FG_TOTAL_RETURNC(0,-6AM)")</f>
        <v>0.38802624000000002</v>
      </c>
      <c r="Q12" s="8" cm="1">
        <f t="array" ref="Q12">_xll.FDS(C12,"P_PRICE(0)/P_PRICE_HIGH_PR(0,,,USD,,,""PRICE"",""INTRA"",""52W"")")</f>
        <v>0.95444304000000002</v>
      </c>
      <c r="R12" s="8" cm="1">
        <f t="array" ref="R12">_xll.FDS(C12,"P_PRICE(0)/P_PRICE_low_PR(0,,,USD,,,""PRICE"",""INTRA"",""52W"")-1")</f>
        <v>0.13279854999999999</v>
      </c>
      <c r="T12" s="4" cm="1">
        <f t="array" ref="T12">_xlfn.PERCENTRANK.EXC(_xlfn._xlws.FILTER($R$3:$R$15, ISNUMBER($R$3:$R$15)),R12)*100</f>
        <v>42.8</v>
      </c>
      <c r="U12" s="4">
        <f t="shared" ref="U12:U15" si="12">100-T12</f>
        <v>57.2</v>
      </c>
      <c r="V12" s="4" cm="1">
        <f t="array" ref="V12">_xlfn.PERCENTRANK.EXC(_xlfn._xlws.FILTER($Q$3:$Q$15, ISNUMBER($Q$3:$Q$15)),Q12)*100</f>
        <v>50</v>
      </c>
      <c r="W12" s="4" cm="1">
        <f t="array" ref="W12">_xlfn.PERCENTRANK.EXC(_xlfn._xlws.FILTER($O$3:$O$15, ISNUMBER($O$3:$O$15)),O12)*100</f>
        <v>35.699999999999996</v>
      </c>
      <c r="X12" s="4" cm="1">
        <f t="array" ref="X12">_xlfn.PERCENTRANK.EXC(_xlfn._xlws.FILTER($P$3:$P$15, ISNUMBER($P$3:$P$15)),P12)*100</f>
        <v>28.499999999999996</v>
      </c>
      <c r="Z12" s="4" cm="1">
        <f t="array" ref="Z12">_xlfn.PERCENTRANK.EXC(_xlfn._xlws.FILTER($K$3:$K$15, ISNUMBER($K$3:$K$15)),K12)*100</f>
        <v>71.399999999999991</v>
      </c>
      <c r="AA12" s="4" cm="1">
        <f t="array" ref="AA12">_xlfn.PERCENTRANK.EXC(_xlfn._xlws.FILTER($H$3:$H$15, ISNUMBER($H$3:$H$15)),H12)*100</f>
        <v>42.8</v>
      </c>
      <c r="AB12" s="4" cm="1">
        <f t="array" ref="AB12">_xlfn.PERCENTRANK.EXC(_xlfn._xlws.FILTER($J$3:$J$15, ISNUMBER($J$3:$J$15)),J12)*100</f>
        <v>35.699999999999996</v>
      </c>
      <c r="AC12" s="4">
        <f t="shared" si="6"/>
        <v>21.4</v>
      </c>
      <c r="AD12" s="4">
        <f t="shared" si="7"/>
        <v>35.699999999999996</v>
      </c>
      <c r="AE12" s="4" t="e">
        <f t="shared" si="8"/>
        <v>#REF!</v>
      </c>
      <c r="AF12" s="4" t="e">
        <f t="shared" ref="AF12:AF15" si="13">SUMPRODUCT($U$2:$AE$2,U12:AE12)</f>
        <v>#REF!</v>
      </c>
      <c r="AH12" s="3" t="e" cm="1" vm="1">
        <f t="array" ref="AH12">_xlfn.PERCENTRANK.EXC(_xlfn._xlws.FILTER($AF$3:$AF$15, ISNUMBER($AF$3:$AF$15)),AF12)*100</f>
        <v>#VALUE!</v>
      </c>
      <c r="AI12">
        <f t="shared" ref="AI12:AI15" si="14">COUNTIF(V12:AB12,"&gt;70")</f>
        <v>1</v>
      </c>
    </row>
    <row r="13" spans="1:37" hidden="1" x14ac:dyDescent="0.3">
      <c r="A13" t="s">
        <v>143</v>
      </c>
      <c r="B13" t="str" cm="1">
        <f t="array" ref="B13">_xll.FDS(A13,"FG_COMPANY_NAME")</f>
        <v>iShares MSCI Netherlands ETF</v>
      </c>
      <c r="C13" t="s">
        <v>143</v>
      </c>
      <c r="D13" s="37" t="e">
        <f>VLOOKUP(C13,#REF!,5,FALSE)</f>
        <v>#REF!</v>
      </c>
      <c r="E13" cm="1">
        <f t="array" ref="E13">_xll.FDS(C13,"FMA_COS_UP(""EPS"",""1M"",+1,0,,,""PORTAGG"",""MEANR"")")</f>
        <v>15</v>
      </c>
      <c r="F13" cm="1">
        <f t="array" ref="F13">_xll.FDS(C13,"FMA_COS_DOWN(""EPS"",""1M"",+1,0,,,""PORTAGG"",""MEANR"")")</f>
        <v>27</v>
      </c>
      <c r="G13" cm="1">
        <f t="array" ref="G13">_xll.FDS(A13,"SIZE(FG_CONSTITUENTS)")</f>
        <v>54</v>
      </c>
      <c r="H13" s="8">
        <f t="shared" si="9"/>
        <v>0.27777777777777779</v>
      </c>
      <c r="I13" s="8">
        <f t="shared" si="10"/>
        <v>0.5</v>
      </c>
      <c r="J13" s="8">
        <f t="shared" si="11"/>
        <v>-0.22222222222222221</v>
      </c>
      <c r="K13" s="5" cm="1">
        <f t="array" ref="K13">_xll.FDS(A13,"FMA_PCT_ABOVE_MAVG(200,0,,,,""PORTAGG"")")/100</f>
        <v>0.55555555555555602</v>
      </c>
      <c r="L13" s="19" cm="1">
        <f t="array" ref="L13">_xll.FDSB(A13,"PERCENT_CHANGE(FMA_EPS(+1,0,,,,""PORTAGG"",""MEAN""),FMA_EPS(+1,-1AM,,,,""PORTAGG"",""MEAN""))")</f>
        <v>-2.5587522166441401</v>
      </c>
      <c r="M13" s="19" cm="1">
        <f t="array" ref="M13">_xll.FDSB(A13,"PERCENT_CHANGE(FMA_EPS(+1,0,,,,""PORTAGG"",""MEAN""),FMA_EPS(+1,-3AM,,,,""PORTAGG"",""MEAN""))")</f>
        <v>-0.261055924524631</v>
      </c>
      <c r="O13" s="3" cm="1">
        <f t="array" ref="O13">_xll.FDS(C13,"FG_TOTAL_RETURNC(0,-3AM)")</f>
        <v>15.258896</v>
      </c>
      <c r="P13" s="3" cm="1">
        <f t="array" ref="P13">_xll.FDS(C13,"FG_TOTAL_RETURNC(0,-6AM)")</f>
        <v>8.2351799999999997</v>
      </c>
      <c r="Q13" s="8" cm="1">
        <f t="array" ref="Q13">_xll.FDS(C13,"P_PRICE(0)/P_PRICE_HIGH_PR(0,,,USD,,,""PRICE"",""INTRA"",""52W"")")</f>
        <v>0.96924365000000001</v>
      </c>
      <c r="R13" s="8" cm="1">
        <f t="array" ref="R13">_xll.FDS(C13,"P_PRICE(0)/P_PRICE_low_PR(0,,,USD,,,""PRICE"",""INTRA"",""52W"")-1")</f>
        <v>0.26784229999999998</v>
      </c>
      <c r="T13" s="4" cm="1">
        <f t="array" ref="T13">_xlfn.PERCENTRANK.EXC(_xlfn._xlws.FILTER($R$3:$R$15, ISNUMBER($R$3:$R$15)),R13)*100</f>
        <v>78.5</v>
      </c>
      <c r="U13" s="4">
        <f t="shared" si="12"/>
        <v>21.5</v>
      </c>
      <c r="V13" s="4" cm="1">
        <f t="array" ref="V13">_xlfn.PERCENTRANK.EXC(_xlfn._xlws.FILTER($Q$3:$Q$15, ISNUMBER($Q$3:$Q$15)),Q13)*100</f>
        <v>64.2</v>
      </c>
      <c r="W13" s="4" cm="1">
        <f t="array" ref="W13">_xlfn.PERCENTRANK.EXC(_xlfn._xlws.FILTER($O$3:$O$15, ISNUMBER($O$3:$O$15)),O13)*100</f>
        <v>92.800000000000011</v>
      </c>
      <c r="X13" s="4" cm="1">
        <f t="array" ref="X13">_xlfn.PERCENTRANK.EXC(_xlfn._xlws.FILTER($P$3:$P$15, ISNUMBER($P$3:$P$15)),P13)*100</f>
        <v>64.2</v>
      </c>
      <c r="Z13" s="4" cm="1">
        <f t="array" ref="Z13">_xlfn.PERCENTRANK.EXC(_xlfn._xlws.FILTER($K$3:$K$15, ISNUMBER($K$3:$K$15)),K13)*100</f>
        <v>14.2</v>
      </c>
      <c r="AA13" s="4" cm="1">
        <f t="array" ref="AA13">_xlfn.PERCENTRANK.EXC(_xlfn._xlws.FILTER($H$3:$H$15, ISNUMBER($H$3:$H$15)),H13)*100</f>
        <v>21.4</v>
      </c>
      <c r="AB13" s="4" cm="1">
        <f t="array" ref="AB13">_xlfn.PERCENTRANK.EXC(_xlfn._xlws.FILTER($J$3:$J$15, ISNUMBER($J$3:$J$15)),J13)*100</f>
        <v>28.499999999999996</v>
      </c>
      <c r="AC13" s="4">
        <f t="shared" si="6"/>
        <v>42.8</v>
      </c>
      <c r="AD13" s="4">
        <f t="shared" si="7"/>
        <v>78.5</v>
      </c>
      <c r="AE13" s="4" t="e">
        <f t="shared" si="8"/>
        <v>#REF!</v>
      </c>
      <c r="AF13" s="4" t="e">
        <f t="shared" si="13"/>
        <v>#REF!</v>
      </c>
      <c r="AH13" s="3" t="e" cm="1" vm="1">
        <f t="array" ref="AH13">_xlfn.PERCENTRANK.EXC(_xlfn._xlws.FILTER($AF$3:$AF$15, ISNUMBER($AF$3:$AF$15)),AF13)*100</f>
        <v>#VALUE!</v>
      </c>
      <c r="AI13">
        <f t="shared" si="14"/>
        <v>1</v>
      </c>
    </row>
    <row r="14" spans="1:37" hidden="1" x14ac:dyDescent="0.3">
      <c r="A14" t="s">
        <v>140</v>
      </c>
      <c r="B14" t="str" cm="1">
        <f t="array" ref="B14">_xll.FDS(A14,"FG_COMPANY_NAME")</f>
        <v>iShares MSCI Sweden ETF</v>
      </c>
      <c r="C14" t="s">
        <v>140</v>
      </c>
      <c r="D14" s="37" t="e">
        <f>VLOOKUP(C14,#REF!,5,FALSE)</f>
        <v>#REF!</v>
      </c>
      <c r="E14" cm="1">
        <f t="array" ref="E14">_xll.FDS(C14,"FMA_COS_UP(""EPS"",""1M"",+1,0,,,""PORTAGG"",""MEANR"")")</f>
        <v>10</v>
      </c>
      <c r="F14" cm="1">
        <f t="array" ref="F14">_xll.FDS(C14,"FMA_COS_DOWN(""EPS"",""1M"",+1,0,,,""PORTAGG"",""MEANR"")")</f>
        <v>25</v>
      </c>
      <c r="G14" cm="1">
        <f t="array" ref="G14">_xll.FDS(A14,"SIZE(FG_CONSTITUENTS)")</f>
        <v>44</v>
      </c>
      <c r="H14" s="8">
        <f t="shared" si="9"/>
        <v>0.22727272727272727</v>
      </c>
      <c r="I14" s="8">
        <f t="shared" si="10"/>
        <v>0.56818181818181823</v>
      </c>
      <c r="J14" s="8">
        <f t="shared" si="11"/>
        <v>-0.34090909090909094</v>
      </c>
      <c r="K14" s="5" cm="1">
        <f t="array" ref="K14">_xll.FDS(A14,"FMA_PCT_ABOVE_MAVG(200,0,,,,""PORTAGG"")")/100</f>
        <v>0.6744186046511631</v>
      </c>
      <c r="L14" s="19" cm="1">
        <f t="array" ref="L14">_xll.FDSB(A14,"PERCENT_CHANGE(FMA_EPS(+1,0,,,,""PORTAGG"",""MEAN""),FMA_EPS(+1,-1AM,,,,""PORTAGG"",""MEAN""))")</f>
        <v>-3.2055499533495202</v>
      </c>
      <c r="M14" s="19" cm="1">
        <f t="array" ref="M14">_xll.FDSB(A14,"PERCENT_CHANGE(FMA_EPS(+1,0,,,,""PORTAGG"",""MEAN""),FMA_EPS(+1,-3AM,,,,""PORTAGG"",""MEAN""))")</f>
        <v>-9.2579070786673796</v>
      </c>
      <c r="O14" s="3" cm="1">
        <f t="array" ref="O14">_xll.FDS(C14,"FG_TOTAL_RETURNC(0,-3AM)")</f>
        <v>14.267815000000001</v>
      </c>
      <c r="P14" s="3" cm="1">
        <f t="array" ref="P14">_xll.FDS(C14,"FG_TOTAL_RETURNC(0,-6AM)")</f>
        <v>11.046170999999999</v>
      </c>
      <c r="Q14" s="8" cm="1">
        <f t="array" ref="Q14">_xll.FDS(C14,"P_PRICE(0)/P_PRICE_HIGH_PR(0,,,USD,,,""PRICE"",""INTRA"",""52W"")")</f>
        <v>0.92185700000000004</v>
      </c>
      <c r="R14" s="8" cm="1">
        <f t="array" ref="R14">_xll.FDS(C14,"P_PRICE(0)/P_PRICE_low_PR(0,,,USD,,,""PRICE"",""INTRA"",""52W"")-1")</f>
        <v>0.20254206999999999</v>
      </c>
      <c r="T14" s="4" cm="1">
        <f t="array" ref="T14">_xlfn.PERCENTRANK.EXC(_xlfn._xlws.FILTER($R$3:$R$15, ISNUMBER($R$3:$R$15)),R14)*100</f>
        <v>64.2</v>
      </c>
      <c r="U14" s="4">
        <f t="shared" si="12"/>
        <v>35.799999999999997</v>
      </c>
      <c r="V14" s="4" cm="1">
        <f t="array" ref="V14">_xlfn.PERCENTRANK.EXC(_xlfn._xlws.FILTER($Q$3:$Q$15, ISNUMBER($Q$3:$Q$15)),Q14)*100</f>
        <v>14.2</v>
      </c>
      <c r="W14" s="4" cm="1">
        <f t="array" ref="W14">_xlfn.PERCENTRANK.EXC(_xlfn._xlws.FILTER($O$3:$O$15, ISNUMBER($O$3:$O$15)),O14)*100</f>
        <v>85.7</v>
      </c>
      <c r="X14" s="4" cm="1">
        <f t="array" ref="X14">_xlfn.PERCENTRANK.EXC(_xlfn._xlws.FILTER($P$3:$P$15, ISNUMBER($P$3:$P$15)),P14)*100</f>
        <v>78.5</v>
      </c>
      <c r="Z14" s="4" cm="1">
        <f t="array" ref="Z14">_xlfn.PERCENTRANK.EXC(_xlfn._xlws.FILTER($K$3:$K$15, ISNUMBER($K$3:$K$15)),K14)*100</f>
        <v>64.2</v>
      </c>
      <c r="AA14" s="4" cm="1">
        <f t="array" ref="AA14">_xlfn.PERCENTRANK.EXC(_xlfn._xlws.FILTER($H$3:$H$15, ISNUMBER($H$3:$H$15)),H14)*100</f>
        <v>14.2</v>
      </c>
      <c r="AB14" s="4" cm="1">
        <f t="array" ref="AB14">_xlfn.PERCENTRANK.EXC(_xlfn._xlws.FILTER($J$3:$J$15, ISNUMBER($J$3:$J$15)),J14)*100</f>
        <v>14.2</v>
      </c>
      <c r="AC14" s="4">
        <f t="shared" si="6"/>
        <v>28.499999999999996</v>
      </c>
      <c r="AD14" s="4">
        <f t="shared" si="7"/>
        <v>7.1</v>
      </c>
      <c r="AE14" s="4" t="e">
        <f t="shared" si="8"/>
        <v>#REF!</v>
      </c>
      <c r="AF14" s="4" t="e">
        <f t="shared" si="13"/>
        <v>#REF!</v>
      </c>
      <c r="AH14" s="3" t="e" cm="1" vm="1">
        <f t="array" ref="AH14">_xlfn.PERCENTRANK.EXC(_xlfn._xlws.FILTER($AF$3:$AF$15, ISNUMBER($AF$3:$AF$15)),AF14)*100</f>
        <v>#VALUE!</v>
      </c>
      <c r="AI14">
        <f t="shared" si="14"/>
        <v>2</v>
      </c>
    </row>
    <row r="15" spans="1:37" hidden="1" x14ac:dyDescent="0.3">
      <c r="A15" t="s">
        <v>142</v>
      </c>
      <c r="B15" t="str" cm="1">
        <f t="array" ref="B15">_xll.FDS(A15,"FG_COMPANY_NAME")</f>
        <v>iShares MSCI Italy ETF</v>
      </c>
      <c r="C15" t="s">
        <v>142</v>
      </c>
      <c r="D15" s="37" t="e">
        <f>VLOOKUP(C15,#REF!,5,FALSE)</f>
        <v>#REF!</v>
      </c>
      <c r="E15" cm="1">
        <f t="array" ref="E15">_xll.FDS(C15,"FMA_COS_UP(""EPS"",""1M"",+1,0,,,""PORTAGG"",""MEANR"")")</f>
        <v>10</v>
      </c>
      <c r="F15" cm="1">
        <f t="array" ref="F15">_xll.FDS(C15,"FMA_COS_DOWN(""EPS"",""1M"",+1,0,,,""PORTAGG"",""MEANR"")")</f>
        <v>11</v>
      </c>
      <c r="G15" cm="1">
        <f t="array" ref="G15">_xll.FDS(A15,"SIZE(FG_CONSTITUENTS)")</f>
        <v>26</v>
      </c>
      <c r="H15" s="8">
        <f t="shared" si="9"/>
        <v>0.38461538461538464</v>
      </c>
      <c r="I15" s="8">
        <f t="shared" si="10"/>
        <v>0.42307692307692307</v>
      </c>
      <c r="J15" s="8">
        <f t="shared" si="11"/>
        <v>-3.8461538461538436E-2</v>
      </c>
      <c r="K15" s="5" cm="1">
        <f t="array" ref="K15">_xll.FDS(A15,"FMA_PCT_ABOVE_MAVG(200,0,,,,""PORTAGG"")")/100</f>
        <v>0.64</v>
      </c>
      <c r="L15" s="19" cm="1">
        <f t="array" ref="L15">_xll.FDSB(A15,"PERCENT_CHANGE(FMA_EPS(+1,0,,,,""PORTAGG"",""MEAN""),FMA_EPS(+1,-1AM,,,,""PORTAGG"",""MEAN""))")</f>
        <v>-0.60343824427042903</v>
      </c>
      <c r="M15" s="19" cm="1">
        <f t="array" ref="M15">_xll.FDSB(A15,"PERCENT_CHANGE(FMA_EPS(+1,0,,,,""PORTAGG"",""MEAN""),FMA_EPS(+1,-3AM,,,,""PORTAGG"",""MEAN""))")</f>
        <v>-2.0486869089184099</v>
      </c>
      <c r="O15" s="3" cm="1">
        <f t="array" ref="O15">_xll.FDS(C15,"FG_TOTAL_RETURNC(0,-3AM)")</f>
        <v>7.876849</v>
      </c>
      <c r="P15" s="3" cm="1">
        <f t="array" ref="P15">_xll.FDS(C15,"FG_TOTAL_RETURNC(0,-6AM)")</f>
        <v>5.9854507000000003</v>
      </c>
      <c r="Q15" s="8" cm="1">
        <f t="array" ref="Q15">_xll.FDS(C15,"P_PRICE(0)/P_PRICE_HIGH_PR(0,,,USD,,,""PRICE"",""INTRA"",""52W"")")</f>
        <v>0.97520419999999997</v>
      </c>
      <c r="R15" s="8" cm="1">
        <f t="array" ref="R15">_xll.FDS(C15,"P_PRICE(0)/P_PRICE_low_PR(0,,,USD,,,""PRICE"",""INTRA"",""52W"")-1")</f>
        <v>0.2012217</v>
      </c>
      <c r="T15" s="4" cm="1">
        <f t="array" ref="T15">_xlfn.PERCENTRANK.EXC(_xlfn._xlws.FILTER($R$3:$R$15, ISNUMBER($R$3:$R$15)),R15)*100</f>
        <v>57.099999999999994</v>
      </c>
      <c r="U15" s="4">
        <f t="shared" si="12"/>
        <v>42.900000000000006</v>
      </c>
      <c r="V15" s="4" cm="1">
        <f t="array" ref="V15">_xlfn.PERCENTRANK.EXC(_xlfn._xlws.FILTER($Q$3:$Q$15, ISNUMBER($Q$3:$Q$15)),Q15)*100</f>
        <v>71.399999999999991</v>
      </c>
      <c r="W15" s="4" cm="1">
        <f t="array" ref="W15">_xlfn.PERCENTRANK.EXC(_xlfn._xlws.FILTER($O$3:$O$15, ISNUMBER($O$3:$O$15)),O15)*100</f>
        <v>42.8</v>
      </c>
      <c r="X15" s="4" cm="1">
        <f t="array" ref="X15">_xlfn.PERCENTRANK.EXC(_xlfn._xlws.FILTER($P$3:$P$15, ISNUMBER($P$3:$P$15)),P15)*100</f>
        <v>57.099999999999994</v>
      </c>
      <c r="Z15" s="4" cm="1">
        <f t="array" ref="Z15">_xlfn.PERCENTRANK.EXC(_xlfn._xlws.FILTER($K$3:$K$15, ISNUMBER($K$3:$K$15)),K15)*100</f>
        <v>50</v>
      </c>
      <c r="AA15" s="4" cm="1">
        <f t="array" ref="AA15">_xlfn.PERCENTRANK.EXC(_xlfn._xlws.FILTER($H$3:$H$15, ISNUMBER($H$3:$H$15)),H15)*100</f>
        <v>50</v>
      </c>
      <c r="AB15" s="4" cm="1">
        <f t="array" ref="AB15">_xlfn.PERCENTRANK.EXC(_xlfn._xlws.FILTER($J$3:$J$15, ISNUMBER($J$3:$J$15)),J15)*100</f>
        <v>50</v>
      </c>
      <c r="AC15" s="4">
        <f t="shared" si="6"/>
        <v>78.5</v>
      </c>
      <c r="AD15" s="4">
        <f t="shared" si="7"/>
        <v>64.2</v>
      </c>
      <c r="AE15" s="4" t="e">
        <f t="shared" si="8"/>
        <v>#REF!</v>
      </c>
      <c r="AF15" s="4" t="e">
        <f t="shared" si="13"/>
        <v>#REF!</v>
      </c>
      <c r="AH15" s="3" t="e" cm="1" vm="1">
        <f t="array" ref="AH15">_xlfn.PERCENTRANK.EXC(_xlfn._xlws.FILTER($AF$3:$AF$15, ISNUMBER($AF$3:$AF$15)),AF15)*100</f>
        <v>#VALUE!</v>
      </c>
      <c r="AI15">
        <f t="shared" si="14"/>
        <v>1</v>
      </c>
    </row>
    <row r="16" spans="1:37" x14ac:dyDescent="0.3">
      <c r="H16" s="8"/>
      <c r="I16" s="8"/>
      <c r="J16" s="8"/>
      <c r="K16" s="5"/>
      <c r="L16" s="19"/>
      <c r="M16" s="19"/>
      <c r="O16" s="3"/>
      <c r="Q16" s="8"/>
      <c r="R16" s="8"/>
      <c r="V16" s="4"/>
      <c r="W16" s="4"/>
      <c r="X16" s="4"/>
      <c r="Z16" s="4"/>
      <c r="AA16" s="4"/>
      <c r="AB16" s="4"/>
      <c r="AC16" s="4"/>
      <c r="AD16" s="4"/>
      <c r="AE16" s="4"/>
      <c r="AF16" s="4"/>
      <c r="AH16" s="4"/>
    </row>
    <row r="17" spans="1:35" x14ac:dyDescent="0.3">
      <c r="A17" s="1" t="s">
        <v>88</v>
      </c>
      <c r="H17" s="8"/>
      <c r="I17" s="8"/>
      <c r="J17" s="8"/>
      <c r="K17" s="5"/>
      <c r="L17" s="19"/>
      <c r="M17" s="19"/>
      <c r="O17" s="3"/>
      <c r="Q17" s="8"/>
      <c r="R17" s="8"/>
      <c r="V17" s="4"/>
      <c r="W17" s="4"/>
      <c r="X17" s="4"/>
      <c r="Z17" s="4"/>
      <c r="AA17" s="4"/>
      <c r="AB17" s="4"/>
      <c r="AC17" s="4"/>
      <c r="AD17" s="4"/>
      <c r="AE17" s="4"/>
      <c r="AF17" s="4"/>
      <c r="AH17" s="4"/>
    </row>
    <row r="18" spans="1:35" x14ac:dyDescent="0.3">
      <c r="A18" t="s">
        <v>71</v>
      </c>
      <c r="B18" t="s">
        <v>42</v>
      </c>
      <c r="C18" t="str">
        <f>A18</f>
        <v>VGK</v>
      </c>
      <c r="E18" cm="1">
        <f t="array" ref="E18">_xll.FDS(C18,"FMA_COS_UP(""EPS"",""1M"",+1,0,,,""PORTAGG"",""MEANR"")")</f>
        <v>383</v>
      </c>
      <c r="F18" cm="1">
        <f t="array" ref="F18">_xll.FDS(C18,"FMA_COS_DOWN(""EPS"",""1M"",+1,0,,,""PORTAGG"",""MEANR"")")</f>
        <v>378</v>
      </c>
      <c r="G18" cm="1">
        <f t="array" ref="G18">_xll.FDS(A18,"SIZE(FG_CONSTITUENTS)")</f>
        <v>1294</v>
      </c>
      <c r="H18" s="8">
        <f>E18/$G18</f>
        <v>0.29598145285935085</v>
      </c>
      <c r="I18" s="8">
        <f>F18/$G18</f>
        <v>0.29211746522411131</v>
      </c>
      <c r="J18" s="8">
        <f t="shared" ref="J18" si="15">H18-I18</f>
        <v>3.8639876352395408E-3</v>
      </c>
      <c r="K18" s="5" cm="1">
        <f t="array" ref="K18">_xll.FDS(A18,"FMA_PCT_ABOVE_MAVG(200,0,,,,""PORTAGG"")")/100</f>
        <v>0.64544025157232698</v>
      </c>
      <c r="L18" s="19" cm="1">
        <f t="array" ref="L18">_xll.FDSB(A18,"PERCENT_CHANGE(FMA_EPS(+1,0,,,,""PORTAGG"",""MEAN""),FMA_EPS(+1,-1AM,,,,""PORTAGG"",""MEAN""))")</f>
        <v>0</v>
      </c>
      <c r="M18" s="19" cm="1">
        <f t="array" ref="M18">_xll.FDSB(A18,"PERCENT_CHANGE(FMA_EPS(+1,0,,,,""PORTAGG"",""MEAN""),FMA_EPS(+1,-3AM,,,,""PORTAGG"",""MEAN""))")</f>
        <v>1.9236426339421999</v>
      </c>
      <c r="O18" s="3" cm="1">
        <f t="array" ref="O18">_xll.FDS(C18,"FG_TOTAL_RETURNC(0,-3AM)")</f>
        <v>7.9225779999999997</v>
      </c>
      <c r="P18" s="3" cm="1">
        <f t="array" ref="P18">_xll.FDS(C18,"FG_TOTAL_RETURNC(0,-6AM)")</f>
        <v>2.7382493000000001</v>
      </c>
      <c r="Q18" s="8" cm="1">
        <f t="array" ref="Q18">_xll.FDS(C18,"P_PRICE(0)/P_PRICE_HIGH_PR(0,,,USD,,,""PRICE"",""INTRA"",""52W"")")</f>
        <v>0.96526223</v>
      </c>
      <c r="R18" s="8" cm="1">
        <f t="array" ref="R18">_xll.FDS(C18,"P_PRICE(0)/P_PRICE_low_PR(0,,,USD,,,""PRICE"",""INTRA"",""52W"")-1")</f>
        <v>0.13803124</v>
      </c>
      <c r="W18" s="4"/>
      <c r="X18" s="4"/>
      <c r="Y18" s="4"/>
      <c r="AA18" s="4"/>
      <c r="AB18" s="4"/>
      <c r="AC18" s="4"/>
      <c r="AD18" s="4"/>
      <c r="AE18" s="4"/>
      <c r="AF18" s="4"/>
      <c r="AG18" s="4"/>
      <c r="AI18" s="4"/>
    </row>
    <row r="19" spans="1:35" x14ac:dyDescent="0.3">
      <c r="A19" t="s">
        <v>4</v>
      </c>
      <c r="B19" t="s">
        <v>87</v>
      </c>
      <c r="C19" t="str">
        <f>A19</f>
        <v>VWO</v>
      </c>
      <c r="E19" cm="1">
        <f t="array" ref="E19">_xll.FDS(C19,"FMA_COS_UP(""EPS"",""1M"",+1,0,,,""PORTAGG"",""MEANR"")")</f>
        <v>728</v>
      </c>
      <c r="F19" cm="1">
        <f t="array" ref="F19">_xll.FDS(C19,"FMA_COS_DOWN(""EPS"",""1M"",+1,0,,,""PORTAGG"",""MEANR"")")</f>
        <v>1279</v>
      </c>
      <c r="G19" cm="1">
        <f t="array" ref="G19">_xll.FDS(A19,"SIZE(FG_CONSTITUENTS)")</f>
        <v>4684</v>
      </c>
      <c r="H19" s="8">
        <f>E19/$G19</f>
        <v>0.15542271562766866</v>
      </c>
      <c r="I19" s="8">
        <f>F19/$G19</f>
        <v>0.27305721605465416</v>
      </c>
      <c r="J19" s="8">
        <f t="shared" ref="J19" si="16">H19-I19</f>
        <v>-0.11763450042698551</v>
      </c>
      <c r="K19" s="5" cm="1">
        <f t="array" ref="K19">_xll.FDS(A19,"FMA_PCT_ABOVE_MAVG(200,0,,,,""PORTAGG"")")/100</f>
        <v>0.43146760687527497</v>
      </c>
      <c r="L19" s="19" cm="1">
        <f t="array" ref="L19">_xll.FDSB(A19,"PERCENT_CHANGE(FMA_EPS(+1,0,,,,""PORTAGG"",""MEAN""),FMA_EPS(+1,-1AM,,,,""PORTAGG"",""MEAN""))")</f>
        <v>0</v>
      </c>
      <c r="M19" s="19" cm="1">
        <f t="array" ref="M19">_xll.FDSB(A19,"PERCENT_CHANGE(FMA_EPS(+1,0,,,,""PORTAGG"",""MEAN""),FMA_EPS(+1,-3AM,,,,""PORTAGG"",""MEAN""))")</f>
        <v>0.14245199055896801</v>
      </c>
      <c r="O19" s="3" cm="1">
        <f t="array" ref="O19">_xll.FDS(C19,"FG_TOTAL_RETURNC(0,-3AM)")</f>
        <v>3.7310243000000001</v>
      </c>
      <c r="P19" s="3" cm="1">
        <f t="array" ref="P19">_xll.FDS(C19,"FG_TOTAL_RETURNC(0,-6AM)")</f>
        <v>1.0425686999999999</v>
      </c>
      <c r="Q19" s="8" cm="1">
        <f t="array" ref="Q19">_xll.FDS(C19,"P_PRICE(0)/P_PRICE_HIGH_PR(0,,,USD,,,""PRICE"",""INTRA"",""52W"")")</f>
        <v>0.92946640000000003</v>
      </c>
      <c r="R19" s="8" cm="1">
        <f t="array" ref="R19">_xll.FDS(C19,"P_PRICE(0)/P_PRICE_low_PR(0,,,USD,,,""PRICE"",""INTRA"",""52W"")-1")</f>
        <v>6.955016E-2</v>
      </c>
    </row>
    <row r="20" spans="1:35" x14ac:dyDescent="0.3">
      <c r="A20" t="s">
        <v>89</v>
      </c>
      <c r="B20" t="s">
        <v>90</v>
      </c>
      <c r="C20" t="str">
        <f t="shared" ref="C20" si="17">A20</f>
        <v>URTH</v>
      </c>
      <c r="E20" cm="1">
        <f t="array" ref="E20">_xll.FDS(C20,"FMA_COS_UP(""EPS"",""1M"",+1,0,,,""PORTAGG"",""MEANR"")")</f>
        <v>645</v>
      </c>
      <c r="F20" cm="1">
        <f t="array" ref="F20">_xll.FDS(C20,"FMA_COS_DOWN(""EPS"",""1M"",+1,0,,,""PORTAGG"",""MEANR"")")</f>
        <v>572</v>
      </c>
      <c r="G20" cm="1">
        <f t="array" ref="G20">_xll.FDS(A20,"SIZE(FG_CONSTITUENTS)")</f>
        <v>1482</v>
      </c>
      <c r="H20" s="8">
        <f t="shared" ref="H20" si="18">E20/$G20</f>
        <v>0.43522267206477733</v>
      </c>
      <c r="I20" s="8">
        <f t="shared" ref="I20" si="19">F20/$G20</f>
        <v>0.38596491228070173</v>
      </c>
      <c r="J20" s="8">
        <f t="shared" ref="J20" si="20">H20-I20</f>
        <v>4.9257759784075594E-2</v>
      </c>
      <c r="K20" s="5" cm="1">
        <f t="array" ref="K20">_xll.FDS(A20,"FMA_PCT_ABOVE_MAVG(200,0,,,,""PORTAGG"")")/100</f>
        <v>0.65152542372881395</v>
      </c>
      <c r="L20" s="19" cm="1">
        <f t="array" ref="L20">_xll.FDSB(A20,"PERCENT_CHANGE(FMA_EPS(+1,0,,,,""PORTAGG"",""MEAN""),FMA_EPS(+1,-1AM,,,,""PORTAGG"",""MEAN""))")</f>
        <v>-0.97534821488449996</v>
      </c>
      <c r="M20" s="19" cm="1">
        <f t="array" ref="M20">_xll.FDSB(A20,"PERCENT_CHANGE(FMA_EPS(+1,0,,,,""PORTAGG"",""MEAN""),FMA_EPS(+1,-3AM,,,,""PORTAGG"",""MEAN""))")</f>
        <v>-1.6035512419857001</v>
      </c>
      <c r="O20" s="3" cm="1">
        <f t="array" ref="O20">_xll.FDS(C20,"FG_TOTAL_RETURNC(0,-3AM)")</f>
        <v>11.542605999999999</v>
      </c>
      <c r="P20" s="3" cm="1">
        <f t="array" ref="P20">_xll.FDS(C20,"FG_TOTAL_RETURNC(0,-6AM)")</f>
        <v>9.7650050000000004</v>
      </c>
      <c r="Q20" s="8" cm="1">
        <f t="array" ref="Q20">_xll.FDS(C20,"P_PRICE(0)/P_PRICE_HIGH_PR(0,,,USD,,,""PRICE"",""INTRA"",""52W"")")</f>
        <v>0.98104230000000003</v>
      </c>
      <c r="R20" s="8" cm="1">
        <f t="array" ref="R20">_xll.FDS(C20,"P_PRICE(0)/P_PRICE_low_PR(0,,,USD,,,""PRICE"",""INTRA"",""52W"")-1")</f>
        <v>0.24159658000000001</v>
      </c>
    </row>
    <row r="21" spans="1:35" x14ac:dyDescent="0.3">
      <c r="A21" t="s">
        <v>12</v>
      </c>
      <c r="B21" t="s">
        <v>80</v>
      </c>
      <c r="C21" t="str">
        <f t="shared" ref="C21:C22" si="21">A21</f>
        <v>EWJ</v>
      </c>
      <c r="E21" cm="1">
        <f t="array" ref="E21">_xll.FDS(C21,"FMA_COS_UP(""EPS"",""1M"",+1,0,,,""PORTAGG"",""MEANR"")")</f>
        <v>95</v>
      </c>
      <c r="F21" cm="1">
        <f t="array" ref="F21">_xll.FDS(C21,"FMA_COS_DOWN(""EPS"",""1M"",+1,0,,,""PORTAGG"",""MEANR"")")</f>
        <v>87</v>
      </c>
      <c r="G21" cm="1">
        <f t="array" ref="G21">_xll.FDS(A21,"SIZE(FG_CONSTITUENTS)")</f>
        <v>226</v>
      </c>
      <c r="H21" s="8">
        <f t="shared" ref="H21:H22" si="22">E21/$G21</f>
        <v>0.42035398230088494</v>
      </c>
      <c r="I21" s="8">
        <f t="shared" ref="I21:I22" si="23">F21/$G21</f>
        <v>0.38495575221238937</v>
      </c>
      <c r="J21" s="8">
        <f t="shared" ref="J21:J22" si="24">H21-I21</f>
        <v>3.5398230088495575E-2</v>
      </c>
      <c r="K21" s="5" cm="1">
        <f t="array" ref="K21">_xll.FDS(A21,"FMA_PCT_ABOVE_MAVG(200,0,,,,""PORTAGG"")")/100</f>
        <v>0.71681415929203496</v>
      </c>
      <c r="L21" s="19" cm="1">
        <f t="array" ref="L21">_xll.FDSB(A21,"PERCENT_CHANGE(FMA_EPS(+1,0,,,,""PORTAGG"",""MEAN""),FMA_EPS(+1,-1AM,,,,""PORTAGG"",""MEAN""))")</f>
        <v>-2.4029073916216799</v>
      </c>
      <c r="M21" s="19" cm="1">
        <f t="array" ref="M21">_xll.FDSB(A21,"PERCENT_CHANGE(FMA_EPS(+1,0,,,,""PORTAGG"",""MEAN""),FMA_EPS(+1,-3AM,,,,""PORTAGG"",""MEAN""))")</f>
        <v>1.42647733658266</v>
      </c>
      <c r="O21" s="3" cm="1">
        <f t="array" ref="O21">_xll.FDS(C21,"FG_TOTAL_RETURNC(0,-3AM)")</f>
        <v>11.979972999999999</v>
      </c>
      <c r="P21" s="3" cm="1">
        <f t="array" ref="P21">_xll.FDS(C21,"FG_TOTAL_RETURNC(0,-6AM)")</f>
        <v>10.283041000000001</v>
      </c>
      <c r="Q21" s="8" cm="1">
        <f t="array" ref="Q21">_xll.FDS(C21,"P_PRICE(0)/P_PRICE_HIGH_PR(0,,,USD,,,""PRICE"",""INTRA"",""52W"")")</f>
        <v>0.99249005000000001</v>
      </c>
      <c r="R21" s="8" cm="1">
        <f t="array" ref="R21">_xll.FDS(C21,"P_PRICE(0)/P_PRICE_low_PR(0,,,USD,,,""PRICE"",""INTRA"",""52W"")-1")</f>
        <v>0.22335255000000001</v>
      </c>
    </row>
    <row r="22" spans="1:35" x14ac:dyDescent="0.3">
      <c r="A22" t="s">
        <v>1</v>
      </c>
      <c r="B22" t="s">
        <v>35</v>
      </c>
      <c r="C22" t="str">
        <f t="shared" si="21"/>
        <v>SPY</v>
      </c>
      <c r="E22" cm="1">
        <f t="array" ref="E22">_xll.FDS(C22,"FMA_COS_UP(""EPS"",""1M"",+1,0,,,""PORTAGG"",""MEANR"")")</f>
        <v>285</v>
      </c>
      <c r="F22" cm="1">
        <f t="array" ref="F22">_xll.FDS(C22,"FMA_COS_DOWN(""EPS"",""1M"",+1,0,,,""PORTAGG"",""MEANR"")")</f>
        <v>133</v>
      </c>
      <c r="G22" cm="1">
        <f t="array" ref="G22">_xll.FDS(A22,"SIZE(FG_CONSTITUENTS)")</f>
        <v>504</v>
      </c>
      <c r="H22" s="8">
        <f t="shared" si="22"/>
        <v>0.56547619047619047</v>
      </c>
      <c r="I22" s="8">
        <f t="shared" si="23"/>
        <v>0.2638888888888889</v>
      </c>
      <c r="J22" s="8">
        <f t="shared" si="24"/>
        <v>0.30158730158730157</v>
      </c>
      <c r="K22" s="5" cm="1">
        <f t="array" ref="K22">_xll.FDS(A22,"FMA_PCT_ABOVE_MAVG(200,0,,,,""PORTAGG"")")/100</f>
        <v>0.70775347912524889</v>
      </c>
      <c r="L22" s="19" cm="1">
        <f t="array" ref="L22">_xll.FDSB(A22,"PERCENT_CHANGE(FMA_EPS(+1,0,,,,""PORTAGG"",""MEAN""),FMA_EPS(+1,-1AM,,,,""PORTAGG"",""MEAN""))")</f>
        <v>-7.0276755465720599E-3</v>
      </c>
      <c r="M22" s="19" cm="1">
        <f t="array" ref="M22">_xll.FDSB(A22,"PERCENT_CHANGE(FMA_EPS(+1,0,,,,""PORTAGG"",""MEAN""),FMA_EPS(+1,-3AM,,,,""PORTAGG"",""MEAN""))")</f>
        <v>-0.923449211704923</v>
      </c>
      <c r="O22" s="3" cm="1">
        <f t="array" ref="O22">_xll.FDS(C22,"FG_TOTAL_RETURNC(0,-3AM)")</f>
        <v>12.698293</v>
      </c>
      <c r="P22" s="3" cm="1">
        <f t="array" ref="P22">_xll.FDS(C22,"FG_TOTAL_RETURNC(0,-6AM)")</f>
        <v>11.715019</v>
      </c>
      <c r="Q22" s="8" cm="1">
        <f t="array" ref="Q22">_xll.FDS(C22,"P_PRICE(0)/P_PRICE_HIGH_PR(0,,,USD,,,""PRICE"",""INTRA"",""52W"")")</f>
        <v>0.98129093999999994</v>
      </c>
      <c r="R22" s="8" cm="1">
        <f t="array" ref="R22">_xll.FDS(C22,"P_PRICE(0)/P_PRICE_low_PR(0,,,USD,,,""PRICE"",""INTRA"",""52W"")-1")</f>
        <v>0.29799031999999998</v>
      </c>
    </row>
    <row r="23" spans="1:35" x14ac:dyDescent="0.3">
      <c r="A23" t="s">
        <v>9</v>
      </c>
      <c r="B23" t="s">
        <v>182</v>
      </c>
      <c r="C23" t="str">
        <f t="shared" ref="C23:C27" si="25">A23</f>
        <v>INDA</v>
      </c>
      <c r="E23" cm="1">
        <f t="array" ref="E23">_xll.FDS(C23,"FMA_COS_UP(""EPS"",""1M"",+1,0,,,""PORTAGG"",""MEANR"")")</f>
        <v>54</v>
      </c>
      <c r="F23" cm="1">
        <f t="array" ref="F23">_xll.FDS(C23,"FMA_COS_DOWN(""EPS"",""1M"",+1,0,,,""PORTAGG"",""MEANR"")")</f>
        <v>63</v>
      </c>
      <c r="G23" cm="1">
        <f t="array" ref="G23">_xll.FDS(A23,"SIZE(FG_CONSTITUENTS)")</f>
        <v>133</v>
      </c>
      <c r="H23" s="8">
        <f t="shared" ref="H23" si="26">E23/$G23</f>
        <v>0.40601503759398494</v>
      </c>
      <c r="I23" s="8">
        <f t="shared" ref="I23" si="27">F23/$G23</f>
        <v>0.47368421052631576</v>
      </c>
      <c r="J23" s="8">
        <f t="shared" ref="J23" si="28">H23-I23</f>
        <v>-6.7669172932330823E-2</v>
      </c>
      <c r="K23" s="5" cm="1">
        <f t="array" ref="K23">_xll.FDS(A23,"FMA_PCT_ABOVE_MAVG(200,0,,,,""PORTAGG"")")/100</f>
        <v>0.77862595419847291</v>
      </c>
      <c r="L23" s="19" cm="1">
        <f t="array" ref="L23">_xll.FDSB(A23,"PERCENT_CHANGE(FMA_EPS(+1,0,,,,""PORTAGG"",""MEAN""),FMA_EPS(+1,-1AM,,,,""PORTAGG"",""MEAN""))")</f>
        <v>-1.0172079625375601</v>
      </c>
      <c r="M23" s="19" cm="1">
        <f t="array" ref="M23">_xll.FDSB(A23,"PERCENT_CHANGE(FMA_EPS(+1,0,,,,""PORTAGG"",""MEAN""),FMA_EPS(+1,-3AM,,,,""PORTAGG"",""MEAN""))")</f>
        <v>-2.0462688028665998</v>
      </c>
      <c r="O23" s="3" cm="1">
        <f t="array" ref="O23">_xll.FDS(C23,"FG_TOTAL_RETURNC(0,-3AM)")</f>
        <v>12.494384999999999</v>
      </c>
      <c r="P23" s="3" cm="1">
        <f t="array" ref="P23">_xll.FDS(C23,"FG_TOTAL_RETURNC(0,-6AM)")</f>
        <v>14.557551999999999</v>
      </c>
      <c r="Q23" s="8" cm="1">
        <f t="array" ref="Q23">_xll.FDS(C23,"P_PRICE(0)/P_PRICE_HIGH_PR(0,,,USD,,,""PRICE"",""INTRA"",""52W"")")</f>
        <v>0.97999804999999995</v>
      </c>
      <c r="R23" s="8" cm="1">
        <f t="array" ref="R23">_xll.FDS(C23,"P_PRICE(0)/P_PRICE_low_PR(0,,,USD,,,""PRICE"",""INTRA"",""52W"")-1")</f>
        <v>0.32318293999999997</v>
      </c>
    </row>
    <row r="24" spans="1:35" x14ac:dyDescent="0.3">
      <c r="A24" t="s">
        <v>161</v>
      </c>
      <c r="C24" t="str">
        <f t="shared" si="25"/>
        <v>EMXC</v>
      </c>
      <c r="E24" cm="1">
        <f t="array" ref="E24">_xll.FDS(C24,"FMA_COS_UP(""EPS"",""1M"",+1,0,,,""PORTAGG"",""MEANR"")")</f>
        <v>217</v>
      </c>
      <c r="F24" cm="1">
        <f t="array" ref="F24">_xll.FDS(C24,"FMA_COS_DOWN(""EPS"",""1M"",+1,0,,,""PORTAGG"",""MEANR"")")</f>
        <v>309</v>
      </c>
      <c r="G24" cm="1">
        <f t="array" ref="G24">_xll.FDS(A24,"SIZE(FG_CONSTITUENTS)")</f>
        <v>702</v>
      </c>
      <c r="H24" s="8">
        <f t="shared" ref="H24" si="29">E24/$G24</f>
        <v>0.30911680911680911</v>
      </c>
      <c r="I24" s="8">
        <f t="shared" ref="I24" si="30">F24/$G24</f>
        <v>0.44017094017094016</v>
      </c>
      <c r="J24" s="8">
        <f t="shared" ref="J24" si="31">H24-I24</f>
        <v>-0.13105413105413105</v>
      </c>
      <c r="K24" s="5" cm="1">
        <f t="array" ref="K24">_xll.FDS(A24,"FMA_PCT_ABOVE_MAVG(200,0,,,,""PORTAGG"")")/100</f>
        <v>0.61275964391691407</v>
      </c>
      <c r="L24" s="19" cm="1">
        <f t="array" ref="L24">_xll.FDSB(A24,"PERCENT_CHANGE(FMA_EPS(+1,0,,,,""PORTAGG"",""MEAN""),FMA_EPS(+1,-1AM,,,,""PORTAGG"",""MEAN""))")</f>
        <v>-2.2593475575113899</v>
      </c>
      <c r="M24" s="19" cm="1">
        <f t="array" ref="M24">_xll.FDSB(A24,"PERCENT_CHANGE(FMA_EPS(+1,0,,,,""PORTAGG"",""MEAN""),FMA_EPS(+1,-3AM,,,,""PORTAGG"",""MEAN""))")</f>
        <v>-2.3082564176503499</v>
      </c>
      <c r="O24" s="3" cm="1">
        <f t="array" ref="O24">_xll.FDS(C24,"FG_TOTAL_RETURNC(0,-3AM)")</f>
        <v>9.7653029999999994</v>
      </c>
      <c r="P24" s="3" cm="1">
        <f t="array" ref="P24">_xll.FDS(C24,"FG_TOTAL_RETURNC(0,-6AM)")</f>
        <v>7.7649236000000004</v>
      </c>
      <c r="Q24" s="8" cm="1">
        <f t="array" ref="Q24">_xll.FDS(C24,"P_PRICE(0)/P_PRICE_HIGH_PR(0,,,USD,,,""PRICE"",""INTRA"",""52W"")")</f>
        <v>0.97643787000000004</v>
      </c>
      <c r="R24" s="8" cm="1">
        <f t="array" ref="R24">_xll.FDS(C24,"P_PRICE(0)/P_PRICE_low_PR(0,,,USD,,,""PRICE"",""INTRA"",""52W"")-1")</f>
        <v>0.18205297000000001</v>
      </c>
    </row>
    <row r="25" spans="1:35" x14ac:dyDescent="0.3">
      <c r="A25" t="s">
        <v>15</v>
      </c>
      <c r="C25" t="str">
        <f t="shared" si="25"/>
        <v>QQQ</v>
      </c>
      <c r="E25" cm="1">
        <f t="array" ref="E25">_xll.FDS(C25,"FMA_COS_UP(""EPS"",""1M"",+1,0,,,""PORTAGG"",""MEANR"")")</f>
        <v>56</v>
      </c>
      <c r="F25" cm="1">
        <f t="array" ref="F25">_xll.FDS(C25,"FMA_COS_DOWN(""EPS"",""1M"",+1,0,,,""PORTAGG"",""MEANR"")")</f>
        <v>21</v>
      </c>
      <c r="G25" cm="1">
        <f t="array" ref="G25">_xll.FDS(A25,"SIZE(FG_CONSTITUENTS)")</f>
        <v>102</v>
      </c>
      <c r="H25" s="8">
        <f t="shared" ref="H25:H27" si="32">E25/$G25</f>
        <v>0.5490196078431373</v>
      </c>
      <c r="I25" s="8">
        <f t="shared" ref="I25:I27" si="33">F25/$G25</f>
        <v>0.20588235294117646</v>
      </c>
      <c r="J25" s="8">
        <f t="shared" ref="J25:J27" si="34">H25-I25</f>
        <v>0.34313725490196084</v>
      </c>
      <c r="K25" s="5" cm="1">
        <f t="array" ref="K25">_xll.FDS(A25,"FMA_PCT_ABOVE_MAVG(200,0,,,,""PORTAGG"")")/100</f>
        <v>0.75490196078431393</v>
      </c>
      <c r="L25" s="19" cm="1">
        <f t="array" ref="L25">_xll.FDSB(A25,"PERCENT_CHANGE(FMA_EPS(+1,0,,,,""PORTAGG"",""MEAN""),FMA_EPS(+1,-1AM,,,,""PORTAGG"",""MEAN""))")</f>
        <v>-8.41037471970391E-2</v>
      </c>
      <c r="M25" s="19" cm="1">
        <f t="array" ref="M25">_xll.FDSB(A25,"PERCENT_CHANGE(FMA_EPS(+1,0,,,,""PORTAGG"",""MEAN""),FMA_EPS(+1,-3AM,,,,""PORTAGG"",""MEAN""))")</f>
        <v>1.06403645205293</v>
      </c>
      <c r="O25" s="3" cm="1">
        <f t="array" ref="O25">_xll.FDS(C25,"FG_TOTAL_RETURNC(0,-3AM)")</f>
        <v>13.895726</v>
      </c>
      <c r="P25" s="3" cm="1">
        <f t="array" ref="P25">_xll.FDS(C25,"FG_TOTAL_RETURNC(0,-6AM)")</f>
        <v>17.476738000000001</v>
      </c>
      <c r="Q25" s="8" cm="1">
        <f t="array" ref="Q25">_xll.FDS(C25,"P_PRICE(0)/P_PRICE_HIGH_PR(0,,,USD,,,""PRICE"",""INTRA"",""52W"")")</f>
        <v>0.97588459999999999</v>
      </c>
      <c r="R25" s="8" cm="1">
        <f t="array" ref="R25">_xll.FDS(C25,"P_PRICE(0)/P_PRICE_low_PR(0,,,USD,,,""PRICE"",""INTRA"",""52W"")-1")</f>
        <v>0.50268230000000003</v>
      </c>
    </row>
    <row r="26" spans="1:35" ht="15" customHeight="1" x14ac:dyDescent="0.3">
      <c r="A26" t="s">
        <v>173</v>
      </c>
      <c r="C26" t="str">
        <f t="shared" si="25"/>
        <v>IWM</v>
      </c>
      <c r="E26" cm="1">
        <f t="array" ref="E26">_xll.FDS(C26,"FMA_COS_UP(""EPS"",""1M"",+1,0,,,""PORTAGG"",""MEANR"")")</f>
        <v>486</v>
      </c>
      <c r="F26" cm="1">
        <f t="array" ref="F26">_xll.FDS(C26,"FMA_COS_DOWN(""EPS"",""1M"",+1,0,,,""PORTAGG"",""MEANR"")")</f>
        <v>431</v>
      </c>
      <c r="G26" cm="1">
        <f t="array" ref="G26">_xll.FDS(A26,"SIZE(FG_CONSTITUENTS)")</f>
        <v>1948</v>
      </c>
      <c r="H26" s="8">
        <f t="shared" si="32"/>
        <v>0.24948665297741274</v>
      </c>
      <c r="I26" s="8">
        <f t="shared" si="33"/>
        <v>0.22125256673511293</v>
      </c>
      <c r="J26" s="8">
        <f t="shared" si="34"/>
        <v>2.8234086242299811E-2</v>
      </c>
      <c r="K26" s="5" cm="1">
        <f t="array" ref="K26">_xll.FDS(A26,"FMA_PCT_ABOVE_MAVG(200,0,,,,""PORTAGG"")")/100</f>
        <v>0.598237428719544</v>
      </c>
      <c r="L26" s="19" cm="1">
        <f t="array" ref="L26">_xll.FDSB(A26,"PERCENT_CHANGE(FMA_EPS(+1,0,,,,""PORTAGG"",""MEAN""),FMA_EPS(+1,-1AM,,,,""PORTAGG"",""MEAN""))")</f>
        <v>-0.68909861345267798</v>
      </c>
      <c r="M26" s="19" cm="1">
        <f t="array" ref="M26">_xll.FDSB(A26,"PERCENT_CHANGE(FMA_EPS(+1,0,,,,""PORTAGG"",""MEAN""),FMA_EPS(+1,-3AM,,,,""PORTAGG"",""MEAN""))")</f>
        <v>-5.6017758324224998</v>
      </c>
      <c r="O26" s="3" cm="1">
        <f t="array" ref="O26">_xll.FDS(C26,"FG_TOTAL_RETURNC(0,-3AM)")</f>
        <v>15.468252</v>
      </c>
      <c r="P26" s="3" cm="1">
        <f t="array" ref="P26">_xll.FDS(C26,"FG_TOTAL_RETURNC(0,-6AM)")</f>
        <v>2.7625679999999999</v>
      </c>
      <c r="Q26" s="8" cm="1">
        <f t="array" ref="Q26">_xll.FDS(C26,"P_PRICE(0)/P_PRICE_HIGH_PR(0,,,USD,,,""PRICE"",""INTRA"",""52W"")")</f>
        <v>0.94705340000000005</v>
      </c>
      <c r="R26" s="8" cm="1">
        <f t="array" ref="R26">_xll.FDS(C26,"P_PRICE(0)/P_PRICE_low_PR(0,,,USD,,,""PRICE"",""INTRA"",""52W"")-1")</f>
        <v>0.20374834999999999</v>
      </c>
    </row>
    <row r="27" spans="1:35" ht="15" customHeight="1" x14ac:dyDescent="0.3">
      <c r="A27" t="s">
        <v>153</v>
      </c>
      <c r="B27" t="s">
        <v>76</v>
      </c>
      <c r="C27" t="str">
        <f t="shared" si="25"/>
        <v>FXI</v>
      </c>
      <c r="E27" cm="1">
        <f t="array" ref="E27">_xll.FDS(C27,"FMA_COS_UP(""EPS"",""1M"",+1,0,,,""PORTAGG"",""MEANR"")")</f>
        <v>17</v>
      </c>
      <c r="F27" cm="1">
        <f t="array" ref="F27">_xll.FDS(C27,"FMA_COS_DOWN(""EPS"",""1M"",+1,0,,,""PORTAGG"",""MEANR"")")</f>
        <v>25</v>
      </c>
      <c r="G27" cm="1">
        <f t="array" ref="G27">_xll.FDS(A27,"SIZE(FG_CONSTITUENTS)")</f>
        <v>52</v>
      </c>
      <c r="H27" s="8">
        <f t="shared" si="32"/>
        <v>0.32692307692307693</v>
      </c>
      <c r="I27" s="8">
        <f t="shared" si="33"/>
        <v>0.48076923076923078</v>
      </c>
      <c r="J27" s="8">
        <f t="shared" si="34"/>
        <v>-0.15384615384615385</v>
      </c>
      <c r="K27" s="5" cm="1">
        <f t="array" ref="K27">_xll.FDS(A27,"FMA_PCT_ABOVE_MAVG(200,0,,,,""PORTAGG"")")/100</f>
        <v>0.269230769230769</v>
      </c>
      <c r="L27" s="19" cm="1">
        <f t="array" ref="L27">_xll.FDSB(A27,"PERCENT_CHANGE(FMA_EPS(+1,0,,,,""PORTAGG"",""MEAN""),FMA_EPS(+1,-1AM,,,,""PORTAGG"",""MEAN""))")</f>
        <v>-2.3144201187151001</v>
      </c>
      <c r="M27" s="19" cm="1">
        <f t="array" ref="M27">_xll.FDSB(A27,"PERCENT_CHANGE(FMA_EPS(+1,0,,,,""PORTAGG"",""MEAN""),FMA_EPS(+1,-3AM,,,,""PORTAGG"",""MEAN""))")</f>
        <v>-6.7822568507371601</v>
      </c>
      <c r="O27" s="3" cm="1">
        <f t="array" ref="O27">_xll.FDS(C27,"FG_TOTAL_RETURNC(0,-3AM)")</f>
        <v>-12.418842</v>
      </c>
      <c r="P27" s="3" cm="1">
        <f t="array" ref="P27">_xll.FDS(C27,"FG_TOTAL_RETURNC(0,-6AM)")</f>
        <v>-18.378878</v>
      </c>
      <c r="Q27" s="8" cm="1">
        <f t="array" ref="Q27">_xll.FDS(C27,"P_PRICE(0)/P_PRICE_HIGH_PR(0,,,USD,,,""PRICE"",""INTRA"",""52W"")")</f>
        <v>0.72691554000000003</v>
      </c>
      <c r="R27" s="8" cm="1">
        <f t="array" ref="R27">_xll.FDS(C27,"P_PRICE(0)/P_PRICE_low_PR(0,,,USD,,,""PRICE"",""INTRA"",""52W"")-1")</f>
        <v>6.4237829999999996E-2</v>
      </c>
    </row>
    <row r="28" spans="1:35" ht="15" customHeight="1" x14ac:dyDescent="0.3">
      <c r="E28" s="21"/>
      <c r="F28" s="21"/>
      <c r="Q28" s="8"/>
      <c r="R28" s="8"/>
    </row>
    <row r="29" spans="1:35" ht="15" customHeight="1" x14ac:dyDescent="0.3">
      <c r="C29" s="1"/>
      <c r="D29" s="1"/>
      <c r="E29" s="21"/>
      <c r="F29" s="21"/>
      <c r="Q29" s="8"/>
      <c r="R29" s="8"/>
    </row>
    <row r="30" spans="1:35" ht="15" customHeight="1" x14ac:dyDescent="0.3">
      <c r="E30" s="21"/>
      <c r="F30" s="21"/>
      <c r="Q30" s="8"/>
      <c r="R30" s="8"/>
    </row>
    <row r="31" spans="1:35" ht="15" customHeight="1" x14ac:dyDescent="0.3">
      <c r="E31" s="21"/>
      <c r="F31" s="21"/>
      <c r="Q31" s="8"/>
      <c r="R31" s="8"/>
    </row>
    <row r="32" spans="1:35" ht="15" customHeight="1" x14ac:dyDescent="0.3">
      <c r="E32" s="21"/>
      <c r="F32" s="21"/>
      <c r="Q32" s="8"/>
      <c r="R32" s="8"/>
    </row>
    <row r="33" spans="3:18" ht="15" customHeight="1" x14ac:dyDescent="0.3">
      <c r="E33" s="21"/>
      <c r="F33" s="21"/>
      <c r="P33" s="1"/>
      <c r="Q33" s="8"/>
      <c r="R33" s="8"/>
    </row>
    <row r="34" spans="3:18" ht="15" customHeight="1" x14ac:dyDescent="0.3">
      <c r="E34" s="21"/>
      <c r="F34" s="21"/>
      <c r="Q34" s="8"/>
      <c r="R34" s="8"/>
    </row>
    <row r="35" spans="3:18" ht="15" customHeight="1" x14ac:dyDescent="0.3">
      <c r="E35" s="21"/>
      <c r="F35" s="21"/>
      <c r="Q35" s="8"/>
      <c r="R35" s="8"/>
    </row>
    <row r="36" spans="3:18" ht="15" customHeight="1" x14ac:dyDescent="0.3">
      <c r="C36" s="1"/>
      <c r="D36" s="1"/>
      <c r="E36" s="21"/>
      <c r="F36" s="21"/>
      <c r="Q36" s="8"/>
      <c r="R36" s="8"/>
    </row>
    <row r="37" spans="3:18" ht="15" customHeight="1" x14ac:dyDescent="0.3">
      <c r="E37" s="21"/>
      <c r="F37" s="21"/>
      <c r="Q37" s="8"/>
      <c r="R37" s="8"/>
    </row>
    <row r="38" spans="3:18" ht="15" customHeight="1" x14ac:dyDescent="0.3">
      <c r="E38" s="21"/>
      <c r="F38" s="21"/>
      <c r="Q38" s="8"/>
      <c r="R38" s="8"/>
    </row>
    <row r="39" spans="3:18" ht="15" customHeight="1" x14ac:dyDescent="0.3">
      <c r="E39" s="21"/>
      <c r="F39" s="21"/>
      <c r="Q39" s="8"/>
      <c r="R39" s="8"/>
    </row>
    <row r="40" spans="3:18" ht="15" customHeight="1" x14ac:dyDescent="0.3">
      <c r="E40" s="21"/>
      <c r="F40" s="21"/>
      <c r="Q40" s="8"/>
      <c r="R40" s="8"/>
    </row>
    <row r="41" spans="3:18" ht="15" customHeight="1" x14ac:dyDescent="0.3">
      <c r="C41" s="1"/>
      <c r="D41" s="1"/>
      <c r="E41" s="21"/>
      <c r="F41" s="21"/>
      <c r="Q41" s="8"/>
      <c r="R41" s="8"/>
    </row>
    <row r="42" spans="3:18" ht="15" customHeight="1" x14ac:dyDescent="0.3">
      <c r="E42" s="21"/>
      <c r="F42" s="21"/>
      <c r="Q42" s="8"/>
      <c r="R42" s="8"/>
    </row>
    <row r="43" spans="3:18" ht="15" customHeight="1" x14ac:dyDescent="0.3">
      <c r="E43" s="21"/>
      <c r="F43" s="21"/>
      <c r="Q43" s="8"/>
      <c r="R43" s="8"/>
    </row>
    <row r="44" spans="3:18" ht="15" customHeight="1" x14ac:dyDescent="0.3">
      <c r="E44" s="21"/>
      <c r="F44" s="21"/>
      <c r="Q44" s="8"/>
      <c r="R44" s="8"/>
    </row>
    <row r="45" spans="3:18" ht="15" customHeight="1" x14ac:dyDescent="0.3">
      <c r="E45" s="21"/>
      <c r="F45" s="21"/>
      <c r="Q45" s="8"/>
      <c r="R45" s="8"/>
    </row>
    <row r="46" spans="3:18" ht="15" customHeight="1" x14ac:dyDescent="0.3">
      <c r="C46" s="1"/>
      <c r="D46" s="1"/>
      <c r="E46" s="21"/>
      <c r="F46" s="21"/>
      <c r="Q46" s="8"/>
      <c r="R46" s="8"/>
    </row>
    <row r="47" spans="3:18" ht="15" customHeight="1" x14ac:dyDescent="0.3">
      <c r="C47" s="1"/>
      <c r="D47" s="1"/>
      <c r="E47" s="21"/>
      <c r="F47" s="21"/>
    </row>
    <row r="48" spans="3:18" ht="15" customHeight="1" x14ac:dyDescent="0.3">
      <c r="E48" s="21"/>
      <c r="F48" s="21"/>
    </row>
    <row r="49" spans="5:7" ht="15" customHeight="1" x14ac:dyDescent="0.3">
      <c r="E49" s="21"/>
      <c r="F49" s="21"/>
    </row>
    <row r="50" spans="5:7" ht="15" customHeight="1" x14ac:dyDescent="0.3">
      <c r="E50" s="22"/>
      <c r="F50" s="22"/>
      <c r="G50" s="1"/>
    </row>
    <row r="51" spans="5:7" ht="15" customHeight="1" x14ac:dyDescent="0.3">
      <c r="E51" s="21"/>
      <c r="F51" s="21"/>
    </row>
    <row r="52" spans="5:7" ht="15" customHeight="1" x14ac:dyDescent="0.3">
      <c r="E52" s="21"/>
      <c r="F52" s="21"/>
    </row>
    <row r="53" spans="5:7" ht="15" customHeight="1" x14ac:dyDescent="0.3">
      <c r="E53" s="21"/>
      <c r="F53" s="21"/>
    </row>
    <row r="54" spans="5:7" ht="15" customHeight="1" x14ac:dyDescent="0.3">
      <c r="E54" s="21"/>
      <c r="F54" s="21"/>
    </row>
    <row r="55" spans="5:7" ht="15" customHeight="1" x14ac:dyDescent="0.3">
      <c r="E55" s="21"/>
      <c r="F55" s="21"/>
    </row>
    <row r="56" spans="5:7" ht="15" customHeight="1" x14ac:dyDescent="0.3">
      <c r="E56" s="21"/>
      <c r="F56" s="21"/>
    </row>
    <row r="57" spans="5:7" ht="15" customHeight="1" x14ac:dyDescent="0.3">
      <c r="E57" s="21"/>
      <c r="F57" s="21"/>
    </row>
    <row r="58" spans="5:7" ht="15" customHeight="1" x14ac:dyDescent="0.3">
      <c r="E58" s="22"/>
      <c r="F58" s="22"/>
      <c r="G58" s="1"/>
    </row>
    <row r="59" spans="5:7" ht="15" customHeight="1" x14ac:dyDescent="0.3">
      <c r="E59" s="21"/>
      <c r="F59" s="21"/>
    </row>
    <row r="60" spans="5:7" ht="15" customHeight="1" x14ac:dyDescent="0.3">
      <c r="E60" s="21"/>
      <c r="F60" s="21"/>
    </row>
    <row r="61" spans="5:7" ht="15" customHeight="1" x14ac:dyDescent="0.3">
      <c r="E61" s="21"/>
      <c r="F61" s="21"/>
    </row>
    <row r="62" spans="5:7" ht="15" customHeight="1" x14ac:dyDescent="0.3">
      <c r="E62" s="21"/>
      <c r="F62" s="21"/>
    </row>
    <row r="63" spans="5:7" ht="15" customHeight="1" x14ac:dyDescent="0.3">
      <c r="E63" s="21"/>
      <c r="F63" s="21"/>
    </row>
    <row r="64" spans="5:7" ht="15" customHeight="1" x14ac:dyDescent="0.3">
      <c r="E64" s="21"/>
      <c r="F64" s="21"/>
    </row>
    <row r="65" spans="6:6" x14ac:dyDescent="0.3">
      <c r="F65" s="4"/>
    </row>
    <row r="66" spans="6:6" x14ac:dyDescent="0.3">
      <c r="F66" s="4"/>
    </row>
    <row r="67" spans="6:6" x14ac:dyDescent="0.3">
      <c r="F67" s="4"/>
    </row>
    <row r="68" spans="6:6" x14ac:dyDescent="0.3">
      <c r="F68" s="4"/>
    </row>
    <row r="69" spans="6:6" x14ac:dyDescent="0.3">
      <c r="F69" s="4"/>
    </row>
    <row r="70" spans="6:6" x14ac:dyDescent="0.3">
      <c r="F70" s="4"/>
    </row>
    <row r="71" spans="6:6" x14ac:dyDescent="0.3">
      <c r="F71" s="4"/>
    </row>
    <row r="72" spans="6:6" x14ac:dyDescent="0.3">
      <c r="F72" s="4"/>
    </row>
    <row r="73" spans="6:6" x14ac:dyDescent="0.3">
      <c r="F73" s="4"/>
    </row>
    <row r="74" spans="6:6" x14ac:dyDescent="0.3">
      <c r="F74" s="4"/>
    </row>
    <row r="75" spans="6:6" x14ac:dyDescent="0.3">
      <c r="F75" s="4"/>
    </row>
    <row r="76" spans="6:6" x14ac:dyDescent="0.3">
      <c r="F76" s="4"/>
    </row>
    <row r="77" spans="6:6" x14ac:dyDescent="0.3">
      <c r="F77" s="4"/>
    </row>
    <row r="78" spans="6:6" x14ac:dyDescent="0.3">
      <c r="F78" s="4"/>
    </row>
    <row r="79" spans="6:6" x14ac:dyDescent="0.3">
      <c r="F79" s="4"/>
    </row>
    <row r="80" spans="6:6" x14ac:dyDescent="0.3">
      <c r="F80" s="4"/>
    </row>
    <row r="81" spans="6:6" x14ac:dyDescent="0.3">
      <c r="F81" s="4"/>
    </row>
    <row r="82" spans="6:6" x14ac:dyDescent="0.3">
      <c r="F82" s="4"/>
    </row>
    <row r="83" spans="6:6" x14ac:dyDescent="0.3">
      <c r="F83" s="4"/>
    </row>
    <row r="84" spans="6:6" x14ac:dyDescent="0.3">
      <c r="F84" s="4"/>
    </row>
    <row r="85" spans="6:6" x14ac:dyDescent="0.3">
      <c r="F85" s="4"/>
    </row>
    <row r="86" spans="6:6" x14ac:dyDescent="0.3">
      <c r="F86" s="4"/>
    </row>
    <row r="87" spans="6:6" x14ac:dyDescent="0.3">
      <c r="F87" s="4"/>
    </row>
    <row r="88" spans="6:6" x14ac:dyDescent="0.3">
      <c r="F88" s="4"/>
    </row>
    <row r="89" spans="6:6" x14ac:dyDescent="0.3">
      <c r="F89" s="4"/>
    </row>
    <row r="90" spans="6:6" x14ac:dyDescent="0.3">
      <c r="F90" s="4"/>
    </row>
    <row r="91" spans="6:6" x14ac:dyDescent="0.3">
      <c r="F91" s="4"/>
    </row>
    <row r="92" spans="6:6" x14ac:dyDescent="0.3">
      <c r="F92" s="4"/>
    </row>
    <row r="93" spans="6:6" x14ac:dyDescent="0.3">
      <c r="F93" s="4"/>
    </row>
    <row r="94" spans="6:6" x14ac:dyDescent="0.3">
      <c r="F94" s="4"/>
    </row>
    <row r="95" spans="6:6" x14ac:dyDescent="0.3">
      <c r="F95" s="4"/>
    </row>
    <row r="96" spans="6:6" x14ac:dyDescent="0.3">
      <c r="F96" s="4"/>
    </row>
    <row r="97" spans="6:6" x14ac:dyDescent="0.3">
      <c r="F97" s="4"/>
    </row>
    <row r="98" spans="6:6" x14ac:dyDescent="0.3">
      <c r="F98" s="4"/>
    </row>
    <row r="99" spans="6:6" x14ac:dyDescent="0.3">
      <c r="F99" s="4"/>
    </row>
    <row r="100" spans="6:6" x14ac:dyDescent="0.3">
      <c r="F100" s="4"/>
    </row>
    <row r="101" spans="6:6" x14ac:dyDescent="0.3">
      <c r="F101" s="4"/>
    </row>
    <row r="102" spans="6:6" x14ac:dyDescent="0.3">
      <c r="F102" s="4"/>
    </row>
    <row r="103" spans="6:6" x14ac:dyDescent="0.3">
      <c r="F103" s="4"/>
    </row>
    <row r="104" spans="6:6" x14ac:dyDescent="0.3">
      <c r="F104" s="4"/>
    </row>
    <row r="105" spans="6:6" x14ac:dyDescent="0.3">
      <c r="F105" s="4"/>
    </row>
    <row r="106" spans="6:6" x14ac:dyDescent="0.3">
      <c r="F106" s="4"/>
    </row>
    <row r="107" spans="6:6" x14ac:dyDescent="0.3">
      <c r="F107" s="4"/>
    </row>
    <row r="108" spans="6:6" x14ac:dyDescent="0.3">
      <c r="F108" s="4"/>
    </row>
    <row r="109" spans="6:6" x14ac:dyDescent="0.3">
      <c r="F109" s="4"/>
    </row>
    <row r="110" spans="6:6" x14ac:dyDescent="0.3">
      <c r="F110" s="4"/>
    </row>
    <row r="111" spans="6:6" x14ac:dyDescent="0.3">
      <c r="F111" s="4"/>
    </row>
    <row r="112" spans="6:6" x14ac:dyDescent="0.3">
      <c r="F112" s="4"/>
    </row>
    <row r="113" spans="6:6" x14ac:dyDescent="0.3">
      <c r="F113" s="4"/>
    </row>
    <row r="114" spans="6:6" x14ac:dyDescent="0.3">
      <c r="F114" s="4"/>
    </row>
    <row r="115" spans="6:6" x14ac:dyDescent="0.3">
      <c r="F115" s="4"/>
    </row>
    <row r="116" spans="6:6" x14ac:dyDescent="0.3">
      <c r="F116" s="4"/>
    </row>
    <row r="117" spans="6:6" x14ac:dyDescent="0.3">
      <c r="F117" s="4"/>
    </row>
    <row r="118" spans="6:6" x14ac:dyDescent="0.3">
      <c r="F118" s="4"/>
    </row>
    <row r="119" spans="6:6" x14ac:dyDescent="0.3">
      <c r="F119" s="4"/>
    </row>
    <row r="120" spans="6:6" x14ac:dyDescent="0.3">
      <c r="F120" s="4"/>
    </row>
    <row r="121" spans="6:6" x14ac:dyDescent="0.3">
      <c r="F121" s="4"/>
    </row>
    <row r="122" spans="6:6" x14ac:dyDescent="0.3">
      <c r="F122" s="4"/>
    </row>
    <row r="123" spans="6:6" x14ac:dyDescent="0.3">
      <c r="F123" s="4"/>
    </row>
    <row r="124" spans="6:6" x14ac:dyDescent="0.3">
      <c r="F124" s="4"/>
    </row>
    <row r="125" spans="6:6" x14ac:dyDescent="0.3">
      <c r="F125" s="4"/>
    </row>
    <row r="126" spans="6:6" x14ac:dyDescent="0.3">
      <c r="F126" s="4"/>
    </row>
    <row r="127" spans="6:6" x14ac:dyDescent="0.3">
      <c r="F127" s="4"/>
    </row>
    <row r="128" spans="6:6" x14ac:dyDescent="0.3">
      <c r="F128" s="4"/>
    </row>
    <row r="129" spans="6:6" x14ac:dyDescent="0.3">
      <c r="F129" s="4"/>
    </row>
    <row r="130" spans="6:6" x14ac:dyDescent="0.3">
      <c r="F130" s="4"/>
    </row>
    <row r="131" spans="6:6" x14ac:dyDescent="0.3">
      <c r="F131" s="4"/>
    </row>
    <row r="132" spans="6:6" x14ac:dyDescent="0.3">
      <c r="F132" s="4"/>
    </row>
    <row r="133" spans="6:6" x14ac:dyDescent="0.3">
      <c r="F133" s="4"/>
    </row>
    <row r="134" spans="6:6" x14ac:dyDescent="0.3">
      <c r="F134" s="4"/>
    </row>
    <row r="135" spans="6:6" x14ac:dyDescent="0.3">
      <c r="F135" s="4"/>
    </row>
    <row r="136" spans="6:6" x14ac:dyDescent="0.3">
      <c r="F136" s="4"/>
    </row>
    <row r="137" spans="6:6" x14ac:dyDescent="0.3">
      <c r="F137" s="4"/>
    </row>
    <row r="138" spans="6:6" x14ac:dyDescent="0.3">
      <c r="F138" s="4"/>
    </row>
    <row r="139" spans="6:6" x14ac:dyDescent="0.3">
      <c r="F139" s="4"/>
    </row>
    <row r="140" spans="6:6" x14ac:dyDescent="0.3">
      <c r="F140" s="4"/>
    </row>
    <row r="141" spans="6:6" x14ac:dyDescent="0.3">
      <c r="F141" s="4"/>
    </row>
    <row r="142" spans="6:6" x14ac:dyDescent="0.3">
      <c r="F142" s="4"/>
    </row>
    <row r="143" spans="6:6" x14ac:dyDescent="0.3">
      <c r="F143" s="4"/>
    </row>
    <row r="144" spans="6:6" x14ac:dyDescent="0.3">
      <c r="F144" s="4"/>
    </row>
    <row r="145" spans="6:6" x14ac:dyDescent="0.3">
      <c r="F145" s="4"/>
    </row>
    <row r="146" spans="6:6" x14ac:dyDescent="0.3">
      <c r="F146" s="4"/>
    </row>
    <row r="147" spans="6:6" x14ac:dyDescent="0.3">
      <c r="F147" s="4"/>
    </row>
    <row r="148" spans="6:6" x14ac:dyDescent="0.3">
      <c r="F148" s="4"/>
    </row>
    <row r="149" spans="6:6" x14ac:dyDescent="0.3">
      <c r="F149" s="4"/>
    </row>
    <row r="150" spans="6:6" x14ac:dyDescent="0.3">
      <c r="F150" s="4"/>
    </row>
    <row r="151" spans="6:6" x14ac:dyDescent="0.3">
      <c r="F151" s="4"/>
    </row>
    <row r="152" spans="6:6" x14ac:dyDescent="0.3">
      <c r="F152" s="4"/>
    </row>
    <row r="153" spans="6:6" x14ac:dyDescent="0.3">
      <c r="F153" s="4"/>
    </row>
    <row r="154" spans="6:6" x14ac:dyDescent="0.3">
      <c r="F154" s="4"/>
    </row>
    <row r="155" spans="6:6" x14ac:dyDescent="0.3">
      <c r="F155" s="4"/>
    </row>
    <row r="156" spans="6:6" x14ac:dyDescent="0.3">
      <c r="F156" s="4"/>
    </row>
    <row r="157" spans="6:6" x14ac:dyDescent="0.3">
      <c r="F157" s="4"/>
    </row>
    <row r="158" spans="6:6" x14ac:dyDescent="0.3">
      <c r="F158" s="4"/>
    </row>
    <row r="159" spans="6:6" x14ac:dyDescent="0.3">
      <c r="F159" s="4"/>
    </row>
    <row r="160" spans="6:6" x14ac:dyDescent="0.3">
      <c r="F160" s="4"/>
    </row>
    <row r="161" spans="6:6" x14ac:dyDescent="0.3">
      <c r="F161" s="4"/>
    </row>
    <row r="162" spans="6:6" x14ac:dyDescent="0.3">
      <c r="F162" s="4"/>
    </row>
    <row r="163" spans="6:6" x14ac:dyDescent="0.3">
      <c r="F163" s="4"/>
    </row>
    <row r="164" spans="6:6" x14ac:dyDescent="0.3">
      <c r="F164" s="4"/>
    </row>
    <row r="165" spans="6:6" x14ac:dyDescent="0.3">
      <c r="F165" s="4"/>
    </row>
    <row r="166" spans="6:6" x14ac:dyDescent="0.3">
      <c r="F166" s="4"/>
    </row>
    <row r="167" spans="6:6" x14ac:dyDescent="0.3">
      <c r="F167" s="4"/>
    </row>
    <row r="168" spans="6:6" x14ac:dyDescent="0.3">
      <c r="F168" s="4"/>
    </row>
    <row r="169" spans="6:6" x14ac:dyDescent="0.3">
      <c r="F169" s="4"/>
    </row>
    <row r="170" spans="6:6" x14ac:dyDescent="0.3">
      <c r="F170" s="4"/>
    </row>
    <row r="171" spans="6:6" x14ac:dyDescent="0.3">
      <c r="F171" s="4"/>
    </row>
    <row r="172" spans="6:6" x14ac:dyDescent="0.3">
      <c r="F172" s="4"/>
    </row>
    <row r="173" spans="6:6" x14ac:dyDescent="0.3">
      <c r="F173" s="4"/>
    </row>
    <row r="174" spans="6:6" x14ac:dyDescent="0.3">
      <c r="F174" s="4"/>
    </row>
    <row r="175" spans="6:6" x14ac:dyDescent="0.3">
      <c r="F175" s="4"/>
    </row>
    <row r="176" spans="6:6" x14ac:dyDescent="0.3">
      <c r="F176" s="4"/>
    </row>
    <row r="177" spans="6:6" x14ac:dyDescent="0.3">
      <c r="F177" s="4"/>
    </row>
    <row r="178" spans="6:6" x14ac:dyDescent="0.3">
      <c r="F178" s="4"/>
    </row>
    <row r="179" spans="6:6" x14ac:dyDescent="0.3">
      <c r="F179" s="4"/>
    </row>
    <row r="180" spans="6:6" x14ac:dyDescent="0.3">
      <c r="F180" s="4"/>
    </row>
    <row r="181" spans="6:6" x14ac:dyDescent="0.3">
      <c r="F181" s="4"/>
    </row>
    <row r="182" spans="6:6" x14ac:dyDescent="0.3">
      <c r="F182" s="4"/>
    </row>
    <row r="183" spans="6:6" x14ac:dyDescent="0.3">
      <c r="F183" s="4"/>
    </row>
    <row r="184" spans="6:6" x14ac:dyDescent="0.3">
      <c r="F184" s="4"/>
    </row>
    <row r="185" spans="6:6" x14ac:dyDescent="0.3">
      <c r="F185" s="4"/>
    </row>
    <row r="186" spans="6:6" x14ac:dyDescent="0.3">
      <c r="F186" s="4"/>
    </row>
    <row r="187" spans="6:6" x14ac:dyDescent="0.3">
      <c r="F187" s="4"/>
    </row>
    <row r="188" spans="6:6" x14ac:dyDescent="0.3">
      <c r="F188" s="4"/>
    </row>
    <row r="189" spans="6:6" x14ac:dyDescent="0.3">
      <c r="F189" s="4"/>
    </row>
    <row r="190" spans="6:6" x14ac:dyDescent="0.3">
      <c r="F190" s="4"/>
    </row>
    <row r="191" spans="6:6" x14ac:dyDescent="0.3">
      <c r="F191" s="4"/>
    </row>
    <row r="192" spans="6:6" x14ac:dyDescent="0.3">
      <c r="F192" s="4"/>
    </row>
    <row r="193" spans="6:6" x14ac:dyDescent="0.3">
      <c r="F193" s="4"/>
    </row>
    <row r="194" spans="6:6" x14ac:dyDescent="0.3">
      <c r="F194" s="4"/>
    </row>
    <row r="195" spans="6:6" x14ac:dyDescent="0.3">
      <c r="F195" s="4"/>
    </row>
    <row r="196" spans="6:6" x14ac:dyDescent="0.3">
      <c r="F196" s="4"/>
    </row>
    <row r="197" spans="6:6" x14ac:dyDescent="0.3">
      <c r="F197" s="4"/>
    </row>
    <row r="198" spans="6:6" x14ac:dyDescent="0.3">
      <c r="F198" s="4"/>
    </row>
    <row r="199" spans="6:6" x14ac:dyDescent="0.3">
      <c r="F199" s="4"/>
    </row>
    <row r="200" spans="6:6" x14ac:dyDescent="0.3">
      <c r="F200" s="4"/>
    </row>
    <row r="201" spans="6:6" x14ac:dyDescent="0.3">
      <c r="F201" s="4"/>
    </row>
    <row r="202" spans="6:6" x14ac:dyDescent="0.3">
      <c r="F202" s="4"/>
    </row>
    <row r="203" spans="6:6" x14ac:dyDescent="0.3">
      <c r="F203" s="4"/>
    </row>
    <row r="204" spans="6:6" x14ac:dyDescent="0.3">
      <c r="F204" s="4"/>
    </row>
    <row r="205" spans="6:6" x14ac:dyDescent="0.3">
      <c r="F205" s="4"/>
    </row>
    <row r="206" spans="6:6" x14ac:dyDescent="0.3">
      <c r="F206" s="4"/>
    </row>
    <row r="207" spans="6:6" x14ac:dyDescent="0.3">
      <c r="F207" s="4"/>
    </row>
    <row r="208" spans="6:6" x14ac:dyDescent="0.3">
      <c r="F208" s="4"/>
    </row>
    <row r="209" spans="6:6" x14ac:dyDescent="0.3">
      <c r="F209" s="4"/>
    </row>
    <row r="210" spans="6:6" x14ac:dyDescent="0.3">
      <c r="F210" s="4"/>
    </row>
    <row r="211" spans="6:6" x14ac:dyDescent="0.3">
      <c r="F211" s="4"/>
    </row>
    <row r="212" spans="6:6" x14ac:dyDescent="0.3">
      <c r="F212" s="4"/>
    </row>
    <row r="213" spans="6:6" x14ac:dyDescent="0.3">
      <c r="F213" s="4"/>
    </row>
    <row r="214" spans="6:6" x14ac:dyDescent="0.3">
      <c r="F214" s="4"/>
    </row>
    <row r="215" spans="6:6" x14ac:dyDescent="0.3">
      <c r="F215" s="4"/>
    </row>
    <row r="216" spans="6:6" x14ac:dyDescent="0.3">
      <c r="F216" s="4"/>
    </row>
    <row r="217" spans="6:6" x14ac:dyDescent="0.3">
      <c r="F217" s="4"/>
    </row>
    <row r="218" spans="6:6" x14ac:dyDescent="0.3">
      <c r="F218" s="4"/>
    </row>
    <row r="219" spans="6:6" x14ac:dyDescent="0.3">
      <c r="F219" s="4"/>
    </row>
    <row r="220" spans="6:6" x14ac:dyDescent="0.3">
      <c r="F220" s="4"/>
    </row>
    <row r="221" spans="6:6" x14ac:dyDescent="0.3">
      <c r="F221" s="4"/>
    </row>
    <row r="222" spans="6:6" x14ac:dyDescent="0.3">
      <c r="F222" s="4"/>
    </row>
    <row r="223" spans="6:6" x14ac:dyDescent="0.3">
      <c r="F223" s="4"/>
    </row>
    <row r="224" spans="6:6" x14ac:dyDescent="0.3">
      <c r="F224" s="4"/>
    </row>
    <row r="225" spans="6:6" x14ac:dyDescent="0.3">
      <c r="F225" s="4"/>
    </row>
    <row r="226" spans="6:6" x14ac:dyDescent="0.3">
      <c r="F226" s="4"/>
    </row>
    <row r="227" spans="6:6" x14ac:dyDescent="0.3">
      <c r="F227" s="4"/>
    </row>
    <row r="228" spans="6:6" x14ac:dyDescent="0.3">
      <c r="F228" s="4"/>
    </row>
    <row r="229" spans="6:6" x14ac:dyDescent="0.3">
      <c r="F229" s="4"/>
    </row>
    <row r="230" spans="6:6" x14ac:dyDescent="0.3">
      <c r="F230" s="4"/>
    </row>
    <row r="231" spans="6:6" x14ac:dyDescent="0.3">
      <c r="F231" s="4"/>
    </row>
    <row r="232" spans="6:6" x14ac:dyDescent="0.3">
      <c r="F232" s="4"/>
    </row>
    <row r="233" spans="6:6" x14ac:dyDescent="0.3">
      <c r="F233" s="4"/>
    </row>
    <row r="234" spans="6:6" x14ac:dyDescent="0.3">
      <c r="F234" s="4"/>
    </row>
    <row r="235" spans="6:6" x14ac:dyDescent="0.3">
      <c r="F235" s="4"/>
    </row>
    <row r="236" spans="6:6" x14ac:dyDescent="0.3">
      <c r="F236" s="4"/>
    </row>
    <row r="237" spans="6:6" x14ac:dyDescent="0.3">
      <c r="F237" s="4"/>
    </row>
    <row r="238" spans="6:6" x14ac:dyDescent="0.3">
      <c r="F238" s="4"/>
    </row>
    <row r="239" spans="6:6" x14ac:dyDescent="0.3">
      <c r="F239" s="4"/>
    </row>
    <row r="240" spans="6:6" x14ac:dyDescent="0.3">
      <c r="F240" s="4"/>
    </row>
    <row r="241" spans="6:6" x14ac:dyDescent="0.3">
      <c r="F241" s="4"/>
    </row>
    <row r="242" spans="6:6" x14ac:dyDescent="0.3">
      <c r="F242" s="4"/>
    </row>
    <row r="243" spans="6:6" x14ac:dyDescent="0.3">
      <c r="F243" s="4"/>
    </row>
    <row r="244" spans="6:6" x14ac:dyDescent="0.3">
      <c r="F244" s="4"/>
    </row>
    <row r="245" spans="6:6" x14ac:dyDescent="0.3">
      <c r="F245" s="4"/>
    </row>
    <row r="246" spans="6:6" x14ac:dyDescent="0.3">
      <c r="F246" s="4"/>
    </row>
    <row r="247" spans="6:6" x14ac:dyDescent="0.3">
      <c r="F247" s="4"/>
    </row>
    <row r="248" spans="6:6" x14ac:dyDescent="0.3">
      <c r="F248" s="4"/>
    </row>
    <row r="249" spans="6:6" x14ac:dyDescent="0.3">
      <c r="F249" s="4"/>
    </row>
    <row r="250" spans="6:6" x14ac:dyDescent="0.3">
      <c r="F250" s="4"/>
    </row>
    <row r="251" spans="6:6" x14ac:dyDescent="0.3">
      <c r="F251" s="4"/>
    </row>
    <row r="252" spans="6:6" x14ac:dyDescent="0.3">
      <c r="F252" s="4"/>
    </row>
    <row r="253" spans="6:6" x14ac:dyDescent="0.3">
      <c r="F253" s="4"/>
    </row>
    <row r="254" spans="6:6" x14ac:dyDescent="0.3">
      <c r="F254" s="4"/>
    </row>
    <row r="255" spans="6:6" x14ac:dyDescent="0.3">
      <c r="F255" s="4"/>
    </row>
    <row r="256" spans="6:6" x14ac:dyDescent="0.3">
      <c r="F256" s="4"/>
    </row>
    <row r="257" spans="6:6" x14ac:dyDescent="0.3">
      <c r="F257" s="4"/>
    </row>
  </sheetData>
  <sortState xmlns:xlrd2="http://schemas.microsoft.com/office/spreadsheetml/2017/richdata2" ref="E30:F68">
    <sortCondition descending="1" ref="F30:F68"/>
  </sortState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20"/>
  <sheetViews>
    <sheetView workbookViewId="0">
      <selection activeCell="D4" sqref="D4"/>
    </sheetView>
  </sheetViews>
  <sheetFormatPr defaultRowHeight="14.4" x14ac:dyDescent="0.3"/>
  <cols>
    <col min="3" max="3" width="45.6640625" customWidth="1"/>
    <col min="4" max="4" width="14.5546875" customWidth="1"/>
    <col min="5" max="5" width="10.88671875" customWidth="1"/>
    <col min="6" max="7" width="8.44140625" customWidth="1"/>
    <col min="8" max="8" width="24.109375" customWidth="1"/>
    <col min="9" max="9" width="20.44140625" customWidth="1"/>
    <col min="10" max="10" width="24.33203125" bestFit="1" customWidth="1"/>
    <col min="11" max="11" width="13.44140625" customWidth="1"/>
    <col min="12" max="12" width="14.33203125" customWidth="1"/>
    <col min="13" max="13" width="15.6640625" customWidth="1"/>
    <col min="14" max="14" width="12.33203125" customWidth="1"/>
    <col min="16" max="16" width="9.6640625" customWidth="1"/>
  </cols>
  <sheetData>
    <row r="1" spans="2:18" ht="57.6" x14ac:dyDescent="0.3">
      <c r="L1" t="s">
        <v>69</v>
      </c>
      <c r="M1" t="s">
        <v>68</v>
      </c>
      <c r="N1" s="26" t="s">
        <v>59</v>
      </c>
      <c r="P1" s="26" t="s">
        <v>58</v>
      </c>
    </row>
    <row r="2" spans="2:18" x14ac:dyDescent="0.3">
      <c r="L2" s="6" t="e">
        <f>#REF!</f>
        <v>#REF!</v>
      </c>
      <c r="M2" s="6" t="e">
        <f>#REF!</f>
        <v>#REF!</v>
      </c>
      <c r="N2" s="6" t="e">
        <f>#REF!</f>
        <v>#REF!</v>
      </c>
    </row>
    <row r="3" spans="2:18" x14ac:dyDescent="0.3">
      <c r="D3" t="s">
        <v>56</v>
      </c>
      <c r="E3" s="24" t="s">
        <v>32</v>
      </c>
      <c r="H3" t="s">
        <v>57</v>
      </c>
      <c r="I3" t="s">
        <v>33</v>
      </c>
      <c r="J3" s="1"/>
      <c r="P3" t="s">
        <v>70</v>
      </c>
      <c r="R3" t="s">
        <v>95</v>
      </c>
    </row>
    <row r="4" spans="2:18" x14ac:dyDescent="0.3">
      <c r="B4" t="s">
        <v>60</v>
      </c>
      <c r="C4" t="str" cm="1">
        <f t="array" ref="C4">_xll.FDS(B4,"FG_COMPANY_NAME")</f>
        <v>iShares MSCI New Zealand ETF</v>
      </c>
      <c r="D4" s="8" t="e">
        <f>HLOOKUP(B4,'Monthly Returns'!$A$1:$O$134, 127, FALSE)</f>
        <v>#N/A</v>
      </c>
      <c r="E4" s="8" t="e">
        <f>HLOOKUP(B4,'Monthly Returns'!$A$1:$O$134, 132, FALSE)</f>
        <v>#N/A</v>
      </c>
      <c r="H4" s="8" t="e">
        <f>HLOOKUP(B4,'Yearly returns'!$B$1:$N$140, 133, FALSE)</f>
        <v>#N/A</v>
      </c>
      <c r="I4" s="8" t="e">
        <f>HLOOKUP(B4,'Yearly returns'!$B$1:$N$140, 138, FALSE)</f>
        <v>#N/A</v>
      </c>
      <c r="L4" s="25" t="e">
        <f>(1-PERCENTRANK($E$4:$E$16,E4))*100</f>
        <v>#N/A</v>
      </c>
      <c r="M4" s="25" t="e">
        <f>(1-PERCENTRANK($H$4:$H$16,H4))*100</f>
        <v>#N/A</v>
      </c>
      <c r="N4" s="25" t="e">
        <f>(1-PERCENTRANK($I$4:$I$16,I4))*100</f>
        <v>#N/A</v>
      </c>
      <c r="P4" t="e">
        <f>L4*#REF! + M4*#REF! + N4*#REF!</f>
        <v>#N/A</v>
      </c>
      <c r="R4" t="e" cm="1" vm="1">
        <f t="array" ref="R4">_xlfn.PERCENTRANK.EXC(_xlfn._xlws.FILTER(P$4:P$16, ISNUMBER(P$4:P$16)),P4)*100</f>
        <v>#VALUE!</v>
      </c>
    </row>
    <row r="5" spans="2:18" x14ac:dyDescent="0.3">
      <c r="B5" t="s">
        <v>11</v>
      </c>
      <c r="C5" t="str" cm="1">
        <f t="array" ref="C5">_xll.FDS(B5,"FG_COMPANY_NAME")</f>
        <v>iShares MSCI Australia ETF</v>
      </c>
      <c r="D5" s="8" t="e">
        <f>HLOOKUP(B5,'Monthly Returns'!$A$1:$O$134, 127, FALSE)</f>
        <v>#N/A</v>
      </c>
      <c r="E5" s="8" t="e">
        <f>HLOOKUP(B5,'Monthly Returns'!$A$1:$O$134, 132, FALSE)</f>
        <v>#N/A</v>
      </c>
      <c r="H5" s="8" t="e">
        <f>HLOOKUP(B5,'Yearly returns'!$B$1:$N$140, 133, FALSE)</f>
        <v>#N/A</v>
      </c>
      <c r="I5" s="8" t="e">
        <f>HLOOKUP(B5,'Yearly returns'!$B$1:$N$140, 138, FALSE)</f>
        <v>#N/A</v>
      </c>
      <c r="L5" s="25" t="e">
        <f t="shared" ref="L5:L16" si="0">(1-PERCENTRANK($E$4:$E$16,E5))*100</f>
        <v>#N/A</v>
      </c>
      <c r="M5" s="25" t="e">
        <f t="shared" ref="M5:M16" si="1">(1-PERCENTRANK($H$4:$H$16,H5))*100</f>
        <v>#N/A</v>
      </c>
      <c r="N5" s="25" t="e">
        <f t="shared" ref="N5:N16" si="2">(1-PERCENTRANK($I$4:$I$16,I5))*100</f>
        <v>#N/A</v>
      </c>
      <c r="P5" t="e">
        <f>L5*#REF! + M5*#REF! + N5*#REF!</f>
        <v>#N/A</v>
      </c>
      <c r="R5" t="e" cm="1" vm="1">
        <f t="array" ref="R5">_xlfn.PERCENTRANK.EXC(_xlfn._xlws.FILTER(P$4:P$16, ISNUMBER(P$4:P$16)),P5)*100</f>
        <v>#VALUE!</v>
      </c>
    </row>
    <row r="6" spans="2:18" x14ac:dyDescent="0.3">
      <c r="B6" t="s">
        <v>14</v>
      </c>
      <c r="C6" t="str" cm="1">
        <f t="array" ref="C6">_xll.FDS(B6,"FG_COMPANY_NAME")</f>
        <v>iShares MSCI Canada ETF</v>
      </c>
      <c r="D6" s="8" t="e">
        <f>HLOOKUP(B6,'Monthly Returns'!$A$1:$O$134, 127, FALSE)</f>
        <v>#N/A</v>
      </c>
      <c r="E6" s="8" t="e">
        <f>HLOOKUP(B6,'Monthly Returns'!$A$1:$O$134, 132, FALSE)</f>
        <v>#N/A</v>
      </c>
      <c r="H6" s="8" t="e">
        <f>HLOOKUP(B6,'Yearly returns'!$B$1:$N$140, 133, FALSE)</f>
        <v>#N/A</v>
      </c>
      <c r="I6" s="8" t="e">
        <f>HLOOKUP(B6,'Yearly returns'!$B$1:$N$140, 138, FALSE)</f>
        <v>#N/A</v>
      </c>
      <c r="L6" s="25" t="e">
        <f t="shared" si="0"/>
        <v>#N/A</v>
      </c>
      <c r="M6" s="25" t="e">
        <f t="shared" si="1"/>
        <v>#N/A</v>
      </c>
      <c r="N6" s="25" t="e">
        <f t="shared" si="2"/>
        <v>#N/A</v>
      </c>
      <c r="P6" t="e">
        <f>L6*#REF! + M6*#REF! + N6*#REF!</f>
        <v>#N/A</v>
      </c>
      <c r="R6" t="e" cm="1" vm="1">
        <f t="array" ref="R6">_xlfn.PERCENTRANK.EXC(_xlfn._xlws.FILTER(P$4:P$16, ISNUMBER(P$4:P$16)),P6)*100</f>
        <v>#VALUE!</v>
      </c>
    </row>
    <row r="7" spans="2:18" x14ac:dyDescent="0.3">
      <c r="B7" t="s">
        <v>6</v>
      </c>
      <c r="C7" t="str" cm="1">
        <f t="array" ref="C7">_xll.FDS(B7,"FG_COMPANY_NAME")</f>
        <v>iShares MSCI Germany ETF</v>
      </c>
      <c r="D7" s="8" t="e">
        <f>HLOOKUP(B7,'Monthly Returns'!$A$1:$O$134, 127, FALSE)</f>
        <v>#N/A</v>
      </c>
      <c r="E7" s="8" t="e">
        <f>HLOOKUP(B7,'Monthly Returns'!$A$1:$O$134, 132, FALSE)</f>
        <v>#N/A</v>
      </c>
      <c r="H7" s="8" t="e">
        <f>HLOOKUP(B7,'Yearly returns'!$B$1:$N$140, 133, FALSE)</f>
        <v>#N/A</v>
      </c>
      <c r="I7" s="8" t="e">
        <f>HLOOKUP(B7,'Yearly returns'!$B$1:$N$140, 138, FALSE)</f>
        <v>#N/A</v>
      </c>
      <c r="L7" s="25" t="e">
        <f t="shared" si="0"/>
        <v>#N/A</v>
      </c>
      <c r="M7" s="25" t="e">
        <f t="shared" si="1"/>
        <v>#N/A</v>
      </c>
      <c r="N7" s="25" t="e">
        <f t="shared" si="2"/>
        <v>#N/A</v>
      </c>
      <c r="P7" t="e">
        <f>L7*#REF! + M7*#REF! + N7*#REF!</f>
        <v>#N/A</v>
      </c>
      <c r="R7" t="e" cm="1" vm="1">
        <f t="array" ref="R7">_xlfn.PERCENTRANK.EXC(_xlfn._xlws.FILTER(P$4:P$16, ISNUMBER(P$4:P$16)),P7)*100</f>
        <v>#VALUE!</v>
      </c>
    </row>
    <row r="8" spans="2:18" x14ac:dyDescent="0.3">
      <c r="B8" t="s">
        <v>12</v>
      </c>
      <c r="C8" t="str" cm="1">
        <f t="array" ref="C8">_xll.FDS(B8,"FG_COMPANY_NAME")</f>
        <v>iShares MSCI Japan ETF</v>
      </c>
      <c r="D8" s="8">
        <f>HLOOKUP(B8,'Monthly Returns'!$A$1:$O$134, 127, FALSE)</f>
        <v>-0.21429782999999999</v>
      </c>
      <c r="E8" s="8">
        <f>HLOOKUP(B8,'Monthly Returns'!$A$1:$O$134, 132, FALSE)</f>
        <v>0</v>
      </c>
      <c r="H8" s="8">
        <f>HLOOKUP(B8,'Yearly returns'!$B$1:$N$140, 133, FALSE)</f>
        <v>0</v>
      </c>
      <c r="I8" s="8">
        <f>HLOOKUP(B8,'Yearly returns'!$B$1:$N$140, 138, FALSE)</f>
        <v>0.80300000000000005</v>
      </c>
      <c r="L8" s="25" t="e">
        <f t="shared" si="0"/>
        <v>#N/A</v>
      </c>
      <c r="M8" s="25" t="e">
        <f t="shared" si="1"/>
        <v>#N/A</v>
      </c>
      <c r="N8" s="25" t="e">
        <f t="shared" si="2"/>
        <v>#N/A</v>
      </c>
      <c r="P8" t="e">
        <f>L8*#REF! + M8*#REF! + N8*#REF!</f>
        <v>#N/A</v>
      </c>
      <c r="R8" t="e" cm="1" vm="1">
        <f t="array" ref="R8">_xlfn.PERCENTRANK.EXC(_xlfn._xlws.FILTER(P$4:P$16, ISNUMBER(P$4:P$16)),P8)*100</f>
        <v>#VALUE!</v>
      </c>
    </row>
    <row r="9" spans="2:18" x14ac:dyDescent="0.3">
      <c r="B9" t="s">
        <v>10</v>
      </c>
      <c r="C9" t="str" cm="1">
        <f t="array" ref="C9">_xll.FDS(B9,"FG_COMPANY_NAME")</f>
        <v>iShares MSCI Switzerland ETF</v>
      </c>
      <c r="D9" s="8" t="e">
        <f>HLOOKUP(B9,'Monthly Returns'!$A$1:$O$134, 127, FALSE)</f>
        <v>#N/A</v>
      </c>
      <c r="E9" s="8" t="e">
        <f>HLOOKUP(B9,'Monthly Returns'!$A$1:$O$134, 132, FALSE)</f>
        <v>#N/A</v>
      </c>
      <c r="H9" s="8" t="e">
        <f>HLOOKUP(B9,'Yearly returns'!$B$1:$N$140, 133, FALSE)</f>
        <v>#N/A</v>
      </c>
      <c r="I9" s="8" t="e">
        <f>HLOOKUP(B9,'Yearly returns'!$B$1:$N$140, 138, FALSE)</f>
        <v>#N/A</v>
      </c>
      <c r="L9" s="25" t="e">
        <f t="shared" si="0"/>
        <v>#N/A</v>
      </c>
      <c r="M9" s="25" t="e">
        <f t="shared" si="1"/>
        <v>#N/A</v>
      </c>
      <c r="N9" s="25" t="e">
        <f t="shared" si="2"/>
        <v>#N/A</v>
      </c>
      <c r="P9" t="e">
        <f>L9*#REF! + M9*#REF! + N9*#REF!</f>
        <v>#N/A</v>
      </c>
      <c r="R9" t="e" cm="1" vm="1">
        <f t="array" ref="R9">_xlfn.PERCENTRANK.EXC(_xlfn._xlws.FILTER(P$4:P$16, ISNUMBER(P$4:P$16)),P9)*100</f>
        <v>#VALUE!</v>
      </c>
    </row>
    <row r="10" spans="2:18" x14ac:dyDescent="0.3">
      <c r="B10" t="s">
        <v>13</v>
      </c>
      <c r="C10" t="str" cm="1">
        <f t="array" ref="C10">_xll.FDS(B10,"FG_COMPANY_NAME")</f>
        <v>iShares MSCI United Kingdom ETF</v>
      </c>
      <c r="D10" s="8" t="e">
        <f>HLOOKUP(B10,'Monthly Returns'!$A$1:$O$134, 127, FALSE)</f>
        <v>#N/A</v>
      </c>
      <c r="E10" s="8" t="e">
        <f>HLOOKUP(B10,'Monthly Returns'!$A$1:$O$134, 132, FALSE)</f>
        <v>#N/A</v>
      </c>
      <c r="H10" s="8" t="e">
        <f>HLOOKUP(B10,'Yearly returns'!$B$1:$N$140, 133, FALSE)</f>
        <v>#N/A</v>
      </c>
      <c r="I10" s="8" t="e">
        <f>HLOOKUP(B10,'Yearly returns'!$B$1:$N$140, 138, FALSE)</f>
        <v>#N/A</v>
      </c>
      <c r="L10" s="25" t="e">
        <f t="shared" si="0"/>
        <v>#N/A</v>
      </c>
      <c r="M10" s="25" t="e">
        <f t="shared" si="1"/>
        <v>#N/A</v>
      </c>
      <c r="N10" s="25" t="e">
        <f t="shared" si="2"/>
        <v>#N/A</v>
      </c>
      <c r="P10" t="e">
        <f>L10*#REF! + M10*#REF! + N10*#REF!</f>
        <v>#N/A</v>
      </c>
      <c r="R10" t="e" cm="1" vm="1">
        <f t="array" ref="R10">_xlfn.PERCENTRANK.EXC(_xlfn._xlws.FILTER(P$4:P$16, ISNUMBER(P$4:P$16)),P10)*100</f>
        <v>#VALUE!</v>
      </c>
    </row>
    <row r="11" spans="2:18" x14ac:dyDescent="0.3">
      <c r="B11" t="s">
        <v>15</v>
      </c>
      <c r="C11" t="str" cm="1">
        <f t="array" ref="C11">_xll.FDS(B11,"FG_COMPANY_NAME")</f>
        <v>Invesco QQQ Trust Series I</v>
      </c>
      <c r="D11" s="8">
        <f>HLOOKUP(B11,'Monthly Returns'!$A$1:$O$134, 127, FALSE)</f>
        <v>-0.17792881000000002</v>
      </c>
      <c r="E11" s="8">
        <f>HLOOKUP(B11,'Monthly Returns'!$A$1:$O$134, 132, FALSE)</f>
        <v>0</v>
      </c>
      <c r="H11" s="8">
        <f>HLOOKUP(B11,'Yearly returns'!$B$1:$N$140, 133, FALSE)</f>
        <v>0</v>
      </c>
      <c r="I11" s="8">
        <f>HLOOKUP(B11,'Yearly returns'!$B$1:$N$140, 138, FALSE)</f>
        <v>0.90100000000000002</v>
      </c>
      <c r="L11" s="25" t="e">
        <f t="shared" si="0"/>
        <v>#N/A</v>
      </c>
      <c r="M11" s="25" t="e">
        <f t="shared" si="1"/>
        <v>#N/A</v>
      </c>
      <c r="N11" s="25" t="e">
        <f t="shared" si="2"/>
        <v>#N/A</v>
      </c>
      <c r="P11" t="e">
        <f>L11*#REF! + M11*#REF! + N11*#REF!</f>
        <v>#N/A</v>
      </c>
      <c r="R11" t="e" cm="1" vm="1">
        <f t="array" ref="R11">_xlfn.PERCENTRANK.EXC(_xlfn._xlws.FILTER(P$4:P$16, ISNUMBER(P$4:P$16)),P11)*100</f>
        <v>#VALUE!</v>
      </c>
    </row>
    <row r="12" spans="2:18" x14ac:dyDescent="0.3">
      <c r="B12" t="s">
        <v>1</v>
      </c>
      <c r="C12" t="str" cm="1">
        <f t="array" ref="C12">_xll.FDS(B12,"FG_COMPANY_NAME")</f>
        <v>SPDR S&amp;P 500 ETF Trust</v>
      </c>
      <c r="D12" s="8">
        <f>HLOOKUP(B12,'Monthly Returns'!$A$1:$O$134, 127, FALSE)</f>
        <v>-0.20097310000000002</v>
      </c>
      <c r="E12" s="8">
        <f>HLOOKUP(B12,'Monthly Returns'!$A$1:$O$134, 132, FALSE)</f>
        <v>0</v>
      </c>
      <c r="H12" s="8">
        <f>HLOOKUP(B12,'Yearly returns'!$B$1:$N$140, 133, FALSE)</f>
        <v>0</v>
      </c>
      <c r="I12" s="8">
        <f>HLOOKUP(B12,'Yearly returns'!$B$1:$N$140, 138, FALSE)</f>
        <v>0.81899999999999995</v>
      </c>
      <c r="L12" s="25" t="e">
        <f t="shared" si="0"/>
        <v>#N/A</v>
      </c>
      <c r="M12" s="25" t="e">
        <f t="shared" si="1"/>
        <v>#N/A</v>
      </c>
      <c r="N12" s="25" t="e">
        <f t="shared" si="2"/>
        <v>#N/A</v>
      </c>
      <c r="P12" t="e">
        <f>L12*#REF! + M12*#REF! + N12*#REF!</f>
        <v>#N/A</v>
      </c>
      <c r="R12" t="e" cm="1" vm="1">
        <f t="array" ref="R12">_xlfn.PERCENTRANK.EXC(_xlfn._xlws.FILTER(P$4:P$16, ISNUMBER(P$4:P$16)),P12)*100</f>
        <v>#VALUE!</v>
      </c>
    </row>
    <row r="13" spans="2:18" x14ac:dyDescent="0.3">
      <c r="B13" t="s">
        <v>141</v>
      </c>
      <c r="C13" t="str" cm="1">
        <f t="array" ref="C13">_xll.FDS(B13,"FG_COMPANY_NAME")</f>
        <v>iShares MSCI France ETF</v>
      </c>
      <c r="D13" s="8" t="e">
        <f>HLOOKUP(B13,'Monthly Returns'!$A$1:$O$134, 127, FALSE)</f>
        <v>#N/A</v>
      </c>
      <c r="E13" s="8" t="e">
        <f>HLOOKUP(B13,'Monthly Returns'!$A$1:$O$134, 132, FALSE)</f>
        <v>#N/A</v>
      </c>
      <c r="H13" s="8" t="e">
        <f>HLOOKUP(B13,'Yearly returns'!$B$1:$N$140, 133, FALSE)</f>
        <v>#N/A</v>
      </c>
      <c r="I13" s="8" t="e">
        <f>HLOOKUP(B13,'Yearly returns'!$B$1:$N$140, 138, FALSE)</f>
        <v>#N/A</v>
      </c>
      <c r="L13" s="25" t="e">
        <f t="shared" si="0"/>
        <v>#N/A</v>
      </c>
      <c r="M13" s="25" t="e">
        <f t="shared" si="1"/>
        <v>#N/A</v>
      </c>
      <c r="N13" s="25" t="e">
        <f t="shared" si="2"/>
        <v>#N/A</v>
      </c>
      <c r="P13" t="e">
        <f>L13*#REF! + M13*#REF! + N13*#REF!</f>
        <v>#N/A</v>
      </c>
      <c r="R13" t="e" cm="1" vm="1">
        <f t="array" ref="R13">_xlfn.PERCENTRANK.EXC(_xlfn._xlws.FILTER(P$4:P$16, ISNUMBER(P$4:P$16)),P13)*100</f>
        <v>#VALUE!</v>
      </c>
    </row>
    <row r="14" spans="2:18" x14ac:dyDescent="0.3">
      <c r="B14" t="s">
        <v>143</v>
      </c>
      <c r="C14" t="str" cm="1">
        <f t="array" ref="C14">_xll.FDS(B14,"FG_COMPANY_NAME")</f>
        <v>iShares MSCI Netherlands ETF</v>
      </c>
      <c r="D14" s="8" t="e">
        <f>HLOOKUP(B14,'Monthly Returns'!$A$1:$O$134, 127, FALSE)</f>
        <v>#N/A</v>
      </c>
      <c r="E14" s="8" t="e">
        <f>HLOOKUP(B14,'Monthly Returns'!$A$1:$O$134, 132, FALSE)</f>
        <v>#N/A</v>
      </c>
      <c r="H14" s="8" t="e">
        <f>HLOOKUP(B14,'Yearly returns'!$B$1:$N$140, 133, FALSE)</f>
        <v>#N/A</v>
      </c>
      <c r="I14" s="8" t="e">
        <f>HLOOKUP(B14,'Yearly returns'!$B$1:$N$140, 138, FALSE)</f>
        <v>#N/A</v>
      </c>
      <c r="L14" s="25" t="e">
        <f t="shared" si="0"/>
        <v>#N/A</v>
      </c>
      <c r="M14" s="25" t="e">
        <f t="shared" si="1"/>
        <v>#N/A</v>
      </c>
      <c r="N14" s="25" t="e">
        <f t="shared" si="2"/>
        <v>#N/A</v>
      </c>
      <c r="P14" t="e">
        <f>L14*#REF! + M14*#REF! + N14*#REF!</f>
        <v>#N/A</v>
      </c>
      <c r="R14" t="e" cm="1" vm="1">
        <f t="array" ref="R14">_xlfn.PERCENTRANK.EXC(_xlfn._xlws.FILTER(P$4:P$16, ISNUMBER(P$4:P$16)),P14)*100</f>
        <v>#VALUE!</v>
      </c>
    </row>
    <row r="15" spans="2:18" x14ac:dyDescent="0.3">
      <c r="B15" t="s">
        <v>140</v>
      </c>
      <c r="C15" t="str" cm="1">
        <f t="array" ref="C15">_xll.FDS(B15,"FG_COMPANY_NAME")</f>
        <v>iShares MSCI Sweden ETF</v>
      </c>
      <c r="D15" s="8">
        <f>HLOOKUP(B15,'Monthly Returns'!$A$1:$O$134, 127, FALSE)</f>
        <v>-0.23539823999999998</v>
      </c>
      <c r="E15" s="8">
        <f>HLOOKUP(B15,'Monthly Returns'!$A$1:$O$134, 132, FALSE)</f>
        <v>0</v>
      </c>
      <c r="H15" s="8">
        <f>HLOOKUP(B15,'Yearly returns'!$B$1:$N$140, 133, FALSE)</f>
        <v>0</v>
      </c>
      <c r="I15" s="8">
        <f>HLOOKUP(B15,'Yearly returns'!$B$1:$N$140, 138, FALSE)</f>
        <v>0.55700000000000005</v>
      </c>
      <c r="L15" s="25" t="e">
        <f t="shared" si="0"/>
        <v>#N/A</v>
      </c>
      <c r="M15" s="25" t="e">
        <f t="shared" si="1"/>
        <v>#N/A</v>
      </c>
      <c r="N15" s="25" t="e">
        <f t="shared" si="2"/>
        <v>#N/A</v>
      </c>
      <c r="P15" t="e">
        <f>L15*#REF! + M15*#REF! + N15*#REF!</f>
        <v>#N/A</v>
      </c>
      <c r="R15" t="e" cm="1" vm="1">
        <f t="array" ref="R15">_xlfn.PERCENTRANK.EXC(_xlfn._xlws.FILTER(P$4:P$16, ISNUMBER(P$4:P$16)),P15)*100</f>
        <v>#VALUE!</v>
      </c>
    </row>
    <row r="16" spans="2:18" x14ac:dyDescent="0.3">
      <c r="B16" t="s">
        <v>142</v>
      </c>
      <c r="C16" t="str" cm="1">
        <f t="array" ref="C16">_xll.FDS(B16,"FG_COMPANY_NAME")</f>
        <v>iShares MSCI Italy ETF</v>
      </c>
      <c r="D16" s="8">
        <f>HLOOKUP(B16,'Monthly Returns'!$A$1:$O$134, 127, FALSE)</f>
        <v>-0.30494325999999999</v>
      </c>
      <c r="E16" s="8">
        <f>HLOOKUP(B16,'Monthly Returns'!$A$1:$O$134, 132, FALSE)</f>
        <v>0</v>
      </c>
      <c r="H16" s="8">
        <f>HLOOKUP(B16,'Yearly returns'!$B$1:$N$140, 133, FALSE)</f>
        <v>0</v>
      </c>
      <c r="I16" s="8">
        <f>HLOOKUP(B16,'Yearly returns'!$B$1:$N$140, 138, FALSE)</f>
        <v>0.61399999999999999</v>
      </c>
      <c r="L16" s="25" t="e">
        <f t="shared" si="0"/>
        <v>#N/A</v>
      </c>
      <c r="M16" s="25" t="e">
        <f t="shared" si="1"/>
        <v>#N/A</v>
      </c>
      <c r="N16" s="25" t="e">
        <f t="shared" si="2"/>
        <v>#N/A</v>
      </c>
      <c r="P16" t="e">
        <f>L16*#REF! + M16*#REF! + N16*#REF!</f>
        <v>#N/A</v>
      </c>
      <c r="R16" t="e" cm="1" vm="1">
        <f t="array" ref="R16">_xlfn.PERCENTRANK.EXC(_xlfn._xlws.FILTER(P$4:P$16, ISNUMBER(P$4:P$16)),P16)*100</f>
        <v>#VALUE!</v>
      </c>
    </row>
    <row r="17" spans="4:4" x14ac:dyDescent="0.3">
      <c r="D17" s="8"/>
    </row>
    <row r="18" spans="4:4" x14ac:dyDescent="0.3">
      <c r="D18" s="8"/>
    </row>
    <row r="19" spans="4:4" x14ac:dyDescent="0.3">
      <c r="D19" s="8"/>
    </row>
    <row r="20" spans="4:4" x14ac:dyDescent="0.3">
      <c r="D20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A328-5514-40FF-B3A2-CDAE989FE53A}">
  <dimension ref="A1:V26"/>
  <sheetViews>
    <sheetView zoomScaleNormal="100" workbookViewId="0">
      <selection activeCell="B23" sqref="B23"/>
    </sheetView>
  </sheetViews>
  <sheetFormatPr defaultRowHeight="14.4" x14ac:dyDescent="0.3"/>
  <cols>
    <col min="1" max="1" width="15.109375" bestFit="1" customWidth="1"/>
    <col min="2" max="2" width="34.33203125" customWidth="1"/>
    <col min="3" max="3" width="10" bestFit="1" customWidth="1"/>
    <col min="4" max="4" width="18.109375" bestFit="1" customWidth="1"/>
    <col min="5" max="5" width="11.5546875" customWidth="1"/>
    <col min="6" max="6" width="21" customWidth="1"/>
    <col min="7" max="7" width="11.109375" bestFit="1" customWidth="1"/>
    <col min="8" max="8" width="15.6640625" style="18" customWidth="1"/>
    <col min="9" max="9" width="24.44140625" style="18" customWidth="1"/>
    <col min="10" max="10" width="14.109375" style="18" customWidth="1"/>
    <col min="12" max="12" width="10.44140625" customWidth="1"/>
    <col min="13" max="13" width="10.5546875" customWidth="1"/>
    <col min="14" max="14" width="14.44140625" customWidth="1"/>
    <col min="15" max="15" width="6.44140625" customWidth="1"/>
    <col min="18" max="18" width="14.88671875" bestFit="1" customWidth="1"/>
    <col min="19" max="19" width="11.109375" customWidth="1"/>
    <col min="20" max="20" width="14.109375" bestFit="1" customWidth="1"/>
    <col min="21" max="21" width="13.33203125" bestFit="1" customWidth="1"/>
    <col min="22" max="22" width="14.6640625" bestFit="1" customWidth="1"/>
  </cols>
  <sheetData>
    <row r="1" spans="1:22" x14ac:dyDescent="0.3">
      <c r="H1"/>
      <c r="I1"/>
      <c r="J1"/>
    </row>
    <row r="2" spans="1:22" x14ac:dyDescent="0.3">
      <c r="H2"/>
      <c r="I2"/>
      <c r="J2"/>
      <c r="K2" t="s">
        <v>92</v>
      </c>
      <c r="L2" s="5"/>
    </row>
    <row r="3" spans="1:22" x14ac:dyDescent="0.3">
      <c r="H3"/>
      <c r="I3"/>
      <c r="J3"/>
      <c r="K3" t="s">
        <v>93</v>
      </c>
      <c r="L3" s="5"/>
    </row>
    <row r="4" spans="1:22" x14ac:dyDescent="0.3">
      <c r="A4" t="s">
        <v>125</v>
      </c>
      <c r="B4" t="s">
        <v>67</v>
      </c>
      <c r="C4" t="s">
        <v>124</v>
      </c>
      <c r="D4" t="s">
        <v>72</v>
      </c>
      <c r="F4" t="s">
        <v>94</v>
      </c>
      <c r="G4" s="35" t="s">
        <v>122</v>
      </c>
      <c r="H4" s="35" t="s">
        <v>121</v>
      </c>
      <c r="I4" s="35" t="s">
        <v>128</v>
      </c>
      <c r="J4" s="35" t="s">
        <v>123</v>
      </c>
      <c r="L4" s="35" t="s">
        <v>121</v>
      </c>
      <c r="M4" s="35" t="s">
        <v>128</v>
      </c>
      <c r="N4" s="35" t="s">
        <v>123</v>
      </c>
      <c r="P4" t="s">
        <v>159</v>
      </c>
      <c r="S4" s="35" t="s">
        <v>122</v>
      </c>
      <c r="T4" s="35" t="s">
        <v>121</v>
      </c>
      <c r="U4" s="35" t="s">
        <v>128</v>
      </c>
      <c r="V4" s="35" t="s">
        <v>123</v>
      </c>
    </row>
    <row r="5" spans="1:22" x14ac:dyDescent="0.3">
      <c r="A5" t="s">
        <v>41</v>
      </c>
      <c r="B5" t="str" cm="1">
        <f t="array" ref="B5">_xll.FDS(C5,"FG_COMPANY_NAME")</f>
        <v>iShares MSCI New Zealand ETF</v>
      </c>
      <c r="C5" t="s">
        <v>60</v>
      </c>
      <c r="D5" t="s">
        <v>82</v>
      </c>
      <c r="E5" s="3" t="s">
        <v>60</v>
      </c>
      <c r="F5" s="8" t="e">
        <f>HLOOKUP(E5,'Monthly Returns'!$A$1:$AA$136,134,FALSE)</f>
        <v>#N/A</v>
      </c>
      <c r="G5" s="36" cm="1">
        <f t="array" ref="G5">_xll.FDSZ(C5,"FG_PRICE(0)")</f>
        <v>44.52</v>
      </c>
      <c r="H5" s="36" cm="1">
        <f t="array" ref="H5">_xll.FDSZ(C5,"FG_PRICE_MAVG(0,,,,30)")</f>
        <v>46.832999999999998</v>
      </c>
      <c r="I5" s="36" cm="1">
        <f t="array" ref="I5">_xll.FDSZ(C5,"FG_PRICE_MAVG(0,,,,60)")</f>
        <v>46.734999999999999</v>
      </c>
      <c r="J5" s="36" cm="1">
        <f t="array" ref="J5">_xll.FDSZ(C5,"FG_PRICE_MAVG(0,,,,200)")</f>
        <v>46.746994000000001</v>
      </c>
      <c r="L5">
        <f>IF($G5&gt;H5, 1, 0)</f>
        <v>0</v>
      </c>
      <c r="M5">
        <f>IF($G5&gt;I5, 1, 0)</f>
        <v>0</v>
      </c>
      <c r="N5">
        <f>IF($G5&gt;J5, 1, 0)</f>
        <v>0</v>
      </c>
      <c r="P5">
        <f>SUM(L5:N5)</f>
        <v>0</v>
      </c>
      <c r="R5" t="s">
        <v>130</v>
      </c>
      <c r="S5" s="7" cm="1">
        <f t="array" ref="S5">_xll.FDSZ($R5,"FG_PRICE(0)")</f>
        <v>392.03591999999998</v>
      </c>
      <c r="T5" s="7" cm="1">
        <f t="array" ref="T5">_xll.FDSZ($R5,"FG_PRICE(0)")</f>
        <v>392.03591999999998</v>
      </c>
      <c r="U5" s="7" cm="1">
        <f t="array" ref="U5">_xll.FDSZ($R5,"FG_PRICE(0)")</f>
        <v>392.03591999999998</v>
      </c>
      <c r="V5" s="7" cm="1">
        <f t="array" ref="V5">_xll.FDSZ($R5,"FG_PRICE(0)")</f>
        <v>392.03591999999998</v>
      </c>
    </row>
    <row r="6" spans="1:22" x14ac:dyDescent="0.3">
      <c r="A6" t="s">
        <v>40</v>
      </c>
      <c r="B6" t="str" cm="1">
        <f t="array" ref="B6">_xll.FDS(C6,"FG_COMPANY_NAME")</f>
        <v>iShares MSCI Australia ETF</v>
      </c>
      <c r="C6" t="s">
        <v>11</v>
      </c>
      <c r="D6" t="s">
        <v>74</v>
      </c>
      <c r="E6" s="3" t="s">
        <v>11</v>
      </c>
      <c r="F6" s="8" t="e">
        <f>HLOOKUP(E6,'Monthly Returns'!$A$1:$AA$136,134,FALSE)</f>
        <v>#N/A</v>
      </c>
      <c r="G6" s="36" cm="1">
        <f t="array" ref="G6">_xll.FDSZ(C6,"FG_PRICE(0)")</f>
        <v>22.98</v>
      </c>
      <c r="H6" s="36" cm="1">
        <f t="array" ref="H6">_xll.FDSZ(C6,"FG_PRICE_MAVG(0,,,,30)")</f>
        <v>23.574332999999999</v>
      </c>
      <c r="I6" s="36" cm="1">
        <f t="array" ref="I6">_xll.FDSZ(C6,"FG_PRICE_MAVG(0,,,,60)")</f>
        <v>23.365666999999998</v>
      </c>
      <c r="J6" s="36" cm="1">
        <f t="array" ref="J6">_xll.FDSZ(C6,"FG_PRICE_MAVG(0,,,,200)")</f>
        <v>22.523250000000001</v>
      </c>
      <c r="L6">
        <f t="shared" ref="L6:L17" si="0">IF($G6&gt;H6, 1, 0)</f>
        <v>0</v>
      </c>
      <c r="M6">
        <f t="shared" ref="M6:M17" si="1">IF($G6&gt;I6, 1, 0)</f>
        <v>0</v>
      </c>
      <c r="N6">
        <f t="shared" ref="N6:N17" si="2">IF($G6&gt;J6, 1, 0)</f>
        <v>1</v>
      </c>
      <c r="P6">
        <f t="shared" ref="P6:P17" si="3">SUM(L6:N6)</f>
        <v>1</v>
      </c>
      <c r="R6" t="s">
        <v>131</v>
      </c>
      <c r="S6" s="7" cm="1">
        <f t="array" ref="S6">_xll.FDSZ($R6,"FG_PRICE(0)")</f>
        <v>347.78093999999999</v>
      </c>
      <c r="T6" s="7" cm="1">
        <f t="array" ref="T6">_xll.FDSZ($R6,"FG_PRICE(0)")</f>
        <v>347.78093999999999</v>
      </c>
      <c r="U6" s="7" cm="1">
        <f t="array" ref="U6">_xll.FDSZ($R6,"FG_PRICE(0)")</f>
        <v>347.78093999999999</v>
      </c>
      <c r="V6" s="7" cm="1">
        <f t="array" ref="V6">_xll.FDSZ($R6,"FG_PRICE(0)")</f>
        <v>347.78093999999999</v>
      </c>
    </row>
    <row r="7" spans="1:22" x14ac:dyDescent="0.3">
      <c r="A7" t="s">
        <v>36</v>
      </c>
      <c r="B7" t="str" cm="1">
        <f t="array" ref="B7">_xll.FDS(C7,"FG_COMPANY_NAME")</f>
        <v>iShares MSCI Canada ETF</v>
      </c>
      <c r="C7" t="s">
        <v>14</v>
      </c>
      <c r="D7" t="s">
        <v>75</v>
      </c>
      <c r="E7" s="3" t="s">
        <v>14</v>
      </c>
      <c r="F7" s="8" t="e">
        <f>HLOOKUP(E7,'Monthly Returns'!$A$1:$AA$136,134,FALSE)</f>
        <v>#N/A</v>
      </c>
      <c r="G7" s="36" cm="1">
        <f t="array" ref="G7">_xll.FDSZ(C7,"FG_PRICE(0)")</f>
        <v>35.29</v>
      </c>
      <c r="H7" s="36" cm="1">
        <f t="array" ref="H7">_xll.FDSZ(C7,"FG_PRICE_MAVG(0,,,,30)")</f>
        <v>36.223329999999997</v>
      </c>
      <c r="I7" s="36" cm="1">
        <f t="array" ref="I7">_xll.FDSZ(C7,"FG_PRICE_MAVG(0,,,,60)")</f>
        <v>35.814</v>
      </c>
      <c r="J7" s="36" cm="1">
        <f t="array" ref="J7">_xll.FDSZ(C7,"FG_PRICE_MAVG(0,,,,200)")</f>
        <v>34.678400000000003</v>
      </c>
      <c r="L7">
        <f t="shared" si="0"/>
        <v>0</v>
      </c>
      <c r="M7">
        <f t="shared" si="1"/>
        <v>0</v>
      </c>
      <c r="N7">
        <f t="shared" si="2"/>
        <v>1</v>
      </c>
      <c r="P7">
        <f t="shared" si="3"/>
        <v>1</v>
      </c>
      <c r="R7" t="s">
        <v>132</v>
      </c>
      <c r="S7" s="7" cm="1">
        <f t="array" ref="S7">_xll.FDSZ($R7,"FG_PRICE(0)")</f>
        <v>280.17689999999999</v>
      </c>
      <c r="T7" s="7" cm="1">
        <f t="array" ref="T7">_xll.FDSZ($R7,"FG_PRICE(0)")</f>
        <v>280.17689999999999</v>
      </c>
      <c r="U7" s="7" cm="1">
        <f t="array" ref="U7">_xll.FDSZ($R7,"FG_PRICE(0)")</f>
        <v>280.17689999999999</v>
      </c>
      <c r="V7" s="7" cm="1">
        <f t="array" ref="V7">_xll.FDSZ($R7,"FG_PRICE(0)")</f>
        <v>280.17689999999999</v>
      </c>
    </row>
    <row r="8" spans="1:22" x14ac:dyDescent="0.3">
      <c r="A8" t="s">
        <v>73</v>
      </c>
      <c r="B8" t="str" cm="1">
        <f t="array" ref="B8">_xll.FDS(C8,"FG_COMPANY_NAME")</f>
        <v>iShares MSCI Germany ETF</v>
      </c>
      <c r="C8" t="s">
        <v>6</v>
      </c>
      <c r="D8" t="s">
        <v>78</v>
      </c>
      <c r="E8" s="3" t="s">
        <v>6</v>
      </c>
      <c r="F8" s="8" t="e">
        <f>HLOOKUP(E8,'Monthly Returns'!$A$1:$AA$136,134,FALSE)</f>
        <v>#N/A</v>
      </c>
      <c r="G8" s="36" cm="1">
        <f t="array" ref="G8">_xll.FDSZ(C8,"FG_PRICE(0)")</f>
        <v>28.81</v>
      </c>
      <c r="H8" s="36" cm="1">
        <f t="array" ref="H8">_xll.FDSZ(C8,"FG_PRICE_MAVG(0,,,,30)")</f>
        <v>29.137333000000002</v>
      </c>
      <c r="I8" s="36" cm="1">
        <f t="array" ref="I8">_xll.FDSZ(C8,"FG_PRICE_MAVG(0,,,,60)")</f>
        <v>29.005666999999999</v>
      </c>
      <c r="J8" s="36" cm="1">
        <f t="array" ref="J8">_xll.FDSZ(C8,"FG_PRICE_MAVG(0,,,,200)")</f>
        <v>28.04515</v>
      </c>
      <c r="L8">
        <f t="shared" si="0"/>
        <v>0</v>
      </c>
      <c r="M8">
        <f t="shared" si="1"/>
        <v>0</v>
      </c>
      <c r="N8">
        <f t="shared" si="2"/>
        <v>1</v>
      </c>
      <c r="P8">
        <f t="shared" si="3"/>
        <v>1</v>
      </c>
      <c r="R8" t="s">
        <v>129</v>
      </c>
      <c r="S8" s="7" cm="1">
        <f t="array" ref="S8">_xll.FDSZ($R8,"FG_PRICE(0)")</f>
        <v>9.5173170000000002</v>
      </c>
      <c r="T8" s="7" cm="1">
        <f t="array" ref="T8">_xll.FDSZ($R8,"FG_PRICE(0)")</f>
        <v>9.5173170000000002</v>
      </c>
      <c r="U8" s="7" cm="1">
        <f t="array" ref="U8">_xll.FDSZ($R8,"FG_PRICE(0)")</f>
        <v>9.5173170000000002</v>
      </c>
      <c r="V8" s="7" cm="1">
        <f t="array" ref="V8">_xll.FDSZ($R8,"FG_PRICE(0)")</f>
        <v>9.5173170000000002</v>
      </c>
    </row>
    <row r="9" spans="1:22" x14ac:dyDescent="0.3">
      <c r="A9" t="s">
        <v>37</v>
      </c>
      <c r="B9" t="str" cm="1">
        <f t="array" ref="B9">_xll.FDS(C9,"FG_COMPANY_NAME")</f>
        <v>iShares MSCI Japan ETF</v>
      </c>
      <c r="C9" t="s">
        <v>12</v>
      </c>
      <c r="D9" t="s">
        <v>80</v>
      </c>
      <c r="E9" s="3" t="s">
        <v>12</v>
      </c>
      <c r="F9" s="8">
        <f>HLOOKUP(E9,'Monthly Returns'!$A$1:$AA$136,134,FALSE)</f>
        <v>0.45900000000000002</v>
      </c>
      <c r="G9" s="36" cm="1">
        <f t="array" ref="G9">_xll.FDSZ(C9,"FG_PRICE(0)")</f>
        <v>66.739999999999995</v>
      </c>
      <c r="H9" s="36" cm="1">
        <f t="array" ref="H9">_xll.FDSZ(C9,"FG_PRICE_MAVG(0,,,,30)")</f>
        <v>65.656000000000006</v>
      </c>
      <c r="I9" s="36" cm="1">
        <f t="array" ref="I9">_xll.FDSZ(C9,"FG_PRICE_MAVG(0,,,,60)")</f>
        <v>64.271834999999996</v>
      </c>
      <c r="J9" s="36" cm="1">
        <f t="array" ref="J9">_xll.FDSZ(C9,"FG_PRICE_MAVG(0,,,,200)")</f>
        <v>61.957000000000001</v>
      </c>
      <c r="L9">
        <f t="shared" si="0"/>
        <v>1</v>
      </c>
      <c r="M9">
        <f t="shared" si="1"/>
        <v>1</v>
      </c>
      <c r="N9">
        <f t="shared" si="2"/>
        <v>1</v>
      </c>
      <c r="P9">
        <f t="shared" si="3"/>
        <v>3</v>
      </c>
      <c r="R9" t="s">
        <v>133</v>
      </c>
      <c r="S9" s="7" cm="1">
        <f t="array" ref="S9">_xll.FDSZ($R9,"FG_PRICE(0)")</f>
        <v>170.1679</v>
      </c>
      <c r="T9" s="7" cm="1">
        <f t="array" ref="T9">_xll.FDSZ($R9,"FG_PRICE(0)")</f>
        <v>170.1679</v>
      </c>
      <c r="U9" s="7" cm="1">
        <f t="array" ref="U9">_xll.FDSZ($R9,"FG_PRICE(0)")</f>
        <v>170.1679</v>
      </c>
      <c r="V9" s="7" cm="1">
        <f t="array" ref="V9">_xll.FDSZ($R9,"FG_PRICE(0)")</f>
        <v>170.1679</v>
      </c>
    </row>
    <row r="10" spans="1:22" x14ac:dyDescent="0.3">
      <c r="A10" t="s">
        <v>44</v>
      </c>
      <c r="B10" t="str" cm="1">
        <f t="array" ref="B10">_xll.FDS(C10,"FG_COMPANY_NAME")</f>
        <v>iShares MSCI Switzerland ETF</v>
      </c>
      <c r="C10" t="s">
        <v>10</v>
      </c>
      <c r="D10" t="s">
        <v>84</v>
      </c>
      <c r="E10" s="3" t="s">
        <v>10</v>
      </c>
      <c r="F10" s="8" t="e">
        <f>HLOOKUP(E10,'Monthly Returns'!$A$1:$AA$136,134,FALSE)</f>
        <v>#N/A</v>
      </c>
      <c r="G10" s="36" cm="1">
        <f t="array" ref="G10">_xll.FDSZ(C10,"FG_PRICE(0)")</f>
        <v>45.63</v>
      </c>
      <c r="H10" s="36" cm="1">
        <f t="array" ref="H10">_xll.FDSZ(C10,"FG_PRICE_MAVG(0,,,,30)")</f>
        <v>47.307667000000002</v>
      </c>
      <c r="I10" s="36" cm="1">
        <f t="array" ref="I10">_xll.FDSZ(C10,"FG_PRICE_MAVG(0,,,,60)")</f>
        <v>46.723500000000001</v>
      </c>
      <c r="J10" s="36" cm="1">
        <f t="array" ref="J10">_xll.FDSZ(C10,"FG_PRICE_MAVG(0,,,,200)")</f>
        <v>45.940300000000001</v>
      </c>
      <c r="L10">
        <f t="shared" si="0"/>
        <v>0</v>
      </c>
      <c r="M10">
        <f t="shared" si="1"/>
        <v>0</v>
      </c>
      <c r="N10">
        <f t="shared" si="2"/>
        <v>0</v>
      </c>
      <c r="P10">
        <f t="shared" si="3"/>
        <v>0</v>
      </c>
      <c r="R10" t="s">
        <v>134</v>
      </c>
      <c r="S10" s="7" cm="1">
        <f t="array" ref="S10">_xll.FDSZ($R10,"FG_PRICE(0)")</f>
        <v>321.42174999999997</v>
      </c>
      <c r="T10" s="7" cm="1">
        <f t="array" ref="T10">_xll.FDSZ($R10,"FG_PRICE(0)")</f>
        <v>321.42174999999997</v>
      </c>
      <c r="U10" s="7" cm="1">
        <f t="array" ref="U10">_xll.FDSZ($R10,"FG_PRICE(0)")</f>
        <v>321.42174999999997</v>
      </c>
      <c r="V10" s="7" cm="1">
        <f t="array" ref="V10">_xll.FDSZ($R10,"FG_PRICE(0)")</f>
        <v>321.42174999999997</v>
      </c>
    </row>
    <row r="11" spans="1:22" x14ac:dyDescent="0.3">
      <c r="A11" t="s">
        <v>38</v>
      </c>
      <c r="B11" t="str" cm="1">
        <f t="array" ref="B11">_xll.FDS(C11,"FG_COMPANY_NAME")</f>
        <v>iShares MSCI United Kingdom ETF</v>
      </c>
      <c r="C11" t="s">
        <v>13</v>
      </c>
      <c r="D11" t="s">
        <v>85</v>
      </c>
      <c r="E11" s="3" t="s">
        <v>13</v>
      </c>
      <c r="F11" s="8" t="e">
        <f>HLOOKUP(E11,'Monthly Returns'!$A$1:$AA$136,134,FALSE)</f>
        <v>#N/A</v>
      </c>
      <c r="G11" s="36" cm="1">
        <f t="array" ref="G11">_xll.FDSZ(C11,"FG_PRICE(0)")</f>
        <v>31.68</v>
      </c>
      <c r="H11" s="36" cm="1">
        <f t="array" ref="H11">_xll.FDSZ(C11,"FG_PRICE_MAVG(0,,,,30)")</f>
        <v>32.43</v>
      </c>
      <c r="I11" s="36" cm="1">
        <f t="array" ref="I11">_xll.FDSZ(C11,"FG_PRICE_MAVG(0,,,,60)")</f>
        <v>32.533000000000001</v>
      </c>
      <c r="J11" s="36" cm="1">
        <f t="array" ref="J11">_xll.FDSZ(C11,"FG_PRICE_MAVG(0,,,,200)")</f>
        <v>32.2712</v>
      </c>
      <c r="L11">
        <f t="shared" si="0"/>
        <v>0</v>
      </c>
      <c r="M11">
        <f t="shared" si="1"/>
        <v>0</v>
      </c>
      <c r="N11">
        <f t="shared" si="2"/>
        <v>0</v>
      </c>
      <c r="P11">
        <f t="shared" si="3"/>
        <v>0</v>
      </c>
      <c r="R11" t="s">
        <v>135</v>
      </c>
      <c r="S11" s="7" cm="1">
        <f t="array" ref="S11">_xll.FDSZ($R11,"FG_PRICE(0)")</f>
        <v>116.99395</v>
      </c>
      <c r="T11" s="7" cm="1">
        <f t="array" ref="T11">_xll.FDSZ($R11,"FG_PRICE(0)")</f>
        <v>116.99395</v>
      </c>
      <c r="U11" s="7" cm="1">
        <f t="array" ref="U11">_xll.FDSZ($R11,"FG_PRICE(0)")</f>
        <v>116.99395</v>
      </c>
      <c r="V11" s="7" cm="1">
        <f t="array" ref="V11">_xll.FDSZ($R11,"FG_PRICE(0)")</f>
        <v>116.99395</v>
      </c>
    </row>
    <row r="12" spans="1:22" x14ac:dyDescent="0.3">
      <c r="A12" t="s">
        <v>39</v>
      </c>
      <c r="B12" t="str" cm="1">
        <f t="array" ref="B12">_xll.FDS(C12,"FG_COMPANY_NAME")</f>
        <v>Invesco QQQ Trust Series I</v>
      </c>
      <c r="C12" t="s">
        <v>15</v>
      </c>
      <c r="D12" t="s">
        <v>86</v>
      </c>
      <c r="E12" s="3" t="s">
        <v>15</v>
      </c>
      <c r="F12" s="8">
        <f>HLOOKUP(E12,'Monthly Returns'!$A$1:$AA$136,134,FALSE)</f>
        <v>0.71299999999999997</v>
      </c>
      <c r="G12" s="36" cm="1">
        <f t="array" ref="G12">_xll.FDSZ(C12,"FG_PRICE(0)")</f>
        <v>428.55</v>
      </c>
      <c r="H12" s="36" cm="1">
        <f t="array" ref="H12">_xll.FDSZ(C12,"FG_PRICE_MAVG(0,,,,30)")</f>
        <v>418.24099999999999</v>
      </c>
      <c r="I12" s="36" cm="1">
        <f t="array" ref="I12">_xll.FDSZ(C12,"FG_PRICE_MAVG(0,,,,60)")</f>
        <v>407.54217999999997</v>
      </c>
      <c r="J12" s="36" cm="1">
        <f t="array" ref="J12">_xll.FDSZ(C12,"FG_PRICE_MAVG(0,,,,200)")</f>
        <v>374.96294999999998</v>
      </c>
      <c r="L12">
        <f t="shared" si="0"/>
        <v>1</v>
      </c>
      <c r="M12">
        <f t="shared" si="1"/>
        <v>1</v>
      </c>
      <c r="N12">
        <f t="shared" si="2"/>
        <v>1</v>
      </c>
      <c r="P12">
        <f t="shared" si="3"/>
        <v>3</v>
      </c>
      <c r="R12" t="s">
        <v>136</v>
      </c>
      <c r="S12" s="7" cm="1">
        <f t="array" ref="S12">_xll.FDSZ($R12,"FG_PRICE(0)")</f>
        <v>378.47924999999998</v>
      </c>
      <c r="T12" s="7" cm="1">
        <f t="array" ref="T12">_xll.FDSZ($R12,"FG_PRICE(0)")</f>
        <v>378.47924999999998</v>
      </c>
      <c r="U12" s="7" cm="1">
        <f t="array" ref="U12">_xll.FDSZ($R12,"FG_PRICE(0)")</f>
        <v>378.47924999999998</v>
      </c>
      <c r="V12" s="7" cm="1">
        <f t="array" ref="V12">_xll.FDSZ($R12,"FG_PRICE(0)")</f>
        <v>378.47924999999998</v>
      </c>
    </row>
    <row r="13" spans="1:22" x14ac:dyDescent="0.3">
      <c r="A13" t="s">
        <v>39</v>
      </c>
      <c r="B13" t="str" cm="1">
        <f t="array" ref="B13">_xll.FDS(C13,"FG_COMPANY_NAME")</f>
        <v>SPDR S&amp;P 500 ETF Trust</v>
      </c>
      <c r="C13" t="s">
        <v>1</v>
      </c>
      <c r="D13" t="s">
        <v>86</v>
      </c>
      <c r="E13" s="3" t="s">
        <v>1</v>
      </c>
      <c r="F13" s="8">
        <f>HLOOKUP(E13,'Monthly Returns'!$A$1:$AA$136,134,FALSE)</f>
        <v>0.79500000000000004</v>
      </c>
      <c r="G13" s="36" cm="1">
        <f t="array" ref="G13">_xll.FDSZ(C13,"FG_PRICE(0)")</f>
        <v>494.08</v>
      </c>
      <c r="H13" s="36" cm="1">
        <f t="array" ref="H13">_xll.FDSZ(C13,"FG_PRICE_MAVG(0,,,,30)")</f>
        <v>483.92633000000001</v>
      </c>
      <c r="I13" s="36" cm="1">
        <f t="array" ref="I13">_xll.FDSZ(C13,"FG_PRICE_MAVG(0,,,,60)")</f>
        <v>473.43615999999997</v>
      </c>
      <c r="J13" s="36" cm="1">
        <f t="array" ref="J13">_xll.FDSZ(C13,"FG_PRICE_MAVG(0,,,,200)")</f>
        <v>446.15584999999999</v>
      </c>
      <c r="L13">
        <f t="shared" si="0"/>
        <v>1</v>
      </c>
      <c r="M13">
        <f t="shared" si="1"/>
        <v>1</v>
      </c>
      <c r="N13">
        <f t="shared" si="2"/>
        <v>1</v>
      </c>
      <c r="P13">
        <f t="shared" si="3"/>
        <v>3</v>
      </c>
      <c r="R13" t="s">
        <v>136</v>
      </c>
      <c r="S13" s="7" cm="1">
        <f t="array" ref="S13">_xll.FDSZ($R13,"FG_PRICE(0)")</f>
        <v>378.47924999999998</v>
      </c>
      <c r="T13" s="7" cm="1">
        <f t="array" ref="T13">_xll.FDSZ($R13,"FG_PRICE(0)")</f>
        <v>378.47924999999998</v>
      </c>
      <c r="U13" s="7" cm="1">
        <f t="array" ref="U13">_xll.FDSZ($R13,"FG_PRICE(0)")</f>
        <v>378.47924999999998</v>
      </c>
      <c r="V13" s="7" cm="1">
        <f t="array" ref="V13">_xll.FDSZ($R13,"FG_PRICE(0)")</f>
        <v>378.47924999999998</v>
      </c>
    </row>
    <row r="14" spans="1:22" x14ac:dyDescent="0.3">
      <c r="A14" t="s">
        <v>145</v>
      </c>
      <c r="B14" t="str" cm="1">
        <f t="array" ref="B14">_xll.FDS(C14,"FG_COMPANY_NAME")</f>
        <v>iShares MSCI France ETF</v>
      </c>
      <c r="C14" t="s">
        <v>141</v>
      </c>
      <c r="D14" t="s">
        <v>77</v>
      </c>
      <c r="E14" t="s">
        <v>141</v>
      </c>
      <c r="F14" s="8" t="e">
        <f>HLOOKUP(E14,'Monthly Returns'!$A$1:$AA$136,134,FALSE)</f>
        <v>#N/A</v>
      </c>
      <c r="G14" s="36" cm="1">
        <f t="array" ref="G14">_xll.FDSZ(C14,"FG_PRICE(0)")</f>
        <v>38.130000000000003</v>
      </c>
      <c r="H14" s="36" cm="1">
        <f t="array" ref="H14">_xll.FDSZ(C14,"FG_PRICE_MAVG(0,,,,30)")</f>
        <v>38.378666000000003</v>
      </c>
      <c r="I14" s="36" cm="1">
        <f t="array" ref="I14">_xll.FDSZ(C14,"FG_PRICE_MAVG(0,,,,60)")</f>
        <v>38.316916999999997</v>
      </c>
      <c r="J14" s="36" cm="1">
        <f t="array" ref="J14">_xll.FDSZ(C14,"FG_PRICE_MAVG(0,,,,200)")</f>
        <v>37.532725999999997</v>
      </c>
      <c r="L14">
        <f t="shared" si="0"/>
        <v>0</v>
      </c>
      <c r="M14">
        <f t="shared" si="1"/>
        <v>0</v>
      </c>
      <c r="N14">
        <f t="shared" si="2"/>
        <v>1</v>
      </c>
      <c r="P14">
        <f t="shared" si="3"/>
        <v>1</v>
      </c>
      <c r="R14" t="s">
        <v>136</v>
      </c>
      <c r="S14" s="7" cm="1">
        <f t="array" ref="S14">_xll.FDSZ($R14,"FG_PRICE(0)")</f>
        <v>378.47924999999998</v>
      </c>
      <c r="T14" s="7" cm="1">
        <f t="array" ref="T14">_xll.FDSZ($R14,"FG_PRICE(0)")</f>
        <v>378.47924999999998</v>
      </c>
      <c r="U14" s="7" cm="1">
        <f t="array" ref="U14">_xll.FDSZ($R14,"FG_PRICE(0)")</f>
        <v>378.47924999999998</v>
      </c>
      <c r="V14" s="7" cm="1">
        <f t="array" ref="V14">_xll.FDSZ($R14,"FG_PRICE(0)")</f>
        <v>378.47924999999998</v>
      </c>
    </row>
    <row r="15" spans="1:22" x14ac:dyDescent="0.3">
      <c r="A15" t="s">
        <v>146</v>
      </c>
      <c r="B15" t="str" cm="1">
        <f t="array" ref="B15">_xll.FDS(C15,"FG_COMPANY_NAME")</f>
        <v>iShares MSCI Netherlands ETF</v>
      </c>
      <c r="C15" t="s">
        <v>143</v>
      </c>
      <c r="D15" t="s">
        <v>81</v>
      </c>
      <c r="E15" t="s">
        <v>143</v>
      </c>
      <c r="F15" s="8" t="e">
        <f>HLOOKUP(E15,'Monthly Returns'!$A$1:$AA$136,134,FALSE)</f>
        <v>#N/A</v>
      </c>
      <c r="G15" s="36" cm="1">
        <f t="array" ref="G15">_xll.FDSZ(C15,"FG_PRICE(0)")</f>
        <v>46.01</v>
      </c>
      <c r="H15" s="36" cm="1">
        <f t="array" ref="H15">_xll.FDSZ(C15,"FG_PRICE_MAVG(0,,,,30)")</f>
        <v>44.762999999999998</v>
      </c>
      <c r="I15" s="36" cm="1">
        <f t="array" ref="I15">_xll.FDSZ(C15,"FG_PRICE_MAVG(0,,,,60)")</f>
        <v>43.995365</v>
      </c>
      <c r="J15" s="36" cm="1">
        <f t="array" ref="J15">_xll.FDSZ(C15,"FG_PRICE_MAVG(0,,,,200)")</f>
        <v>41.983580000000003</v>
      </c>
      <c r="L15">
        <f t="shared" si="0"/>
        <v>1</v>
      </c>
      <c r="M15">
        <f t="shared" si="1"/>
        <v>1</v>
      </c>
      <c r="N15">
        <f t="shared" si="2"/>
        <v>1</v>
      </c>
      <c r="P15">
        <f t="shared" si="3"/>
        <v>3</v>
      </c>
      <c r="R15" t="s">
        <v>136</v>
      </c>
      <c r="S15" s="7" cm="1">
        <f t="array" ref="S15">_xll.FDSZ($R15,"FG_PRICE(0)")</f>
        <v>378.47924999999998</v>
      </c>
      <c r="T15" s="7" cm="1">
        <f t="array" ref="T15">_xll.FDSZ($R15,"FG_PRICE(0)")</f>
        <v>378.47924999999998</v>
      </c>
      <c r="U15" s="7" cm="1">
        <f t="array" ref="U15">_xll.FDSZ($R15,"FG_PRICE(0)")</f>
        <v>378.47924999999998</v>
      </c>
      <c r="V15" s="7" cm="1">
        <f t="array" ref="V15">_xll.FDSZ($R15,"FG_PRICE(0)")</f>
        <v>378.47924999999998</v>
      </c>
    </row>
    <row r="16" spans="1:22" x14ac:dyDescent="0.3">
      <c r="A16" t="s">
        <v>43</v>
      </c>
      <c r="B16" t="str" cm="1">
        <f t="array" ref="B16">_xll.FDS(C16,"FG_COMPANY_NAME")</f>
        <v>iShares MSCI Sweden ETF</v>
      </c>
      <c r="C16" t="s">
        <v>140</v>
      </c>
      <c r="D16" t="s">
        <v>83</v>
      </c>
      <c r="E16" t="s">
        <v>140</v>
      </c>
      <c r="F16" s="8">
        <f>HLOOKUP(E16,'Monthly Returns'!$A$1:$AA$136,134,FALSE)</f>
        <v>0.27800000000000002</v>
      </c>
      <c r="G16" s="36" cm="1">
        <f t="array" ref="G16">_xll.FDSZ(C16,"FG_PRICE(0)")</f>
        <v>36.9</v>
      </c>
      <c r="H16" s="36" cm="1">
        <f t="array" ref="H16">_xll.FDSZ(C16,"FG_PRICE_MAVG(0,,,,30)")</f>
        <v>37.372334000000002</v>
      </c>
      <c r="I16" s="36" cm="1">
        <f t="array" ref="I16">_xll.FDSZ(C16,"FG_PRICE_MAVG(0,,,,60)")</f>
        <v>37.483165999999997</v>
      </c>
      <c r="J16" s="36" cm="1">
        <f t="array" ref="J16">_xll.FDSZ(C16,"FG_PRICE_MAVG(0,,,,200)")</f>
        <v>35.180349999999997</v>
      </c>
      <c r="L16">
        <f t="shared" si="0"/>
        <v>0</v>
      </c>
      <c r="M16">
        <f t="shared" si="1"/>
        <v>0</v>
      </c>
      <c r="N16">
        <f t="shared" si="2"/>
        <v>1</v>
      </c>
      <c r="P16">
        <f t="shared" si="3"/>
        <v>1</v>
      </c>
      <c r="R16" t="s">
        <v>136</v>
      </c>
      <c r="S16" s="7" cm="1">
        <f t="array" ref="S16">_xll.FDSZ($R16,"FG_PRICE(0)")</f>
        <v>378.47924999999998</v>
      </c>
      <c r="T16" s="7" cm="1">
        <f t="array" ref="T16">_xll.FDSZ($R16,"FG_PRICE(0)")</f>
        <v>378.47924999999998</v>
      </c>
      <c r="U16" s="7" cm="1">
        <f t="array" ref="U16">_xll.FDSZ($R16,"FG_PRICE(0)")</f>
        <v>378.47924999999998</v>
      </c>
      <c r="V16" s="7" cm="1">
        <f t="array" ref="V16">_xll.FDSZ($R16,"FG_PRICE(0)")</f>
        <v>378.47924999999998</v>
      </c>
    </row>
    <row r="17" spans="1:22" x14ac:dyDescent="0.3">
      <c r="A17" t="s">
        <v>144</v>
      </c>
      <c r="B17" t="str" cm="1">
        <f t="array" ref="B17">_xll.FDS(C17,"FG_COMPANY_NAME")</f>
        <v>iShares MSCI Italy ETF</v>
      </c>
      <c r="C17" t="s">
        <v>142</v>
      </c>
      <c r="D17" t="s">
        <v>79</v>
      </c>
      <c r="E17" t="s">
        <v>142</v>
      </c>
      <c r="F17" s="8">
        <f>HLOOKUP(E17,'Monthly Returns'!$A$1:$AA$136,134,FALSE)</f>
        <v>0.36799999999999999</v>
      </c>
      <c r="G17" s="36" cm="1">
        <f t="array" ref="G17">_xll.FDSZ(C17,"FG_PRICE(0)")</f>
        <v>33.43</v>
      </c>
      <c r="H17" s="36" cm="1">
        <f t="array" ref="H17">_xll.FDSZ(C17,"FG_PRICE_MAVG(0,,,,30)")</f>
        <v>33.567664999999998</v>
      </c>
      <c r="I17" s="36" cm="1">
        <f t="array" ref="I17">_xll.FDSZ(C17,"FG_PRICE_MAVG(0,,,,60)")</f>
        <v>33.426333999999997</v>
      </c>
      <c r="J17" s="36" cm="1">
        <f t="array" ref="J17">_xll.FDSZ(C17,"FG_PRICE_MAVG(0,,,,200)")</f>
        <v>31.892949999999999</v>
      </c>
      <c r="L17">
        <f t="shared" si="0"/>
        <v>0</v>
      </c>
      <c r="M17">
        <f t="shared" si="1"/>
        <v>1</v>
      </c>
      <c r="N17">
        <f t="shared" si="2"/>
        <v>1</v>
      </c>
      <c r="P17">
        <f t="shared" si="3"/>
        <v>2</v>
      </c>
      <c r="R17" t="s">
        <v>136</v>
      </c>
      <c r="S17" s="7" cm="1">
        <f t="array" ref="S17">_xll.FDSZ($R17,"FG_PRICE(0)")</f>
        <v>378.47924999999998</v>
      </c>
      <c r="T17" s="7" cm="1">
        <f t="array" ref="T17">_xll.FDSZ($R17,"FG_PRICE(0)")</f>
        <v>378.47924999999998</v>
      </c>
      <c r="U17" s="7" cm="1">
        <f t="array" ref="U17">_xll.FDSZ($R17,"FG_PRICE(0)")</f>
        <v>378.47924999999998</v>
      </c>
      <c r="V17" s="7" cm="1">
        <f t="array" ref="V17">_xll.FDSZ($R17,"FG_PRICE(0)")</f>
        <v>378.47924999999998</v>
      </c>
    </row>
    <row r="19" spans="1:22" x14ac:dyDescent="0.3">
      <c r="K19" s="1" t="s">
        <v>160</v>
      </c>
      <c r="L19" s="1">
        <f>SUM(L5:L17)</f>
        <v>4</v>
      </c>
      <c r="M19" s="1">
        <f t="shared" ref="M19:N19" si="4">SUM(M5:M17)</f>
        <v>5</v>
      </c>
      <c r="N19" s="1">
        <f t="shared" si="4"/>
        <v>10</v>
      </c>
    </row>
    <row r="20" spans="1:22" x14ac:dyDescent="0.3">
      <c r="K20" s="1" t="s">
        <v>29</v>
      </c>
      <c r="L20" s="1">
        <f>COUNT(L5:L17)</f>
        <v>13</v>
      </c>
      <c r="M20" s="1">
        <f t="shared" ref="M20:N20" si="5">COUNT(M5:M17)</f>
        <v>13</v>
      </c>
      <c r="N20" s="1">
        <f t="shared" si="5"/>
        <v>13</v>
      </c>
    </row>
    <row r="21" spans="1:22" x14ac:dyDescent="0.3">
      <c r="K21" s="1"/>
      <c r="L21" s="1"/>
      <c r="M21" s="1"/>
      <c r="N21" s="1"/>
    </row>
    <row r="22" spans="1:22" x14ac:dyDescent="0.3">
      <c r="K22" s="1" t="s">
        <v>31</v>
      </c>
      <c r="L22" s="43">
        <f>L19/L20</f>
        <v>0.30769230769230771</v>
      </c>
      <c r="M22" s="43">
        <f t="shared" ref="M22:N22" si="6">M19/M20</f>
        <v>0.38461538461538464</v>
      </c>
      <c r="N22" s="43">
        <f t="shared" si="6"/>
        <v>0.76923076923076927</v>
      </c>
    </row>
    <row r="23" spans="1:22" x14ac:dyDescent="0.3">
      <c r="A23" t="s">
        <v>141</v>
      </c>
      <c r="B23" t="s">
        <v>145</v>
      </c>
      <c r="C23" t="str" cm="1">
        <f t="array" ref="C23">_xll.FDS(A23,"FG_COMPANY_NAME")</f>
        <v>iShares MSCI France ETF</v>
      </c>
      <c r="D23" t="s">
        <v>141</v>
      </c>
    </row>
    <row r="24" spans="1:22" x14ac:dyDescent="0.3">
      <c r="A24" t="s">
        <v>143</v>
      </c>
      <c r="B24" t="s">
        <v>146</v>
      </c>
      <c r="C24" t="str" cm="1">
        <f t="array" ref="C24">_xll.FDS(A24,"FG_COMPANY_NAME")</f>
        <v>iShares MSCI Netherlands ETF</v>
      </c>
      <c r="D24" t="s">
        <v>143</v>
      </c>
    </row>
    <row r="25" spans="1:22" x14ac:dyDescent="0.3">
      <c r="A25" t="s">
        <v>140</v>
      </c>
      <c r="B25" t="s">
        <v>43</v>
      </c>
      <c r="C25" t="str" cm="1">
        <f t="array" ref="C25">_xll.FDS(A25,"FG_COMPANY_NAME")</f>
        <v>iShares MSCI Sweden ETF</v>
      </c>
      <c r="D25" t="s">
        <v>140</v>
      </c>
    </row>
    <row r="26" spans="1:22" x14ac:dyDescent="0.3">
      <c r="A26" t="s">
        <v>142</v>
      </c>
      <c r="B26" t="s">
        <v>144</v>
      </c>
      <c r="C26" t="str" cm="1">
        <f t="array" ref="C26">_xll.FDS(A26,"FG_COMPANY_NAME")</f>
        <v>iShares MSCI Italy ETF</v>
      </c>
      <c r="D26" t="s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5AB5-57C2-41E5-A6C3-F039F33CB971}">
  <dimension ref="A2:Q18"/>
  <sheetViews>
    <sheetView workbookViewId="0">
      <selection activeCell="N9" sqref="N9"/>
    </sheetView>
  </sheetViews>
  <sheetFormatPr defaultRowHeight="14.4" x14ac:dyDescent="0.3"/>
  <cols>
    <col min="1" max="2" width="17" customWidth="1"/>
    <col min="3" max="3" width="11.88671875" customWidth="1"/>
    <col min="4" max="4" width="11.33203125" customWidth="1"/>
    <col min="5" max="5" width="13.109375" customWidth="1"/>
    <col min="6" max="6" width="11.88671875" customWidth="1"/>
    <col min="7" max="7" width="15.5546875" bestFit="1" customWidth="1"/>
    <col min="8" max="8" width="13.109375" customWidth="1"/>
    <col min="9" max="9" width="20" customWidth="1"/>
    <col min="10" max="10" width="15.44140625" customWidth="1"/>
    <col min="11" max="11" width="15.33203125" customWidth="1"/>
    <col min="13" max="13" width="19.5546875" customWidth="1"/>
    <col min="14" max="14" width="13.44140625" customWidth="1"/>
    <col min="15" max="15" width="16.5546875" customWidth="1"/>
    <col min="16" max="16" width="13.33203125" customWidth="1"/>
    <col min="17" max="17" width="11.109375" customWidth="1"/>
  </cols>
  <sheetData>
    <row r="2" spans="1:17" x14ac:dyDescent="0.3">
      <c r="A2" s="45"/>
      <c r="B2" s="45" t="s">
        <v>96</v>
      </c>
      <c r="C2" s="45" t="s">
        <v>97</v>
      </c>
      <c r="D2" s="45" t="s">
        <v>98</v>
      </c>
      <c r="E2" s="45" t="s">
        <v>99</v>
      </c>
      <c r="F2" s="45" t="s">
        <v>100</v>
      </c>
      <c r="G2" s="45" t="s">
        <v>101</v>
      </c>
      <c r="H2" s="45" t="s">
        <v>102</v>
      </c>
      <c r="I2" s="45" t="s">
        <v>103</v>
      </c>
      <c r="J2" s="45" t="s">
        <v>104</v>
      </c>
      <c r="K2" s="45" t="s">
        <v>168</v>
      </c>
      <c r="M2" s="45" t="s">
        <v>156</v>
      </c>
      <c r="N2" s="45" t="s">
        <v>2</v>
      </c>
      <c r="O2" s="45" t="s">
        <v>21</v>
      </c>
      <c r="P2" s="45" t="s">
        <v>170</v>
      </c>
      <c r="Q2" s="45" t="s">
        <v>171</v>
      </c>
    </row>
    <row r="3" spans="1:17" x14ac:dyDescent="0.3">
      <c r="A3" t="s">
        <v>105</v>
      </c>
      <c r="B3" t="s">
        <v>106</v>
      </c>
      <c r="C3" cm="1">
        <f t="array" ref="C3">_xll.FDS($A3,"FG_PRICE(0)")</f>
        <v>128.87</v>
      </c>
      <c r="D3" cm="1">
        <f t="array" ref="D3">_xll.FDS($A3,"FG_PRICE_MAVG(0,,,,30)")</f>
        <v>134.96799999999999</v>
      </c>
      <c r="E3" s="25" cm="1">
        <f t="array" ref="E3">_xll.FDS($A3,"FG_PRICE_CHANGE(0,-1AM)")</f>
        <v>-6.0851187873487804</v>
      </c>
      <c r="F3" s="25" cm="1">
        <f t="array" ref="F3">_xll.FDS($A3,"FG_PRICE_CHANGE(0,-3AM)")</f>
        <v>0.41296556023064901</v>
      </c>
      <c r="G3" s="25" cm="1">
        <f t="array" ref="G3">_xll.FDS($A3,"FG_PRICE_CHANGE(0,-6AM)")</f>
        <v>22.302363101451999</v>
      </c>
      <c r="H3" s="25" cm="1">
        <f t="array" ref="H3">_xll.FDS($A3,"FG_PRICE_CHANGE(0,-1AY)")</f>
        <v>4.1289592760181097</v>
      </c>
      <c r="I3" s="25" cm="1">
        <f t="array" ref="I3">_xll.FDS($A3,"FG_PRICE(0)/MAX(FG_PRICE(0,-1AY))")</f>
        <v>0.89393729189789095</v>
      </c>
      <c r="J3" cm="1">
        <f t="array" ref="J3">_xll.FDS($A3,"MAX(FG_PRICE(0,-5AY))")</f>
        <v>219.77</v>
      </c>
      <c r="K3" s="8">
        <f>C3/J3-1</f>
        <v>-0.41361423306183742</v>
      </c>
    </row>
    <row r="4" spans="1:17" x14ac:dyDescent="0.3">
      <c r="A4" t="s">
        <v>107</v>
      </c>
      <c r="B4" t="s">
        <v>108</v>
      </c>
      <c r="C4" cm="1">
        <f t="array" ref="C4">_xll.FDS($A4,"FG_PRICE(0)")</f>
        <v>3.7284999999999999</v>
      </c>
      <c r="D4" cm="1">
        <f t="array" ref="D4">_xll.FDS($A4,"FG_PRICE_MAVG(0,,,,30)")</f>
        <v>3.7955999999999999</v>
      </c>
      <c r="E4" s="25" cm="1">
        <f t="array" ref="E4">_xll.FDS($A4,"FG_PRICE_CHANGE(0,-1AM)")</f>
        <v>-0.307486631016052</v>
      </c>
      <c r="F4" s="25" cm="1">
        <f t="array" ref="F4">_xll.FDS($A4,"FG_PRICE_CHANGE(0,-3AM)")</f>
        <v>1.80204778156996</v>
      </c>
      <c r="G4" s="25" cm="1">
        <f t="array" ref="G4">_xll.FDS($A4,"FG_PRICE_CHANGE(0,-6AM)")</f>
        <v>0.37690133261543102</v>
      </c>
      <c r="H4" s="25" cm="1">
        <f t="array" ref="H4">_xll.FDS($A4,"FG_PRICE_CHANGE(0,-1AY)")</f>
        <v>-8.7717151945191993</v>
      </c>
      <c r="I4" s="25" cm="1">
        <f t="array" ref="I4">_xll.FDS($A4,"FG_PRICE(0)/MAX(FG_PRICE(0,-1AY))")</f>
        <v>0.88050537253512795</v>
      </c>
      <c r="J4" cm="1">
        <f t="array" ref="J4">_xll.FDS($A4,"MAX(FG_PRICE(0,-5AY))")</f>
        <v>4.9290000000000003</v>
      </c>
      <c r="K4" s="8">
        <f t="shared" ref="K4:K8" si="0">C4/J4-1</f>
        <v>-0.24355853114221959</v>
      </c>
    </row>
    <row r="5" spans="1:17" x14ac:dyDescent="0.3">
      <c r="A5" t="s">
        <v>109</v>
      </c>
      <c r="B5" t="s">
        <v>61</v>
      </c>
      <c r="C5" cm="1">
        <f t="array" ref="C5">_xll.FDS($A5,"FG_PRICE(0)")</f>
        <v>85.86</v>
      </c>
      <c r="D5" cm="1">
        <f t="array" ref="D5">_xll.FDS($A5,"FG_PRICE_MAVG(0,,,,30)")</f>
        <v>85.86</v>
      </c>
      <c r="E5" s="25" cm="1">
        <f t="array" ref="E5">_xll.FDS($A5,"FG_PRICE_CHANGE(0,-1AM)")</f>
        <v>0</v>
      </c>
      <c r="F5" s="25" cm="1">
        <f t="array" ref="F5">_xll.FDS($A5,"FG_PRICE_CHANGE(0,-3AM)")</f>
        <v>0</v>
      </c>
      <c r="G5" s="25" cm="1">
        <f t="array" ref="G5">_xll.FDS($A5,"FG_PRICE_CHANGE(0,-6AM)")</f>
        <v>-3.61472833408172</v>
      </c>
      <c r="H5" s="25" cm="1">
        <f t="array" ref="H5">_xll.FDS($A5,"FG_PRICE_CHANGE(0,-1AY)")</f>
        <v>-1.9863013698630101</v>
      </c>
      <c r="I5" s="25" cm="1">
        <f t="array" ref="I5">_xll.FDS($A5,"FG_PRICE(0)/MAX(FG_PRICE(0,-1AY))")</f>
        <v>0.87061447982153695</v>
      </c>
      <c r="J5" cm="1">
        <f t="array" ref="J5">_xll.FDS($A5,"MAX(FG_PRICE(0,-5AY))")</f>
        <v>140.85</v>
      </c>
      <c r="K5" s="8">
        <f t="shared" si="0"/>
        <v>-0.39041533546325879</v>
      </c>
    </row>
    <row r="6" spans="1:17" x14ac:dyDescent="0.3">
      <c r="A6" t="s">
        <v>114</v>
      </c>
      <c r="B6" t="s">
        <v>115</v>
      </c>
      <c r="C6" cm="1">
        <f t="array" ref="C6">_xll.FDS($A6,"FG_PRICE(0)")</f>
        <v>890</v>
      </c>
      <c r="D6" cm="1">
        <f t="array" ref="D6">_xll.FDS($A6,"FG_PRICE_MAVG(0,,,,30)")</f>
        <v>921.46669999999995</v>
      </c>
      <c r="E6" s="25" cm="1">
        <f t="array" ref="E6">_xll.FDS($A6,"FG_PRICE_CHANGE(0,-1AM)")</f>
        <v>-4.7109207708779497</v>
      </c>
      <c r="F6" s="25" cm="1">
        <f t="array" ref="F6">_xll.FDS($A6,"FG_PRICE_CHANGE(0,-3AM)")</f>
        <v>3.9719626168224198</v>
      </c>
      <c r="G6" s="25" cm="1">
        <f t="array" ref="G6">_xll.FDS($A6,"FG_PRICE_CHANGE(0,-6AM)")</f>
        <v>-2.7322404371584699</v>
      </c>
      <c r="H6" s="25" cm="1">
        <f t="array" ref="H6">_xll.FDS($A6,"FG_PRICE_CHANGE(0,-1AY)")</f>
        <v>-6.3157894736842097</v>
      </c>
      <c r="I6" s="25" cm="1">
        <f t="array" ref="I6">_xll.FDS($A6,"FG_PRICE(0)/MAX(FG_PRICE(0,-1AY))")</f>
        <v>0.78414096916299603</v>
      </c>
      <c r="J6" cm="1">
        <f t="array" ref="J6">_xll.FDS($A6,"MAX(FG_PRICE(0,-5AY))")</f>
        <v>1272.5899999999999</v>
      </c>
      <c r="K6" s="8">
        <f t="shared" si="0"/>
        <v>-0.30063885461931961</v>
      </c>
    </row>
    <row r="7" spans="1:17" x14ac:dyDescent="0.3">
      <c r="A7" t="s">
        <v>116</v>
      </c>
      <c r="B7" t="s">
        <v>117</v>
      </c>
      <c r="C7" cm="1">
        <f t="array" ref="C7">_xll.FDS($A7,"FG_PRICE(0)")</f>
        <v>15950</v>
      </c>
      <c r="D7" cm="1">
        <f t="array" ref="D7">_xll.FDS($A7,"FG_PRICE_MAVG(0,,,,30)")</f>
        <v>16007</v>
      </c>
      <c r="E7" s="25" cm="1">
        <f t="array" ref="E7">_xll.FDS($A7,"FG_PRICE_CHANGE(0,-1AM)")</f>
        <v>-0.77760497667185302</v>
      </c>
      <c r="F7" s="25" cm="1">
        <f t="array" ref="F7">_xll.FDS($A7,"FG_PRICE_CHANGE(0,-3AM)")</f>
        <v>-6.1764705882352899</v>
      </c>
      <c r="G7" s="25" cm="1">
        <f t="array" ref="G7">_xll.FDS($A7,"FG_PRICE_CHANGE(0,-6AM)")</f>
        <v>-20.25</v>
      </c>
      <c r="H7" s="25" cm="1">
        <f t="array" ref="H7">_xll.FDS($A7,"FG_PRICE_CHANGE(0,-1AY)")</f>
        <v>-40.384974771070802</v>
      </c>
      <c r="I7" s="25" cm="1">
        <f t="array" ref="I7">_xll.FDS($A7,"FG_PRICE(0)/MAX(FG_PRICE(0,-1AY))")</f>
        <v>0.59293680297397799</v>
      </c>
      <c r="J7" cm="1">
        <f t="array" ref="J7">_xll.FDS($A7,"MAX(FG_PRICE(0,-5AY))")</f>
        <v>48241</v>
      </c>
      <c r="K7" s="8">
        <f t="shared" si="0"/>
        <v>-0.66936837959412121</v>
      </c>
    </row>
    <row r="8" spans="1:17" x14ac:dyDescent="0.3">
      <c r="A8" t="s">
        <v>118</v>
      </c>
      <c r="B8" t="s">
        <v>119</v>
      </c>
      <c r="C8" cm="1">
        <f t="array" ref="C8">_xll.FDS($A8,"FG_PRICE(0)")</f>
        <v>910</v>
      </c>
      <c r="D8" cm="1">
        <f t="array" ref="D8">_xll.FDS($A8,"FG_PRICE_MAVG(0,,,,30)")</f>
        <v>975.66669999999999</v>
      </c>
      <c r="E8" s="25" cm="1">
        <f t="array" ref="E8">_xll.FDS($A8,"FG_PRICE_CHANGE(0,-1AM)")</f>
        <v>-9.4527363184079594</v>
      </c>
      <c r="F8" s="25" cm="1">
        <f t="array" ref="F8">_xll.FDS($A8,"FG_PRICE_CHANGE(0,-3AM)")</f>
        <v>-6.8577277379733799</v>
      </c>
      <c r="G8" s="25" cm="1">
        <f t="array" ref="G8">_xll.FDS($A8,"FG_PRICE_CHANGE(0,-6AM)")</f>
        <v>-32.089552238806</v>
      </c>
      <c r="H8" s="25" cm="1">
        <f t="array" ref="H8">_xll.FDS($A8,"FG_PRICE_CHANGE(0,-1AY)")</f>
        <v>-42.038216560509603</v>
      </c>
      <c r="I8" s="25" cm="1">
        <f t="array" ref="I8">_xll.FDS($A8,"FG_PRICE(0)/MAX(FG_PRICE(0,-1AY))")</f>
        <v>0.55487804878048796</v>
      </c>
      <c r="J8" cm="1">
        <f t="array" ref="J8">_xll.FDS($A8,"MAX(FG_PRICE(0,-5AY))")</f>
        <v>3158.12</v>
      </c>
      <c r="K8" s="8">
        <f t="shared" si="0"/>
        <v>-0.71185388775600678</v>
      </c>
    </row>
    <row r="9" spans="1:17" x14ac:dyDescent="0.3">
      <c r="A9" t="s">
        <v>169</v>
      </c>
    </row>
    <row r="17" spans="1:10" x14ac:dyDescent="0.3">
      <c r="A17" t="s">
        <v>110</v>
      </c>
      <c r="B17" t="s">
        <v>111</v>
      </c>
      <c r="C17" cm="1">
        <f t="array" ref="C17">_xll.FDS($A17,"FG_PRICE(0)")</f>
        <v>5.9749999999999996</v>
      </c>
      <c r="D17" cm="1">
        <f t="array" ref="D17">_xll.FDS($A17,"FG_PRICE_MAVG(0,,,,30)")</f>
        <v>5.9919167</v>
      </c>
      <c r="E17" s="25" cm="1">
        <f t="array" ref="E17">_xll.FDS($A17,"FG_PRICE_CHANGE(0,-1AM)")</f>
        <v>0.25167785234898599</v>
      </c>
      <c r="F17" s="25" cm="1">
        <f t="array" ref="F17">_xll.FDS($A17,"FG_PRICE_CHANGE(0,-3AM)")</f>
        <v>3.1951640759930999</v>
      </c>
      <c r="G17" s="25" cm="1">
        <f t="array" ref="G17">_xll.FDS($A17,"FG_PRICE_CHANGE(0,-6AM)")</f>
        <v>-4.6669325887515001</v>
      </c>
      <c r="H17" s="25" cm="1">
        <f t="array" ref="H17">_xll.FDS($A17,"FG_PRICE_CHANGE(0,-1AY)")</f>
        <v>-24.558080808080799</v>
      </c>
      <c r="I17" s="25" cm="1">
        <f t="array" ref="I17">_xll.FDS($A17,"FG_PRICE(0)/MAX(FG_PRICE(0,-1AY))")</f>
        <v>0.75441919191919204</v>
      </c>
      <c r="J17" cm="1">
        <f t="array" ref="J17">_xll.FDS($A17,"MAX(FG_PRICE(0,-5AY))")</f>
        <v>14.2525</v>
      </c>
    </row>
    <row r="18" spans="1:10" x14ac:dyDescent="0.3">
      <c r="A18" t="s">
        <v>112</v>
      </c>
      <c r="B18" t="s">
        <v>113</v>
      </c>
      <c r="C18" cm="1">
        <f t="array" ref="C18">_xll.FDS($A18,"FG_PRICE(0)")</f>
        <v>3920</v>
      </c>
      <c r="D18" cm="1">
        <f t="array" ref="D18">_xll.FDS($A18,"FG_PRICE_MAVG(0,,,,30)")</f>
        <v>3843.9333000000001</v>
      </c>
      <c r="E18" s="25" cm="1">
        <f t="array" ref="E18">_xll.FDS($A18,"FG_PRICE_CHANGE(0,-1AM)")</f>
        <v>3.7037037037037002</v>
      </c>
      <c r="F18" s="25" cm="1">
        <f t="array" ref="F18">_xll.FDS($A18,"FG_PRICE_CHANGE(0,-3AM)")</f>
        <v>6.7247481622651799</v>
      </c>
      <c r="G18" s="25" cm="1">
        <f t="array" ref="G18">_xll.FDS($A18,"FG_PRICE_CHANGE(0,-6AM)")</f>
        <v>5.1784276898309702</v>
      </c>
      <c r="H18" s="25" cm="1">
        <f t="array" ref="H18">_xll.FDS($A18,"FG_PRICE_CHANGE(0,-1AY)")</f>
        <v>1.8181818181818099</v>
      </c>
      <c r="I18" s="25" cm="1">
        <f t="array" ref="I18">_xll.FDS($A18,"FG_PRICE(0)/MAX(FG_PRICE(0,-1AY))")</f>
        <v>0.90593944996533404</v>
      </c>
      <c r="J18" cm="1">
        <f t="array" ref="J18">_xll.FDS($A18,"MAX(FG_PRICE(0,-5AY))")</f>
        <v>8163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139"/>
  <sheetViews>
    <sheetView workbookViewId="0">
      <selection activeCell="R18" sqref="R18"/>
    </sheetView>
  </sheetViews>
  <sheetFormatPr defaultRowHeight="14.4" x14ac:dyDescent="0.3"/>
  <cols>
    <col min="1" max="1" width="24.6640625" bestFit="1" customWidth="1"/>
    <col min="11" max="11" width="10.33203125" customWidth="1"/>
    <col min="14" max="14" width="10.44140625" customWidth="1"/>
  </cols>
  <sheetData>
    <row r="1" spans="1:22" x14ac:dyDescent="0.3">
      <c r="B1" s="44" t="s">
        <v>4</v>
      </c>
      <c r="C1" s="44" t="s">
        <v>1</v>
      </c>
      <c r="D1" s="44" t="s">
        <v>147</v>
      </c>
      <c r="E1" s="44" t="s">
        <v>148</v>
      </c>
      <c r="F1" s="44" t="s">
        <v>15</v>
      </c>
      <c r="G1" s="44" t="s">
        <v>149</v>
      </c>
      <c r="H1" s="44" t="s">
        <v>61</v>
      </c>
      <c r="I1" s="44" t="s">
        <v>150</v>
      </c>
      <c r="J1" s="44" t="s">
        <v>71</v>
      </c>
      <c r="K1" s="44" t="s">
        <v>161</v>
      </c>
      <c r="L1" s="44" t="s">
        <v>12</v>
      </c>
      <c r="M1" t="s">
        <v>140</v>
      </c>
      <c r="N1" t="s">
        <v>142</v>
      </c>
      <c r="O1" s="29" t="s">
        <v>89</v>
      </c>
    </row>
    <row r="2" spans="1:22" x14ac:dyDescent="0.3">
      <c r="A2" s="2" cm="1">
        <f t="array" ref="A2:A122">_xll.FDS(B1,"JULIAN(FG_TOTAL_RETURNC(-10AY,0,AM).dates)")</f>
        <v>41683</v>
      </c>
      <c r="B2" s="17" cm="1">
        <f t="array" ref="B2:B122">_xll.FDS(B1,"FG_TOTAL_RETURNC(-10AY,0,AM)")/100</f>
        <v>-1.8795967E-2</v>
      </c>
      <c r="C2" s="17" cm="1">
        <f t="array" ref="C2:C122">_xll.FDS(C1,"FG_TOTAL_RETURNC(-10AY,0,AM)")/100</f>
        <v>7.2928669999999998E-3</v>
      </c>
      <c r="D2" s="17" cm="1">
        <f t="array" ref="D2:D122">_xll.FDS(D1,"FG_TOTAL_RETURNC(-10AY,0,AM)")/100</f>
        <v>3.6936045000000001E-2</v>
      </c>
      <c r="E2" s="17" cm="1">
        <f t="array" ref="E2:E122">_xll.FDS(E1,"FG_TOTAL_RETURNC(-10AY,0,AM)")/100</f>
        <v>-4.1628480000000002E-3</v>
      </c>
      <c r="F2" s="17" cm="1">
        <f t="array" ref="F2:F122">_xll.FDS(F1,"FG_TOTAL_RETURNC(-10AY,0,AM)")/100</f>
        <v>4.2088029999999998E-2</v>
      </c>
      <c r="G2" s="17" cm="1">
        <f t="array" ref="G2:G122">_xll.FDS(G1,"FG_TOTAL_RETURNC(-10AY,0,AM)")/100</f>
        <v>5.0700665000000006E-2</v>
      </c>
      <c r="H2" s="17" cm="1">
        <f t="array" ref="H2:H122">_xll.FDS(H1,"FG_TOTAL_RETURNC(-10AY,0,AM)")/100</f>
        <v>8.0076099999999997E-2</v>
      </c>
      <c r="I2" s="17" cm="1">
        <f t="array" ref="I2:I122">_xll.FDS(I1,"FG_TOTAL_RETURNC(-10AY,0,AM)")/100</f>
        <v>1.7711878E-2</v>
      </c>
      <c r="J2" s="17" cm="1">
        <f t="array" ref="J2:J122">_xll.FDS(J1,"FG_TOTAL_RETURNC(-10AY,0,AM)")/100</f>
        <v>1.3250709000000001E-2</v>
      </c>
      <c r="K2" s="17" t="e" cm="1">
        <f t="array" ref="K2:K122">_xll.FDS(K1,"FG_TOTAL_RETURNC(-10AY,0,AM)")/100</f>
        <v>#N/A</v>
      </c>
      <c r="L2" s="17" cm="1">
        <f t="array" ref="L2:L122">_xll.FDS(L1,"FG_TOTAL_RETURNC(-10AY,0,AM)")/100</f>
        <v>-4.7499949999999999E-2</v>
      </c>
      <c r="M2" s="17" cm="1">
        <f t="array" ref="M2:M122">_xll.FDS(M1,"FG_TOTAL_RETURNC(-10AY,0,AM)")/100</f>
        <v>1.7739654000000001E-2</v>
      </c>
      <c r="N2" s="17" cm="1">
        <f t="array" ref="N2:N122">_xll.FDS(N1,"FG_TOTAL_RETURNC(-10AY,0,AM)")/100</f>
        <v>4.6556115000000002E-2</v>
      </c>
      <c r="O2" s="17" cm="1">
        <f t="array" ref="O2:O122">_xll.FDS(O1,"FG_TOTAL_RETURNC(-10AY,0,AM)")/100</f>
        <v>8.0573560000000001E-4</v>
      </c>
      <c r="P2" s="17"/>
      <c r="Q2" s="17"/>
      <c r="R2" s="17"/>
      <c r="S2" s="17"/>
      <c r="T2" s="17"/>
      <c r="U2" s="17"/>
      <c r="V2" s="17"/>
    </row>
    <row r="3" spans="1:22" x14ac:dyDescent="0.3">
      <c r="A3" s="2">
        <v>41711</v>
      </c>
      <c r="B3" s="17">
        <v>-2.2521436000000002E-2</v>
      </c>
      <c r="C3" s="17">
        <v>1.1857271000000001E-2</v>
      </c>
      <c r="D3" s="17">
        <v>5.3550123999999998E-2</v>
      </c>
      <c r="E3" s="17">
        <v>-9.2893840000000012E-3</v>
      </c>
      <c r="F3" s="17">
        <v>2.0480155999999999E-4</v>
      </c>
      <c r="G3" s="17">
        <v>0.12907028000000001</v>
      </c>
      <c r="H3" s="17">
        <v>-7.6372030000000004E-3</v>
      </c>
      <c r="I3" s="17">
        <v>2.1047592E-2</v>
      </c>
      <c r="J3" s="17">
        <v>-1.6474187000000001E-2</v>
      </c>
      <c r="K3" s="17" t="e">
        <v>#N/A</v>
      </c>
      <c r="L3" s="17">
        <v>-2.2747160000000002E-2</v>
      </c>
      <c r="M3" s="17">
        <v>2.5302172E-3</v>
      </c>
      <c r="N3" s="17">
        <v>1.5234589999999999E-2</v>
      </c>
      <c r="O3" s="17">
        <v>3.6517381999999999E-3</v>
      </c>
      <c r="P3" s="17"/>
      <c r="Q3" s="17"/>
      <c r="R3" s="17"/>
      <c r="S3" s="17"/>
      <c r="T3" s="17"/>
      <c r="U3" s="17"/>
      <c r="V3" s="17"/>
    </row>
    <row r="4" spans="1:22" x14ac:dyDescent="0.3">
      <c r="A4" s="2">
        <v>41740</v>
      </c>
      <c r="B4" s="17">
        <v>9.7189429999999993E-2</v>
      </c>
      <c r="C4" s="17">
        <v>-1.5477657000000001E-2</v>
      </c>
      <c r="D4" s="17">
        <v>-3.9936482999999995E-2</v>
      </c>
      <c r="E4" s="17">
        <v>-2.8129219999999998E-3</v>
      </c>
      <c r="F4" s="17">
        <v>-5.5726409999999997E-2</v>
      </c>
      <c r="G4" s="17">
        <v>-7.6442359999999996E-3</v>
      </c>
      <c r="H4" s="17">
        <v>3.8006185999999997E-2</v>
      </c>
      <c r="I4" s="17">
        <v>2.3203729999999999E-2</v>
      </c>
      <c r="J4" s="17">
        <v>2.0357609000000002E-2</v>
      </c>
      <c r="K4" s="17" t="e">
        <v>#N/A</v>
      </c>
      <c r="L4" s="17">
        <v>-3.3124447000000001E-2</v>
      </c>
      <c r="M4" s="17">
        <v>3.6455393000000003E-3</v>
      </c>
      <c r="N4" s="17">
        <v>4.3817519999999999E-2</v>
      </c>
      <c r="O4" s="17">
        <v>-1.4317036E-4</v>
      </c>
      <c r="P4" s="17"/>
      <c r="Q4" s="17"/>
      <c r="R4" s="17"/>
      <c r="S4" s="17"/>
      <c r="T4" s="17"/>
      <c r="U4" s="17"/>
      <c r="V4" s="17"/>
    </row>
    <row r="5" spans="1:22" x14ac:dyDescent="0.3">
      <c r="A5" s="2">
        <v>41772</v>
      </c>
      <c r="B5" s="17">
        <v>2.1055101999999999E-2</v>
      </c>
      <c r="C5" s="17">
        <v>4.655397E-2</v>
      </c>
      <c r="D5" s="17">
        <v>-1.8356562E-2</v>
      </c>
      <c r="E5" s="17">
        <v>7.0521830000000001E-3</v>
      </c>
      <c r="F5" s="17">
        <v>4.9696803000000005E-2</v>
      </c>
      <c r="G5" s="17">
        <v>1.05047226E-3</v>
      </c>
      <c r="H5" s="17">
        <v>1.8250942E-3</v>
      </c>
      <c r="I5" s="17">
        <v>1.1637807E-2</v>
      </c>
      <c r="J5" s="17">
        <v>4.1745424000000003E-2</v>
      </c>
      <c r="K5" s="17" t="e">
        <v>#N/A</v>
      </c>
      <c r="L5" s="17">
        <v>4.6296239999999995E-2</v>
      </c>
      <c r="M5" s="17">
        <v>3.6043644E-2</v>
      </c>
      <c r="N5" s="17">
        <v>-6.9004299999999999E-3</v>
      </c>
      <c r="O5" s="17">
        <v>2.8653263999999998E-2</v>
      </c>
      <c r="P5" s="17"/>
      <c r="Q5" s="17"/>
      <c r="R5" s="17"/>
      <c r="S5" s="17"/>
      <c r="T5" s="17"/>
      <c r="U5" s="17"/>
      <c r="V5" s="17"/>
    </row>
    <row r="6" spans="1:22" x14ac:dyDescent="0.3">
      <c r="A6" s="2">
        <v>41803</v>
      </c>
      <c r="B6" s="17">
        <v>3.3657312000000002E-2</v>
      </c>
      <c r="C6" s="17">
        <v>2.1952033000000003E-2</v>
      </c>
      <c r="D6" s="17">
        <v>-1.3162136E-2</v>
      </c>
      <c r="E6" s="17">
        <v>5.6022405999999999E-3</v>
      </c>
      <c r="F6" s="17">
        <v>4.5644999999999998E-2</v>
      </c>
      <c r="G6" s="17">
        <v>-3.0080496999999998E-2</v>
      </c>
      <c r="H6" s="17">
        <v>5.4309370000000003E-2</v>
      </c>
      <c r="I6" s="17">
        <v>6.1900615999999995E-3</v>
      </c>
      <c r="J6" s="17">
        <v>6.1016079999999997E-3</v>
      </c>
      <c r="K6" s="17" t="e">
        <v>#N/A</v>
      </c>
      <c r="L6" s="17">
        <v>4.6902657E-2</v>
      </c>
      <c r="M6" s="17">
        <v>-7.0119500000000003E-3</v>
      </c>
      <c r="N6" s="17">
        <v>3.9953590000000004E-2</v>
      </c>
      <c r="O6" s="17">
        <v>1.8653154000000002E-2</v>
      </c>
      <c r="P6" s="17"/>
      <c r="Q6" s="17"/>
      <c r="R6" s="17"/>
      <c r="S6" s="17"/>
      <c r="T6" s="17"/>
      <c r="U6" s="17"/>
      <c r="V6" s="17"/>
    </row>
    <row r="7" spans="1:22" x14ac:dyDescent="0.3">
      <c r="A7" s="2">
        <v>41831</v>
      </c>
      <c r="B7" s="17">
        <v>1.8303633E-2</v>
      </c>
      <c r="C7" s="17">
        <v>1.7616390999999999E-2</v>
      </c>
      <c r="D7" s="17">
        <v>4.7332406E-2</v>
      </c>
      <c r="E7" s="17">
        <v>-7.4281095999999998E-3</v>
      </c>
      <c r="F7" s="17">
        <v>3.4724949999999997E-2</v>
      </c>
      <c r="G7" s="17">
        <v>-5.8059810000000003E-2</v>
      </c>
      <c r="H7" s="17">
        <v>-3.8876889999999997E-2</v>
      </c>
      <c r="I7" s="17">
        <v>1.5382766999999999E-2</v>
      </c>
      <c r="J7" s="17">
        <v>-2.0912109999999998E-2</v>
      </c>
      <c r="K7" s="17" t="e">
        <v>#N/A</v>
      </c>
      <c r="L7" s="17">
        <v>1.6206145000000002E-2</v>
      </c>
      <c r="M7" s="17">
        <v>-4.0092109999999993E-2</v>
      </c>
      <c r="N7" s="17">
        <v>-4.9226880000000001E-2</v>
      </c>
      <c r="O7" s="17">
        <v>9.0829133999999999E-3</v>
      </c>
      <c r="P7" s="17"/>
      <c r="Q7" s="17"/>
      <c r="R7" s="17"/>
      <c r="S7" s="17"/>
      <c r="T7" s="17"/>
      <c r="U7" s="17"/>
      <c r="V7" s="17"/>
    </row>
    <row r="8" spans="1:22" x14ac:dyDescent="0.3">
      <c r="A8" s="2">
        <v>41864</v>
      </c>
      <c r="B8" s="17">
        <v>1.4324665E-2</v>
      </c>
      <c r="C8" s="17">
        <v>-9.0026259999999997E-3</v>
      </c>
      <c r="D8" s="17">
        <v>-2.0034193999999998E-2</v>
      </c>
      <c r="E8" s="17">
        <v>1.730597E-2</v>
      </c>
      <c r="F8" s="17">
        <v>1.2175917999999999E-2</v>
      </c>
      <c r="G8" s="17">
        <v>-3.4456252999999996E-3</v>
      </c>
      <c r="H8" s="17">
        <v>-2.7977525999999999E-2</v>
      </c>
      <c r="I8" s="17">
        <v>1.9653916E-2</v>
      </c>
      <c r="J8" s="17">
        <v>-3.6753415999999997E-2</v>
      </c>
      <c r="K8" s="17" t="e">
        <v>#N/A</v>
      </c>
      <c r="L8" s="17">
        <v>-8.3744525999999997E-4</v>
      </c>
      <c r="M8" s="17">
        <v>-1.3678729999999998E-2</v>
      </c>
      <c r="N8" s="17">
        <v>-8.0760120000000005E-2</v>
      </c>
      <c r="O8" s="17">
        <v>-1.8538832999999998E-2</v>
      </c>
      <c r="P8" s="17"/>
      <c r="Q8" s="17"/>
      <c r="R8" s="17"/>
      <c r="S8" s="17"/>
      <c r="T8" s="17"/>
      <c r="U8" s="17"/>
      <c r="V8" s="17"/>
    </row>
    <row r="9" spans="1:22" x14ac:dyDescent="0.3">
      <c r="A9" s="2">
        <v>41894</v>
      </c>
      <c r="B9" s="17">
        <v>-7.8458190000000004E-3</v>
      </c>
      <c r="C9" s="17">
        <v>2.2018075000000002E-2</v>
      </c>
      <c r="D9" s="17">
        <v>-6.1965110000000004E-2</v>
      </c>
      <c r="E9" s="17">
        <v>3.1264423999999999E-2</v>
      </c>
      <c r="F9" s="17">
        <v>3.1629205000000001E-2</v>
      </c>
      <c r="G9" s="17">
        <v>-2.0361125000000001E-2</v>
      </c>
      <c r="H9" s="17">
        <v>-5.4213405000000006E-2</v>
      </c>
      <c r="I9" s="17">
        <v>-1.6161083999999999E-2</v>
      </c>
      <c r="J9" s="17">
        <v>1.0775447E-2</v>
      </c>
      <c r="K9" s="17" t="e">
        <v>#N/A</v>
      </c>
      <c r="L9" s="17">
        <v>-1.1735140999999999E-2</v>
      </c>
      <c r="M9" s="17">
        <v>-1.7999411E-2</v>
      </c>
      <c r="N9" s="17">
        <v>4.3927670000000002E-2</v>
      </c>
      <c r="O9" s="17">
        <v>1.6790271000000002E-2</v>
      </c>
      <c r="P9" s="17"/>
      <c r="Q9" s="17"/>
      <c r="R9" s="17"/>
      <c r="S9" s="17"/>
      <c r="T9" s="17"/>
      <c r="U9" s="17"/>
      <c r="V9" s="17"/>
    </row>
    <row r="10" spans="1:22" x14ac:dyDescent="0.3">
      <c r="A10" s="2">
        <v>41925</v>
      </c>
      <c r="B10" s="17">
        <v>-5.4289759999999992E-2</v>
      </c>
      <c r="C10" s="17">
        <v>-5.4452420000000001E-2</v>
      </c>
      <c r="D10" s="17">
        <v>1.1826753600000001E-3</v>
      </c>
      <c r="E10" s="17">
        <v>1.3374924999999999E-2</v>
      </c>
      <c r="F10" s="17">
        <v>-6.3318310000000003E-2</v>
      </c>
      <c r="G10" s="17">
        <v>3.6862729999999996E-2</v>
      </c>
      <c r="H10" s="17">
        <v>-7.3576092999999995E-2</v>
      </c>
      <c r="I10" s="17">
        <v>6.7874429999999999E-2</v>
      </c>
      <c r="J10" s="17">
        <v>-9.2004660000000002E-2</v>
      </c>
      <c r="K10" s="17" t="e">
        <v>#N/A</v>
      </c>
      <c r="L10" s="17">
        <v>-7.3791323000000006E-2</v>
      </c>
      <c r="M10" s="17">
        <v>-7.9927799999999993E-2</v>
      </c>
      <c r="N10" s="17">
        <v>-0.11324256999999999</v>
      </c>
      <c r="O10" s="17">
        <v>-6.6740036000000003E-2</v>
      </c>
      <c r="P10" s="17"/>
      <c r="Q10" s="17"/>
      <c r="R10" s="17"/>
      <c r="S10" s="17"/>
      <c r="T10" s="17"/>
      <c r="U10" s="17"/>
      <c r="V10" s="17"/>
    </row>
    <row r="11" spans="1:22" x14ac:dyDescent="0.3">
      <c r="A11" s="2">
        <v>41956</v>
      </c>
      <c r="B11" s="17">
        <v>6.2756540000000003E-3</v>
      </c>
      <c r="C11" s="17">
        <v>8.9536909999999997E-2</v>
      </c>
      <c r="D11" s="17">
        <v>-5.7796119999999999E-2</v>
      </c>
      <c r="E11" s="17">
        <v>2.5516987000000001E-2</v>
      </c>
      <c r="F11" s="17">
        <v>0.10692776</v>
      </c>
      <c r="G11" s="17">
        <v>-2.0423650000000002E-2</v>
      </c>
      <c r="H11" s="17">
        <v>-8.6543620000000002E-2</v>
      </c>
      <c r="I11" s="17">
        <v>-1.3082623E-2</v>
      </c>
      <c r="J11" s="17">
        <v>3.9064049999999996E-2</v>
      </c>
      <c r="K11" s="17" t="e">
        <v>#N/A</v>
      </c>
      <c r="L11" s="17">
        <v>7.7838900000000003E-2</v>
      </c>
      <c r="M11" s="17">
        <v>7.1848391999999997E-2</v>
      </c>
      <c r="N11" s="17">
        <v>-1.605022E-2</v>
      </c>
      <c r="O11" s="17">
        <v>6.5726994999999996E-2</v>
      </c>
      <c r="P11" s="17"/>
      <c r="Q11" s="17"/>
      <c r="R11" s="17"/>
      <c r="S11" s="17"/>
      <c r="T11" s="17"/>
      <c r="U11" s="17"/>
      <c r="V11" s="17"/>
    </row>
    <row r="12" spans="1:22" x14ac:dyDescent="0.3">
      <c r="A12" s="2">
        <v>41985</v>
      </c>
      <c r="B12" s="17">
        <v>-6.8361699999999997E-2</v>
      </c>
      <c r="C12" s="17">
        <v>-1.6161441999999998E-2</v>
      </c>
      <c r="D12" s="17">
        <v>5.1401495999999998E-2</v>
      </c>
      <c r="E12" s="17">
        <v>5.1480530000000005E-3</v>
      </c>
      <c r="F12" s="17">
        <v>-2.2352337999999999E-3</v>
      </c>
      <c r="G12" s="17">
        <v>-2.7027009999999997E-2</v>
      </c>
      <c r="H12" s="17">
        <v>-0.22305022999999999</v>
      </c>
      <c r="I12" s="17">
        <v>6.4565539999999991E-2</v>
      </c>
      <c r="J12" s="17">
        <v>-2.7359068E-2</v>
      </c>
      <c r="K12" s="17" t="e">
        <v>#N/A</v>
      </c>
      <c r="L12" s="17">
        <v>-3.4834385000000002E-2</v>
      </c>
      <c r="M12" s="17">
        <v>-1.9805013999999999E-2</v>
      </c>
      <c r="N12" s="17">
        <v>-2.5531947999999999E-2</v>
      </c>
      <c r="O12" s="17">
        <v>-2.1965325000000001E-2</v>
      </c>
      <c r="P12" s="17"/>
      <c r="Q12" s="17"/>
      <c r="R12" s="17"/>
      <c r="S12" s="17"/>
      <c r="T12" s="17"/>
      <c r="U12" s="17"/>
      <c r="V12" s="17"/>
    </row>
    <row r="13" spans="1:22" x14ac:dyDescent="0.3">
      <c r="A13" s="2">
        <v>42017</v>
      </c>
      <c r="B13" s="17">
        <v>3.4862160000000003E-2</v>
      </c>
      <c r="C13" s="17">
        <v>1.1451602E-2</v>
      </c>
      <c r="D13" s="17">
        <v>6.3878299999999997E-3</v>
      </c>
      <c r="E13" s="17">
        <v>4.3533920000000004E-2</v>
      </c>
      <c r="F13" s="17">
        <v>-7.534504E-3</v>
      </c>
      <c r="G13" s="17">
        <v>-3.0952394000000001E-2</v>
      </c>
      <c r="H13" s="17">
        <v>-0.17257792</v>
      </c>
      <c r="I13" s="17">
        <v>4.5905589999999996E-2</v>
      </c>
      <c r="J13" s="17">
        <v>-1.4569402E-2</v>
      </c>
      <c r="K13" s="17" t="e">
        <v>#N/A</v>
      </c>
      <c r="L13" s="17">
        <v>-1.0053514999999999E-2</v>
      </c>
      <c r="M13" s="17">
        <v>-3.7747679999999999E-2</v>
      </c>
      <c r="N13" s="17">
        <v>-4.9480320000000001E-2</v>
      </c>
      <c r="O13" s="17">
        <v>-5.0967929999999996E-4</v>
      </c>
      <c r="P13" s="17"/>
      <c r="Q13" s="17"/>
      <c r="R13" s="17"/>
      <c r="S13" s="17"/>
      <c r="T13" s="17"/>
      <c r="U13" s="17"/>
      <c r="V13" s="17"/>
    </row>
    <row r="14" spans="1:22" x14ac:dyDescent="0.3">
      <c r="A14" s="2">
        <v>42048</v>
      </c>
      <c r="B14" s="17">
        <v>4.3977975999999995E-2</v>
      </c>
      <c r="C14" s="17">
        <v>3.8103699999999997E-2</v>
      </c>
      <c r="D14" s="17">
        <v>-1.5233754999999999E-3</v>
      </c>
      <c r="E14" s="17">
        <v>1.8813848000000001E-2</v>
      </c>
      <c r="F14" s="17">
        <v>5.3093076000000003E-2</v>
      </c>
      <c r="G14" s="17">
        <v>-3.4807563E-2</v>
      </c>
      <c r="H14" s="17">
        <v>0.12643778</v>
      </c>
      <c r="I14" s="17">
        <v>-2.5563896000000003E-2</v>
      </c>
      <c r="J14" s="17">
        <v>7.3018312000000002E-2</v>
      </c>
      <c r="K14" s="17" t="e">
        <v>#N/A</v>
      </c>
      <c r="L14" s="17">
        <v>6.7084073999999994E-2</v>
      </c>
      <c r="M14" s="17">
        <v>9.079074999999999E-2</v>
      </c>
      <c r="N14" s="17">
        <v>0.11333847000000001</v>
      </c>
      <c r="O14" s="17">
        <v>4.3225170000000007E-2</v>
      </c>
      <c r="P14" s="17"/>
      <c r="Q14" s="17"/>
      <c r="R14" s="17"/>
      <c r="S14" s="17"/>
      <c r="T14" s="17"/>
      <c r="U14" s="17"/>
      <c r="V14" s="17"/>
    </row>
    <row r="15" spans="1:22" x14ac:dyDescent="0.3">
      <c r="A15" s="2">
        <v>42076</v>
      </c>
      <c r="B15" s="17">
        <v>-6.1751959999999995E-2</v>
      </c>
      <c r="C15" s="17">
        <v>-1.8842638000000002E-2</v>
      </c>
      <c r="D15" s="17">
        <v>-6.0179767999999995E-2</v>
      </c>
      <c r="E15" s="17">
        <v>6.3428283000000002E-2</v>
      </c>
      <c r="F15" s="17">
        <v>-1.4685333E-2</v>
      </c>
      <c r="G15" s="17">
        <v>-6.3640237000000002E-2</v>
      </c>
      <c r="H15" s="17">
        <v>-0.11049461000000001</v>
      </c>
      <c r="I15" s="17">
        <v>-9.5031860000000003E-3</v>
      </c>
      <c r="J15" s="17">
        <v>-2.8202294999999999E-2</v>
      </c>
      <c r="K15" s="17" t="e">
        <v>#N/A</v>
      </c>
      <c r="L15" s="17">
        <v>4.6102166E-2</v>
      </c>
      <c r="M15" s="17">
        <v>-1.8794775E-2</v>
      </c>
      <c r="N15" s="17">
        <v>-1.3850391E-2</v>
      </c>
      <c r="O15" s="17">
        <v>-8.3561539999999993E-3</v>
      </c>
      <c r="P15" s="17"/>
      <c r="Q15" s="17"/>
      <c r="R15" s="17"/>
      <c r="S15" s="17"/>
      <c r="T15" s="17"/>
      <c r="U15" s="17"/>
      <c r="V15" s="17"/>
    </row>
    <row r="16" spans="1:22" x14ac:dyDescent="0.3">
      <c r="A16" s="2">
        <v>42107</v>
      </c>
      <c r="B16" s="17">
        <v>0.115486145</v>
      </c>
      <c r="C16" s="17">
        <v>2.0346045E-2</v>
      </c>
      <c r="D16" s="17">
        <v>3.8419962000000002E-2</v>
      </c>
      <c r="E16" s="17">
        <v>-1.0570049E-2</v>
      </c>
      <c r="F16" s="17">
        <v>2.2647379999999998E-2</v>
      </c>
      <c r="G16" s="17">
        <v>2.7185678000000001E-3</v>
      </c>
      <c r="H16" s="17">
        <v>6.2336682999999997E-2</v>
      </c>
      <c r="I16" s="17">
        <v>2.6422500000000002E-2</v>
      </c>
      <c r="J16" s="17">
        <v>4.7130704000000002E-2</v>
      </c>
      <c r="K16" s="17" t="e">
        <v>#N/A</v>
      </c>
      <c r="L16" s="17">
        <v>2.9647469999999999E-2</v>
      </c>
      <c r="M16" s="17">
        <v>1.6722440999999998E-2</v>
      </c>
      <c r="N16" s="17">
        <v>5.2668569999999998E-2</v>
      </c>
      <c r="O16" s="17">
        <v>2.9147625E-2</v>
      </c>
      <c r="P16" s="17"/>
      <c r="Q16" s="17"/>
      <c r="R16" s="17"/>
      <c r="S16" s="17"/>
      <c r="T16" s="17"/>
      <c r="U16" s="17"/>
      <c r="V16" s="17"/>
    </row>
    <row r="17" spans="1:22" x14ac:dyDescent="0.3">
      <c r="A17" s="2">
        <v>42137</v>
      </c>
      <c r="B17" s="17">
        <v>-3.2073855000000003E-3</v>
      </c>
      <c r="C17" s="17">
        <v>4.4479369999999999E-3</v>
      </c>
      <c r="D17" s="17">
        <v>1.2246013E-2</v>
      </c>
      <c r="E17" s="17">
        <v>-6.0282349999999998E-2</v>
      </c>
      <c r="F17" s="17">
        <v>4.8381090000000002E-3</v>
      </c>
      <c r="G17" s="17">
        <v>1.1748791000000001E-2</v>
      </c>
      <c r="H17" s="17">
        <v>0.10679603</v>
      </c>
      <c r="I17" s="17">
        <v>-8.2223179999999993E-2</v>
      </c>
      <c r="J17" s="17">
        <v>3.4526109999999999E-2</v>
      </c>
      <c r="K17" s="17" t="e">
        <v>#N/A</v>
      </c>
      <c r="L17" s="17">
        <v>1.2451291E-2</v>
      </c>
      <c r="M17" s="17">
        <v>1.7344594000000001E-2</v>
      </c>
      <c r="N17" s="17">
        <v>4.336226E-2</v>
      </c>
      <c r="O17" s="17">
        <v>1.6510128999999998E-2</v>
      </c>
      <c r="P17" s="17"/>
      <c r="Q17" s="17"/>
      <c r="R17" s="17"/>
      <c r="S17" s="17"/>
      <c r="T17" s="17"/>
      <c r="U17" s="17"/>
      <c r="V17" s="17"/>
    </row>
    <row r="18" spans="1:22" x14ac:dyDescent="0.3">
      <c r="A18" s="2">
        <v>42167</v>
      </c>
      <c r="B18" s="17">
        <v>-4.50471E-2</v>
      </c>
      <c r="C18" s="17">
        <v>-4.7683715999999996E-5</v>
      </c>
      <c r="D18" s="17">
        <v>-2.8485596000000002E-2</v>
      </c>
      <c r="E18" s="17">
        <v>1.0556220999999999E-2</v>
      </c>
      <c r="F18" s="17">
        <v>6.9444179999999999E-3</v>
      </c>
      <c r="G18" s="17">
        <v>-1.8311739E-2</v>
      </c>
      <c r="H18" s="17">
        <v>-2.2540033000000001E-2</v>
      </c>
      <c r="I18" s="17">
        <v>-5.6577325000000001E-3</v>
      </c>
      <c r="J18" s="17">
        <v>-1.8772781000000002E-2</v>
      </c>
      <c r="K18" s="17" t="e">
        <v>#N/A</v>
      </c>
      <c r="L18" s="17">
        <v>-3.8431883000000001E-3</v>
      </c>
      <c r="M18" s="17">
        <v>1.5873075E-2</v>
      </c>
      <c r="N18" s="17">
        <v>-5.7544709999999997E-3</v>
      </c>
      <c r="O18" s="17">
        <v>-9.6395609999999996E-3</v>
      </c>
      <c r="P18" s="17"/>
      <c r="Q18" s="17"/>
      <c r="R18" s="17"/>
      <c r="S18" s="17"/>
      <c r="T18" s="17"/>
      <c r="U18" s="17"/>
      <c r="V18" s="17"/>
    </row>
    <row r="19" spans="1:22" x14ac:dyDescent="0.3">
      <c r="A19" s="2">
        <v>42198</v>
      </c>
      <c r="B19" s="17">
        <v>-2.8781831000000001E-2</v>
      </c>
      <c r="C19" s="17">
        <v>3.7379265000000001E-3</v>
      </c>
      <c r="D19" s="17">
        <v>-1.9782782000000002E-2</v>
      </c>
      <c r="E19" s="17">
        <v>1.8481373999999998E-2</v>
      </c>
      <c r="F19" s="17">
        <v>9.5940829999999998E-3</v>
      </c>
      <c r="G19" s="17">
        <v>5.4595113000000001E-2</v>
      </c>
      <c r="H19" s="17">
        <v>-0.11974716000000001</v>
      </c>
      <c r="I19" s="17">
        <v>-1.6970514999999999E-2</v>
      </c>
      <c r="J19" s="17">
        <v>-4.1696429999999998E-3</v>
      </c>
      <c r="K19" s="17" t="e">
        <v>#N/A</v>
      </c>
      <c r="L19" s="17">
        <v>-5.0362944999999999E-3</v>
      </c>
      <c r="M19" s="17">
        <v>-2.5920390000000001E-2</v>
      </c>
      <c r="N19" s="17">
        <v>-7.9045890000000001E-3</v>
      </c>
      <c r="O19" s="17">
        <v>-1.3921916000000001E-2</v>
      </c>
      <c r="P19" s="17"/>
      <c r="Q19" s="17"/>
      <c r="R19" s="17"/>
      <c r="S19" s="17"/>
      <c r="T19" s="17"/>
      <c r="U19" s="17"/>
      <c r="V19" s="17"/>
    </row>
    <row r="20" spans="1:22" x14ac:dyDescent="0.3">
      <c r="A20" s="2">
        <v>42229</v>
      </c>
      <c r="B20" s="17">
        <v>-8.1790920000000003E-2</v>
      </c>
      <c r="C20" s="17">
        <v>-5.2915215000000002E-3</v>
      </c>
      <c r="D20" s="17">
        <v>-3.7210524000000002E-2</v>
      </c>
      <c r="E20" s="17">
        <v>-7.1005819999999994E-3</v>
      </c>
      <c r="F20" s="17">
        <v>7.3032380000000001E-3</v>
      </c>
      <c r="G20" s="17">
        <v>-7.7221813E-2</v>
      </c>
      <c r="H20" s="17">
        <v>-0.17375886999999998</v>
      </c>
      <c r="I20" s="17">
        <v>7.1291209999999994E-2</v>
      </c>
      <c r="J20" s="17">
        <v>-1.0117411999999999E-2</v>
      </c>
      <c r="K20" s="17" t="e">
        <v>#N/A</v>
      </c>
      <c r="L20" s="17">
        <v>7.0148706000000005E-3</v>
      </c>
      <c r="M20" s="17">
        <v>-1.2300192999999999E-2</v>
      </c>
      <c r="N20" s="17">
        <v>3.1002640000000001E-2</v>
      </c>
      <c r="O20" s="17">
        <v>-2.5998949999999996E-3</v>
      </c>
      <c r="P20" s="17"/>
      <c r="Q20" s="17"/>
      <c r="R20" s="17"/>
      <c r="S20" s="17"/>
      <c r="T20" s="17"/>
      <c r="U20" s="17"/>
      <c r="V20" s="17"/>
    </row>
    <row r="21" spans="1:22" x14ac:dyDescent="0.3">
      <c r="A21" s="2">
        <v>42258</v>
      </c>
      <c r="B21" s="17">
        <v>-7.1914969999999995E-2</v>
      </c>
      <c r="C21" s="17">
        <v>-5.7126403000000006E-2</v>
      </c>
      <c r="D21" s="17">
        <v>-6.5506100000000001E-3</v>
      </c>
      <c r="E21" s="17">
        <v>-1.3508141E-2</v>
      </c>
      <c r="F21" s="17">
        <v>-4.3230000000000005E-2</v>
      </c>
      <c r="G21" s="17">
        <v>-1.8232762999999999E-2</v>
      </c>
      <c r="H21" s="17">
        <v>1.019311E-2</v>
      </c>
      <c r="I21" s="17">
        <v>-1.6323327999999998E-2</v>
      </c>
      <c r="J21" s="17">
        <v>-6.0777545000000002E-2</v>
      </c>
      <c r="K21" s="17" t="e">
        <v>#N/A</v>
      </c>
      <c r="L21" s="17">
        <v>-9.133129999999999E-2</v>
      </c>
      <c r="M21" s="17">
        <v>-3.2689870000000003E-2</v>
      </c>
      <c r="N21" s="17">
        <v>-4.7984657000000007E-2</v>
      </c>
      <c r="O21" s="17">
        <v>-6.5807400000000002E-2</v>
      </c>
      <c r="P21" s="17"/>
      <c r="Q21" s="17"/>
      <c r="R21" s="17"/>
      <c r="S21" s="17"/>
      <c r="T21" s="17"/>
      <c r="U21" s="17"/>
      <c r="V21" s="17"/>
    </row>
    <row r="22" spans="1:22" x14ac:dyDescent="0.3">
      <c r="A22" s="2">
        <v>42290</v>
      </c>
      <c r="B22" s="17">
        <v>4.6794176E-2</v>
      </c>
      <c r="C22" s="17">
        <v>2.3222565999999997E-2</v>
      </c>
      <c r="D22" s="17">
        <v>5.3692460000000004E-2</v>
      </c>
      <c r="E22" s="17">
        <v>-6.8465469999999997E-3</v>
      </c>
      <c r="F22" s="17">
        <v>7.5008870000000004E-3</v>
      </c>
      <c r="G22" s="17">
        <v>2.4285674E-2</v>
      </c>
      <c r="H22" s="17">
        <v>3.0047773999999999E-2</v>
      </c>
      <c r="I22" s="17">
        <v>1.8827318999999999E-2</v>
      </c>
      <c r="J22" s="17">
        <v>2.2426844000000001E-3</v>
      </c>
      <c r="K22" s="17" t="e">
        <v>#N/A</v>
      </c>
      <c r="L22" s="17">
        <v>2.1294713E-2</v>
      </c>
      <c r="M22" s="17">
        <v>-1.1586784999999999E-2</v>
      </c>
      <c r="N22" s="17">
        <v>1.0752678E-2</v>
      </c>
      <c r="O22" s="17">
        <v>1.8015026999999999E-2</v>
      </c>
      <c r="P22" s="17"/>
      <c r="Q22" s="17"/>
      <c r="R22" s="17"/>
      <c r="S22" s="17"/>
      <c r="T22" s="17"/>
      <c r="U22" s="17"/>
      <c r="V22" s="17"/>
    </row>
    <row r="23" spans="1:22" x14ac:dyDescent="0.3">
      <c r="A23" s="2">
        <v>42321</v>
      </c>
      <c r="B23" s="17">
        <v>-4.2069315999999995E-2</v>
      </c>
      <c r="C23" s="17">
        <v>1.1435628E-2</v>
      </c>
      <c r="D23" s="17">
        <v>-7.4199915000000005E-2</v>
      </c>
      <c r="E23" s="17">
        <v>4.4606686E-2</v>
      </c>
      <c r="F23" s="17">
        <v>3.5249709999999997E-2</v>
      </c>
      <c r="G23" s="17">
        <v>-5.1138996999999999E-2</v>
      </c>
      <c r="H23" s="17">
        <v>-0.12223268</v>
      </c>
      <c r="I23" s="17">
        <v>-2.8183102999999998E-2</v>
      </c>
      <c r="J23" s="17">
        <v>-2.4542212000000001E-2</v>
      </c>
      <c r="K23" s="17" t="e">
        <v>#N/A</v>
      </c>
      <c r="L23" s="17">
        <v>3.0025125E-2</v>
      </c>
      <c r="M23" s="17">
        <v>-5.0146522999999998E-2</v>
      </c>
      <c r="N23" s="17">
        <v>-6.7819119999999997E-2</v>
      </c>
      <c r="O23" s="17">
        <v>5.8424469999999997E-3</v>
      </c>
      <c r="P23" s="17"/>
      <c r="Q23" s="17"/>
      <c r="R23" s="17"/>
      <c r="S23" s="17"/>
      <c r="T23" s="17"/>
      <c r="U23" s="17"/>
      <c r="V23" s="17"/>
    </row>
    <row r="24" spans="1:22" x14ac:dyDescent="0.3">
      <c r="A24" s="2">
        <v>42349</v>
      </c>
      <c r="B24" s="17">
        <v>-6.3501539999999995E-2</v>
      </c>
      <c r="C24" s="17">
        <v>-3.2585859999999999E-3</v>
      </c>
      <c r="D24" s="17">
        <v>-4.3452978E-3</v>
      </c>
      <c r="E24" s="17">
        <v>-1.5916169000000001E-2</v>
      </c>
      <c r="F24" s="17">
        <v>8.6489915999999993E-3</v>
      </c>
      <c r="G24" s="17">
        <v>3.9196014000000001E-3</v>
      </c>
      <c r="H24" s="17">
        <v>-0.11036712</v>
      </c>
      <c r="I24" s="17">
        <v>3.6250590999999999E-2</v>
      </c>
      <c r="J24" s="17">
        <v>-1.5974522000000001E-2</v>
      </c>
      <c r="K24" s="17" t="e">
        <v>#N/A</v>
      </c>
      <c r="L24" s="17">
        <v>-2.7530372000000001E-2</v>
      </c>
      <c r="M24" s="17">
        <v>-3.0167936999999999E-2</v>
      </c>
      <c r="N24" s="17">
        <v>-2.0684779E-2</v>
      </c>
      <c r="O24" s="17">
        <v>-8.5105896E-3</v>
      </c>
      <c r="P24" s="17"/>
      <c r="Q24" s="17"/>
      <c r="R24" s="17"/>
      <c r="S24" s="17"/>
      <c r="T24" s="17"/>
      <c r="U24" s="17"/>
      <c r="V24" s="17"/>
    </row>
    <row r="25" spans="1:22" x14ac:dyDescent="0.3">
      <c r="A25" s="2">
        <v>42382</v>
      </c>
      <c r="B25" s="17">
        <v>-5.6271370000000001E-2</v>
      </c>
      <c r="C25" s="17">
        <v>-5.8976769999999998E-2</v>
      </c>
      <c r="D25" s="17">
        <v>1.5614390000000001E-2</v>
      </c>
      <c r="E25" s="17">
        <v>1.3017773999999999E-2</v>
      </c>
      <c r="F25" s="17">
        <v>-7.7375116000000008E-2</v>
      </c>
      <c r="G25" s="17">
        <v>-2.3914099000000001E-2</v>
      </c>
      <c r="H25" s="17">
        <v>-0.18029177000000002</v>
      </c>
      <c r="I25" s="17">
        <v>1.204443E-2</v>
      </c>
      <c r="J25" s="17">
        <v>-5.4998100000000001E-2</v>
      </c>
      <c r="K25" s="17" t="e">
        <v>#N/A</v>
      </c>
      <c r="L25" s="17">
        <v>-4.7235610000000004E-2</v>
      </c>
      <c r="M25" s="17">
        <v>-4.3336925999999998E-2</v>
      </c>
      <c r="N25" s="17">
        <v>-6.3456773999999994E-2</v>
      </c>
      <c r="O25" s="17">
        <v>-6.5449656999999994E-2</v>
      </c>
      <c r="P25" s="17"/>
      <c r="Q25" s="17"/>
      <c r="R25" s="17"/>
      <c r="S25" s="17"/>
      <c r="T25" s="17"/>
      <c r="U25" s="17"/>
      <c r="V25" s="17"/>
    </row>
    <row r="26" spans="1:22" x14ac:dyDescent="0.3">
      <c r="A26" s="2">
        <v>42412</v>
      </c>
      <c r="B26" s="17">
        <v>-3.3736230000000001E-4</v>
      </c>
      <c r="C26" s="17">
        <v>-1.1650681000000001E-2</v>
      </c>
      <c r="D26" s="17">
        <v>0.13025212</v>
      </c>
      <c r="E26" s="17">
        <v>-2.9595017000000001E-2</v>
      </c>
      <c r="F26" s="17">
        <v>-3.8076579999999999E-2</v>
      </c>
      <c r="G26" s="17">
        <v>-1.4999986E-2</v>
      </c>
      <c r="H26" s="17">
        <v>4.4058560000000005E-3</v>
      </c>
      <c r="I26" s="17">
        <v>5.4086210000000003E-2</v>
      </c>
      <c r="J26" s="17">
        <v>-3.7731766999999999E-2</v>
      </c>
      <c r="K26" s="17" t="e">
        <v>#N/A</v>
      </c>
      <c r="L26" s="17">
        <v>-8.362675E-2</v>
      </c>
      <c r="M26" s="17">
        <v>-2.2559165999999999E-2</v>
      </c>
      <c r="N26" s="17">
        <v>-0.13650549000000001</v>
      </c>
      <c r="O26" s="17">
        <v>-2.785164E-2</v>
      </c>
      <c r="P26" s="17"/>
      <c r="Q26" s="17"/>
      <c r="R26" s="17"/>
      <c r="S26" s="17"/>
      <c r="T26" s="17"/>
      <c r="U26" s="17"/>
      <c r="V26" s="17"/>
    </row>
    <row r="27" spans="1:22" x14ac:dyDescent="0.3">
      <c r="A27" s="2">
        <v>42440</v>
      </c>
      <c r="B27" s="17">
        <v>0.13432336</v>
      </c>
      <c r="C27" s="17">
        <v>8.6427690000000001E-2</v>
      </c>
      <c r="D27" s="17">
        <v>8.8713170000000001E-3</v>
      </c>
      <c r="E27" s="17">
        <v>1.2038946E-3</v>
      </c>
      <c r="F27" s="17">
        <v>8.6411000000000002E-2</v>
      </c>
      <c r="G27" s="17">
        <v>5.6852699999999999E-2</v>
      </c>
      <c r="H27" s="17">
        <v>0.18042504999999998</v>
      </c>
      <c r="I27" s="17">
        <v>-2.960962E-2</v>
      </c>
      <c r="J27" s="17">
        <v>8.9625839999999998E-2</v>
      </c>
      <c r="K27" s="17" t="e">
        <v>#N/A</v>
      </c>
      <c r="L27" s="17">
        <v>0.10758888000000001</v>
      </c>
      <c r="M27" s="17">
        <v>0.11350739000000001</v>
      </c>
      <c r="N27" s="17">
        <v>0.14272809</v>
      </c>
      <c r="O27" s="17">
        <v>0.10445845000000001</v>
      </c>
      <c r="P27" s="17"/>
      <c r="Q27" s="17"/>
      <c r="R27" s="17"/>
      <c r="S27" s="17"/>
      <c r="T27" s="17"/>
      <c r="U27" s="17"/>
      <c r="V27" s="17"/>
    </row>
    <row r="28" spans="1:22" x14ac:dyDescent="0.3">
      <c r="A28" s="2">
        <v>42473</v>
      </c>
      <c r="B28" s="17">
        <v>5.8068749999999995E-2</v>
      </c>
      <c r="C28" s="17">
        <v>3.1115531999999998E-2</v>
      </c>
      <c r="D28" s="17">
        <v>-5.3597689999999995E-3</v>
      </c>
      <c r="E28" s="17">
        <v>-1.6032100000000001E-2</v>
      </c>
      <c r="F28" s="17">
        <v>4.4588922999999996E-2</v>
      </c>
      <c r="G28" s="17">
        <v>-2.3535073E-2</v>
      </c>
      <c r="H28" s="17">
        <v>4.7833203999999997E-2</v>
      </c>
      <c r="I28" s="17">
        <v>3.3776999000000002E-2</v>
      </c>
      <c r="J28" s="17">
        <v>1.6857743000000001E-2</v>
      </c>
      <c r="K28" s="17" t="e">
        <v>#N/A</v>
      </c>
      <c r="L28" s="17">
        <v>2.6886462999999999E-2</v>
      </c>
      <c r="M28" s="17">
        <v>3.0580997000000002E-2</v>
      </c>
      <c r="N28" s="17">
        <v>-4.2687774000000005E-2</v>
      </c>
      <c r="O28" s="17">
        <v>2.6960015E-2</v>
      </c>
      <c r="P28" s="17"/>
      <c r="Q28" s="17"/>
      <c r="R28" s="17"/>
      <c r="S28" s="17"/>
      <c r="T28" s="17"/>
      <c r="U28" s="17"/>
      <c r="V28" s="17"/>
    </row>
    <row r="29" spans="1:22" x14ac:dyDescent="0.3">
      <c r="A29" s="2">
        <v>42503</v>
      </c>
      <c r="B29" s="17">
        <v>-7.4366149999999992E-2</v>
      </c>
      <c r="C29" s="17">
        <v>-1.5580714000000001E-2</v>
      </c>
      <c r="D29" s="17">
        <v>2.4753690000000002E-2</v>
      </c>
      <c r="E29" s="17">
        <v>-2.4439691999999999E-3</v>
      </c>
      <c r="F29" s="17">
        <v>-4.8778295999999999E-2</v>
      </c>
      <c r="G29" s="17">
        <v>4.6237109999999998E-2</v>
      </c>
      <c r="H29" s="17">
        <v>7.0409775000000008E-2</v>
      </c>
      <c r="I29" s="17">
        <v>8.8230370000000006E-3</v>
      </c>
      <c r="J29" s="17">
        <v>-2.1761238999999998E-2</v>
      </c>
      <c r="K29" s="17" t="e">
        <v>#N/A</v>
      </c>
      <c r="L29" s="17">
        <v>-2.6182473000000001E-2</v>
      </c>
      <c r="M29" s="17">
        <v>-5.8028339999999998E-2</v>
      </c>
      <c r="N29" s="17">
        <v>-2.0644068999999998E-2</v>
      </c>
      <c r="O29" s="17">
        <v>-2.0292341999999998E-2</v>
      </c>
      <c r="P29" s="17"/>
      <c r="Q29" s="17"/>
      <c r="R29" s="17"/>
      <c r="S29" s="17"/>
      <c r="T29" s="17"/>
      <c r="U29" s="17"/>
      <c r="V29" s="17"/>
    </row>
    <row r="30" spans="1:22" x14ac:dyDescent="0.3">
      <c r="A30" s="2">
        <v>42534</v>
      </c>
      <c r="B30" s="17">
        <v>2.7693272000000001E-2</v>
      </c>
      <c r="C30" s="17">
        <v>1.8017292000000001E-2</v>
      </c>
      <c r="D30" s="17">
        <v>7.6410769999999996E-3</v>
      </c>
      <c r="E30" s="17">
        <v>-2.0416379000000001E-3</v>
      </c>
      <c r="F30" s="17">
        <v>2.3980975000000002E-2</v>
      </c>
      <c r="G30" s="17">
        <v>6.6290500000000002E-2</v>
      </c>
      <c r="H30" s="17">
        <v>5.3064822999999997E-2</v>
      </c>
      <c r="I30" s="17">
        <v>2.5532484000000001E-2</v>
      </c>
      <c r="J30" s="17">
        <v>-1.5384554999999999E-2</v>
      </c>
      <c r="K30" s="17" t="e">
        <v>#N/A</v>
      </c>
      <c r="L30" s="17">
        <v>-7.8057646999999996E-3</v>
      </c>
      <c r="M30" s="17">
        <v>-1.4700711E-2</v>
      </c>
      <c r="N30" s="17">
        <v>-4.384482E-2</v>
      </c>
      <c r="O30" s="17">
        <v>1.0138988E-2</v>
      </c>
      <c r="P30" s="17"/>
      <c r="Q30" s="17"/>
      <c r="R30" s="17"/>
      <c r="S30" s="17"/>
      <c r="T30" s="17"/>
      <c r="U30" s="17"/>
      <c r="V30" s="17"/>
    </row>
    <row r="31" spans="1:22" x14ac:dyDescent="0.3">
      <c r="A31" s="2">
        <v>42564</v>
      </c>
      <c r="B31" s="17">
        <v>7.8805566000000007E-2</v>
      </c>
      <c r="C31" s="17">
        <v>3.6426662999999998E-2</v>
      </c>
      <c r="D31" s="17">
        <v>4.6314479999999998E-2</v>
      </c>
      <c r="E31" s="17">
        <v>1.9639969E-2</v>
      </c>
      <c r="F31" s="17">
        <v>3.2300233999999997E-2</v>
      </c>
      <c r="G31" s="17">
        <v>-4.4091699999999998E-2</v>
      </c>
      <c r="H31" s="17">
        <v>-9.4449039999999998E-2</v>
      </c>
      <c r="I31" s="17">
        <v>4.8213362999999995E-2</v>
      </c>
      <c r="J31" s="17">
        <v>1.295197E-2</v>
      </c>
      <c r="K31" s="17" t="e">
        <v>#N/A</v>
      </c>
      <c r="L31" s="17">
        <v>4.8463940000000004E-2</v>
      </c>
      <c r="M31" s="17">
        <v>1.9648314E-2</v>
      </c>
      <c r="N31" s="17">
        <v>-6.8797470000000003E-3</v>
      </c>
      <c r="O31" s="17">
        <v>3.2459855000000003E-2</v>
      </c>
      <c r="P31" s="17"/>
      <c r="Q31" s="17"/>
      <c r="R31" s="17"/>
      <c r="S31" s="17"/>
      <c r="T31" s="17"/>
      <c r="U31" s="17"/>
      <c r="V31" s="17"/>
    </row>
    <row r="32" spans="1:22" x14ac:dyDescent="0.3">
      <c r="A32" s="2">
        <v>42594</v>
      </c>
      <c r="B32" s="17">
        <v>5.4987670000000002E-2</v>
      </c>
      <c r="C32" s="17">
        <v>1.6471267000000001E-2</v>
      </c>
      <c r="D32" s="17">
        <v>-7.1696043000000001E-3</v>
      </c>
      <c r="E32" s="17">
        <v>-6.8218109999999997E-3</v>
      </c>
      <c r="F32" s="17">
        <v>5.3767322999999999E-2</v>
      </c>
      <c r="G32" s="17">
        <v>-4.5202913000000004E-2</v>
      </c>
      <c r="H32" s="17">
        <v>-2.4682461999999999E-2</v>
      </c>
      <c r="I32" s="17">
        <v>-9.2571974000000001E-3</v>
      </c>
      <c r="J32" s="17">
        <v>4.0833592000000002E-2</v>
      </c>
      <c r="K32" s="17" t="e">
        <v>#N/A</v>
      </c>
      <c r="L32" s="17">
        <v>3.6134480999999996E-2</v>
      </c>
      <c r="M32" s="17">
        <v>4.5997740000000002E-2</v>
      </c>
      <c r="N32" s="17">
        <v>3.0136942999999999E-2</v>
      </c>
      <c r="O32" s="17">
        <v>2.4873495000000002E-2</v>
      </c>
      <c r="P32" s="17"/>
      <c r="Q32" s="17"/>
      <c r="R32" s="17"/>
      <c r="S32" s="17"/>
      <c r="T32" s="17"/>
      <c r="U32" s="17"/>
      <c r="V32" s="17"/>
    </row>
    <row r="33" spans="1:22" x14ac:dyDescent="0.3">
      <c r="A33" s="2">
        <v>42626</v>
      </c>
      <c r="B33" s="17">
        <v>-3.6406516999999999E-2</v>
      </c>
      <c r="C33" s="17">
        <v>-2.3940383999999999E-2</v>
      </c>
      <c r="D33" s="17">
        <v>-1.2951374E-2</v>
      </c>
      <c r="E33" s="17">
        <v>-2.0201802E-3</v>
      </c>
      <c r="F33" s="17">
        <v>-1.6296923000000001E-2</v>
      </c>
      <c r="G33" s="17">
        <v>-2.9468656000000003E-2</v>
      </c>
      <c r="H33" s="17">
        <v>-1.0120212999999999E-2</v>
      </c>
      <c r="I33" s="17">
        <v>-4.1306552999999996E-2</v>
      </c>
      <c r="J33" s="17">
        <v>-1.2770712E-2</v>
      </c>
      <c r="K33" s="17" t="e">
        <v>#N/A</v>
      </c>
      <c r="L33" s="17">
        <v>-9.7323656000000008E-3</v>
      </c>
      <c r="M33" s="17">
        <v>-1.0387778E-2</v>
      </c>
      <c r="N33" s="17">
        <v>-1.4184356E-2</v>
      </c>
      <c r="O33" s="17">
        <v>-2.5092601999999999E-2</v>
      </c>
      <c r="P33" s="17"/>
      <c r="Q33" s="17"/>
      <c r="R33" s="17"/>
      <c r="S33" s="17"/>
      <c r="T33" s="17"/>
      <c r="U33" s="17"/>
      <c r="V33" s="17"/>
    </row>
    <row r="34" spans="1:22" x14ac:dyDescent="0.3">
      <c r="A34" s="2">
        <v>42656</v>
      </c>
      <c r="B34" s="17">
        <v>2.4215817000000001E-2</v>
      </c>
      <c r="C34" s="17">
        <v>4.0344000000000005E-3</v>
      </c>
      <c r="D34" s="17">
        <v>-4.5487109999999997E-2</v>
      </c>
      <c r="E34" s="17">
        <v>2.1457434000000001E-2</v>
      </c>
      <c r="F34" s="17">
        <v>1.7374872999999999E-2</v>
      </c>
      <c r="G34" s="17">
        <v>-4.9775839999999997E-4</v>
      </c>
      <c r="H34" s="17">
        <v>9.6736909999999995E-2</v>
      </c>
      <c r="I34" s="17">
        <v>-2.6034117000000002E-3</v>
      </c>
      <c r="J34" s="17">
        <v>-1.9354819999999998E-2</v>
      </c>
      <c r="K34" s="17" t="e">
        <v>#N/A</v>
      </c>
      <c r="L34" s="17">
        <v>1.0647058000000001E-2</v>
      </c>
      <c r="M34" s="17">
        <v>-1.6445041000000001E-2</v>
      </c>
      <c r="N34" s="17">
        <v>-3.0575573000000002E-2</v>
      </c>
      <c r="O34" s="17">
        <v>1.4064312000000002E-3</v>
      </c>
      <c r="P34" s="17"/>
      <c r="Q34" s="17"/>
      <c r="R34" s="17"/>
      <c r="S34" s="17"/>
      <c r="T34" s="17"/>
      <c r="U34" s="17"/>
      <c r="V34" s="17"/>
    </row>
    <row r="35" spans="1:22" x14ac:dyDescent="0.3">
      <c r="A35" s="2">
        <v>42685</v>
      </c>
      <c r="B35" s="17">
        <v>-5.2928566999999996E-2</v>
      </c>
      <c r="C35" s="17">
        <v>1.6008615E-2</v>
      </c>
      <c r="D35" s="17">
        <v>-2.4410546000000002E-2</v>
      </c>
      <c r="E35" s="17">
        <v>1.4268756E-2</v>
      </c>
      <c r="F35" s="17">
        <v>-1.0256410000000001E-2</v>
      </c>
      <c r="G35" s="17">
        <v>4.9800872999999999E-3</v>
      </c>
      <c r="H35" s="17">
        <v>-0.13679337499999999</v>
      </c>
      <c r="I35" s="17">
        <v>-8.382474999999999E-2</v>
      </c>
      <c r="J35" s="17">
        <v>-1.4431237999999999E-2</v>
      </c>
      <c r="K35" s="17" t="e">
        <v>#N/A</v>
      </c>
      <c r="L35" s="17">
        <v>2.8363465999999998E-3</v>
      </c>
      <c r="M35" s="17">
        <v>-2.1344721000000001E-2</v>
      </c>
      <c r="N35" s="17">
        <v>2.4582624000000001E-2</v>
      </c>
      <c r="O35" s="17">
        <v>3.2303333000000003E-3</v>
      </c>
      <c r="P35" s="17"/>
      <c r="Q35" s="17"/>
      <c r="R35" s="17"/>
      <c r="S35" s="17"/>
      <c r="T35" s="17"/>
      <c r="U35" s="17"/>
      <c r="V35" s="17"/>
    </row>
    <row r="36" spans="1:22" x14ac:dyDescent="0.3">
      <c r="A36" s="2">
        <v>42717</v>
      </c>
      <c r="B36" s="17">
        <v>4.3120622999999997E-2</v>
      </c>
      <c r="C36" s="17">
        <v>5.2398085999999996E-2</v>
      </c>
      <c r="D36" s="17">
        <v>-5.6789103E-2</v>
      </c>
      <c r="E36" s="17">
        <v>2.0711184000000001E-2</v>
      </c>
      <c r="F36" s="17">
        <v>4.0241720000000002E-2</v>
      </c>
      <c r="G36" s="17">
        <v>-2.9731990000000002E-3</v>
      </c>
      <c r="H36" s="17">
        <v>0.20880460000000001</v>
      </c>
      <c r="I36" s="17">
        <v>-2.9978155999999999E-2</v>
      </c>
      <c r="J36" s="17">
        <v>3.7252306999999998E-2</v>
      </c>
      <c r="K36" s="17" t="e">
        <v>#N/A</v>
      </c>
      <c r="L36" s="17">
        <v>3.7373662000000002E-2</v>
      </c>
      <c r="M36" s="17">
        <v>5.5979609999999999E-2</v>
      </c>
      <c r="N36" s="17">
        <v>9.2802159999999995E-2</v>
      </c>
      <c r="O36" s="17">
        <v>4.7039030000000003E-2</v>
      </c>
      <c r="P36" s="17"/>
      <c r="Q36" s="17"/>
      <c r="R36" s="17"/>
      <c r="S36" s="17"/>
      <c r="T36" s="17"/>
      <c r="U36" s="17"/>
      <c r="V36" s="17"/>
    </row>
    <row r="37" spans="1:22" x14ac:dyDescent="0.3">
      <c r="A37" s="2">
        <v>42748</v>
      </c>
      <c r="B37" s="17">
        <v>1.7659663999999999E-2</v>
      </c>
      <c r="C37" s="17">
        <v>2.7695894E-3</v>
      </c>
      <c r="D37" s="17">
        <v>3.4042597000000001E-2</v>
      </c>
      <c r="E37" s="17">
        <v>1.5313625E-3</v>
      </c>
      <c r="F37" s="17">
        <v>2.5448322000000002E-2</v>
      </c>
      <c r="G37" s="17">
        <v>3.0318022E-2</v>
      </c>
      <c r="H37" s="17">
        <v>-2.7289867000000002E-2</v>
      </c>
      <c r="I37" s="17">
        <v>2.9522061000000002E-2</v>
      </c>
      <c r="J37" s="17">
        <v>2.2710562E-2</v>
      </c>
      <c r="K37" s="17" t="e">
        <v>#N/A</v>
      </c>
      <c r="L37" s="17">
        <v>2.6654004999999998E-3</v>
      </c>
      <c r="M37" s="17">
        <v>1.6352295999999999E-2</v>
      </c>
      <c r="N37" s="17">
        <v>2.6368140000000002E-2</v>
      </c>
      <c r="O37" s="17">
        <v>1.2063741999999999E-2</v>
      </c>
      <c r="P37" s="17"/>
      <c r="Q37" s="17"/>
      <c r="R37" s="17"/>
      <c r="S37" s="17"/>
      <c r="T37" s="17"/>
      <c r="U37" s="17"/>
      <c r="V37" s="17"/>
    </row>
    <row r="38" spans="1:22" x14ac:dyDescent="0.3">
      <c r="A38" s="2">
        <v>42779</v>
      </c>
      <c r="B38" s="17">
        <v>4.8872112999999995E-2</v>
      </c>
      <c r="C38" s="17">
        <v>2.5192738000000003E-2</v>
      </c>
      <c r="D38" s="17">
        <v>2.267754E-2</v>
      </c>
      <c r="E38" s="17">
        <v>-2.6758313000000001E-3</v>
      </c>
      <c r="F38" s="17">
        <v>4.0110469999999995E-2</v>
      </c>
      <c r="G38" s="17">
        <v>-1.2542248000000001E-2</v>
      </c>
      <c r="H38" s="17">
        <v>-2.2458553000000003E-2</v>
      </c>
      <c r="I38" s="17">
        <v>-5.5069923000000002E-3</v>
      </c>
      <c r="J38" s="17">
        <v>1.2645363999999999E-2</v>
      </c>
      <c r="K38" s="17" t="e">
        <v>#N/A</v>
      </c>
      <c r="L38" s="17">
        <v>1.3558745000000001E-2</v>
      </c>
      <c r="M38" s="17">
        <v>3.7262917E-2</v>
      </c>
      <c r="N38" s="17">
        <v>-2.9735208000000003E-2</v>
      </c>
      <c r="O38" s="17">
        <v>1.8948435999999999E-2</v>
      </c>
      <c r="P38" s="17"/>
      <c r="Q38" s="17"/>
      <c r="R38" s="17"/>
      <c r="S38" s="17"/>
      <c r="T38" s="17"/>
      <c r="U38" s="17"/>
      <c r="V38" s="17"/>
    </row>
    <row r="39" spans="1:22" x14ac:dyDescent="0.3">
      <c r="A39" s="2">
        <v>42807</v>
      </c>
      <c r="B39" s="17">
        <v>2.0481347999999999E-3</v>
      </c>
      <c r="C39" s="17">
        <v>2.1652222000000002E-2</v>
      </c>
      <c r="D39" s="17">
        <v>-1.7637013999999999E-2</v>
      </c>
      <c r="E39" s="17">
        <v>3.8329363E-3</v>
      </c>
      <c r="F39" s="17">
        <v>2.7400373999999998E-2</v>
      </c>
      <c r="G39" s="17">
        <v>-2.0517826000000003E-2</v>
      </c>
      <c r="H39" s="17">
        <v>-8.5852570000000003E-2</v>
      </c>
      <c r="I39" s="17">
        <v>-3.0253470000000001E-2</v>
      </c>
      <c r="J39" s="17">
        <v>2.1147966000000001E-2</v>
      </c>
      <c r="K39" s="17" t="e">
        <v>#N/A</v>
      </c>
      <c r="L39" s="17">
        <v>3.8766860000000002E-4</v>
      </c>
      <c r="M39" s="17">
        <v>1.8288732000000002E-2</v>
      </c>
      <c r="N39" s="17">
        <v>4.0302277000000004E-2</v>
      </c>
      <c r="O39" s="17">
        <v>1.8465161000000001E-2</v>
      </c>
      <c r="P39" s="17"/>
      <c r="Q39" s="17"/>
      <c r="R39" s="17"/>
      <c r="S39" s="17"/>
      <c r="T39" s="17"/>
      <c r="U39" s="17"/>
      <c r="V39" s="17"/>
    </row>
    <row r="40" spans="1:22" x14ac:dyDescent="0.3">
      <c r="A40" s="2">
        <v>42838</v>
      </c>
      <c r="B40" s="17">
        <v>1.7384052000000001E-2</v>
      </c>
      <c r="C40" s="17">
        <v>-1.8025219999999998E-2</v>
      </c>
      <c r="D40" s="17">
        <v>6.8502665000000004E-2</v>
      </c>
      <c r="E40" s="17">
        <v>-8.0183744000000001E-3</v>
      </c>
      <c r="F40" s="17">
        <v>-7.1312189999999994E-3</v>
      </c>
      <c r="G40" s="17">
        <v>-1.7456293000000001E-2</v>
      </c>
      <c r="H40" s="17">
        <v>7.9034449999999992E-2</v>
      </c>
      <c r="I40" s="17">
        <v>6.1954500000000003E-2</v>
      </c>
      <c r="J40" s="17">
        <v>1.4541745E-2</v>
      </c>
      <c r="K40" s="17" t="e">
        <v>#N/A</v>
      </c>
      <c r="L40" s="17">
        <v>-1.9186019999999998E-2</v>
      </c>
      <c r="M40" s="17">
        <v>-6.4146519999999999E-4</v>
      </c>
      <c r="N40" s="17">
        <v>-1.21068954E-3</v>
      </c>
      <c r="O40" s="17">
        <v>-1.0158062000000001E-2</v>
      </c>
      <c r="P40" s="17"/>
      <c r="Q40" s="17"/>
      <c r="R40" s="17"/>
      <c r="S40" s="17"/>
      <c r="T40" s="17"/>
      <c r="U40" s="17"/>
      <c r="V40" s="17"/>
    </row>
    <row r="41" spans="1:22" x14ac:dyDescent="0.3">
      <c r="A41" s="2">
        <v>42867</v>
      </c>
      <c r="B41" s="17">
        <v>2.9685497000000002E-2</v>
      </c>
      <c r="C41" s="17">
        <v>2.7826786000000003E-2</v>
      </c>
      <c r="D41" s="17">
        <v>-4.7063590000000002E-2</v>
      </c>
      <c r="E41" s="17">
        <v>-1.4241695E-2</v>
      </c>
      <c r="F41" s="17">
        <v>6.2883495999999997E-2</v>
      </c>
      <c r="G41" s="17">
        <v>2.4365425E-2</v>
      </c>
      <c r="H41" s="17">
        <v>-0.10756975000000001</v>
      </c>
      <c r="I41" s="17">
        <v>-1.4777184E-2</v>
      </c>
      <c r="J41" s="17">
        <v>8.1313499999999997E-2</v>
      </c>
      <c r="K41" s="17" t="e">
        <v>#N/A</v>
      </c>
      <c r="L41" s="17">
        <v>3.4775733999999996E-2</v>
      </c>
      <c r="M41" s="17">
        <v>8.4723950000000006E-2</v>
      </c>
      <c r="N41" s="17">
        <v>0.12727272000000001</v>
      </c>
      <c r="O41" s="17">
        <v>3.7022590000000001E-2</v>
      </c>
      <c r="P41" s="17"/>
      <c r="Q41" s="17"/>
      <c r="R41" s="17"/>
      <c r="S41" s="17"/>
      <c r="T41" s="17"/>
      <c r="U41" s="17"/>
      <c r="V41" s="17"/>
    </row>
    <row r="42" spans="1:22" x14ac:dyDescent="0.3">
      <c r="A42" s="2">
        <v>42899</v>
      </c>
      <c r="B42" s="17">
        <v>1.9545554999999999E-3</v>
      </c>
      <c r="C42" s="17">
        <v>2.3307443000000001E-2</v>
      </c>
      <c r="D42" s="17">
        <v>3.1242013000000003E-2</v>
      </c>
      <c r="E42" s="17">
        <v>-2.0695089999999999E-2</v>
      </c>
      <c r="F42" s="17">
        <v>1.2698411999999999E-2</v>
      </c>
      <c r="G42" s="17">
        <v>-1.7343938E-2</v>
      </c>
      <c r="H42" s="17">
        <v>-3.3997297000000003E-2</v>
      </c>
      <c r="I42" s="17">
        <v>2.6801824999999998E-2</v>
      </c>
      <c r="J42" s="17">
        <v>1.4822841E-2</v>
      </c>
      <c r="K42" s="17" t="e">
        <v>#N/A</v>
      </c>
      <c r="L42" s="17">
        <v>4.1817903999999996E-2</v>
      </c>
      <c r="M42" s="17">
        <v>1.6272187E-2</v>
      </c>
      <c r="N42" s="17">
        <v>1.5412211E-2</v>
      </c>
      <c r="O42" s="17">
        <v>2.3048877999999998E-2</v>
      </c>
      <c r="P42" s="17"/>
      <c r="Q42" s="17"/>
      <c r="R42" s="17"/>
      <c r="S42" s="17"/>
      <c r="T42" s="17"/>
      <c r="U42" s="17"/>
      <c r="V42" s="17"/>
    </row>
    <row r="43" spans="1:22" x14ac:dyDescent="0.3">
      <c r="A43" s="2">
        <v>42929</v>
      </c>
      <c r="B43" s="17">
        <v>3.2757640000000005E-2</v>
      </c>
      <c r="C43" s="17">
        <v>4.3418406999999994E-3</v>
      </c>
      <c r="D43" s="17">
        <v>-3.8678645999999997E-2</v>
      </c>
      <c r="E43" s="17">
        <v>-1.2360454E-2</v>
      </c>
      <c r="F43" s="17">
        <v>7.3827505000000002E-3</v>
      </c>
      <c r="G43" s="17">
        <v>6.0514210000000004E-3</v>
      </c>
      <c r="H43" s="17">
        <v>-1.6708135999999998E-2</v>
      </c>
      <c r="I43" s="17">
        <v>-7.5976849999999999E-3</v>
      </c>
      <c r="J43" s="17">
        <v>1.0545135000000001E-2</v>
      </c>
      <c r="K43" s="17" t="e">
        <v>#N/A</v>
      </c>
      <c r="L43" s="17">
        <v>-1.3111293E-2</v>
      </c>
      <c r="M43" s="17">
        <v>4.2064310000000001E-2</v>
      </c>
      <c r="N43" s="17">
        <v>3.5092949999999998E-2</v>
      </c>
      <c r="O43" s="17">
        <v>5.1540136E-3</v>
      </c>
      <c r="P43" s="17"/>
      <c r="Q43" s="17"/>
      <c r="R43" s="17"/>
      <c r="S43" s="17"/>
      <c r="T43" s="17"/>
      <c r="U43" s="17"/>
      <c r="V43" s="17"/>
    </row>
    <row r="44" spans="1:22" x14ac:dyDescent="0.3">
      <c r="A44" s="2">
        <v>42958</v>
      </c>
      <c r="B44" s="17">
        <v>7.6026917000000006E-3</v>
      </c>
      <c r="C44" s="17">
        <v>-1.22737885E-3</v>
      </c>
      <c r="D44" s="17">
        <v>6.0179590000000005E-2</v>
      </c>
      <c r="E44" s="17">
        <v>-2.6645123999999999E-2</v>
      </c>
      <c r="F44" s="17">
        <v>7.7300069999999997E-3</v>
      </c>
      <c r="G44" s="17">
        <v>-3.7593960000000003E-2</v>
      </c>
      <c r="H44" s="17">
        <v>4.4830083999999999E-2</v>
      </c>
      <c r="I44" s="17">
        <v>2.859652E-2</v>
      </c>
      <c r="J44" s="17">
        <v>-8.9377164999999991E-4</v>
      </c>
      <c r="K44" s="17" t="e">
        <v>#N/A</v>
      </c>
      <c r="L44" s="17">
        <v>1.0654211E-2</v>
      </c>
      <c r="M44" s="17">
        <v>-3.4285724000000004E-2</v>
      </c>
      <c r="N44" s="17">
        <v>2.569449E-2</v>
      </c>
      <c r="O44" s="17">
        <v>-2.2153854E-3</v>
      </c>
      <c r="P44" s="17"/>
      <c r="Q44" s="17"/>
      <c r="R44" s="17"/>
      <c r="S44" s="17"/>
      <c r="T44" s="17"/>
      <c r="U44" s="17"/>
      <c r="V44" s="17"/>
    </row>
    <row r="45" spans="1:22" x14ac:dyDescent="0.3">
      <c r="A45" s="2">
        <v>42991</v>
      </c>
      <c r="B45" s="17">
        <v>5.3289294000000001E-2</v>
      </c>
      <c r="C45" s="17">
        <v>2.4782896000000002E-2</v>
      </c>
      <c r="D45" s="17">
        <v>2.2966027000000003E-2</v>
      </c>
      <c r="E45" s="17">
        <v>-4.9772263000000001E-3</v>
      </c>
      <c r="F45" s="17">
        <v>3.0401109999999999E-2</v>
      </c>
      <c r="G45" s="17">
        <v>-1.8229187000000001E-2</v>
      </c>
      <c r="H45" s="17">
        <v>2.5536417999999998E-2</v>
      </c>
      <c r="I45" s="17">
        <v>9.6249580000000001E-4</v>
      </c>
      <c r="J45" s="17">
        <v>3.3637524000000002E-2</v>
      </c>
      <c r="K45" s="17">
        <v>4.2137146E-2</v>
      </c>
      <c r="L45" s="17">
        <v>1.9974113000000002E-2</v>
      </c>
      <c r="M45" s="17">
        <v>3.8165689000000003E-2</v>
      </c>
      <c r="N45" s="17">
        <v>4.5362115000000001E-2</v>
      </c>
      <c r="O45" s="17">
        <v>2.8370619999999999E-2</v>
      </c>
      <c r="P45" s="17"/>
      <c r="Q45" s="17"/>
      <c r="R45" s="17"/>
      <c r="S45" s="17"/>
      <c r="T45" s="17"/>
      <c r="U45" s="17"/>
      <c r="V45" s="17"/>
    </row>
    <row r="46" spans="1:22" x14ac:dyDescent="0.3">
      <c r="A46" s="2">
        <v>43021</v>
      </c>
      <c r="B46" s="17">
        <v>2.3305296999999999E-2</v>
      </c>
      <c r="C46" s="17">
        <v>2.4156094000000003E-2</v>
      </c>
      <c r="D46" s="17">
        <v>-1.4250457000000001E-2</v>
      </c>
      <c r="E46" s="17">
        <v>7.9200269999999996E-3</v>
      </c>
      <c r="F46" s="17">
        <v>1.5336037E-2</v>
      </c>
      <c r="G46" s="17">
        <v>1.5384554999999999E-2</v>
      </c>
      <c r="H46" s="17">
        <v>3.2458305E-2</v>
      </c>
      <c r="I46" s="17">
        <v>-1.4603734E-3</v>
      </c>
      <c r="J46" s="17">
        <v>2.2749185999999998E-2</v>
      </c>
      <c r="K46" s="17">
        <v>2.8245330000000003E-2</v>
      </c>
      <c r="L46" s="17">
        <v>4.0435195000000007E-2</v>
      </c>
      <c r="M46" s="17">
        <v>2.6218294999999999E-2</v>
      </c>
      <c r="N46" s="17">
        <v>3.2383204E-3</v>
      </c>
      <c r="O46" s="17">
        <v>2.5068880000000002E-2</v>
      </c>
      <c r="P46" s="17"/>
      <c r="Q46" s="17"/>
      <c r="R46" s="17"/>
      <c r="S46" s="17"/>
      <c r="T46" s="17"/>
      <c r="U46" s="17"/>
      <c r="V46" s="17"/>
    </row>
    <row r="47" spans="1:22" x14ac:dyDescent="0.3">
      <c r="A47" s="2">
        <v>43052</v>
      </c>
      <c r="B47" s="17">
        <v>-1.5050888E-2</v>
      </c>
      <c r="C47" s="17">
        <v>1.3257504E-2</v>
      </c>
      <c r="D47" s="17">
        <v>-2.0271360000000002E-2</v>
      </c>
      <c r="E47" s="17">
        <v>1.571548E-2</v>
      </c>
      <c r="F47" s="17">
        <v>3.7279248000000001E-2</v>
      </c>
      <c r="G47" s="17">
        <v>7.8370569999999997E-3</v>
      </c>
      <c r="H47" s="17">
        <v>9.8692779999999994E-2</v>
      </c>
      <c r="I47" s="17">
        <v>-9.7556710000000005E-3</v>
      </c>
      <c r="J47" s="17">
        <v>-2.5148690000000001E-2</v>
      </c>
      <c r="K47" s="17">
        <v>-1.9002854999999999E-2</v>
      </c>
      <c r="L47" s="17">
        <v>2.5095820000000001E-2</v>
      </c>
      <c r="M47" s="17">
        <v>-3.5823285999999996E-2</v>
      </c>
      <c r="N47" s="17">
        <v>-1.2911558E-2</v>
      </c>
      <c r="O47" s="17">
        <v>3.8614272999999998E-3</v>
      </c>
      <c r="P47" s="17"/>
      <c r="Q47" s="17"/>
      <c r="R47" s="17"/>
      <c r="S47" s="17"/>
      <c r="T47" s="17"/>
      <c r="U47" s="17"/>
      <c r="V47" s="17"/>
    </row>
    <row r="48" spans="1:22" x14ac:dyDescent="0.3">
      <c r="A48" s="2">
        <v>43082</v>
      </c>
      <c r="B48" s="17">
        <v>2.0225047999999999E-3</v>
      </c>
      <c r="C48" s="17">
        <v>3.2593966000000002E-2</v>
      </c>
      <c r="D48" s="17">
        <v>-1.764077E-2</v>
      </c>
      <c r="E48" s="17">
        <v>-1.0179161999999999E-2</v>
      </c>
      <c r="F48" s="17">
        <v>1.3777971E-2</v>
      </c>
      <c r="G48" s="17">
        <v>-5.3914013000000004E-2</v>
      </c>
      <c r="H48" s="17">
        <v>-1.011306E-2</v>
      </c>
      <c r="I48" s="17">
        <v>2.5943040000000001E-2</v>
      </c>
      <c r="J48" s="17">
        <v>2.143979E-2</v>
      </c>
      <c r="K48" s="17">
        <v>6.137371E-3</v>
      </c>
      <c r="L48" s="17">
        <v>2.261138E-2</v>
      </c>
      <c r="M48" s="17">
        <v>-1.6417027000000001E-2</v>
      </c>
      <c r="N48" s="17">
        <v>1.013732E-2</v>
      </c>
      <c r="O48" s="17">
        <v>2.5760531000000003E-2</v>
      </c>
      <c r="P48" s="17"/>
      <c r="Q48" s="17"/>
      <c r="R48" s="17"/>
      <c r="S48" s="17"/>
      <c r="T48" s="17"/>
      <c r="U48" s="17"/>
      <c r="V48" s="17"/>
    </row>
    <row r="49" spans="1:22" x14ac:dyDescent="0.3">
      <c r="A49" s="2">
        <v>43112</v>
      </c>
      <c r="B49" s="17">
        <v>9.2131729999999995E-2</v>
      </c>
      <c r="C49" s="17">
        <v>4.7157287999999999E-2</v>
      </c>
      <c r="D49" s="17">
        <v>6.5368769999999993E-2</v>
      </c>
      <c r="E49" s="17">
        <v>-2.3759901999999999E-2</v>
      </c>
      <c r="F49" s="17">
        <v>5.6680319999999999E-2</v>
      </c>
      <c r="G49" s="17">
        <v>1.6986251000000001E-2</v>
      </c>
      <c r="H49" s="17">
        <v>0.13281261</v>
      </c>
      <c r="I49" s="17">
        <v>-2.0015835999999999E-2</v>
      </c>
      <c r="J49" s="17">
        <v>5.9728860000000002E-2</v>
      </c>
      <c r="K49" s="17">
        <v>7.3078035999999999E-2</v>
      </c>
      <c r="L49" s="17">
        <v>6.2098145E-2</v>
      </c>
      <c r="M49" s="17">
        <v>6.2358620000000003E-2</v>
      </c>
      <c r="N49" s="17">
        <v>7.6804996E-2</v>
      </c>
      <c r="O49" s="17">
        <v>5.1269292999999994E-2</v>
      </c>
      <c r="P49" s="17"/>
      <c r="Q49" s="17"/>
      <c r="R49" s="17"/>
      <c r="S49" s="17"/>
      <c r="T49" s="17"/>
      <c r="U49" s="17"/>
      <c r="V49" s="17"/>
    </row>
    <row r="50" spans="1:22" x14ac:dyDescent="0.3">
      <c r="A50" s="2">
        <v>43144</v>
      </c>
      <c r="B50" s="17">
        <v>-3.7961602000000004E-2</v>
      </c>
      <c r="C50" s="17">
        <v>-4.2890069999999995E-2</v>
      </c>
      <c r="D50" s="17">
        <v>-6.9313049999999996E-3</v>
      </c>
      <c r="E50" s="17">
        <v>-1.2652874000000001E-2</v>
      </c>
      <c r="F50" s="17">
        <v>-2.9181123000000003E-2</v>
      </c>
      <c r="G50" s="17">
        <v>2.0474195000000001E-2</v>
      </c>
      <c r="H50" s="17">
        <v>-7.9575595999999998E-2</v>
      </c>
      <c r="I50" s="17">
        <v>-4.2395234000000004E-2</v>
      </c>
      <c r="J50" s="17">
        <v>-5.3423999999999999E-2</v>
      </c>
      <c r="K50" s="17">
        <v>-2.1796525000000001E-2</v>
      </c>
      <c r="L50" s="17">
        <v>-6.2716665000000005E-2</v>
      </c>
      <c r="M50" s="17">
        <v>-5.874157E-2</v>
      </c>
      <c r="N50" s="17">
        <v>-4.0810227000000004E-2</v>
      </c>
      <c r="O50" s="17">
        <v>-4.7681449999999993E-2</v>
      </c>
      <c r="P50" s="17"/>
      <c r="Q50" s="17"/>
      <c r="R50" s="17"/>
      <c r="S50" s="17"/>
      <c r="T50" s="17"/>
      <c r="U50" s="17"/>
      <c r="V50" s="17"/>
    </row>
    <row r="51" spans="1:22" x14ac:dyDescent="0.3">
      <c r="A51" s="2">
        <v>43172</v>
      </c>
      <c r="B51" s="17">
        <v>3.216815E-2</v>
      </c>
      <c r="C51" s="17">
        <v>4.0300727000000001E-2</v>
      </c>
      <c r="D51" s="17">
        <v>-2.3794770000000001E-3</v>
      </c>
      <c r="E51" s="17">
        <v>2.1357536E-3</v>
      </c>
      <c r="F51" s="17">
        <v>7.5270890000000007E-2</v>
      </c>
      <c r="G51" s="17">
        <v>2.3759127000000001E-2</v>
      </c>
      <c r="H51" s="17">
        <v>5.1873206999999998E-2</v>
      </c>
      <c r="I51" s="17">
        <v>3.6871432999999996E-3</v>
      </c>
      <c r="J51" s="17">
        <v>9.7485780000000008E-3</v>
      </c>
      <c r="K51" s="17">
        <v>3.2837986999999999E-2</v>
      </c>
      <c r="L51" s="17">
        <v>1.8493651999999999E-2</v>
      </c>
      <c r="M51" s="17">
        <v>1.0056256999999999E-2</v>
      </c>
      <c r="N51" s="17">
        <v>2.2376299999999998E-2</v>
      </c>
      <c r="O51" s="17">
        <v>2.8185129999999999E-2</v>
      </c>
      <c r="P51" s="17"/>
      <c r="Q51" s="17"/>
      <c r="R51" s="17"/>
      <c r="S51" s="17"/>
      <c r="T51" s="17"/>
      <c r="U51" s="17"/>
      <c r="V51" s="17"/>
    </row>
    <row r="52" spans="1:22" x14ac:dyDescent="0.3">
      <c r="A52" s="2">
        <v>43203</v>
      </c>
      <c r="B52" s="17">
        <v>-3.1218886000000001E-2</v>
      </c>
      <c r="C52" s="17">
        <v>-3.797859E-2</v>
      </c>
      <c r="D52" s="17">
        <v>1.3277173E-2</v>
      </c>
      <c r="E52" s="17">
        <v>3.410101E-3</v>
      </c>
      <c r="F52" s="17">
        <v>-5.8662533999999995E-2</v>
      </c>
      <c r="G52" s="17">
        <v>-2.4754999999999999E-2</v>
      </c>
      <c r="H52" s="17">
        <v>9.3698619999999996E-2</v>
      </c>
      <c r="I52" s="17">
        <v>1.6514300999999999E-2</v>
      </c>
      <c r="J52" s="17">
        <v>1.3977527999999999E-2</v>
      </c>
      <c r="K52" s="17">
        <v>-3.5701573E-2</v>
      </c>
      <c r="L52" s="17">
        <v>-5.7775379999999996E-3</v>
      </c>
      <c r="M52" s="17">
        <v>-3.6017655999999995E-2</v>
      </c>
      <c r="N52" s="17">
        <v>3.0826091999999999E-2</v>
      </c>
      <c r="O52" s="17">
        <v>-2.161795E-2</v>
      </c>
      <c r="P52" s="17"/>
      <c r="Q52" s="17"/>
      <c r="R52" s="17"/>
      <c r="S52" s="17"/>
      <c r="T52" s="17"/>
      <c r="U52" s="17"/>
      <c r="V52" s="17"/>
    </row>
    <row r="53" spans="1:22" x14ac:dyDescent="0.3">
      <c r="A53" s="2">
        <v>43231</v>
      </c>
      <c r="B53" s="17">
        <v>-9.2393756000000004E-3</v>
      </c>
      <c r="C53" s="17">
        <v>2.9040217E-2</v>
      </c>
      <c r="D53" s="17">
        <v>-1.9223212999999999E-2</v>
      </c>
      <c r="E53" s="17">
        <v>3.3135056000000003E-2</v>
      </c>
      <c r="F53" s="17">
        <v>5.0133348000000001E-2</v>
      </c>
      <c r="G53" s="17">
        <v>2.1153688000000001E-3</v>
      </c>
      <c r="H53" s="17">
        <v>6.9639325000000002E-2</v>
      </c>
      <c r="I53" s="17">
        <v>-1.1630237000000002E-2</v>
      </c>
      <c r="J53" s="17">
        <v>1.1245369999999999E-2</v>
      </c>
      <c r="K53" s="17">
        <v>-1.6025126000000001E-2</v>
      </c>
      <c r="L53" s="17">
        <v>1.7433166999999999E-2</v>
      </c>
      <c r="M53" s="17">
        <v>3.9185881999999998E-2</v>
      </c>
      <c r="N53" s="17">
        <v>2.9904841999999999E-3</v>
      </c>
      <c r="O53" s="17">
        <v>2.3462415E-2</v>
      </c>
      <c r="P53" s="17"/>
      <c r="Q53" s="17"/>
      <c r="R53" s="17"/>
      <c r="S53" s="17"/>
      <c r="T53" s="17"/>
      <c r="U53" s="17"/>
      <c r="V53" s="17"/>
    </row>
    <row r="54" spans="1:22" x14ac:dyDescent="0.3">
      <c r="A54" s="2">
        <v>43264</v>
      </c>
      <c r="B54" s="17">
        <v>-3.1012774E-2</v>
      </c>
      <c r="C54" s="17">
        <v>1.8984795000000002E-2</v>
      </c>
      <c r="D54" s="17">
        <v>-1.4479995000000001E-2</v>
      </c>
      <c r="E54" s="17">
        <v>1.4391422000000001E-2</v>
      </c>
      <c r="F54" s="17">
        <v>3.7531017999999999E-2</v>
      </c>
      <c r="G54" s="17">
        <v>-1.4775753000000001E-2</v>
      </c>
      <c r="H54" s="17">
        <v>-5.3395867E-2</v>
      </c>
      <c r="I54" s="17">
        <v>2.7534962000000003E-3</v>
      </c>
      <c r="J54" s="17">
        <v>-1.9419074000000001E-2</v>
      </c>
      <c r="K54" s="17">
        <v>-3.8019418999999999E-2</v>
      </c>
      <c r="L54" s="17">
        <v>-9.4647410000000005E-3</v>
      </c>
      <c r="M54" s="17">
        <v>-1.9877255E-2</v>
      </c>
      <c r="N54" s="17">
        <v>-8.5271360000000004E-2</v>
      </c>
      <c r="O54" s="17">
        <v>6.5656899999999999E-3</v>
      </c>
      <c r="P54" s="17"/>
      <c r="Q54" s="17"/>
      <c r="R54" s="17"/>
      <c r="S54" s="17"/>
      <c r="T54" s="17"/>
      <c r="U54" s="17"/>
      <c r="V54" s="17"/>
    </row>
    <row r="55" spans="1:22" x14ac:dyDescent="0.3">
      <c r="A55" s="2">
        <v>43294</v>
      </c>
      <c r="B55" s="17">
        <v>-3.5931945E-2</v>
      </c>
      <c r="C55" s="17">
        <v>1.0130643999999999E-2</v>
      </c>
      <c r="D55" s="17">
        <v>-4.5295897000000002E-2</v>
      </c>
      <c r="E55" s="17">
        <v>1.3376593999999999E-2</v>
      </c>
      <c r="F55" s="17">
        <v>2.3746013999999999E-2</v>
      </c>
      <c r="G55" s="17">
        <v>-7.0165989999999998E-2</v>
      </c>
      <c r="H55" s="17">
        <v>3.2657145999999998E-2</v>
      </c>
      <c r="I55" s="17">
        <v>3.1170844999999999E-2</v>
      </c>
      <c r="J55" s="17">
        <v>-1.4971852000000001E-2</v>
      </c>
      <c r="K55" s="17">
        <v>-3.1690598E-2</v>
      </c>
      <c r="L55" s="17">
        <v>-4.4303416999999998E-2</v>
      </c>
      <c r="M55" s="17">
        <v>-3.8616299999999999E-2</v>
      </c>
      <c r="N55" s="17">
        <v>-1.8219112999999999E-2</v>
      </c>
      <c r="O55" s="17">
        <v>4.196167E-5</v>
      </c>
      <c r="P55" s="17"/>
      <c r="Q55" s="17"/>
      <c r="R55" s="17"/>
      <c r="S55" s="17"/>
      <c r="T55" s="17"/>
      <c r="U55" s="17"/>
      <c r="V55" s="17"/>
    </row>
    <row r="56" spans="1:22" x14ac:dyDescent="0.3">
      <c r="A56" s="2">
        <v>43325</v>
      </c>
      <c r="B56" s="17">
        <v>-2.6168227000000002E-2</v>
      </c>
      <c r="C56" s="17">
        <v>8.9774130000000001E-3</v>
      </c>
      <c r="D56" s="17">
        <v>-3.9537490000000002E-2</v>
      </c>
      <c r="E56" s="17">
        <v>1.9600033999999999E-2</v>
      </c>
      <c r="F56" s="17">
        <v>3.9530992999999995E-3</v>
      </c>
      <c r="G56" s="17">
        <v>-1.6129075999999999E-2</v>
      </c>
      <c r="H56" s="17">
        <v>-2.1562100000000001E-2</v>
      </c>
      <c r="I56" s="17">
        <v>-1.6613424000000002E-2</v>
      </c>
      <c r="J56" s="17">
        <v>-2.4527013E-2</v>
      </c>
      <c r="K56" s="17">
        <v>-1.8911779E-2</v>
      </c>
      <c r="L56" s="17">
        <v>-6.9493055E-3</v>
      </c>
      <c r="M56" s="17">
        <v>6.4935684E-3</v>
      </c>
      <c r="N56" s="17">
        <v>-5.836177E-2</v>
      </c>
      <c r="O56" s="17">
        <v>-2.6848316000000001E-3</v>
      </c>
      <c r="P56" s="17"/>
      <c r="Q56" s="17"/>
      <c r="R56" s="17"/>
      <c r="S56" s="17"/>
      <c r="T56" s="17"/>
      <c r="U56" s="17"/>
      <c r="V56" s="17"/>
    </row>
    <row r="57" spans="1:22" x14ac:dyDescent="0.3">
      <c r="A57" s="2">
        <v>43356</v>
      </c>
      <c r="B57" s="17">
        <v>-2.1353125999999997E-2</v>
      </c>
      <c r="C57" s="17">
        <v>3.0946373999999999E-2</v>
      </c>
      <c r="D57" s="17">
        <v>7.0822240000000007E-3</v>
      </c>
      <c r="E57" s="17">
        <v>-1.5692413000000002E-2</v>
      </c>
      <c r="F57" s="17">
        <v>2.3347378000000002E-2</v>
      </c>
      <c r="G57" s="17">
        <v>0</v>
      </c>
      <c r="H57" s="17">
        <v>4.4564130000000007E-2</v>
      </c>
      <c r="I57" s="17">
        <v>-8.468866299999999E-3</v>
      </c>
      <c r="J57" s="17">
        <v>7.1839094000000006E-3</v>
      </c>
      <c r="K57" s="17">
        <v>-3.0922890000000002E-4</v>
      </c>
      <c r="L57" s="17">
        <v>5.4234265999999996E-3</v>
      </c>
      <c r="M57" s="17">
        <v>2.870965E-2</v>
      </c>
      <c r="N57" s="17">
        <v>1.7035127000000001E-2</v>
      </c>
      <c r="O57" s="17">
        <v>2.1312356000000001E-2</v>
      </c>
      <c r="P57" s="17"/>
      <c r="Q57" s="17"/>
      <c r="R57" s="17"/>
      <c r="S57" s="17"/>
      <c r="T57" s="17"/>
      <c r="U57" s="17"/>
      <c r="V57" s="17"/>
    </row>
    <row r="58" spans="1:22" x14ac:dyDescent="0.3">
      <c r="A58" s="2">
        <v>43385</v>
      </c>
      <c r="B58" s="17">
        <v>-3.9796947999999999E-2</v>
      </c>
      <c r="C58" s="17">
        <v>-4.6865883000000004E-2</v>
      </c>
      <c r="D58" s="17">
        <v>1.2921929E-2</v>
      </c>
      <c r="E58" s="17">
        <v>9.5655920000000012E-3</v>
      </c>
      <c r="F58" s="17">
        <v>-5.3635780000000001E-2</v>
      </c>
      <c r="G58" s="17">
        <v>2.7517556999999998E-2</v>
      </c>
      <c r="H58" s="17">
        <v>4.2428492999999998E-2</v>
      </c>
      <c r="I58" s="17">
        <v>-3.6878050000000002E-2</v>
      </c>
      <c r="J58" s="17">
        <v>-5.5552664000000002E-2</v>
      </c>
      <c r="K58" s="17">
        <v>-2.8665780000000002E-2</v>
      </c>
      <c r="L58" s="17">
        <v>-1.2876331999999999E-2</v>
      </c>
      <c r="M58" s="17">
        <v>-4.9545289999999999E-2</v>
      </c>
      <c r="N58" s="17">
        <v>-7.9116163000000003E-2</v>
      </c>
      <c r="O58" s="17">
        <v>-4.6238422000000001E-2</v>
      </c>
      <c r="P58" s="17"/>
      <c r="Q58" s="17"/>
      <c r="R58" s="17"/>
      <c r="S58" s="17"/>
      <c r="T58" s="17"/>
      <c r="U58" s="17"/>
      <c r="V58" s="17"/>
    </row>
    <row r="59" spans="1:22" x14ac:dyDescent="0.3">
      <c r="A59" s="2">
        <v>43417</v>
      </c>
      <c r="B59" s="17">
        <v>-8.5227489999999996E-3</v>
      </c>
      <c r="C59" s="17">
        <v>-1.4096797000000001E-2</v>
      </c>
      <c r="D59" s="17">
        <v>-1.3277829000000001E-2</v>
      </c>
      <c r="E59" s="17">
        <v>2.3687363000000003E-2</v>
      </c>
      <c r="F59" s="17">
        <v>-4.5032144000000003E-2</v>
      </c>
      <c r="G59" s="17">
        <v>-1.8233597000000001E-2</v>
      </c>
      <c r="H59" s="17">
        <v>-0.21812456000000002</v>
      </c>
      <c r="I59" s="17">
        <v>-1.5186071000000002E-3</v>
      </c>
      <c r="J59" s="17">
        <v>-1.7247914999999999E-2</v>
      </c>
      <c r="K59" s="17">
        <v>-1.6772746999999998E-2</v>
      </c>
      <c r="L59" s="17">
        <v>-4.5478525000000006E-2</v>
      </c>
      <c r="M59" s="17">
        <v>-3.3322333999999995E-2</v>
      </c>
      <c r="N59" s="17">
        <v>-2.9798806000000001E-2</v>
      </c>
      <c r="O59" s="17">
        <v>-1.5200377000000001E-2</v>
      </c>
      <c r="P59" s="17"/>
      <c r="Q59" s="17"/>
      <c r="R59" s="17"/>
      <c r="S59" s="17"/>
      <c r="T59" s="17"/>
      <c r="U59" s="17"/>
      <c r="V59" s="17"/>
    </row>
    <row r="60" spans="1:22" x14ac:dyDescent="0.3">
      <c r="A60" s="2">
        <v>43447</v>
      </c>
      <c r="B60" s="17">
        <v>2.1099329999999999E-2</v>
      </c>
      <c r="C60" s="17">
        <v>-2.4590193999999999E-2</v>
      </c>
      <c r="D60" s="17">
        <v>3.3685207000000002E-2</v>
      </c>
      <c r="E60" s="17">
        <v>3.8564204999999997E-4</v>
      </c>
      <c r="F60" s="17">
        <v>-8.2296729999999998E-3</v>
      </c>
      <c r="G60" s="17">
        <v>1.0446906000000001E-2</v>
      </c>
      <c r="H60" s="17">
        <v>-4.2853060000000005E-2</v>
      </c>
      <c r="I60" s="17">
        <v>3.790462E-2</v>
      </c>
      <c r="J60" s="17">
        <v>-3.1822503000000002E-2</v>
      </c>
      <c r="K60" s="17">
        <v>8.4215399999999999E-3</v>
      </c>
      <c r="L60" s="17">
        <v>-1.0711014000000001E-2</v>
      </c>
      <c r="M60" s="17">
        <v>-1.9453943000000001E-2</v>
      </c>
      <c r="N60" s="17">
        <v>9.1743470000000011E-3</v>
      </c>
      <c r="O60" s="17">
        <v>-2.5140226000000002E-2</v>
      </c>
      <c r="P60" s="17"/>
      <c r="Q60" s="17"/>
      <c r="R60" s="17"/>
      <c r="S60" s="17"/>
      <c r="T60" s="17"/>
      <c r="U60" s="17"/>
      <c r="V60" s="17"/>
    </row>
    <row r="61" spans="1:22" x14ac:dyDescent="0.3">
      <c r="A61" s="2">
        <v>43476</v>
      </c>
      <c r="B61" s="17">
        <v>2.1841288E-2</v>
      </c>
      <c r="C61" s="17">
        <v>-1.8259525000000002E-2</v>
      </c>
      <c r="D61" s="17">
        <v>3.6331176999999999E-2</v>
      </c>
      <c r="E61" s="17">
        <v>-1.1803805999999998E-2</v>
      </c>
      <c r="F61" s="17">
        <v>-2.3858309000000001E-2</v>
      </c>
      <c r="G61" s="17">
        <v>7.4768070000000005E-4</v>
      </c>
      <c r="H61" s="17">
        <v>-1.8437445E-2</v>
      </c>
      <c r="I61" s="17">
        <v>2.6636958000000002E-2</v>
      </c>
      <c r="J61" s="17">
        <v>1.3233422999999999E-2</v>
      </c>
      <c r="K61" s="17">
        <v>3.7129880000000004E-2</v>
      </c>
      <c r="L61" s="17">
        <v>-5.9769154000000003E-3</v>
      </c>
      <c r="M61" s="17">
        <v>1.4528394E-2</v>
      </c>
      <c r="N61" s="17">
        <v>1.8382788000000001E-2</v>
      </c>
      <c r="O61" s="17">
        <v>-9.8336935000000007E-3</v>
      </c>
      <c r="P61" s="17"/>
      <c r="Q61" s="17"/>
      <c r="R61" s="17"/>
      <c r="S61" s="17"/>
      <c r="T61" s="17"/>
      <c r="U61" s="17"/>
      <c r="V61" s="17"/>
    </row>
    <row r="62" spans="1:22" x14ac:dyDescent="0.3">
      <c r="A62" s="2">
        <v>43509</v>
      </c>
      <c r="B62" s="17">
        <v>2.6897907000000002E-2</v>
      </c>
      <c r="C62" s="17">
        <v>6.1819315E-2</v>
      </c>
      <c r="D62" s="17">
        <v>1.2889981E-2</v>
      </c>
      <c r="E62" s="17">
        <v>2.0110369000000003E-2</v>
      </c>
      <c r="F62" s="17">
        <v>6.4222929999999998E-2</v>
      </c>
      <c r="G62" s="17">
        <v>-2.2041737999999998E-2</v>
      </c>
      <c r="H62" s="17">
        <v>4.3224809999999995E-2</v>
      </c>
      <c r="I62" s="17">
        <v>3.6811830000000002E-3</v>
      </c>
      <c r="J62" s="17">
        <v>2.5727391000000002E-2</v>
      </c>
      <c r="K62" s="17">
        <v>1.5154719000000001E-2</v>
      </c>
      <c r="L62" s="17">
        <v>1.8925071000000002E-2</v>
      </c>
      <c r="M62" s="17">
        <v>2.7463077999999998E-2</v>
      </c>
      <c r="N62" s="17">
        <v>2.3977995000000002E-2</v>
      </c>
      <c r="O62" s="17">
        <v>5.1608204999999997E-2</v>
      </c>
      <c r="P62" s="17"/>
      <c r="Q62" s="17"/>
      <c r="R62" s="17"/>
      <c r="S62" s="17"/>
      <c r="T62" s="17"/>
      <c r="U62" s="17"/>
      <c r="V62" s="17"/>
    </row>
    <row r="63" spans="1:22" x14ac:dyDescent="0.3">
      <c r="A63" s="2">
        <v>43537</v>
      </c>
      <c r="B63" s="17">
        <v>3.3537388000000001E-2</v>
      </c>
      <c r="C63" s="17">
        <v>2.3091792999999999E-2</v>
      </c>
      <c r="D63" s="17">
        <v>3.8095713E-3</v>
      </c>
      <c r="E63" s="17">
        <v>-4.2520760000000005E-3</v>
      </c>
      <c r="F63" s="17">
        <v>3.5085677999999995E-2</v>
      </c>
      <c r="G63" s="17">
        <v>-2.9062866999999999E-2</v>
      </c>
      <c r="H63" s="17">
        <v>6.2708380000000008E-2</v>
      </c>
      <c r="I63" s="17">
        <v>8.1754919999999995E-3</v>
      </c>
      <c r="J63" s="17">
        <v>3.9166449999999998E-2</v>
      </c>
      <c r="K63" s="17">
        <v>5.3493977000000003E-3</v>
      </c>
      <c r="L63" s="17">
        <v>7.9866649999999987E-3</v>
      </c>
      <c r="M63" s="17">
        <v>4.6775339999999997E-3</v>
      </c>
      <c r="N63" s="17">
        <v>4.4913649999999999E-2</v>
      </c>
      <c r="O63" s="17">
        <v>2.6165843000000001E-2</v>
      </c>
      <c r="P63" s="17"/>
      <c r="Q63" s="17"/>
      <c r="R63" s="17"/>
      <c r="S63" s="17"/>
      <c r="T63" s="17"/>
      <c r="U63" s="17"/>
      <c r="V63" s="17"/>
    </row>
    <row r="64" spans="1:22" x14ac:dyDescent="0.3">
      <c r="A64" s="2">
        <v>43567</v>
      </c>
      <c r="B64" s="17">
        <v>3.7779212E-2</v>
      </c>
      <c r="C64" s="17">
        <v>3.5870909999999999E-2</v>
      </c>
      <c r="D64" s="17">
        <v>-1.6230583E-2</v>
      </c>
      <c r="E64" s="17">
        <v>7.763982E-3</v>
      </c>
      <c r="F64" s="17">
        <v>5.1735163000000001E-2</v>
      </c>
      <c r="G64" s="17">
        <v>3.1154394000000002E-2</v>
      </c>
      <c r="H64" s="17">
        <v>6.7286253000000004E-2</v>
      </c>
      <c r="I64" s="17">
        <v>9.1470479999999996E-3</v>
      </c>
      <c r="J64" s="17">
        <v>3.4306884000000003E-2</v>
      </c>
      <c r="K64" s="17">
        <v>3.250289E-2</v>
      </c>
      <c r="L64" s="17">
        <v>1.4556884999999999E-2</v>
      </c>
      <c r="M64" s="17">
        <v>7.3495150000000009E-2</v>
      </c>
      <c r="N64" s="17">
        <v>4.4452667000000001E-2</v>
      </c>
      <c r="O64" s="17">
        <v>3.2071589999999997E-2</v>
      </c>
      <c r="P64" s="17"/>
      <c r="Q64" s="17"/>
      <c r="R64" s="17"/>
      <c r="S64" s="17"/>
      <c r="T64" s="17"/>
      <c r="U64" s="17"/>
      <c r="V64" s="17"/>
    </row>
    <row r="65" spans="1:22" x14ac:dyDescent="0.3">
      <c r="A65" s="2">
        <v>43598</v>
      </c>
      <c r="B65" s="17">
        <v>-7.8893240000000003E-2</v>
      </c>
      <c r="C65" s="17">
        <v>-3.2051324999999999E-2</v>
      </c>
      <c r="D65" s="17">
        <v>6.8948270000000001E-3</v>
      </c>
      <c r="E65" s="17">
        <v>7.3189735000000001E-3</v>
      </c>
      <c r="F65" s="17">
        <v>-3.9014159999999999E-2</v>
      </c>
      <c r="G65" s="17">
        <v>-7.8791437000000006E-2</v>
      </c>
      <c r="H65" s="17">
        <v>-4.2486610000000001E-2</v>
      </c>
      <c r="I65" s="17">
        <v>2.7086853999999997E-2</v>
      </c>
      <c r="J65" s="17">
        <v>-4.0440500000000004E-2</v>
      </c>
      <c r="K65" s="17">
        <v>-6.8192663000000001E-2</v>
      </c>
      <c r="L65" s="17">
        <v>-4.0138062999999995E-2</v>
      </c>
      <c r="M65" s="17">
        <v>-7.4659165999999999E-2</v>
      </c>
      <c r="N65" s="17">
        <v>-5.8037280000000004E-2</v>
      </c>
      <c r="O65" s="17">
        <v>-3.4478962000000002E-2</v>
      </c>
      <c r="P65" s="17"/>
      <c r="Q65" s="17"/>
      <c r="R65" s="17"/>
      <c r="S65" s="17"/>
      <c r="T65" s="17"/>
      <c r="U65" s="17"/>
      <c r="V65" s="17"/>
    </row>
    <row r="66" spans="1:22" x14ac:dyDescent="0.3">
      <c r="A66" s="2">
        <v>43629</v>
      </c>
      <c r="B66" s="17">
        <v>2.4577974999999998E-2</v>
      </c>
      <c r="C66" s="17">
        <v>3.1047463000000001E-2</v>
      </c>
      <c r="D66" s="17">
        <v>3.2037139999999999E-2</v>
      </c>
      <c r="E66" s="17">
        <v>7.6484679999999996E-4</v>
      </c>
      <c r="F66" s="17">
        <v>2.7102710000000002E-2</v>
      </c>
      <c r="G66" s="17">
        <v>7.8456640000000008E-2</v>
      </c>
      <c r="H66" s="17">
        <v>-0.13401783</v>
      </c>
      <c r="I66" s="17">
        <v>4.5071719999999996E-2</v>
      </c>
      <c r="J66" s="17">
        <v>2.8974533E-2</v>
      </c>
      <c r="K66" s="17">
        <v>4.1157484000000001E-2</v>
      </c>
      <c r="L66" s="17">
        <v>2.4408698000000003E-2</v>
      </c>
      <c r="M66" s="17">
        <v>3.0800103999999998E-2</v>
      </c>
      <c r="N66" s="17">
        <v>2.2404670000000002E-2</v>
      </c>
      <c r="O66" s="17">
        <v>2.9341578E-2</v>
      </c>
      <c r="P66" s="17"/>
      <c r="Q66" s="17"/>
      <c r="R66" s="17"/>
      <c r="S66" s="17"/>
      <c r="T66" s="17"/>
      <c r="U66" s="17"/>
      <c r="V66" s="17"/>
    </row>
    <row r="67" spans="1:22" x14ac:dyDescent="0.3">
      <c r="A67" s="2">
        <v>43658</v>
      </c>
      <c r="B67" s="17">
        <v>4.2732119999999998E-2</v>
      </c>
      <c r="C67" s="17">
        <v>4.3283462999999994E-2</v>
      </c>
      <c r="D67" s="17">
        <v>5.4739355999999996E-2</v>
      </c>
      <c r="E67" s="17">
        <v>7.6425075999999995E-4</v>
      </c>
      <c r="F67" s="17">
        <v>5.7449820000000006E-2</v>
      </c>
      <c r="G67" s="17">
        <v>7.1555376000000002E-3</v>
      </c>
      <c r="H67" s="17">
        <v>0.14197195000000001</v>
      </c>
      <c r="I67" s="17">
        <v>-4.9859880000000002E-3</v>
      </c>
      <c r="J67" s="17">
        <v>1.9151449000000001E-2</v>
      </c>
      <c r="K67" s="17">
        <v>3.3170700000000004E-2</v>
      </c>
      <c r="L67" s="17">
        <v>2.678585E-2</v>
      </c>
      <c r="M67" s="17">
        <v>3.3691406E-2</v>
      </c>
      <c r="N67" s="17">
        <v>8.0529930000000013E-2</v>
      </c>
      <c r="O67" s="17">
        <v>3.8499712999999998E-2</v>
      </c>
      <c r="P67" s="17"/>
      <c r="Q67" s="17"/>
      <c r="R67" s="17"/>
      <c r="S67" s="17"/>
      <c r="T67" s="17"/>
      <c r="U67" s="17"/>
      <c r="V67" s="17"/>
    </row>
    <row r="68" spans="1:22" x14ac:dyDescent="0.3">
      <c r="A68" s="2">
        <v>43690</v>
      </c>
      <c r="B68" s="17">
        <v>-6.153488E-2</v>
      </c>
      <c r="C68" s="17">
        <v>-2.6941657000000001E-2</v>
      </c>
      <c r="D68" s="17">
        <v>6.1783910000000004E-2</v>
      </c>
      <c r="E68" s="17">
        <v>1.4127493E-2</v>
      </c>
      <c r="F68" s="17">
        <v>-2.6559173999999998E-2</v>
      </c>
      <c r="G68" s="17">
        <v>-0.10124331</v>
      </c>
      <c r="H68" s="17">
        <v>-5.9316635E-2</v>
      </c>
      <c r="I68" s="17">
        <v>9.6283439999999998E-2</v>
      </c>
      <c r="J68" s="17">
        <v>-4.3105006000000001E-2</v>
      </c>
      <c r="K68" s="17">
        <v>-6.9013653000000008E-2</v>
      </c>
      <c r="L68" s="17">
        <v>-2.5957525000000002E-2</v>
      </c>
      <c r="M68" s="17">
        <v>-7.7821015999999993E-2</v>
      </c>
      <c r="N68" s="17">
        <v>-8.324593999999999E-2</v>
      </c>
      <c r="O68" s="17">
        <v>-3.0410886000000002E-2</v>
      </c>
      <c r="P68" s="17"/>
      <c r="Q68" s="17"/>
      <c r="R68" s="17"/>
      <c r="S68" s="17"/>
      <c r="T68" s="17"/>
      <c r="U68" s="17"/>
      <c r="V68" s="17"/>
    </row>
    <row r="69" spans="1:22" x14ac:dyDescent="0.3">
      <c r="A69" s="2">
        <v>43721</v>
      </c>
      <c r="B69" s="17">
        <v>5.1857350000000003E-2</v>
      </c>
      <c r="C69" s="17">
        <v>2.9191612999999998E-2</v>
      </c>
      <c r="D69" s="17">
        <v>-1.1496723E-2</v>
      </c>
      <c r="E69" s="17">
        <v>6.0241219999999998E-3</v>
      </c>
      <c r="F69" s="17">
        <v>2.2028685000000003E-2</v>
      </c>
      <c r="G69" s="17">
        <v>1.7127752E-2</v>
      </c>
      <c r="H69" s="17">
        <v>-2.8086603000000002E-2</v>
      </c>
      <c r="I69" s="17">
        <v>-3.9996266000000003E-2</v>
      </c>
      <c r="J69" s="17">
        <v>4.1229250000000002E-2</v>
      </c>
      <c r="K69" s="17">
        <v>4.1169285999999999E-2</v>
      </c>
      <c r="L69" s="17">
        <v>5.982113E-2</v>
      </c>
      <c r="M69" s="17">
        <v>7.0675135E-2</v>
      </c>
      <c r="N69" s="17">
        <v>6.867611400000001E-2</v>
      </c>
      <c r="O69" s="17">
        <v>2.9362678999999999E-2</v>
      </c>
      <c r="P69" s="17"/>
      <c r="Q69" s="17"/>
      <c r="R69" s="17"/>
      <c r="S69" s="17"/>
      <c r="T69" s="17"/>
      <c r="U69" s="17"/>
      <c r="V69" s="17"/>
    </row>
    <row r="70" spans="1:22" x14ac:dyDescent="0.3">
      <c r="A70" s="2">
        <v>43749</v>
      </c>
      <c r="B70" s="17">
        <v>-1.3881266000000001E-2</v>
      </c>
      <c r="C70" s="17">
        <v>-1.1410773000000001E-2</v>
      </c>
      <c r="D70" s="17">
        <v>-8.5616109999999996E-4</v>
      </c>
      <c r="E70" s="17">
        <v>3.7425755999999999E-3</v>
      </c>
      <c r="F70" s="17">
        <v>-5.4254530000000002E-3</v>
      </c>
      <c r="G70" s="17">
        <v>2.9792786000000002E-2</v>
      </c>
      <c r="H70" s="17">
        <v>1.2007475E-2</v>
      </c>
      <c r="I70" s="17">
        <v>3.0358672000000003E-2</v>
      </c>
      <c r="J70" s="17">
        <v>-4.4981837E-3</v>
      </c>
      <c r="K70" s="17">
        <v>1.6528367999999998E-3</v>
      </c>
      <c r="L70" s="17">
        <v>4.9235820000000001E-3</v>
      </c>
      <c r="M70" s="17">
        <v>-2.8571426999999996E-2</v>
      </c>
      <c r="N70" s="17">
        <v>-6.7833065999999996E-3</v>
      </c>
      <c r="O70" s="17">
        <v>-6.4830184000000003E-3</v>
      </c>
      <c r="P70" s="17"/>
      <c r="Q70" s="17"/>
      <c r="R70" s="17"/>
      <c r="S70" s="17"/>
      <c r="T70" s="17"/>
      <c r="U70" s="17"/>
      <c r="V70" s="17"/>
    </row>
    <row r="71" spans="1:22" x14ac:dyDescent="0.3">
      <c r="A71" s="2">
        <v>43782</v>
      </c>
      <c r="B71" s="17">
        <v>2.2882104E-2</v>
      </c>
      <c r="C71" s="17">
        <v>4.3269873E-2</v>
      </c>
      <c r="D71" s="17">
        <v>-1.4639735000000001E-2</v>
      </c>
      <c r="E71" s="17">
        <v>2.6099682000000003E-3</v>
      </c>
      <c r="F71" s="17">
        <v>5.4837464999999995E-2</v>
      </c>
      <c r="G71" s="17">
        <v>1.8867970000000001E-2</v>
      </c>
      <c r="H71" s="17">
        <v>4.8777580000000001E-2</v>
      </c>
      <c r="I71" s="17">
        <v>-2.635622E-2</v>
      </c>
      <c r="J71" s="17">
        <v>3.9829612E-2</v>
      </c>
      <c r="K71" s="17">
        <v>2.2557735000000002E-2</v>
      </c>
      <c r="L71" s="17">
        <v>4.4619439999999996E-2</v>
      </c>
      <c r="M71" s="17">
        <v>7.7755213000000004E-2</v>
      </c>
      <c r="N71" s="17">
        <v>5.5715321999999998E-2</v>
      </c>
      <c r="O71" s="17">
        <v>4.1870593999999997E-2</v>
      </c>
      <c r="P71" s="17"/>
      <c r="Q71" s="17"/>
      <c r="R71" s="17"/>
      <c r="S71" s="17"/>
      <c r="T71" s="17"/>
      <c r="U71" s="17"/>
      <c r="V71" s="17"/>
    </row>
    <row r="72" spans="1:22" x14ac:dyDescent="0.3">
      <c r="A72" s="2">
        <v>43812</v>
      </c>
      <c r="B72" s="17">
        <v>3.9742947000000001E-2</v>
      </c>
      <c r="C72" s="17">
        <v>2.6593327999999999E-2</v>
      </c>
      <c r="D72" s="17">
        <v>7.7548030000000002E-3</v>
      </c>
      <c r="E72" s="17">
        <v>-8.553326E-3</v>
      </c>
      <c r="F72" s="17">
        <v>2.7779221999999999E-2</v>
      </c>
      <c r="G72" s="17">
        <v>2.098763E-2</v>
      </c>
      <c r="H72" s="17">
        <v>4.3085100000000001E-2</v>
      </c>
      <c r="I72" s="17">
        <v>2.0379305E-2</v>
      </c>
      <c r="J72" s="17">
        <v>3.1355739000000001E-2</v>
      </c>
      <c r="K72" s="17">
        <v>3.6642432000000003E-2</v>
      </c>
      <c r="L72" s="17">
        <v>1.7252922E-2</v>
      </c>
      <c r="M72" s="17">
        <v>4.2032720000000003E-2</v>
      </c>
      <c r="N72" s="17">
        <v>-4.0858387999999999E-3</v>
      </c>
      <c r="O72" s="17">
        <v>2.4947761999999998E-2</v>
      </c>
      <c r="P72" s="17"/>
      <c r="Q72" s="17"/>
      <c r="R72" s="17"/>
      <c r="S72" s="17"/>
      <c r="T72" s="17"/>
      <c r="U72" s="17"/>
      <c r="V72" s="17"/>
    </row>
    <row r="73" spans="1:22" x14ac:dyDescent="0.3">
      <c r="A73" s="2">
        <v>43843</v>
      </c>
      <c r="B73" s="17">
        <v>6.3634990000000002E-2</v>
      </c>
      <c r="C73" s="17">
        <v>3.8558363999999998E-2</v>
      </c>
      <c r="D73" s="17">
        <v>4.8687576999999996E-2</v>
      </c>
      <c r="E73" s="17">
        <v>3.2001733999999999E-3</v>
      </c>
      <c r="F73" s="17">
        <v>6.8716526E-2</v>
      </c>
      <c r="G73" s="17">
        <v>7.2177650000000001E-3</v>
      </c>
      <c r="H73" s="17">
        <v>-1.4473914999999999E-2</v>
      </c>
      <c r="I73" s="17">
        <v>-5.7530402999999997E-3</v>
      </c>
      <c r="J73" s="17">
        <v>1.6297579E-2</v>
      </c>
      <c r="K73" s="17">
        <v>4.7001600000000004E-2</v>
      </c>
      <c r="L73" s="17">
        <v>-2.6200414000000002E-3</v>
      </c>
      <c r="M73" s="17">
        <v>6.7440270000000005E-3</v>
      </c>
      <c r="N73" s="17">
        <v>2.1765590000000001E-2</v>
      </c>
      <c r="O73" s="17">
        <v>2.8761268000000003E-2</v>
      </c>
      <c r="P73" s="17"/>
      <c r="Q73" s="17"/>
      <c r="R73" s="17"/>
      <c r="S73" s="17"/>
      <c r="T73" s="17"/>
      <c r="U73" s="17"/>
      <c r="V73" s="17"/>
    </row>
    <row r="74" spans="1:22" x14ac:dyDescent="0.3">
      <c r="A74" s="2">
        <v>43874</v>
      </c>
      <c r="B74" s="17">
        <v>-4.4236183000000005E-2</v>
      </c>
      <c r="C74" s="17">
        <v>2.7778624999999998E-2</v>
      </c>
      <c r="D74" s="17">
        <v>1.7555833E-2</v>
      </c>
      <c r="E74" s="17">
        <v>2.0976423999999997E-2</v>
      </c>
      <c r="F74" s="17">
        <v>5.8927417000000003E-2</v>
      </c>
      <c r="G74" s="17">
        <v>-2.9878019999999998E-2</v>
      </c>
      <c r="H74" s="17">
        <v>-9.1109810000000013E-2</v>
      </c>
      <c r="I74" s="17">
        <v>4.448092E-2</v>
      </c>
      <c r="J74" s="17">
        <v>-8.5467099999999999E-4</v>
      </c>
      <c r="K74" s="17">
        <v>-4.6047390000000001E-2</v>
      </c>
      <c r="L74" s="17">
        <v>-1.6204476000000002E-2</v>
      </c>
      <c r="M74" s="17">
        <v>2.6339769999999998E-2</v>
      </c>
      <c r="N74" s="17">
        <v>8.7600946000000006E-3</v>
      </c>
      <c r="O74" s="17">
        <v>1.7086266999999999E-2</v>
      </c>
      <c r="P74" s="17"/>
      <c r="Q74" s="17"/>
      <c r="R74" s="17"/>
      <c r="S74" s="17"/>
      <c r="T74" s="17"/>
      <c r="U74" s="17"/>
      <c r="V74" s="17"/>
    </row>
    <row r="75" spans="1:22" x14ac:dyDescent="0.3">
      <c r="A75" s="2">
        <v>43903</v>
      </c>
      <c r="B75" s="17">
        <v>-0.18148655000000002</v>
      </c>
      <c r="C75" s="17">
        <v>-0.20097310000000002</v>
      </c>
      <c r="D75" s="17">
        <v>-3.4371257000000002E-2</v>
      </c>
      <c r="E75" s="17">
        <v>2.502799E-2</v>
      </c>
      <c r="F75" s="17">
        <v>-0.17792881000000002</v>
      </c>
      <c r="G75" s="17">
        <v>-0.10433685000000001</v>
      </c>
      <c r="H75" s="17">
        <v>-0.34176125000000002</v>
      </c>
      <c r="I75" s="17">
        <v>7.1214914000000004E-2</v>
      </c>
      <c r="J75" s="17">
        <v>-0.25337897999999998</v>
      </c>
      <c r="K75" s="17">
        <v>-0.22437964999999999</v>
      </c>
      <c r="L75" s="17">
        <v>-0.21429782999999999</v>
      </c>
      <c r="M75" s="17">
        <v>-0.23539823999999998</v>
      </c>
      <c r="N75" s="17">
        <v>-0.30494325999999999</v>
      </c>
      <c r="O75" s="17">
        <v>-0.21770316999999997</v>
      </c>
      <c r="P75" s="17"/>
      <c r="Q75" s="17"/>
      <c r="R75" s="17"/>
      <c r="S75" s="17"/>
      <c r="T75" s="17"/>
      <c r="U75" s="17"/>
      <c r="V75" s="17"/>
    </row>
    <row r="76" spans="1:22" x14ac:dyDescent="0.3">
      <c r="A76" s="2">
        <v>43934</v>
      </c>
      <c r="B76" s="17">
        <v>-2.4605513000000002E-2</v>
      </c>
      <c r="C76" s="17">
        <v>2.982843E-2</v>
      </c>
      <c r="D76" s="17">
        <v>0.12653553000000001</v>
      </c>
      <c r="E76" s="17">
        <v>-1.9314885E-2</v>
      </c>
      <c r="F76" s="17">
        <v>5.7824609999999999E-2</v>
      </c>
      <c r="G76" s="17">
        <v>-4.7017573999999999E-2</v>
      </c>
      <c r="H76" s="17">
        <v>-1.1161625E-2</v>
      </c>
      <c r="I76" s="17">
        <v>6.6087484000000002E-2</v>
      </c>
      <c r="J76" s="17">
        <v>3.1998633999999998E-2</v>
      </c>
      <c r="K76" s="17">
        <v>-2.5585054999999999E-2</v>
      </c>
      <c r="L76" s="17">
        <v>8.4287880000000009E-2</v>
      </c>
      <c r="M76" s="17">
        <v>1.1188268999999999E-2</v>
      </c>
      <c r="N76" s="17">
        <v>1.3935685E-2</v>
      </c>
      <c r="O76" s="17">
        <v>3.3781289999999999E-2</v>
      </c>
      <c r="P76" s="17"/>
      <c r="Q76" s="17"/>
      <c r="R76" s="17"/>
      <c r="S76" s="17"/>
      <c r="T76" s="17"/>
      <c r="U76" s="17"/>
      <c r="V76" s="17"/>
    </row>
    <row r="77" spans="1:22" x14ac:dyDescent="0.3">
      <c r="A77" s="2">
        <v>43964</v>
      </c>
      <c r="B77" s="17">
        <v>3.2904030000000001E-2</v>
      </c>
      <c r="C77" s="17">
        <v>2.1548270000000001E-2</v>
      </c>
      <c r="D77" s="17">
        <v>1.0532141000000001E-3</v>
      </c>
      <c r="E77" s="17">
        <v>8.1753729999999997E-3</v>
      </c>
      <c r="F77" s="17">
        <v>8.0332989999999993E-2</v>
      </c>
      <c r="G77" s="17">
        <v>-2.209127E-3</v>
      </c>
      <c r="H77" s="17">
        <v>-0.20325206999999998</v>
      </c>
      <c r="I77" s="17">
        <v>1.1307597000000001E-2</v>
      </c>
      <c r="J77" s="17">
        <v>1.1175871E-3</v>
      </c>
      <c r="K77" s="17">
        <v>1.6386628E-2</v>
      </c>
      <c r="L77" s="17">
        <v>4.4448970000000004E-2</v>
      </c>
      <c r="M77" s="17">
        <v>2.0221353000000001E-2</v>
      </c>
      <c r="N77" s="17">
        <v>-3.8862526000000001E-2</v>
      </c>
      <c r="O77" s="17">
        <v>2.1622895999999999E-2</v>
      </c>
      <c r="P77" s="17"/>
      <c r="Q77" s="17"/>
      <c r="R77" s="17"/>
      <c r="S77" s="17"/>
      <c r="T77" s="17"/>
      <c r="U77" s="17"/>
      <c r="V77" s="17"/>
    </row>
    <row r="78" spans="1:22" x14ac:dyDescent="0.3">
      <c r="A78" s="2">
        <v>43994</v>
      </c>
      <c r="B78" s="17">
        <v>9.0858819999999993E-2</v>
      </c>
      <c r="C78" s="17">
        <v>8.029116E-2</v>
      </c>
      <c r="D78" s="17">
        <v>6.4363479999999997E-3</v>
      </c>
      <c r="E78" s="17">
        <v>-3.2067775999999999E-2</v>
      </c>
      <c r="F78" s="17">
        <v>7.5408099999999992E-2</v>
      </c>
      <c r="G78" s="17">
        <v>4.428029E-3</v>
      </c>
      <c r="H78" s="17">
        <v>0.3167218</v>
      </c>
      <c r="I78" s="17">
        <v>-1.8183827E-2</v>
      </c>
      <c r="J78" s="17">
        <v>0.11766016</v>
      </c>
      <c r="K78" s="17">
        <v>0.12630069999999999</v>
      </c>
      <c r="L78" s="17">
        <v>7.1374060000000003E-2</v>
      </c>
      <c r="M78" s="17">
        <v>0.13014210000000001</v>
      </c>
      <c r="N78" s="17">
        <v>0.17209076000000001</v>
      </c>
      <c r="O78" s="17">
        <v>8.8347200000000015E-2</v>
      </c>
      <c r="P78" s="17"/>
      <c r="Q78" s="17"/>
      <c r="R78" s="17"/>
      <c r="S78" s="17"/>
      <c r="T78" s="17"/>
      <c r="U78" s="17"/>
      <c r="V78" s="17"/>
    </row>
    <row r="79" spans="1:22" x14ac:dyDescent="0.3">
      <c r="A79" s="2">
        <v>44025</v>
      </c>
      <c r="B79" s="17">
        <v>9.3242170000000013E-2</v>
      </c>
      <c r="C79" s="17">
        <v>3.9524317000000003E-2</v>
      </c>
      <c r="D79" s="17">
        <v>4.1692257000000003E-2</v>
      </c>
      <c r="E79" s="17">
        <v>-7.235348E-3</v>
      </c>
      <c r="F79" s="17">
        <v>9.7950570000000001E-2</v>
      </c>
      <c r="G79" s="17">
        <v>-1.2490809E-2</v>
      </c>
      <c r="H79" s="17">
        <v>7.7196000000000001E-2</v>
      </c>
      <c r="I79" s="17">
        <v>2.9425263E-2</v>
      </c>
      <c r="J79" s="17">
        <v>3.3750652999999999E-2</v>
      </c>
      <c r="K79" s="17">
        <v>3.4193754E-2</v>
      </c>
      <c r="L79" s="17">
        <v>-3.4741759999999998E-3</v>
      </c>
      <c r="M79" s="17">
        <v>8.2147600000000001E-2</v>
      </c>
      <c r="N79" s="17">
        <v>4.6170353999999997E-2</v>
      </c>
      <c r="O79" s="17">
        <v>3.8203834999999998E-2</v>
      </c>
      <c r="P79" s="17"/>
      <c r="Q79" s="17"/>
      <c r="R79" s="17"/>
      <c r="S79" s="17"/>
      <c r="T79" s="17"/>
      <c r="U79" s="17"/>
      <c r="V79" s="17"/>
    </row>
    <row r="80" spans="1:22" x14ac:dyDescent="0.3">
      <c r="A80" s="2">
        <v>44056</v>
      </c>
      <c r="B80" s="17">
        <v>1.7728090000000002E-2</v>
      </c>
      <c r="C80" s="17">
        <v>6.9844959999999998E-2</v>
      </c>
      <c r="D80" s="17">
        <v>8.2231410000000005E-2</v>
      </c>
      <c r="E80" s="17">
        <v>-3.2604516E-2</v>
      </c>
      <c r="F80" s="17">
        <v>5.3918122999999998E-2</v>
      </c>
      <c r="G80" s="17">
        <v>6.25E-2</v>
      </c>
      <c r="H80" s="17">
        <v>7.2589755000000006E-2</v>
      </c>
      <c r="I80" s="17">
        <v>-1.7238258999999999E-2</v>
      </c>
      <c r="J80" s="17">
        <v>6.4591410000000002E-2</v>
      </c>
      <c r="K80" s="17">
        <v>6.7400929999999998E-2</v>
      </c>
      <c r="L80" s="17">
        <v>4.2522549999999999E-2</v>
      </c>
      <c r="M80" s="17">
        <v>9.8159550000000012E-2</v>
      </c>
      <c r="N80" s="17">
        <v>6.7858577000000003E-2</v>
      </c>
      <c r="O80" s="17">
        <v>6.5476179999999995E-2</v>
      </c>
      <c r="P80" s="17"/>
      <c r="Q80" s="17"/>
      <c r="R80" s="17"/>
      <c r="S80" s="17"/>
      <c r="T80" s="17"/>
      <c r="U80" s="17"/>
      <c r="V80" s="17"/>
    </row>
    <row r="81" spans="1:22" x14ac:dyDescent="0.3">
      <c r="A81" s="2">
        <v>44085</v>
      </c>
      <c r="B81" s="17">
        <v>-3.2088159999999998E-3</v>
      </c>
      <c r="C81" s="17">
        <v>-8.2237123999999995E-3</v>
      </c>
      <c r="D81" s="17">
        <v>-4.800141E-3</v>
      </c>
      <c r="E81" s="17">
        <v>-1.5860199999999998E-3</v>
      </c>
      <c r="F81" s="17">
        <v>-7.4501039999999999E-3</v>
      </c>
      <c r="G81" s="17">
        <v>4.0616274000000001E-2</v>
      </c>
      <c r="H81" s="17">
        <v>-0.11390285999999999</v>
      </c>
      <c r="I81" s="17">
        <v>5.149603E-3</v>
      </c>
      <c r="J81" s="17">
        <v>-9.6856949999999994E-3</v>
      </c>
      <c r="K81" s="17">
        <v>-1.6241312000000001E-2</v>
      </c>
      <c r="L81" s="17">
        <v>1.192534E-2</v>
      </c>
      <c r="M81" s="17">
        <v>-8.1005690000000002E-3</v>
      </c>
      <c r="N81" s="17">
        <v>-2.3592114000000001E-2</v>
      </c>
      <c r="O81" s="17">
        <v>-8.4796550000000009E-3</v>
      </c>
      <c r="P81" s="17"/>
      <c r="Q81" s="17"/>
      <c r="R81" s="17"/>
      <c r="S81" s="17"/>
      <c r="T81" s="17"/>
      <c r="U81" s="17"/>
      <c r="V81" s="17"/>
    </row>
    <row r="82" spans="1:22" x14ac:dyDescent="0.3">
      <c r="A82" s="2">
        <v>44117</v>
      </c>
      <c r="B82" s="17">
        <v>4.7670245E-2</v>
      </c>
      <c r="C82" s="17">
        <v>5.2350282999999997E-2</v>
      </c>
      <c r="D82" s="17">
        <v>-2.5924861E-2</v>
      </c>
      <c r="E82" s="17">
        <v>3.1771660000000004E-3</v>
      </c>
      <c r="F82" s="17">
        <v>9.0580225E-2</v>
      </c>
      <c r="G82" s="17">
        <v>-3.3646822E-3</v>
      </c>
      <c r="H82" s="17">
        <v>4.7115683999999998E-2</v>
      </c>
      <c r="I82" s="17">
        <v>-1.5579997999999999E-2</v>
      </c>
      <c r="J82" s="17">
        <v>2.2609233999999999E-3</v>
      </c>
      <c r="K82" s="17">
        <v>2.4879932E-2</v>
      </c>
      <c r="L82" s="17">
        <v>1.5029907E-2</v>
      </c>
      <c r="M82" s="17">
        <v>1.8586278000000001E-2</v>
      </c>
      <c r="N82" s="17">
        <v>-2.5331258999999998E-2</v>
      </c>
      <c r="O82" s="17">
        <v>4.205656E-2</v>
      </c>
      <c r="P82" s="17"/>
      <c r="Q82" s="17"/>
      <c r="R82" s="17"/>
      <c r="S82" s="17"/>
      <c r="T82" s="17"/>
      <c r="U82" s="17"/>
      <c r="V82" s="17"/>
    </row>
    <row r="83" spans="1:22" x14ac:dyDescent="0.3">
      <c r="A83" s="2">
        <v>44148</v>
      </c>
      <c r="B83" s="17">
        <v>4.4547915E-2</v>
      </c>
      <c r="C83" s="17">
        <v>2.2763013999999998E-2</v>
      </c>
      <c r="D83" s="17">
        <v>-3.1509995E-3</v>
      </c>
      <c r="E83" s="17">
        <v>-9.1052649999999995E-3</v>
      </c>
      <c r="F83" s="17">
        <v>-1.2189329E-2</v>
      </c>
      <c r="G83" s="17">
        <v>1.4179587E-2</v>
      </c>
      <c r="H83" s="17">
        <v>-1.2144327E-2</v>
      </c>
      <c r="I83" s="17">
        <v>-2.1149873999999999E-2</v>
      </c>
      <c r="J83" s="17">
        <v>5.4814816000000002E-2</v>
      </c>
      <c r="K83" s="17">
        <v>6.7355155999999999E-2</v>
      </c>
      <c r="L83" s="17">
        <v>6.6464780000000001E-2</v>
      </c>
      <c r="M83" s="17">
        <v>5.8888673999999995E-2</v>
      </c>
      <c r="N83" s="17">
        <v>9.1163519999999998E-2</v>
      </c>
      <c r="O83" s="17">
        <v>3.0027986000000003E-2</v>
      </c>
      <c r="P83" s="17"/>
      <c r="Q83" s="17"/>
      <c r="R83" s="17"/>
      <c r="S83" s="17"/>
      <c r="T83" s="17"/>
      <c r="U83" s="17"/>
      <c r="V83" s="17"/>
    </row>
    <row r="84" spans="1:22" x14ac:dyDescent="0.3">
      <c r="A84" s="2">
        <v>44176</v>
      </c>
      <c r="B84" s="17">
        <v>4.4557570000000005E-2</v>
      </c>
      <c r="C84" s="17">
        <v>2.2898554999999998E-2</v>
      </c>
      <c r="D84" s="17">
        <v>-2.6360333E-2</v>
      </c>
      <c r="E84" s="17">
        <v>-1.9576489999999998E-2</v>
      </c>
      <c r="F84" s="17">
        <v>3.7534833000000004E-2</v>
      </c>
      <c r="G84" s="17">
        <v>3.0625819999999998E-2</v>
      </c>
      <c r="H84" s="17">
        <v>0.14101397999999998</v>
      </c>
      <c r="I84" s="17">
        <v>4.8958063000000005E-3</v>
      </c>
      <c r="J84" s="17">
        <v>3.9501428999999998E-2</v>
      </c>
      <c r="K84" s="17">
        <v>9.5827099999999998E-2</v>
      </c>
      <c r="L84" s="17">
        <v>4.0549039999999995E-2</v>
      </c>
      <c r="M84" s="17">
        <v>3.1853794999999997E-2</v>
      </c>
      <c r="N84" s="17">
        <v>6.3393115999999999E-2</v>
      </c>
      <c r="O84" s="17">
        <v>3.5526872000000001E-2</v>
      </c>
      <c r="P84" s="17"/>
      <c r="Q84" s="17"/>
      <c r="R84" s="17"/>
      <c r="S84" s="17"/>
      <c r="T84" s="17"/>
      <c r="U84" s="17"/>
      <c r="V84" s="17"/>
    </row>
    <row r="85" spans="1:22" x14ac:dyDescent="0.3">
      <c r="A85" s="2">
        <v>44209</v>
      </c>
      <c r="B85" s="17">
        <v>7.4802994999999997E-2</v>
      </c>
      <c r="C85" s="17">
        <v>4.1265250000000003E-2</v>
      </c>
      <c r="D85" s="17">
        <v>5.1016810000000003E-3</v>
      </c>
      <c r="E85" s="17">
        <v>-6.9274899999999997E-3</v>
      </c>
      <c r="F85" s="17">
        <v>4.8912643999999998E-2</v>
      </c>
      <c r="G85" s="17">
        <v>5.4909587000000003E-2</v>
      </c>
      <c r="H85" s="17">
        <v>0.11833465999999999</v>
      </c>
      <c r="I85" s="17">
        <v>-3.7541270000000002E-2</v>
      </c>
      <c r="J85" s="17">
        <v>5.1917076E-2</v>
      </c>
      <c r="K85" s="17">
        <v>9.0382809999999994E-2</v>
      </c>
      <c r="L85" s="17">
        <v>5.3391457000000003E-2</v>
      </c>
      <c r="M85" s="17">
        <v>5.311656E-2</v>
      </c>
      <c r="N85" s="17">
        <v>4.1613339999999999E-2</v>
      </c>
      <c r="O85" s="17">
        <v>4.6259522000000004E-2</v>
      </c>
      <c r="P85" s="17"/>
      <c r="Q85" s="17"/>
      <c r="R85" s="17"/>
      <c r="S85" s="17"/>
      <c r="T85" s="17"/>
      <c r="U85" s="17"/>
      <c r="V85" s="17"/>
    </row>
    <row r="86" spans="1:22" x14ac:dyDescent="0.3">
      <c r="A86" s="2">
        <v>44239</v>
      </c>
      <c r="B86" s="17">
        <v>6.8454027000000001E-2</v>
      </c>
      <c r="C86" s="17">
        <v>3.3834456999999998E-2</v>
      </c>
      <c r="D86" s="17">
        <v>-1.5458225999999999E-2</v>
      </c>
      <c r="E86" s="17">
        <v>8.2063675000000006E-4</v>
      </c>
      <c r="F86" s="17">
        <v>6.4580440000000003E-2</v>
      </c>
      <c r="G86" s="17">
        <v>2.2045374E-2</v>
      </c>
      <c r="H86" s="17">
        <v>0.1152842</v>
      </c>
      <c r="I86" s="17">
        <v>-3.5177766999999999E-2</v>
      </c>
      <c r="J86" s="17">
        <v>1.3895630999999999E-2</v>
      </c>
      <c r="K86" s="17">
        <v>1.1275053E-2</v>
      </c>
      <c r="L86" s="17">
        <v>3.3959626999999999E-2</v>
      </c>
      <c r="M86" s="17">
        <v>3.7279010000000001E-2</v>
      </c>
      <c r="N86" s="17">
        <v>3.1687856E-2</v>
      </c>
      <c r="O86" s="17">
        <v>3.0762553000000002E-2</v>
      </c>
      <c r="P86" s="17"/>
      <c r="Q86" s="17"/>
      <c r="R86" s="17"/>
      <c r="S86" s="17"/>
      <c r="T86" s="17"/>
      <c r="U86" s="17"/>
      <c r="V86" s="17"/>
    </row>
    <row r="87" spans="1:22" x14ac:dyDescent="0.3">
      <c r="A87" s="2">
        <v>44267</v>
      </c>
      <c r="B87" s="17">
        <v>-5.9085249999999999E-2</v>
      </c>
      <c r="C87" s="17">
        <v>3.6164522000000001E-3</v>
      </c>
      <c r="D87" s="17">
        <v>-5.3898870000000002E-2</v>
      </c>
      <c r="E87" s="17">
        <v>1.2300134000000001E-2</v>
      </c>
      <c r="F87" s="17">
        <v>-6.2386749999999998E-2</v>
      </c>
      <c r="G87" s="17">
        <v>3.6548733999999999E-2</v>
      </c>
      <c r="H87" s="17">
        <v>0.11508046999999999</v>
      </c>
      <c r="I87" s="17">
        <v>-7.3987960000000005E-2</v>
      </c>
      <c r="J87" s="17">
        <v>1.4183283E-2</v>
      </c>
      <c r="K87" s="17">
        <v>-2.5741994000000001E-2</v>
      </c>
      <c r="L87" s="17">
        <v>-3.6477982999999999E-2</v>
      </c>
      <c r="M87" s="17">
        <v>5.3442239999999995E-2</v>
      </c>
      <c r="N87" s="17">
        <v>2.1985172999999997E-2</v>
      </c>
      <c r="O87" s="17">
        <v>-1.4372467999999999E-3</v>
      </c>
      <c r="P87" s="17"/>
      <c r="Q87" s="17"/>
      <c r="R87" s="17"/>
      <c r="S87" s="17"/>
      <c r="T87" s="17"/>
      <c r="U87" s="17"/>
      <c r="V87" s="17"/>
    </row>
    <row r="88" spans="1:22" x14ac:dyDescent="0.3">
      <c r="A88" s="2">
        <v>44299</v>
      </c>
      <c r="B88" s="17">
        <v>-1.7639220000000001E-2</v>
      </c>
      <c r="C88" s="17">
        <v>5.1145673000000003E-2</v>
      </c>
      <c r="D88" s="17">
        <v>1.2013078E-2</v>
      </c>
      <c r="E88" s="17">
        <v>8.1002710000000009E-4</v>
      </c>
      <c r="F88" s="17">
        <v>8.1030729999999995E-2</v>
      </c>
      <c r="G88" s="17">
        <v>-5.7792664000000003E-4</v>
      </c>
      <c r="H88" s="17">
        <v>-5.7247877000000003E-2</v>
      </c>
      <c r="I88" s="17">
        <v>1.9156098E-2</v>
      </c>
      <c r="J88" s="17">
        <v>3.0327440000000001E-2</v>
      </c>
      <c r="K88" s="17">
        <v>6.0585739999999997E-3</v>
      </c>
      <c r="L88" s="17">
        <v>1.0733962E-2</v>
      </c>
      <c r="M88" s="17">
        <v>4.2755840000000003E-2</v>
      </c>
      <c r="N88" s="17">
        <v>1.4235972999999999E-2</v>
      </c>
      <c r="O88" s="17">
        <v>4.2333363999999998E-2</v>
      </c>
      <c r="P88" s="17"/>
      <c r="Q88" s="17"/>
      <c r="R88" s="17"/>
      <c r="S88" s="17"/>
      <c r="T88" s="17"/>
      <c r="U88" s="17"/>
      <c r="V88" s="17"/>
    </row>
    <row r="89" spans="1:22" x14ac:dyDescent="0.3">
      <c r="A89" s="2">
        <v>44329</v>
      </c>
      <c r="B89" s="17">
        <v>-1.7543851999999999E-2</v>
      </c>
      <c r="C89" s="17">
        <v>-6.2490699999999998E-3</v>
      </c>
      <c r="D89" s="17">
        <v>4.7115087999999999E-2</v>
      </c>
      <c r="E89" s="17">
        <v>-1.2950181999999999E-2</v>
      </c>
      <c r="F89" s="17">
        <v>-6.2419295000000007E-2</v>
      </c>
      <c r="G89" s="17">
        <v>7.1717740000000002E-2</v>
      </c>
      <c r="H89" s="17">
        <v>5.7610035000000004E-2</v>
      </c>
      <c r="I89" s="17">
        <v>-1.7843008E-2</v>
      </c>
      <c r="J89" s="17">
        <v>2.1595955E-2</v>
      </c>
      <c r="K89" s="17">
        <v>-5.6875350000000005E-3</v>
      </c>
      <c r="L89" s="17">
        <v>-5.3243400000000003E-2</v>
      </c>
      <c r="M89" s="17">
        <v>3.1868220000000002E-3</v>
      </c>
      <c r="N89" s="17">
        <v>9.0454817E-3</v>
      </c>
      <c r="O89" s="17">
        <v>-7.4729920000000003E-3</v>
      </c>
      <c r="P89" s="17"/>
      <c r="Q89" s="17"/>
      <c r="R89" s="17"/>
      <c r="S89" s="17"/>
      <c r="T89" s="17"/>
      <c r="U89" s="17"/>
      <c r="V89" s="17"/>
    </row>
    <row r="90" spans="1:22" x14ac:dyDescent="0.3">
      <c r="A90" s="2">
        <v>44358</v>
      </c>
      <c r="B90" s="17">
        <v>7.2605968000000007E-2</v>
      </c>
      <c r="C90" s="17">
        <v>3.4196138000000001E-2</v>
      </c>
      <c r="D90" s="17">
        <v>2.6938558000000001E-2</v>
      </c>
      <c r="E90" s="17">
        <v>-1.6399622000000001E-3</v>
      </c>
      <c r="F90" s="17">
        <v>6.8578960000000008E-2</v>
      </c>
      <c r="G90" s="17">
        <v>2.7522921999999998E-2</v>
      </c>
      <c r="H90" s="17">
        <v>9.6180439999999992E-2</v>
      </c>
      <c r="I90" s="17">
        <v>4.937184E-2</v>
      </c>
      <c r="J90" s="17">
        <v>5.2024007000000004E-2</v>
      </c>
      <c r="K90" s="17">
        <v>6.7056655999999992E-2</v>
      </c>
      <c r="L90" s="17">
        <v>5.177474E-2</v>
      </c>
      <c r="M90" s="17">
        <v>4.4090866999999999E-2</v>
      </c>
      <c r="N90" s="17">
        <v>5.4745435999999995E-2</v>
      </c>
      <c r="O90" s="17">
        <v>4.2963386000000006E-2</v>
      </c>
      <c r="P90" s="17"/>
      <c r="Q90" s="17"/>
      <c r="R90" s="17"/>
      <c r="S90" s="17"/>
      <c r="T90" s="17"/>
      <c r="U90" s="17"/>
      <c r="V90" s="17"/>
    </row>
    <row r="91" spans="1:22" x14ac:dyDescent="0.3">
      <c r="A91" s="2">
        <v>44390</v>
      </c>
      <c r="B91" s="17">
        <v>-2.4567068000000001E-2</v>
      </c>
      <c r="C91" s="17">
        <v>2.9988527000000001E-2</v>
      </c>
      <c r="D91" s="17">
        <v>-3.7100254999999999E-2</v>
      </c>
      <c r="E91" s="17">
        <v>2.4640680000000002E-2</v>
      </c>
      <c r="F91" s="17">
        <v>6.3291550000000002E-2</v>
      </c>
      <c r="G91" s="17">
        <v>-5.1470637000000007E-2</v>
      </c>
      <c r="H91" s="17">
        <v>6.0547829999999997E-2</v>
      </c>
      <c r="I91" s="17">
        <v>2.1775484000000001E-2</v>
      </c>
      <c r="J91" s="17">
        <v>-2.137816E-2</v>
      </c>
      <c r="K91" s="17">
        <v>-2.5645077000000002E-2</v>
      </c>
      <c r="L91" s="17">
        <v>-6.823361E-3</v>
      </c>
      <c r="M91" s="17">
        <v>-1.3491093999999999E-2</v>
      </c>
      <c r="N91" s="17">
        <v>-4.9243569999999993E-2</v>
      </c>
      <c r="O91" s="17">
        <v>1.3128757E-2</v>
      </c>
      <c r="P91" s="17"/>
      <c r="Q91" s="17"/>
      <c r="R91" s="17"/>
      <c r="S91" s="17"/>
      <c r="T91" s="17"/>
      <c r="U91" s="17"/>
      <c r="V91" s="17"/>
    </row>
    <row r="92" spans="1:22" x14ac:dyDescent="0.3">
      <c r="A92" s="2">
        <v>44421</v>
      </c>
      <c r="B92" s="17">
        <v>-3.1108617999999998E-2</v>
      </c>
      <c r="C92" s="17">
        <v>2.371502E-2</v>
      </c>
      <c r="D92" s="17">
        <v>-1.6723812000000001E-2</v>
      </c>
      <c r="E92" s="17">
        <v>-3.6072134999999999E-3</v>
      </c>
      <c r="F92" s="17">
        <v>1.7659068E-2</v>
      </c>
      <c r="G92" s="17">
        <v>7.03212E-2</v>
      </c>
      <c r="H92" s="17">
        <v>-7.3855877E-2</v>
      </c>
      <c r="I92" s="17">
        <v>2.4164438E-2</v>
      </c>
      <c r="J92" s="17">
        <v>3.6066531999999998E-2</v>
      </c>
      <c r="K92" s="17">
        <v>-3.2494067999999997E-3</v>
      </c>
      <c r="L92" s="17">
        <v>3.3620596000000003E-3</v>
      </c>
      <c r="M92" s="17">
        <v>3.0296683000000001E-2</v>
      </c>
      <c r="N92" s="17">
        <v>5.8970330000000001E-2</v>
      </c>
      <c r="O92" s="17">
        <v>2.5448800000000001E-2</v>
      </c>
      <c r="P92" s="17"/>
      <c r="Q92" s="17"/>
      <c r="R92" s="17"/>
      <c r="S92" s="17"/>
      <c r="T92" s="17"/>
      <c r="U92" s="17"/>
      <c r="V92" s="17"/>
    </row>
    <row r="93" spans="1:22" x14ac:dyDescent="0.3">
      <c r="A93" s="2">
        <v>44452</v>
      </c>
      <c r="B93" s="17">
        <v>2.5491356999999999E-2</v>
      </c>
      <c r="C93" s="17">
        <v>1.4799833000000001E-3</v>
      </c>
      <c r="D93" s="17">
        <v>8.1135035000000008E-3</v>
      </c>
      <c r="E93" s="17">
        <v>4.0221213999999997E-4</v>
      </c>
      <c r="F93" s="17">
        <v>2.0362138999999998E-2</v>
      </c>
      <c r="G93" s="17">
        <v>-4.0869055000000001E-2</v>
      </c>
      <c r="H93" s="17">
        <v>4.7455906999999999E-2</v>
      </c>
      <c r="I93" s="17">
        <v>6.3270329999999993E-3</v>
      </c>
      <c r="J93" s="17">
        <v>-1.4776945E-2</v>
      </c>
      <c r="K93" s="17">
        <v>2.3308873000000001E-2</v>
      </c>
      <c r="L93" s="17">
        <v>7.5320479999999995E-2</v>
      </c>
      <c r="M93" s="17">
        <v>-2.6138484000000003E-2</v>
      </c>
      <c r="N93" s="17">
        <v>-3.5061835999999999E-2</v>
      </c>
      <c r="O93" s="17">
        <v>1.3701916E-3</v>
      </c>
      <c r="P93" s="17"/>
      <c r="Q93" s="17"/>
      <c r="R93" s="17"/>
      <c r="S93" s="17"/>
      <c r="T93" s="17"/>
      <c r="U93" s="17"/>
      <c r="V93" s="17"/>
    </row>
    <row r="94" spans="1:22" x14ac:dyDescent="0.3">
      <c r="A94" s="2">
        <v>44482</v>
      </c>
      <c r="B94" s="17">
        <v>-1.977694E-2</v>
      </c>
      <c r="C94" s="17">
        <v>-2.237451E-2</v>
      </c>
      <c r="D94" s="17">
        <v>-8.9430809999999994E-4</v>
      </c>
      <c r="E94" s="17">
        <v>1.4475226000000001E-2</v>
      </c>
      <c r="F94" s="17">
        <v>-4.231E-2</v>
      </c>
      <c r="G94" s="17">
        <v>2.7508020000000001E-2</v>
      </c>
      <c r="H94" s="17">
        <v>0.13545072999999999</v>
      </c>
      <c r="I94" s="17">
        <v>-2.5297581999999999E-2</v>
      </c>
      <c r="J94" s="17">
        <v>-2.8761743999999999E-2</v>
      </c>
      <c r="K94" s="17">
        <v>-2.8671563000000001E-2</v>
      </c>
      <c r="L94" s="17">
        <v>-8.3051020000000003E-2</v>
      </c>
      <c r="M94" s="17">
        <v>-3.187251E-2</v>
      </c>
      <c r="N94" s="17">
        <v>-1.1603057000000002E-2</v>
      </c>
      <c r="O94" s="17">
        <v>-2.6759862999999998E-2</v>
      </c>
      <c r="P94" s="17"/>
      <c r="Q94" s="17"/>
      <c r="R94" s="17"/>
      <c r="S94" s="17"/>
      <c r="T94" s="17"/>
      <c r="U94" s="17"/>
      <c r="V94" s="17"/>
    </row>
    <row r="95" spans="1:22" x14ac:dyDescent="0.3">
      <c r="A95" s="2">
        <v>44512</v>
      </c>
      <c r="B95" s="17">
        <v>1.7783880000000002E-2</v>
      </c>
      <c r="C95" s="17">
        <v>7.3739650000000004E-2</v>
      </c>
      <c r="D95" s="17">
        <v>4.0933250000000004E-2</v>
      </c>
      <c r="E95" s="17">
        <v>1.0701537000000001E-2</v>
      </c>
      <c r="F95" s="17">
        <v>9.6388929999999998E-2</v>
      </c>
      <c r="G95" s="17">
        <v>3.6745429999999996E-2</v>
      </c>
      <c r="H95" s="17">
        <v>-8.638382E-3</v>
      </c>
      <c r="I95" s="17">
        <v>1.499486E-2</v>
      </c>
      <c r="J95" s="17">
        <v>3.8984299E-2</v>
      </c>
      <c r="K95" s="17">
        <v>1.9842505E-2</v>
      </c>
      <c r="L95" s="17">
        <v>3.5461067999999998E-2</v>
      </c>
      <c r="M95" s="17">
        <v>5.4147720000000003E-2</v>
      </c>
      <c r="N95" s="17">
        <v>4.7883870000000002E-2</v>
      </c>
      <c r="O95" s="17">
        <v>6.2568307000000004E-2</v>
      </c>
      <c r="P95" s="17"/>
      <c r="Q95" s="17"/>
      <c r="R95" s="17"/>
      <c r="S95" s="17"/>
      <c r="T95" s="17"/>
      <c r="U95" s="17"/>
      <c r="V95" s="17"/>
    </row>
    <row r="96" spans="1:22" x14ac:dyDescent="0.3">
      <c r="A96" s="2">
        <v>44543</v>
      </c>
      <c r="B96" s="17">
        <v>-5.0307273999999999E-2</v>
      </c>
      <c r="C96" s="17">
        <v>-1.4980435000000001E-3</v>
      </c>
      <c r="D96" s="17">
        <v>-4.2705655000000002E-2</v>
      </c>
      <c r="E96" s="17">
        <v>1.2941122000000001E-2</v>
      </c>
      <c r="F96" s="17">
        <v>-6.1818960000000001E-3</v>
      </c>
      <c r="G96" s="17">
        <v>1.0126828999999999E-3</v>
      </c>
      <c r="H96" s="17">
        <v>-8.3817425000000001E-2</v>
      </c>
      <c r="I96" s="17">
        <v>2.655685E-2</v>
      </c>
      <c r="J96" s="17">
        <v>-4.312825E-2</v>
      </c>
      <c r="K96" s="17">
        <v>-3.5489975999999999E-2</v>
      </c>
      <c r="L96" s="17">
        <v>-3.2846272000000003E-2</v>
      </c>
      <c r="M96" s="17">
        <v>-5.7035327000000004E-2</v>
      </c>
      <c r="N96" s="17">
        <v>-5.1243900000000002E-2</v>
      </c>
      <c r="O96" s="17">
        <v>-1.9227266E-2</v>
      </c>
      <c r="P96" s="17"/>
      <c r="Q96" s="17"/>
      <c r="R96" s="17"/>
      <c r="S96" s="17"/>
      <c r="T96" s="17"/>
      <c r="U96" s="17"/>
      <c r="V96" s="17"/>
    </row>
    <row r="97" spans="1:22" x14ac:dyDescent="0.3">
      <c r="A97" s="2">
        <v>44574</v>
      </c>
      <c r="B97" s="17">
        <v>3.3073068000000004E-2</v>
      </c>
      <c r="C97" s="17">
        <v>-8.294582E-4</v>
      </c>
      <c r="D97" s="17">
        <v>1.8922209999999998E-2</v>
      </c>
      <c r="E97" s="17">
        <v>-1.5485883000000001E-2</v>
      </c>
      <c r="F97" s="17">
        <v>-3.5977483000000005E-2</v>
      </c>
      <c r="G97" s="17">
        <v>-3.5406946999999999E-3</v>
      </c>
      <c r="H97" s="17">
        <v>0.14039862</v>
      </c>
      <c r="I97" s="17">
        <v>-4.3809414000000005E-2</v>
      </c>
      <c r="J97" s="17">
        <v>3.9495944999999998E-2</v>
      </c>
      <c r="K97" s="17">
        <v>5.7157992999999997E-2</v>
      </c>
      <c r="L97" s="17">
        <v>6.2789916999999992E-3</v>
      </c>
      <c r="M97" s="17">
        <v>3.1349420000000003E-2</v>
      </c>
      <c r="N97" s="17">
        <v>5.9249996999999999E-2</v>
      </c>
      <c r="O97" s="17">
        <v>4.4926405000000006E-3</v>
      </c>
      <c r="P97" s="17"/>
      <c r="Q97" s="17"/>
      <c r="R97" s="17"/>
      <c r="S97" s="17"/>
      <c r="T97" s="17"/>
      <c r="U97" s="17"/>
      <c r="V97" s="17"/>
    </row>
    <row r="98" spans="1:22" x14ac:dyDescent="0.3">
      <c r="A98" s="2">
        <v>44603</v>
      </c>
      <c r="B98" s="17">
        <v>-1.9371389999999999E-2</v>
      </c>
      <c r="C98" s="17">
        <v>-5.1815805E-2</v>
      </c>
      <c r="D98" s="17">
        <v>2.1450399999999998E-2</v>
      </c>
      <c r="E98" s="17">
        <v>1.1403798999999999E-2</v>
      </c>
      <c r="F98" s="17">
        <v>-8.1025305000000006E-2</v>
      </c>
      <c r="G98" s="17">
        <v>7.1066019999999994E-2</v>
      </c>
      <c r="H98" s="17">
        <v>0.1239078</v>
      </c>
      <c r="I98" s="17">
        <v>-4.0454150000000001E-2</v>
      </c>
      <c r="J98" s="17">
        <v>-4.8189282E-2</v>
      </c>
      <c r="K98" s="17">
        <v>-3.1659722000000001E-2</v>
      </c>
      <c r="L98" s="17">
        <v>-4.9769696999999995E-2</v>
      </c>
      <c r="M98" s="17">
        <v>-0.10873824000000001</v>
      </c>
      <c r="N98" s="17">
        <v>-4.4034480000000001E-2</v>
      </c>
      <c r="O98" s="17">
        <v>-4.7676325000000006E-2</v>
      </c>
      <c r="P98" s="17"/>
      <c r="Q98" s="17"/>
      <c r="R98" s="17"/>
      <c r="S98" s="17"/>
      <c r="T98" s="17"/>
      <c r="U98" s="17"/>
      <c r="V98" s="17"/>
    </row>
    <row r="99" spans="1:22" x14ac:dyDescent="0.3">
      <c r="A99" s="2">
        <v>44631</v>
      </c>
      <c r="B99" s="17">
        <v>-0.11590404</v>
      </c>
      <c r="C99" s="17">
        <v>-4.6292486000000001E-2</v>
      </c>
      <c r="D99" s="17">
        <v>6.4898490000000003E-2</v>
      </c>
      <c r="E99" s="17">
        <v>3.0715466E-2</v>
      </c>
      <c r="F99" s="17">
        <v>-6.5291286000000004E-2</v>
      </c>
      <c r="G99" s="17">
        <v>3.5071135000000003E-2</v>
      </c>
      <c r="H99" s="17">
        <v>0.16961134</v>
      </c>
      <c r="I99" s="17">
        <v>-2.2883415000000001E-2</v>
      </c>
      <c r="J99" s="17">
        <v>-0.10908251999999999</v>
      </c>
      <c r="K99" s="17">
        <v>-8.7186280000000005E-2</v>
      </c>
      <c r="L99" s="17">
        <v>-8.474045999999999E-2</v>
      </c>
      <c r="M99" s="17">
        <v>-0.12004889000000001</v>
      </c>
      <c r="N99" s="17">
        <v>-0.16433238999999999</v>
      </c>
      <c r="O99" s="17">
        <v>-6.1118126000000002E-2</v>
      </c>
      <c r="P99" s="17"/>
      <c r="Q99" s="17"/>
      <c r="R99" s="17"/>
      <c r="S99" s="17"/>
      <c r="T99" s="17"/>
      <c r="U99" s="17"/>
      <c r="V99" s="17"/>
    </row>
    <row r="100" spans="1:22" x14ac:dyDescent="0.3">
      <c r="A100" s="2">
        <v>44664</v>
      </c>
      <c r="B100" s="17">
        <v>5.0715804000000003E-2</v>
      </c>
      <c r="C100" s="17">
        <v>5.8567046999999997E-2</v>
      </c>
      <c r="D100" s="17">
        <v>-2.3772120000000001E-3</v>
      </c>
      <c r="E100" s="17">
        <v>7.5442790000000001E-3</v>
      </c>
      <c r="F100" s="17">
        <v>6.8986060000000002E-2</v>
      </c>
      <c r="G100" s="17">
        <v>3.8461566000000003E-2</v>
      </c>
      <c r="H100" s="17">
        <v>1.7824769000000001E-2</v>
      </c>
      <c r="I100" s="17">
        <v>-8.5258600000000004E-2</v>
      </c>
      <c r="J100" s="17">
        <v>6.6959379999999999E-2</v>
      </c>
      <c r="K100" s="17">
        <v>4.576707E-2</v>
      </c>
      <c r="L100" s="17">
        <v>3.4165382000000001E-4</v>
      </c>
      <c r="M100" s="17">
        <v>7.5298667E-2</v>
      </c>
      <c r="N100" s="17">
        <v>8.752335E-2</v>
      </c>
      <c r="O100" s="17">
        <v>5.8788896E-2</v>
      </c>
      <c r="P100" s="17"/>
      <c r="Q100" s="17"/>
      <c r="R100" s="17"/>
      <c r="S100" s="17"/>
      <c r="T100" s="17"/>
      <c r="U100" s="17"/>
      <c r="V100" s="17"/>
    </row>
    <row r="101" spans="1:22" x14ac:dyDescent="0.3">
      <c r="A101" s="2">
        <v>44694</v>
      </c>
      <c r="B101" s="17">
        <v>-9.7279660000000004E-2</v>
      </c>
      <c r="C101" s="17">
        <v>-9.3816940000000001E-2</v>
      </c>
      <c r="D101" s="17">
        <v>-8.5892259999999998E-2</v>
      </c>
      <c r="E101" s="17">
        <v>4.7173380000000001E-2</v>
      </c>
      <c r="F101" s="17">
        <v>-0.12822288500000001</v>
      </c>
      <c r="G101" s="17">
        <v>-2.2045849999999999E-2</v>
      </c>
      <c r="H101" s="17">
        <v>3.6509395E-2</v>
      </c>
      <c r="I101" s="17">
        <v>-5.7125033999999998E-2</v>
      </c>
      <c r="J101" s="17">
        <v>-8.4438739999999998E-2</v>
      </c>
      <c r="K101" s="17">
        <v>-0.10067463</v>
      </c>
      <c r="L101" s="17">
        <v>-3.8251400000000005E-2</v>
      </c>
      <c r="M101" s="17">
        <v>-0.10490959999999999</v>
      </c>
      <c r="N101" s="17">
        <v>-7.1575345999999998E-2</v>
      </c>
      <c r="O101" s="17">
        <v>-9.3176549999999997E-2</v>
      </c>
      <c r="P101" s="17"/>
      <c r="Q101" s="17"/>
      <c r="R101" s="17"/>
      <c r="S101" s="17"/>
      <c r="T101" s="17"/>
      <c r="U101" s="17"/>
      <c r="V101" s="17"/>
    </row>
    <row r="102" spans="1:22" x14ac:dyDescent="0.3">
      <c r="A102" s="2">
        <v>44725</v>
      </c>
      <c r="B102" s="17">
        <v>-2.4107695000000003E-3</v>
      </c>
      <c r="C102" s="17">
        <v>-6.651401500000001E-2</v>
      </c>
      <c r="D102" s="17">
        <v>6.7539214999999993E-3</v>
      </c>
      <c r="E102" s="17">
        <v>4.6478509999999997E-3</v>
      </c>
      <c r="F102" s="17">
        <v>-8.786511000000001E-2</v>
      </c>
      <c r="G102" s="17">
        <v>-1.8935977999999999E-2</v>
      </c>
      <c r="H102" s="17">
        <v>0.11197031</v>
      </c>
      <c r="I102" s="17">
        <v>-4.8140229999999999E-2</v>
      </c>
      <c r="J102" s="17">
        <v>-4.5936345999999996E-2</v>
      </c>
      <c r="K102" s="17">
        <v>-4.5138597000000003E-2</v>
      </c>
      <c r="L102" s="17">
        <v>-4.5080780000000001E-2</v>
      </c>
      <c r="M102" s="17">
        <v>-4.3829260000000002E-2</v>
      </c>
      <c r="N102" s="17">
        <v>-7.3857726999999998E-2</v>
      </c>
      <c r="O102" s="17">
        <v>-6.1050595999999999E-2</v>
      </c>
      <c r="P102" s="17"/>
      <c r="Q102" s="17"/>
      <c r="R102" s="17"/>
      <c r="S102" s="17"/>
      <c r="T102" s="17"/>
      <c r="U102" s="17"/>
      <c r="V102" s="17"/>
    </row>
    <row r="103" spans="1:22" x14ac:dyDescent="0.3">
      <c r="A103" s="2">
        <v>44755</v>
      </c>
      <c r="B103" s="17">
        <v>-2.0437539000000001E-2</v>
      </c>
      <c r="C103" s="17">
        <v>1.4567375E-2</v>
      </c>
      <c r="D103" s="17">
        <v>-4.9020109999999999E-2</v>
      </c>
      <c r="E103" s="17">
        <v>2.5978683999999998E-2</v>
      </c>
      <c r="F103" s="17">
        <v>3.9126991999999999E-2</v>
      </c>
      <c r="G103" s="17">
        <v>-9.1911789999999993E-2</v>
      </c>
      <c r="H103" s="17">
        <v>-0.19727022000000002</v>
      </c>
      <c r="I103" s="17">
        <v>5.8694839999999998E-2</v>
      </c>
      <c r="J103" s="17">
        <v>-2.8772532999999999E-2</v>
      </c>
      <c r="K103" s="17">
        <v>-5.0650953999999998E-2</v>
      </c>
      <c r="L103" s="17">
        <v>-9.9511740000000001E-3</v>
      </c>
      <c r="M103" s="17">
        <v>-5.0947484999999994E-2</v>
      </c>
      <c r="N103" s="17">
        <v>-5.4187180000000001E-2</v>
      </c>
      <c r="O103" s="17">
        <v>4.8941373999999999E-3</v>
      </c>
      <c r="P103" s="17"/>
      <c r="Q103" s="17"/>
      <c r="R103" s="17"/>
      <c r="S103" s="17"/>
      <c r="T103" s="17"/>
      <c r="U103" s="17"/>
      <c r="V103" s="17"/>
    </row>
    <row r="104" spans="1:22" x14ac:dyDescent="0.3">
      <c r="A104" s="2">
        <v>44785</v>
      </c>
      <c r="B104" s="17">
        <v>5.7157039999999999E-2</v>
      </c>
      <c r="C104" s="17">
        <v>0.12741863</v>
      </c>
      <c r="D104" s="17">
        <v>3.8799405000000002E-2</v>
      </c>
      <c r="E104" s="17">
        <v>-2.0117938999999998E-2</v>
      </c>
      <c r="F104" s="17">
        <v>0.15662527000000001</v>
      </c>
      <c r="G104" s="17">
        <v>4.5546530000000002E-2</v>
      </c>
      <c r="H104" s="17">
        <v>3.4969449999999999E-2</v>
      </c>
      <c r="I104" s="17">
        <v>-5.8822629999999996E-3</v>
      </c>
      <c r="J104" s="17">
        <v>9.5469589999999993E-2</v>
      </c>
      <c r="K104" s="17">
        <v>0.11484897999999999</v>
      </c>
      <c r="L104" s="17">
        <v>8.1547499999999995E-2</v>
      </c>
      <c r="M104" s="17">
        <v>0.10736501999999999</v>
      </c>
      <c r="N104" s="17">
        <v>0.1028645</v>
      </c>
      <c r="O104" s="17">
        <v>0.11669945999999999</v>
      </c>
      <c r="P104" s="17"/>
      <c r="Q104" s="17"/>
      <c r="R104" s="17"/>
      <c r="S104" s="17"/>
      <c r="T104" s="17"/>
      <c r="U104" s="17"/>
      <c r="V104" s="17"/>
    </row>
    <row r="105" spans="1:22" x14ac:dyDescent="0.3">
      <c r="A105" s="2">
        <v>44817</v>
      </c>
      <c r="B105" s="17">
        <v>-5.1951113E-2</v>
      </c>
      <c r="C105" s="17">
        <v>-7.9606650000000001E-2</v>
      </c>
      <c r="D105" s="17">
        <v>-5.5578709999999996E-2</v>
      </c>
      <c r="E105" s="17">
        <v>4.2123913999999998E-2</v>
      </c>
      <c r="F105" s="17">
        <v>-0.11105060999999999</v>
      </c>
      <c r="G105" s="17">
        <v>9.6809863999999996E-4</v>
      </c>
      <c r="H105" s="17">
        <v>-3.8127660000000001E-2</v>
      </c>
      <c r="I105" s="17">
        <v>-6.6187979999999993E-2</v>
      </c>
      <c r="J105" s="17">
        <v>-8.6972000000000008E-2</v>
      </c>
      <c r="K105" s="17">
        <v>-7.1689425000000001E-2</v>
      </c>
      <c r="L105" s="17">
        <v>-9.9772029999999998E-2</v>
      </c>
      <c r="M105" s="17">
        <v>-0.10434532000000001</v>
      </c>
      <c r="N105" s="17">
        <v>-6.8870544000000006E-2</v>
      </c>
      <c r="O105" s="17">
        <v>-8.1271529999999995E-2</v>
      </c>
      <c r="P105" s="17"/>
      <c r="Q105" s="17"/>
      <c r="R105" s="17"/>
      <c r="S105" s="17"/>
      <c r="T105" s="17"/>
      <c r="U105" s="17"/>
      <c r="V105" s="17"/>
    </row>
    <row r="106" spans="1:22" x14ac:dyDescent="0.3">
      <c r="A106" s="2">
        <v>44847</v>
      </c>
      <c r="B106" s="17">
        <v>-9.0565259999999995E-2</v>
      </c>
      <c r="C106" s="17">
        <v>-6.516081E-2</v>
      </c>
      <c r="D106" s="17">
        <v>-2.2896349999999999E-2</v>
      </c>
      <c r="E106" s="17">
        <v>2.7513622999999997E-2</v>
      </c>
      <c r="F106" s="17">
        <v>-8.3081539999999995E-2</v>
      </c>
      <c r="G106" s="17">
        <v>-2.4177969000000001E-2</v>
      </c>
      <c r="H106" s="17">
        <v>1.7309069999999999E-2</v>
      </c>
      <c r="I106" s="17">
        <v>-7.4731350000000002E-2</v>
      </c>
      <c r="J106" s="17">
        <v>-8.0618440000000013E-2</v>
      </c>
      <c r="K106" s="17">
        <v>-6.4596233000000003E-2</v>
      </c>
      <c r="L106" s="17">
        <v>-4.2267264999999998E-2</v>
      </c>
      <c r="M106" s="17">
        <v>-8.8118789999999989E-2</v>
      </c>
      <c r="N106" s="17">
        <v>-7.0160627000000003E-2</v>
      </c>
      <c r="O106" s="17">
        <v>-6.6003323000000003E-2</v>
      </c>
      <c r="P106" s="17"/>
      <c r="Q106" s="17"/>
      <c r="R106" s="17"/>
      <c r="S106" s="17"/>
      <c r="T106" s="17"/>
      <c r="U106" s="17"/>
      <c r="V106" s="17"/>
    </row>
    <row r="107" spans="1:22" x14ac:dyDescent="0.3">
      <c r="A107" s="2">
        <v>44876</v>
      </c>
      <c r="B107" s="17">
        <v>7.5987816E-2</v>
      </c>
      <c r="C107" s="17">
        <v>8.8914389999999996E-2</v>
      </c>
      <c r="D107" s="17">
        <v>6.2294245000000005E-2</v>
      </c>
      <c r="E107" s="17">
        <v>-5.2892566000000002E-2</v>
      </c>
      <c r="F107" s="17">
        <v>7.1200013000000006E-2</v>
      </c>
      <c r="G107" s="17">
        <v>-4.9554109999999998E-3</v>
      </c>
      <c r="H107" s="17">
        <v>3.2403946000000003E-2</v>
      </c>
      <c r="I107" s="17">
        <v>-1.2693703000000001E-2</v>
      </c>
      <c r="J107" s="17">
        <v>0.17816947999999999</v>
      </c>
      <c r="K107" s="17">
        <v>0.11022579</v>
      </c>
      <c r="L107" s="17">
        <v>0.11734795999999999</v>
      </c>
      <c r="M107" s="17">
        <v>0.23488962000000002</v>
      </c>
      <c r="N107" s="17">
        <v>0.24363636</v>
      </c>
      <c r="O107" s="17">
        <v>0.10468185000000001</v>
      </c>
      <c r="P107" s="17"/>
      <c r="Q107" s="17"/>
      <c r="R107" s="17"/>
      <c r="S107" s="17"/>
      <c r="T107" s="17"/>
      <c r="U107" s="17"/>
      <c r="V107" s="17"/>
    </row>
    <row r="108" spans="1:22" x14ac:dyDescent="0.3">
      <c r="A108" s="2">
        <v>44908</v>
      </c>
      <c r="B108" s="17">
        <v>3.4155129999999999E-2</v>
      </c>
      <c r="C108" s="17">
        <v>8.68237E-3</v>
      </c>
      <c r="D108" s="17">
        <v>2.4003386000000002E-2</v>
      </c>
      <c r="E108" s="17">
        <v>-1.8150091E-2</v>
      </c>
      <c r="F108" s="17">
        <v>2.396226E-3</v>
      </c>
      <c r="G108" s="17">
        <v>-1.1454165000000001E-2</v>
      </c>
      <c r="H108" s="17">
        <v>-0.12120283000000001</v>
      </c>
      <c r="I108" s="17">
        <v>0.10275531</v>
      </c>
      <c r="J108" s="17">
        <v>4.1095853000000002E-2</v>
      </c>
      <c r="K108" s="17">
        <v>-1.5833377999999999E-2</v>
      </c>
      <c r="L108" s="17">
        <v>2.0099760000000001E-2</v>
      </c>
      <c r="M108" s="17">
        <v>2.0455002999999999E-2</v>
      </c>
      <c r="N108" s="17">
        <v>2.6166676999999999E-2</v>
      </c>
      <c r="O108" s="17">
        <v>1.4769793E-2</v>
      </c>
      <c r="P108" s="17"/>
      <c r="Q108" s="17"/>
      <c r="R108" s="17"/>
      <c r="S108" s="17"/>
      <c r="T108" s="17"/>
      <c r="U108" s="17"/>
      <c r="V108" s="17"/>
    </row>
    <row r="109" spans="1:22" x14ac:dyDescent="0.3">
      <c r="A109" s="2">
        <v>44939</v>
      </c>
      <c r="B109" s="17">
        <v>6.3488482999999998E-2</v>
      </c>
      <c r="C109" s="17">
        <v>-4.0247440000000002E-3</v>
      </c>
      <c r="D109" s="17">
        <v>6.0827254999999997E-2</v>
      </c>
      <c r="E109" s="17">
        <v>-1.4883398999999999E-2</v>
      </c>
      <c r="F109" s="17">
        <v>-2.4241567000000002E-2</v>
      </c>
      <c r="G109" s="17">
        <v>-1.1297524000000001E-2</v>
      </c>
      <c r="H109" s="17">
        <v>6.2849163999999999E-2</v>
      </c>
      <c r="I109" s="17">
        <v>-6.4319369999999996E-3</v>
      </c>
      <c r="J109" s="17">
        <v>5.1169514999999999E-2</v>
      </c>
      <c r="K109" s="17">
        <v>4.4311522999999998E-2</v>
      </c>
      <c r="L109" s="17">
        <v>1.5200377000000001E-2</v>
      </c>
      <c r="M109" s="17">
        <v>2.1663785000000001E-2</v>
      </c>
      <c r="N109" s="17">
        <v>7.0860505000000004E-2</v>
      </c>
      <c r="O109" s="17">
        <v>8.2557199999999994E-3</v>
      </c>
      <c r="P109" s="17"/>
      <c r="Q109" s="17"/>
      <c r="R109" s="17"/>
      <c r="S109" s="17"/>
      <c r="T109" s="17"/>
      <c r="U109" s="17"/>
      <c r="V109" s="17"/>
    </row>
    <row r="110" spans="1:22" x14ac:dyDescent="0.3">
      <c r="A110" s="2">
        <v>44970</v>
      </c>
      <c r="B110" s="17">
        <v>-1.6611338E-2</v>
      </c>
      <c r="C110" s="17">
        <v>3.595984E-2</v>
      </c>
      <c r="D110" s="17">
        <v>-3.5130918000000004E-2</v>
      </c>
      <c r="E110" s="17">
        <v>1.5653490999999999E-2</v>
      </c>
      <c r="F110" s="17">
        <v>8.3745589999999995E-2</v>
      </c>
      <c r="G110" s="17">
        <v>3.9426445999999997E-2</v>
      </c>
      <c r="H110" s="17">
        <v>-1.4454663000000001E-2</v>
      </c>
      <c r="I110" s="17">
        <v>-2.0838199999999998E-2</v>
      </c>
      <c r="J110" s="17">
        <v>1.0783076000000001E-2</v>
      </c>
      <c r="K110" s="17">
        <v>-1.1643886999999999E-2</v>
      </c>
      <c r="L110" s="17">
        <v>2.3251653000000001E-2</v>
      </c>
      <c r="M110" s="17">
        <v>1.2157202000000001E-2</v>
      </c>
      <c r="N110" s="17">
        <v>3.2748103000000001E-2</v>
      </c>
      <c r="O110" s="17">
        <v>2.9006957999999999E-2</v>
      </c>
      <c r="P110" s="17"/>
      <c r="Q110" s="17"/>
      <c r="R110" s="17"/>
      <c r="S110" s="17"/>
      <c r="T110" s="17"/>
      <c r="U110" s="17"/>
      <c r="V110" s="17"/>
    </row>
    <row r="111" spans="1:22" x14ac:dyDescent="0.3">
      <c r="A111" s="2">
        <v>44998</v>
      </c>
      <c r="B111" s="17">
        <v>-5.6949734999999994E-2</v>
      </c>
      <c r="C111" s="17">
        <v>-6.6540719999999998E-2</v>
      </c>
      <c r="D111" s="17">
        <v>3.1192063999999999E-2</v>
      </c>
      <c r="E111" s="17">
        <v>6.8100689999999993E-3</v>
      </c>
      <c r="F111" s="17">
        <v>-4.5353054999999996E-2</v>
      </c>
      <c r="G111" s="17">
        <v>-1.8226564000000001E-2</v>
      </c>
      <c r="H111" s="17">
        <v>-5.4026659999999997E-2</v>
      </c>
      <c r="I111" s="17">
        <v>1.7584443000000002E-2</v>
      </c>
      <c r="J111" s="17">
        <v>-4.3984889999999999E-2</v>
      </c>
      <c r="K111" s="17">
        <v>-4.3330726999999999E-2</v>
      </c>
      <c r="L111" s="17">
        <v>-3.184712E-2</v>
      </c>
      <c r="M111" s="17">
        <v>-6.5083740000000001E-2</v>
      </c>
      <c r="N111" s="17">
        <v>-4.8708735000000003E-2</v>
      </c>
      <c r="O111" s="17">
        <v>-6.0949802000000004E-2</v>
      </c>
      <c r="P111" s="17"/>
      <c r="Q111" s="17"/>
      <c r="R111" s="17"/>
      <c r="S111" s="17"/>
      <c r="T111" s="17"/>
      <c r="U111" s="17"/>
      <c r="V111" s="17"/>
    </row>
    <row r="112" spans="1:22" x14ac:dyDescent="0.3">
      <c r="A112" s="2">
        <v>45029</v>
      </c>
      <c r="B112" s="17">
        <v>4.6817302999999998E-2</v>
      </c>
      <c r="C112" s="17">
        <v>7.7088593999999996E-2</v>
      </c>
      <c r="D112" s="17">
        <v>6.6681622999999995E-2</v>
      </c>
      <c r="E112" s="17">
        <v>-2.0291923999999999E-2</v>
      </c>
      <c r="F112" s="17">
        <v>9.9668389999999996E-2</v>
      </c>
      <c r="G112" s="17">
        <v>4.7165155E-2</v>
      </c>
      <c r="H112" s="17">
        <v>9.3054059999999994E-2</v>
      </c>
      <c r="I112" s="17">
        <v>4.6052933000000004E-3</v>
      </c>
      <c r="J112" s="17">
        <v>8.7921139999999995E-2</v>
      </c>
      <c r="K112" s="17">
        <v>5.6981799999999999E-2</v>
      </c>
      <c r="L112" s="17">
        <v>4.694164E-2</v>
      </c>
      <c r="M112" s="17">
        <v>8.7541100000000011E-2</v>
      </c>
      <c r="N112" s="17">
        <v>8.969068999999999E-2</v>
      </c>
      <c r="O112" s="17">
        <v>7.6534749999999999E-2</v>
      </c>
      <c r="P112" s="17"/>
      <c r="Q112" s="17"/>
      <c r="R112" s="17"/>
      <c r="S112" s="17"/>
      <c r="T112" s="17"/>
      <c r="U112" s="17"/>
      <c r="V112" s="17"/>
    </row>
    <row r="113" spans="1:22" x14ac:dyDescent="0.3">
      <c r="A113" s="2">
        <v>45058</v>
      </c>
      <c r="B113" s="17">
        <v>-3.1066536999999998E-2</v>
      </c>
      <c r="C113" s="17">
        <v>-4.5468807000000003E-3</v>
      </c>
      <c r="D113" s="17">
        <v>-1.5338421E-2</v>
      </c>
      <c r="E113" s="17">
        <v>2.1075605999999997E-2</v>
      </c>
      <c r="F113" s="17">
        <v>1.8360019000000002E-2</v>
      </c>
      <c r="G113" s="17">
        <v>-1.9166469999999998E-3</v>
      </c>
      <c r="H113" s="17">
        <v>-0.12991618999999999</v>
      </c>
      <c r="I113" s="17">
        <v>-1.4229536000000001E-2</v>
      </c>
      <c r="J113" s="17">
        <v>-9.3443394000000003E-3</v>
      </c>
      <c r="K113" s="17">
        <v>-2.1129549000000001E-2</v>
      </c>
      <c r="L113" s="17">
        <v>2.2418499999999997E-2</v>
      </c>
      <c r="M113" s="17">
        <v>-1.0164917000000001E-2</v>
      </c>
      <c r="N113" s="17">
        <v>-1.2298942E-2</v>
      </c>
      <c r="O113" s="17">
        <v>-5.6104064000000002E-3</v>
      </c>
      <c r="P113" s="17"/>
      <c r="Q113" s="17"/>
      <c r="R113" s="17"/>
      <c r="S113" s="17"/>
      <c r="T113" s="17"/>
      <c r="U113" s="17"/>
      <c r="V113" s="17"/>
    </row>
    <row r="114" spans="1:22" x14ac:dyDescent="0.3">
      <c r="A114" s="2">
        <v>45090</v>
      </c>
      <c r="B114" s="17">
        <v>4.2665959999999996E-2</v>
      </c>
      <c r="C114" s="17">
        <v>6.0910105999999999E-2</v>
      </c>
      <c r="D114" s="17">
        <v>-3.3563554000000002E-2</v>
      </c>
      <c r="E114" s="17">
        <v>1.0676145999999999E-2</v>
      </c>
      <c r="F114" s="17">
        <v>0.11761998999999999</v>
      </c>
      <c r="G114" s="17">
        <v>2.2563577000000001E-2</v>
      </c>
      <c r="H114" s="17" t="e">
        <v>#N/A</v>
      </c>
      <c r="I114" s="17">
        <v>-2.6776729999999999E-2</v>
      </c>
      <c r="J114" s="17">
        <v>-4.6362877E-3</v>
      </c>
      <c r="K114" s="17">
        <v>7.2526096999999998E-2</v>
      </c>
      <c r="L114" s="17">
        <v>6.2431096999999998E-2</v>
      </c>
      <c r="M114" s="17">
        <v>0</v>
      </c>
      <c r="N114" s="17">
        <v>4.9101114000000001E-3</v>
      </c>
      <c r="O114" s="17">
        <v>4.5447350000000004E-2</v>
      </c>
      <c r="P114" s="17"/>
      <c r="Q114" s="17"/>
      <c r="R114" s="17"/>
      <c r="S114" s="17"/>
      <c r="T114" s="17"/>
      <c r="U114" s="17"/>
      <c r="V114" s="17"/>
    </row>
    <row r="115" spans="1:22" x14ac:dyDescent="0.3">
      <c r="A115" s="2">
        <v>45120</v>
      </c>
      <c r="B115" s="17">
        <v>2.7202130000000001E-2</v>
      </c>
      <c r="C115" s="17">
        <v>3.3380627999999996E-2</v>
      </c>
      <c r="D115" s="17">
        <v>8.1422330000000005E-3</v>
      </c>
      <c r="E115" s="17">
        <v>-2.9225349999999997E-2</v>
      </c>
      <c r="F115" s="17">
        <v>4.5176505999999998E-2</v>
      </c>
      <c r="G115" s="17">
        <v>2.3474693000000001E-3</v>
      </c>
      <c r="H115" s="17" t="e">
        <v>#N/A</v>
      </c>
      <c r="I115" s="17">
        <v>9.4575879999999994E-3</v>
      </c>
      <c r="J115" s="17">
        <v>3.7711263000000002E-2</v>
      </c>
      <c r="K115" s="17">
        <v>1.8757105E-2</v>
      </c>
      <c r="L115" s="17">
        <v>-5.1959752999999999E-3</v>
      </c>
      <c r="M115" s="17">
        <v>2.3313879999999999E-2</v>
      </c>
      <c r="N115" s="17">
        <v>7.9752563999999998E-2</v>
      </c>
      <c r="O115" s="17">
        <v>3.2777547999999997E-2</v>
      </c>
      <c r="P115" s="17"/>
      <c r="Q115" s="17"/>
      <c r="R115" s="17"/>
      <c r="S115" s="17"/>
      <c r="T115" s="17"/>
      <c r="U115" s="17"/>
      <c r="V115" s="17"/>
    </row>
    <row r="116" spans="1:22" x14ac:dyDescent="0.3">
      <c r="A116" s="2">
        <v>45149</v>
      </c>
      <c r="B116" s="17">
        <v>-3.2235026E-2</v>
      </c>
      <c r="C116" s="17">
        <v>-8.6973906000000004E-3</v>
      </c>
      <c r="D116" s="17">
        <v>-2.4229348000000001E-2</v>
      </c>
      <c r="E116" s="17">
        <v>3.6271334000000002E-2</v>
      </c>
      <c r="F116" s="17">
        <v>-3.4049868999999996E-2</v>
      </c>
      <c r="G116" s="17">
        <v>2.8102398000000002E-3</v>
      </c>
      <c r="H116" s="17" t="e">
        <v>#N/A</v>
      </c>
      <c r="I116" s="17">
        <v>-6.1365009999999998E-2</v>
      </c>
      <c r="J116" s="17">
        <v>-2.7887225000000002E-2</v>
      </c>
      <c r="K116" s="17">
        <v>-4.0728989999999993E-2</v>
      </c>
      <c r="L116" s="17">
        <v>-2.8648317E-2</v>
      </c>
      <c r="M116" s="17">
        <v>-7.6484919999999998E-2</v>
      </c>
      <c r="N116" s="17">
        <v>-3.7081659999999995E-2</v>
      </c>
      <c r="O116" s="17">
        <v>-1.6616821E-2</v>
      </c>
      <c r="P116" s="17"/>
      <c r="Q116" s="17"/>
      <c r="R116" s="17"/>
      <c r="S116" s="17"/>
      <c r="T116" s="17"/>
      <c r="U116" s="17"/>
      <c r="V116" s="17"/>
    </row>
    <row r="117" spans="1:22" x14ac:dyDescent="0.3">
      <c r="A117" s="2">
        <v>45182</v>
      </c>
      <c r="B117" s="17">
        <v>-7.8374743000000011E-3</v>
      </c>
      <c r="C117" s="17">
        <v>1.92976E-3</v>
      </c>
      <c r="D117" s="17">
        <v>-2.9279589999999999E-3</v>
      </c>
      <c r="E117" s="17">
        <v>2.4151205999999998E-2</v>
      </c>
      <c r="F117" s="17">
        <v>2.1761656000000001E-2</v>
      </c>
      <c r="G117" s="17">
        <v>3.2695055000000001E-2</v>
      </c>
      <c r="H117" s="17" t="e">
        <v>#N/A</v>
      </c>
      <c r="I117" s="17">
        <v>-9.1577169999999992E-3</v>
      </c>
      <c r="J117" s="17">
        <v>-3.4521877999999999E-2</v>
      </c>
      <c r="K117" s="17">
        <v>-5.040765E-3</v>
      </c>
      <c r="L117" s="17">
        <v>1.4828086000000001E-2</v>
      </c>
      <c r="M117" s="17">
        <v>-4.8164424999999997E-2</v>
      </c>
      <c r="N117" s="17">
        <v>-2.0037591E-2</v>
      </c>
      <c r="O117" s="17">
        <v>-2.8029680000000003E-3</v>
      </c>
      <c r="P117" s="17"/>
      <c r="Q117" s="17"/>
      <c r="R117" s="17"/>
      <c r="S117" s="17"/>
      <c r="T117" s="17"/>
      <c r="U117" s="17"/>
      <c r="V117" s="17"/>
    </row>
    <row r="118" spans="1:22" x14ac:dyDescent="0.3">
      <c r="A118" s="2">
        <v>45212</v>
      </c>
      <c r="B118" s="17">
        <v>-2.8675258000000002E-2</v>
      </c>
      <c r="C118" s="17">
        <v>-3.0165552999999998E-2</v>
      </c>
      <c r="D118" s="17">
        <v>9.8825692999999996E-3</v>
      </c>
      <c r="E118" s="17">
        <v>2.2898196999999999E-2</v>
      </c>
      <c r="F118" s="17">
        <v>-2.2453248999999998E-2</v>
      </c>
      <c r="G118" s="17">
        <v>-1.809144E-2</v>
      </c>
      <c r="H118" s="17" t="e">
        <v>#N/A</v>
      </c>
      <c r="I118" s="17">
        <v>-6.7060709999999996E-2</v>
      </c>
      <c r="J118" s="17">
        <v>-2.9004693000000002E-2</v>
      </c>
      <c r="K118" s="17">
        <v>-3.2151222E-2</v>
      </c>
      <c r="L118" s="17">
        <v>-4.3352546999999998E-2</v>
      </c>
      <c r="M118" s="17">
        <v>2.7152180000000001E-2</v>
      </c>
      <c r="N118" s="17">
        <v>-3.9297103999999999E-2</v>
      </c>
      <c r="O118" s="17">
        <v>-3.083837E-2</v>
      </c>
      <c r="P118" s="17"/>
      <c r="Q118" s="17"/>
      <c r="R118" s="17"/>
      <c r="S118" s="17"/>
      <c r="T118" s="17"/>
      <c r="U118" s="17"/>
      <c r="V118" s="17"/>
    </row>
    <row r="119" spans="1:22" x14ac:dyDescent="0.3">
      <c r="A119" s="2">
        <v>45243</v>
      </c>
      <c r="B119" s="17">
        <v>1.0761023000000002E-2</v>
      </c>
      <c r="C119" s="17">
        <v>2.0139098000000001E-2</v>
      </c>
      <c r="D119" s="17">
        <v>9.3944070000000005E-3</v>
      </c>
      <c r="E119" s="17">
        <v>-4.3435097000000004E-3</v>
      </c>
      <c r="F119" s="17">
        <v>3.2659887999999998E-2</v>
      </c>
      <c r="G119" s="17">
        <v>2.9940247999999999E-2</v>
      </c>
      <c r="H119" s="17" t="e">
        <v>#N/A</v>
      </c>
      <c r="I119" s="17">
        <v>5.4255724000000002E-3</v>
      </c>
      <c r="J119" s="17">
        <v>1.5454054E-2</v>
      </c>
      <c r="K119" s="17">
        <v>1.9528865999999999E-2</v>
      </c>
      <c r="L119" s="17">
        <v>1.4434338E-2</v>
      </c>
      <c r="M119" s="17">
        <v>-6.0078500000000003E-3</v>
      </c>
      <c r="N119" s="17">
        <v>4.3565034999999995E-2</v>
      </c>
      <c r="O119" s="17">
        <v>1.8229960999999999E-2</v>
      </c>
      <c r="P119" s="17"/>
      <c r="Q119" s="17"/>
      <c r="R119" s="17"/>
      <c r="S119" s="17"/>
      <c r="T119" s="17"/>
      <c r="U119" s="17"/>
      <c r="V119" s="17"/>
    </row>
    <row r="120" spans="1:22" x14ac:dyDescent="0.3">
      <c r="A120" s="2">
        <v>45273</v>
      </c>
      <c r="B120" s="17">
        <v>3.346002E-2</v>
      </c>
      <c r="C120" s="17">
        <v>6.8856596999999992E-2</v>
      </c>
      <c r="D120" s="17">
        <v>3.9443850000000003E-2</v>
      </c>
      <c r="E120" s="17">
        <v>-2.1140933000000001E-2</v>
      </c>
      <c r="F120" s="17">
        <v>7.0332169999999999E-2</v>
      </c>
      <c r="G120" s="17">
        <v>-2.8622627000000001E-2</v>
      </c>
      <c r="H120" s="17" t="e">
        <v>#N/A</v>
      </c>
      <c r="I120" s="17">
        <v>0.10651422000000001</v>
      </c>
      <c r="J120" s="17">
        <v>8.5157279999999988E-2</v>
      </c>
      <c r="K120" s="17">
        <v>6.4968467000000002E-2</v>
      </c>
      <c r="L120" s="17">
        <v>5.9066890000000004E-2</v>
      </c>
      <c r="M120" s="17">
        <v>0.15865814</v>
      </c>
      <c r="N120" s="17">
        <v>7.9668639999999999E-2</v>
      </c>
      <c r="O120" s="17">
        <v>7.1533203000000004E-2</v>
      </c>
      <c r="P120" s="17"/>
      <c r="Q120" s="17"/>
      <c r="R120" s="17"/>
      <c r="S120" s="17"/>
      <c r="T120" s="17"/>
      <c r="U120" s="17"/>
      <c r="V120" s="17"/>
    </row>
    <row r="121" spans="1:22" x14ac:dyDescent="0.3">
      <c r="A121" s="2">
        <v>45303</v>
      </c>
      <c r="B121" s="17">
        <v>1.2494921999999999E-2</v>
      </c>
      <c r="C121" s="17">
        <v>1.7249583999999998E-2</v>
      </c>
      <c r="D121" s="17">
        <v>1.1085629999999999E-2</v>
      </c>
      <c r="E121" s="17">
        <v>1.1160374E-3</v>
      </c>
      <c r="F121" s="17">
        <v>1.6962409000000001E-2</v>
      </c>
      <c r="G121" s="17">
        <v>-7.7477694E-3</v>
      </c>
      <c r="H121" s="17" t="e">
        <v>#N/A</v>
      </c>
      <c r="I121" s="17">
        <v>-1.7935038E-4</v>
      </c>
      <c r="J121" s="17">
        <v>9.7708700000000009E-3</v>
      </c>
      <c r="K121" s="17">
        <v>2.3560405000000003E-2</v>
      </c>
      <c r="L121" s="17">
        <v>5.2434324999999997E-2</v>
      </c>
      <c r="M121" s="17">
        <v>9.7273589999999997E-3</v>
      </c>
      <c r="N121" s="17">
        <v>1.2914896E-2</v>
      </c>
      <c r="O121" s="17">
        <v>1.7988324E-2</v>
      </c>
      <c r="P121" s="17"/>
      <c r="Q121" s="17"/>
      <c r="R121" s="17"/>
      <c r="S121" s="17"/>
      <c r="T121" s="17"/>
      <c r="U121" s="17"/>
      <c r="V121" s="17"/>
    </row>
    <row r="122" spans="1:22" x14ac:dyDescent="0.3">
      <c r="A122" s="2">
        <v>45335</v>
      </c>
      <c r="B122" s="17">
        <v>-8.6612104999999988E-3</v>
      </c>
      <c r="C122" s="17">
        <v>3.6502479999999997E-2</v>
      </c>
      <c r="D122" s="17">
        <v>-2.7304887999999999E-2</v>
      </c>
      <c r="E122" s="17">
        <v>2.8779506999999999E-2</v>
      </c>
      <c r="F122" s="17">
        <v>4.6366810000000001E-2</v>
      </c>
      <c r="G122" s="17">
        <v>6.6957710000000004E-2</v>
      </c>
      <c r="H122" s="17" t="e">
        <v>#N/A</v>
      </c>
      <c r="I122" s="17">
        <v>-4.0183067000000003E-2</v>
      </c>
      <c r="J122" s="17">
        <v>-1.5089571E-2</v>
      </c>
      <c r="K122" s="17">
        <v>6.9661139999999998E-3</v>
      </c>
      <c r="L122" s="17">
        <v>4.6665667999999999E-3</v>
      </c>
      <c r="M122" s="17">
        <v>-2.329266E-2</v>
      </c>
      <c r="N122" s="27">
        <v>-1.3573288999999999E-2</v>
      </c>
      <c r="O122">
        <v>2.2568226E-2</v>
      </c>
    </row>
    <row r="123" spans="1:22" x14ac:dyDescent="0.3">
      <c r="A123" s="2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</row>
    <row r="124" spans="1:22" x14ac:dyDescent="0.3">
      <c r="A124" s="2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</row>
    <row r="125" spans="1:22" x14ac:dyDescent="0.3"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</row>
    <row r="126" spans="1:22" x14ac:dyDescent="0.3">
      <c r="A126" t="s">
        <v>91</v>
      </c>
      <c r="B126" s="17" cm="1">
        <f t="array" ref="B126">MAX(_xlfn._xlws.FILTER(B1:B122, ISNUMBER(B1:B122)))</f>
        <v>0.13432336</v>
      </c>
      <c r="C126" s="17" cm="1">
        <f t="array" ref="C126">MAX(_xlfn._xlws.FILTER(C1:C122, ISNUMBER(C1:C122)))</f>
        <v>0.12741863</v>
      </c>
      <c r="D126" s="17" cm="1">
        <f t="array" ref="D126">MAX(_xlfn._xlws.FILTER(D1:D122, ISNUMBER(D1:D122)))</f>
        <v>0.13025212</v>
      </c>
      <c r="E126" s="17" cm="1">
        <f t="array" ref="E126">MAX(_xlfn._xlws.FILTER(E1:E122, ISNUMBER(E1:E122)))</f>
        <v>6.3428283000000002E-2</v>
      </c>
      <c r="F126" s="17" cm="1">
        <f t="array" ref="F126">MAX(_xlfn._xlws.FILTER(F1:F122, ISNUMBER(F1:F122)))</f>
        <v>0.15662527000000001</v>
      </c>
      <c r="G126" s="17" cm="1">
        <f t="array" ref="G126">MAX(_xlfn._xlws.FILTER(G1:G122, ISNUMBER(G1:G122)))</f>
        <v>0.12907028000000001</v>
      </c>
      <c r="H126" s="17" cm="1">
        <f t="array" ref="H126">MAX(_xlfn._xlws.FILTER(H1:H122, ISNUMBER(H1:H122)))</f>
        <v>0.3167218</v>
      </c>
      <c r="I126" s="17" cm="1">
        <f t="array" ref="I126">MAX(_xlfn._xlws.FILTER(I1:I122, ISNUMBER(I1:I122)))</f>
        <v>0.10651422000000001</v>
      </c>
      <c r="J126" s="17" cm="1">
        <f t="array" ref="J126">MAX(_xlfn._xlws.FILTER(J1:J122, ISNUMBER(J1:J122)))</f>
        <v>0.17816947999999999</v>
      </c>
      <c r="K126" s="17" cm="1">
        <f t="array" ref="K126">MAX(_xlfn._xlws.FILTER(K1:K122, ISNUMBER(K1:K122)))</f>
        <v>0.12630069999999999</v>
      </c>
      <c r="L126" s="17" cm="1">
        <f t="array" ref="L126">MAX(_xlfn._xlws.FILTER(L1:L122, ISNUMBER(L1:L122)))</f>
        <v>0.11734795999999999</v>
      </c>
      <c r="M126" s="17" cm="1">
        <f t="array" ref="M126">MAX(_xlfn._xlws.FILTER(M1:M122, ISNUMBER(M1:M122)))</f>
        <v>0.23488962000000002</v>
      </c>
      <c r="N126" s="17" cm="1">
        <f t="array" ref="N126">MAX(_xlfn._xlws.FILTER(N1:N122, ISNUMBER(N1:N122)))</f>
        <v>0.24363636</v>
      </c>
      <c r="O126" s="17" cm="1">
        <f t="array" ref="O126">MAX(_xlfn._xlws.FILTER(O1:O122, ISNUMBER(O1:O122)))</f>
        <v>0.11669945999999999</v>
      </c>
    </row>
    <row r="127" spans="1:22" x14ac:dyDescent="0.3">
      <c r="A127" t="s">
        <v>28</v>
      </c>
      <c r="B127" s="17" cm="1">
        <f t="array" ref="B127">MIN(_xlfn._xlws.FILTER(B2:B122, ISNUMBER(B2:B122)))</f>
        <v>-0.18148655000000002</v>
      </c>
      <c r="C127" s="17" cm="1">
        <f t="array" ref="C127">MIN(_xlfn._xlws.FILTER(C2:C122, ISNUMBER(C2:C122)))</f>
        <v>-0.20097310000000002</v>
      </c>
      <c r="D127" s="17" cm="1">
        <f t="array" ref="D127">MIN(_xlfn._xlws.FILTER(D2:D122, ISNUMBER(D2:D122)))</f>
        <v>-8.5892259999999998E-2</v>
      </c>
      <c r="E127" s="17" cm="1">
        <f t="array" ref="E127">MIN(_xlfn._xlws.FILTER(E2:E122, ISNUMBER(E2:E122)))</f>
        <v>-6.0282349999999998E-2</v>
      </c>
      <c r="F127" s="17" cm="1">
        <f t="array" ref="F127">MIN(_xlfn._xlws.FILTER(F2:F122, ISNUMBER(F2:F122)))</f>
        <v>-0.17792881000000002</v>
      </c>
      <c r="G127" s="17" cm="1">
        <f t="array" ref="G127">MIN(_xlfn._xlws.FILTER(G2:G122, ISNUMBER(G2:G122)))</f>
        <v>-0.10433685000000001</v>
      </c>
      <c r="H127" s="17" cm="1">
        <f t="array" ref="H127">MIN(_xlfn._xlws.FILTER(H2:H122, ISNUMBER(H2:H122)))</f>
        <v>-0.34176125000000002</v>
      </c>
      <c r="I127" s="17" cm="1">
        <f t="array" ref="I127">MIN(_xlfn._xlws.FILTER(I2:I122, ISNUMBER(I2:I122)))</f>
        <v>-8.5258600000000004E-2</v>
      </c>
      <c r="J127" s="17" cm="1">
        <f t="array" ref="J127">MIN(_xlfn._xlws.FILTER(J2:J122, ISNUMBER(J2:J122)))</f>
        <v>-0.25337897999999998</v>
      </c>
      <c r="K127" s="17" cm="1">
        <f t="array" ref="K127">MIN(_xlfn._xlws.FILTER(K2:K122, ISNUMBER(K2:K122)))</f>
        <v>-0.22437964999999999</v>
      </c>
      <c r="L127" s="17" cm="1">
        <f t="array" ref="L127">MIN(_xlfn._xlws.FILTER(L2:L122, ISNUMBER(L2:L122)))</f>
        <v>-0.21429782999999999</v>
      </c>
      <c r="M127" s="17" cm="1">
        <f t="array" ref="M127">MIN(_xlfn._xlws.FILTER(M2:M122, ISNUMBER(M2:M122)))</f>
        <v>-0.23539823999999998</v>
      </c>
      <c r="N127" s="17" cm="1">
        <f t="array" ref="N127">MIN(_xlfn._xlws.FILTER(N2:N122, ISNUMBER(N2:N122)))</f>
        <v>-0.30494325999999999</v>
      </c>
      <c r="O127" s="17" cm="1">
        <f t="array" ref="O127">MIN(_xlfn._xlws.FILTER(O2:O122, ISNUMBER(O2:O122)))</f>
        <v>-0.21770316999999997</v>
      </c>
      <c r="P127" s="17"/>
      <c r="Q127" s="17"/>
      <c r="R127" s="17"/>
      <c r="S127" s="17"/>
      <c r="T127" s="17"/>
      <c r="U127" s="17"/>
      <c r="V127" s="17"/>
    </row>
    <row r="129" spans="1:15" x14ac:dyDescent="0.3">
      <c r="A129" t="s">
        <v>30</v>
      </c>
      <c r="B129">
        <f>COUNTIF(B2:B122, "&lt;"&amp;#REF!)</f>
        <v>0</v>
      </c>
      <c r="C129">
        <f>COUNTIF(C2:C122, "&lt;"&amp;#REF!)</f>
        <v>0</v>
      </c>
      <c r="D129">
        <f>COUNTIF(D2:D122, "&lt;"&amp;#REF!)</f>
        <v>0</v>
      </c>
      <c r="E129">
        <f>COUNTIF(E2:E122, "&lt;"&amp;#REF!)</f>
        <v>0</v>
      </c>
      <c r="F129">
        <f>COUNTIF(F2:F122, "&lt;"&amp;#REF!)</f>
        <v>0</v>
      </c>
      <c r="G129">
        <f>COUNTIF(G2:G122, "&lt;"&amp;#REF!)</f>
        <v>0</v>
      </c>
      <c r="H129">
        <f>COUNTIF(H2:H122, "&lt;"&amp;#REF!)</f>
        <v>0</v>
      </c>
      <c r="I129">
        <f>COUNTIF(I2:I122, "&lt;"&amp;#REF!)</f>
        <v>0</v>
      </c>
      <c r="J129">
        <f>COUNTIF(J2:J122, "&lt;"&amp;#REF!)</f>
        <v>0</v>
      </c>
      <c r="K129">
        <f>COUNTIF(K2:K122, "&lt;"&amp;#REF!)</f>
        <v>0</v>
      </c>
      <c r="L129">
        <f>COUNTIF(L2:L122, "&lt;"&amp;#REF!)</f>
        <v>0</v>
      </c>
      <c r="M129">
        <f>COUNTIF(M2:M122, "&lt;"&amp;#REF!)</f>
        <v>0</v>
      </c>
      <c r="N129">
        <f>COUNTIF(N2:N122, "&lt;"&amp;#REF!)</f>
        <v>0</v>
      </c>
      <c r="O129">
        <f>COUNTIF(O2:O122, "&lt;"&amp;#REF!)</f>
        <v>0</v>
      </c>
    </row>
    <row r="130" spans="1:15" x14ac:dyDescent="0.3">
      <c r="A130" t="s">
        <v>29</v>
      </c>
      <c r="B130">
        <f t="shared" ref="B130:J130" si="0">COUNT(B1:B122)</f>
        <v>121</v>
      </c>
      <c r="C130">
        <f t="shared" si="0"/>
        <v>121</v>
      </c>
      <c r="D130">
        <f t="shared" si="0"/>
        <v>121</v>
      </c>
      <c r="E130">
        <f t="shared" si="0"/>
        <v>121</v>
      </c>
      <c r="F130">
        <f t="shared" si="0"/>
        <v>121</v>
      </c>
      <c r="G130">
        <f t="shared" si="0"/>
        <v>121</v>
      </c>
      <c r="H130">
        <f t="shared" si="0"/>
        <v>112</v>
      </c>
      <c r="I130">
        <f t="shared" si="0"/>
        <v>121</v>
      </c>
      <c r="J130">
        <f t="shared" si="0"/>
        <v>121</v>
      </c>
      <c r="K130">
        <f t="shared" ref="K130:N130" si="1">COUNT(K1:K122)</f>
        <v>78</v>
      </c>
      <c r="L130">
        <f t="shared" si="1"/>
        <v>121</v>
      </c>
      <c r="M130">
        <f t="shared" si="1"/>
        <v>121</v>
      </c>
      <c r="N130">
        <f t="shared" si="1"/>
        <v>121</v>
      </c>
      <c r="O130">
        <f t="shared" ref="O130" si="2">COUNT(O1:O122)</f>
        <v>121</v>
      </c>
    </row>
    <row r="132" spans="1:15" x14ac:dyDescent="0.3">
      <c r="A132" t="s">
        <v>31</v>
      </c>
      <c r="B132" s="8">
        <f t="shared" ref="B132:J132" si="3">B129/B130</f>
        <v>0</v>
      </c>
      <c r="C132" s="8">
        <f t="shared" si="3"/>
        <v>0</v>
      </c>
      <c r="D132" s="8">
        <f t="shared" si="3"/>
        <v>0</v>
      </c>
      <c r="E132" s="8">
        <f t="shared" si="3"/>
        <v>0</v>
      </c>
      <c r="F132" s="8">
        <f t="shared" si="3"/>
        <v>0</v>
      </c>
      <c r="G132" s="8">
        <f t="shared" si="3"/>
        <v>0</v>
      </c>
      <c r="H132" s="8">
        <f t="shared" si="3"/>
        <v>0</v>
      </c>
      <c r="I132" s="8">
        <f t="shared" si="3"/>
        <v>0</v>
      </c>
      <c r="J132" s="8">
        <f t="shared" si="3"/>
        <v>0</v>
      </c>
      <c r="K132" s="8">
        <f t="shared" ref="K132:N132" si="4">K129/K130</f>
        <v>0</v>
      </c>
      <c r="L132" s="8">
        <f t="shared" si="4"/>
        <v>0</v>
      </c>
      <c r="M132" s="8">
        <f t="shared" si="4"/>
        <v>0</v>
      </c>
      <c r="N132" s="8">
        <f t="shared" si="4"/>
        <v>0</v>
      </c>
      <c r="O132" s="8">
        <f t="shared" ref="O132" si="5">O129/O130</f>
        <v>0</v>
      </c>
    </row>
    <row r="134" spans="1:15" x14ac:dyDescent="0.3">
      <c r="A134" t="s">
        <v>34</v>
      </c>
      <c r="B134" s="8" cm="1">
        <f t="array" ref="B134">_xlfn.PERCENTRANK.EXC(_xlfn._xlws.FILTER(B2:B122, ISNUMBER(B2:B122)),B122)</f>
        <v>0.40100000000000002</v>
      </c>
      <c r="C134" s="8" cm="1">
        <f t="array" ref="C134">_xlfn.PERCENTRANK.EXC(_xlfn._xlws.FILTER(C2:C122, ISNUMBER(C2:C122)),C122)</f>
        <v>0.79500000000000004</v>
      </c>
      <c r="D134" s="8" cm="1">
        <f t="array" ref="D134">_xlfn.PERCENTRANK.EXC(_xlfn._xlws.FILTER(D2:D122, ISNUMBER(D2:D122)),D122)</f>
        <v>0.188</v>
      </c>
      <c r="E134" s="8" cm="1">
        <f t="array" ref="E134">_xlfn.PERCENTRANK.EXC(_xlfn._xlws.FILTER(E2:E122, ISNUMBER(E2:E122)),E122)</f>
        <v>0.91800000000000004</v>
      </c>
      <c r="F134" s="8" cm="1">
        <f t="array" ref="F134">_xlfn.PERCENTRANK.EXC(_xlfn._xlws.FILTER(F2:F122, ISNUMBER(F2:F122)),F122)</f>
        <v>0.71299999999999997</v>
      </c>
      <c r="G134" s="8" cm="1">
        <f t="array" ref="G134">_xlfn.PERCENTRANK.EXC(_xlfn._xlws.FILTER(G2:G122, ISNUMBER(G2:G122)),G122)</f>
        <v>0.95</v>
      </c>
      <c r="H134" s="8" t="e" cm="1">
        <f t="array" ref="H134">_xlfn.PERCENTRANK.EXC(_xlfn._xlws.FILTER(H2:H122, ISNUMBER(H2:H122)),H122)</f>
        <v>#N/A</v>
      </c>
      <c r="I134" s="8" cm="1">
        <f t="array" ref="I134">_xlfn.PERCENTRANK.EXC(_xlfn._xlws.FILTER(I2:I122, ISNUMBER(I2:I122)),I122)</f>
        <v>0.122</v>
      </c>
      <c r="J134" s="8" cm="1">
        <f t="array" ref="J134">_xlfn.PERCENTRANK.EXC(_xlfn._xlws.FILTER(J2:J122, ISNUMBER(J2:J122)),J122)</f>
        <v>0.32700000000000001</v>
      </c>
      <c r="K134" s="8" cm="1">
        <f t="array" ref="K134">_xlfn.PERCENTRANK.EXC(_xlfn._xlws.FILTER(K2:K122, ISNUMBER(K2:K122)),K122)</f>
        <v>0.51800000000000002</v>
      </c>
      <c r="L134" s="8" cm="1">
        <f t="array" ref="L134">_xlfn.PERCENTRANK.EXC(_xlfn._xlws.FILTER(L2:L122, ISNUMBER(L2:L122)),L122)</f>
        <v>0.45900000000000002</v>
      </c>
      <c r="M134" s="8" cm="1">
        <f t="array" ref="M134">_xlfn.PERCENTRANK.EXC(_xlfn._xlws.FILTER(M2:M122, ISNUMBER(M2:M122)),M122)</f>
        <v>0.27800000000000002</v>
      </c>
      <c r="N134" s="8" cm="1">
        <f t="array" ref="N134">_xlfn.PERCENTRANK.EXC(_xlfn._xlws.FILTER(N2:N122, ISNUMBER(N2:N122)),N122)</f>
        <v>0.36799999999999999</v>
      </c>
      <c r="O134" s="8" cm="1">
        <f t="array" ref="O134">_xlfn.PERCENTRANK.EXC(_xlfn._xlws.FILTER(O2:O122, ISNUMBER(O2:O122)),O122)</f>
        <v>0.60599999999999998</v>
      </c>
    </row>
    <row r="136" spans="1:15" x14ac:dyDescent="0.3">
      <c r="A136" s="8"/>
      <c r="B136" s="8" cm="1">
        <f t="array" ref="B136">_xlfn.PERCENTRANK.EXC(_xlfn._xlws.FILTER(B4:B125, ISNUMBER(B4:B125)),B113)</f>
        <v>0.25</v>
      </c>
      <c r="C136" s="8" cm="1">
        <f t="array" ref="C136">_xlfn.PERCENTRANK.EXC(_xlfn._xlws.FILTER(C4:C125, ISNUMBER(C4:C125)),C113)</f>
        <v>0.29099999999999998</v>
      </c>
      <c r="D136" s="8" cm="1">
        <f t="array" ref="D136">_xlfn.PERCENTRANK.EXC(_xlfn._xlws.FILTER(D4:D125, ISNUMBER(D4:D125)),D113)</f>
        <v>0.32500000000000001</v>
      </c>
      <c r="E136" s="8" cm="1">
        <f t="array" ref="E136">_xlfn.PERCENTRANK.EXC(_xlfn._xlws.FILTER(E4:E125, ISNUMBER(E4:E125)),E113)</f>
        <v>0.83299999999999996</v>
      </c>
      <c r="F136" s="8" cm="1">
        <f t="array" ref="F136">_xlfn.PERCENTRANK.EXC(_xlfn._xlws.FILTER(F4:F125, ISNUMBER(F4:F125)),F113)</f>
        <v>0.47499999999999998</v>
      </c>
      <c r="G136" s="8" cm="1">
        <f t="array" ref="G136">_xlfn.PERCENTRANK.EXC(_xlfn._xlws.FILTER(G4:G125, ISNUMBER(G4:G125)),G113)</f>
        <v>0.48299999999999998</v>
      </c>
      <c r="H136" s="8" cm="1">
        <f t="array" ref="H136">_xlfn.PERCENTRANK.EXC(_xlfn._xlws.FILTER(H4:H125, ISNUMBER(H4:H125)),H113)</f>
        <v>9.9000000000000005E-2</v>
      </c>
      <c r="I136" s="8" cm="1">
        <f t="array" ref="I136">_xlfn.PERCENTRANK.EXC(_xlfn._xlws.FILTER(I4:I125, ISNUMBER(I4:I125)),I113)</f>
        <v>0.34100000000000003</v>
      </c>
      <c r="J136" s="8" cm="1">
        <f t="array" ref="J136">_xlfn.PERCENTRANK.EXC(_xlfn._xlws.FILTER(J4:J125, ISNUMBER(J4:J125)),J113)</f>
        <v>0.39100000000000001</v>
      </c>
      <c r="K136" s="8" cm="1">
        <f t="array" ref="K136">_xlfn.PERCENTRANK.EXC(_xlfn._xlws.FILTER(K4:K125, ISNUMBER(K4:K125)),K113)</f>
        <v>0.316</v>
      </c>
      <c r="L136" s="8" cm="1">
        <f t="array" ref="L136">_xlfn.PERCENTRANK.EXC(_xlfn._xlws.FILTER(L4:L125, ISNUMBER(L4:L125)),L113)</f>
        <v>0.65800000000000003</v>
      </c>
      <c r="M136" s="8" cm="1">
        <f t="array" ref="M136">_xlfn.PERCENTRANK.EXC(_xlfn._xlws.FILTER(M4:M125, ISNUMBER(M4:M125)),M113)</f>
        <v>0.41599999999999998</v>
      </c>
      <c r="N136" s="8" cm="1">
        <f t="array" ref="N136">_xlfn.PERCENTRANK.EXC(_xlfn._xlws.FILTER(N4:N125, ISNUMBER(N4:N125)),N113)</f>
        <v>0.39100000000000001</v>
      </c>
      <c r="O136" s="8" cm="1">
        <f t="array" ref="O136">_xlfn.PERCENTRANK.EXC(_xlfn._xlws.FILTER(O4:O125, ISNUMBER(O4:O125)),O113)</f>
        <v>0.308</v>
      </c>
    </row>
    <row r="138" spans="1:15" x14ac:dyDescent="0.3">
      <c r="A138" t="s">
        <v>126</v>
      </c>
      <c r="B138">
        <f t="shared" ref="B138:J138" si="6">STDEV(B40:B122)</f>
        <v>4.910011962123207E-2</v>
      </c>
      <c r="C138">
        <f t="shared" si="6"/>
        <v>4.6264889787772434E-2</v>
      </c>
      <c r="D138">
        <f t="shared" si="6"/>
        <v>3.6966044069429146E-2</v>
      </c>
      <c r="E138">
        <f t="shared" si="6"/>
        <v>1.8511883610692441E-2</v>
      </c>
      <c r="F138">
        <f t="shared" si="6"/>
        <v>5.876631717015058E-2</v>
      </c>
      <c r="G138">
        <f t="shared" si="6"/>
        <v>3.7666338489593575E-2</v>
      </c>
      <c r="H138" t="e">
        <f t="shared" si="6"/>
        <v>#N/A</v>
      </c>
      <c r="I138">
        <f t="shared" si="6"/>
        <v>3.8524905138070414E-2</v>
      </c>
      <c r="J138">
        <f t="shared" si="6"/>
        <v>5.4692648516482513E-2</v>
      </c>
      <c r="K138" t="e">
        <f t="shared" ref="K138:N138" si="7">STDEV(K40:K122)</f>
        <v>#N/A</v>
      </c>
      <c r="L138">
        <f t="shared" si="7"/>
        <v>4.755597910628466E-2</v>
      </c>
      <c r="M138">
        <f t="shared" si="7"/>
        <v>6.6013624635313309E-2</v>
      </c>
      <c r="N138">
        <f t="shared" si="7"/>
        <v>7.0219923605273182E-2</v>
      </c>
      <c r="O138">
        <f t="shared" ref="O138" si="8">STDEV(O40:O122)</f>
        <v>4.6627930078431822E-2</v>
      </c>
    </row>
    <row r="139" spans="1:15" x14ac:dyDescent="0.3">
      <c r="A139" t="s">
        <v>127</v>
      </c>
      <c r="B139" s="34">
        <f t="shared" ref="B139:J139" si="9">B138*SQRT(12)</f>
        <v>0.17008780368336696</v>
      </c>
      <c r="C139" s="34">
        <f t="shared" si="9"/>
        <v>0.16026627943799268</v>
      </c>
      <c r="D139" s="34">
        <f t="shared" si="9"/>
        <v>0.12805413296616291</v>
      </c>
      <c r="E139" s="34">
        <f t="shared" si="9"/>
        <v>6.4127045915041814E-2</v>
      </c>
      <c r="F139" s="34">
        <f t="shared" si="9"/>
        <v>0.20357249422481616</v>
      </c>
      <c r="G139" s="34">
        <f t="shared" si="9"/>
        <v>0.13048002399812647</v>
      </c>
      <c r="H139" s="34" t="e">
        <f t="shared" si="9"/>
        <v>#N/A</v>
      </c>
      <c r="I139" s="34">
        <f t="shared" si="9"/>
        <v>0.1334541861118185</v>
      </c>
      <c r="J139" s="34">
        <f t="shared" si="9"/>
        <v>0.18946089206210859</v>
      </c>
      <c r="K139" s="34" t="e">
        <f t="shared" ref="K139:N139" si="10">K138*SQRT(12)</f>
        <v>#N/A</v>
      </c>
      <c r="L139" s="34">
        <f t="shared" si="10"/>
        <v>0.16473874403153799</v>
      </c>
      <c r="M139" s="34">
        <f t="shared" si="10"/>
        <v>0.22867790372028629</v>
      </c>
      <c r="N139" s="34">
        <f t="shared" si="10"/>
        <v>0.24324895077587655</v>
      </c>
      <c r="O139" s="34">
        <f t="shared" ref="O139" si="11">O138*SQRT(12)</f>
        <v>0.16152388789522595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2613"/>
  <sheetViews>
    <sheetView zoomScaleNormal="100" workbookViewId="0">
      <pane ySplit="1" topLeftCell="A97" activePane="bottomLeft" state="frozen"/>
      <selection pane="bottomLeft" activeCell="Z122" sqref="Z122"/>
    </sheetView>
  </sheetViews>
  <sheetFormatPr defaultRowHeight="14.4" x14ac:dyDescent="0.3"/>
  <cols>
    <col min="1" max="1" width="24.6640625" customWidth="1"/>
    <col min="11" max="11" width="8.88671875" customWidth="1"/>
  </cols>
  <sheetData>
    <row r="1" spans="1:16" x14ac:dyDescent="0.3">
      <c r="A1" s="2" t="s">
        <v>45</v>
      </c>
      <c r="B1" s="44" t="s">
        <v>4</v>
      </c>
      <c r="C1" s="44" t="s">
        <v>1</v>
      </c>
      <c r="D1" s="44" t="s">
        <v>147</v>
      </c>
      <c r="E1" s="44" t="s">
        <v>148</v>
      </c>
      <c r="F1" s="44" t="s">
        <v>15</v>
      </c>
      <c r="G1" s="44" t="s">
        <v>149</v>
      </c>
      <c r="H1" s="44" t="s">
        <v>61</v>
      </c>
      <c r="I1" s="44" t="s">
        <v>150</v>
      </c>
      <c r="J1" s="44" t="s">
        <v>71</v>
      </c>
      <c r="K1" s="44" t="s">
        <v>161</v>
      </c>
      <c r="L1" s="44" t="s">
        <v>12</v>
      </c>
      <c r="M1" t="s">
        <v>140</v>
      </c>
      <c r="N1" t="s">
        <v>142</v>
      </c>
      <c r="O1" s="29" t="s">
        <v>89</v>
      </c>
      <c r="P1" s="29"/>
    </row>
    <row r="2" spans="1:16" x14ac:dyDescent="0.3">
      <c r="A2" s="2" cm="1">
        <f t="array" ref="A2:A122">_xll.FDS(B1,"JULIAN(P_PRICE_RETURNS_PR('52W',2,-10AY,0,AM).dates)")</f>
        <v>41683</v>
      </c>
      <c r="B2" s="7" cm="1">
        <f t="array" ref="B2:B122">_xll.FDS(B1,"P_PRICE_RETURNS_PR('52W',2,-10AY,0,AM)")</f>
        <v>-10.696543</v>
      </c>
      <c r="C2" s="7" cm="1">
        <f t="array" ref="C2:C122">_xll.FDS(C1,"P_PRICE_RETURNS_PR('52W',2,-10AY,0,AM)")</f>
        <v>22.709703000000001</v>
      </c>
      <c r="D2" s="7" cm="1">
        <f t="array" ref="D2:D122">_xll.FDS(D1,"P_PRICE_RETURNS_PR('52W',2,-10AY,0,AM)")</f>
        <v>-21.100287999999999</v>
      </c>
      <c r="E2" s="7" cm="1">
        <f t="array" ref="E2:E122">_xll.FDS(E1,"P_PRICE_RETURNS_PR('52W',2,-10AY,0,AM)")</f>
        <v>-1.5996277000000001</v>
      </c>
      <c r="F2" s="7" cm="1">
        <f t="array" ref="F2:F122">_xll.FDS(F1,"P_PRICE_RETURNS_PR('52W',2,-10AY,0,AM)")</f>
        <v>33.411144</v>
      </c>
      <c r="G2" s="7" cm="1">
        <f t="array" ref="G2:G122">_xll.FDS(G1,"P_PRICE_RETURNS_PR('52W',2,-10AY,0,AM)")</f>
        <v>-4.5318364999999998</v>
      </c>
      <c r="H2" s="7" cm="1">
        <f t="array" ref="H2:H122">_xll.FDS(H1,"P_PRICE_RETURNS_PR('52W',2,-10AY,0,AM)")</f>
        <v>4.3526290000000003</v>
      </c>
      <c r="I2" s="7" cm="1">
        <f t="array" ref="I2:I122">_xll.FDS(I1,"P_PRICE_RETURNS_PR('52W',2,-10AY,0,AM)")</f>
        <v>-5.1661672999999997</v>
      </c>
      <c r="J2" s="7" cm="1">
        <f t="array" ref="J2:J122">_xll.FDS(J1,"P_PRICE_RETURNS_PR('52W',2,-10AY,0,AM)")</f>
        <v>20.403458000000001</v>
      </c>
      <c r="K2" s="38" t="e" cm="1">
        <f t="array" ref="K2:K122">_xll.FDS(K1,"P_PRICE_RETURNS_PR('52W',2,-10AY,0,AM)")</f>
        <v>#N/A</v>
      </c>
      <c r="L2" s="38" cm="1">
        <f t="array" ref="L2:L122">_xll.FDS(L1,"P_PRICE_RETURNS_PR('52W',2,-10AY,0,AM)")</f>
        <v>15.172863</v>
      </c>
      <c r="M2" s="38" cm="1">
        <f t="array" ref="M2:M122">_xll.FDS(M1,"P_PRICE_RETURNS_PR('52W',2,-10AY,0,AM)")</f>
        <v>11.878836</v>
      </c>
      <c r="N2" s="38" cm="1">
        <f t="array" ref="N2:N122">_xll.FDS(N1,"P_PRICE_RETURNS_PR('52W',2,-10AY,0,AM)")</f>
        <v>24.852084999999999</v>
      </c>
      <c r="O2" s="38" cm="1">
        <f t="array" ref="O2:O122">_xll.FDS(O1,"P_PRICE_RETURNS_PR('52W',2,-10AY,0,AM)")</f>
        <v>18.61186</v>
      </c>
    </row>
    <row r="3" spans="1:16" x14ac:dyDescent="0.3">
      <c r="A3" s="2">
        <v>41711</v>
      </c>
      <c r="B3" s="18">
        <v>-10.351794999999999</v>
      </c>
      <c r="C3" s="18">
        <v>21.174966999999999</v>
      </c>
      <c r="D3" s="18">
        <v>-13.959390000000001</v>
      </c>
      <c r="E3" s="18">
        <v>-5.5776890000000003</v>
      </c>
      <c r="F3" s="18">
        <v>32.155216000000003</v>
      </c>
      <c r="G3" s="18">
        <v>9.5546249999999997</v>
      </c>
      <c r="H3" s="18">
        <v>10.622131</v>
      </c>
      <c r="I3" s="18">
        <v>-3.1924902999999998</v>
      </c>
      <c r="J3" s="18">
        <v>19.531939999999999</v>
      </c>
      <c r="K3" s="25" t="e">
        <v>#N/A</v>
      </c>
      <c r="L3" s="25">
        <v>7.8274964999999996</v>
      </c>
      <c r="M3" s="25">
        <v>12.4678135</v>
      </c>
      <c r="N3" s="25">
        <v>38.557181999999997</v>
      </c>
      <c r="O3">
        <v>18.010149999999999</v>
      </c>
    </row>
    <row r="4" spans="1:16" x14ac:dyDescent="0.3">
      <c r="A4" s="2">
        <v>41740</v>
      </c>
      <c r="B4" s="18">
        <v>-0.67372319999999997</v>
      </c>
      <c r="C4" s="18">
        <v>16.319824000000001</v>
      </c>
      <c r="D4" s="18">
        <v>-15.968222000000001</v>
      </c>
      <c r="E4" s="18">
        <v>-4.9172997000000001</v>
      </c>
      <c r="F4" s="18">
        <v>22.081935999999999</v>
      </c>
      <c r="G4" s="18">
        <v>10.783552999999999</v>
      </c>
      <c r="H4" s="18">
        <v>13.591599</v>
      </c>
      <c r="I4" s="18">
        <v>-4.9189863000000003</v>
      </c>
      <c r="J4" s="18">
        <v>20.781898000000002</v>
      </c>
      <c r="K4" s="25" t="e">
        <v>#N/A</v>
      </c>
      <c r="L4" s="25">
        <v>-3.6507546999999998</v>
      </c>
      <c r="M4" s="25">
        <v>11.659706</v>
      </c>
      <c r="N4" s="25">
        <v>43.813279999999999</v>
      </c>
      <c r="O4">
        <v>13.3515835</v>
      </c>
    </row>
    <row r="5" spans="1:16" x14ac:dyDescent="0.3">
      <c r="A5" s="2">
        <v>41772</v>
      </c>
      <c r="B5" s="18">
        <v>-0.89417696000000002</v>
      </c>
      <c r="C5" s="18">
        <v>18.496943000000002</v>
      </c>
      <c r="D5" s="18">
        <v>-9.9906024999999996</v>
      </c>
      <c r="E5" s="18">
        <v>-5.3886890000000003</v>
      </c>
      <c r="F5" s="18">
        <v>22.62988</v>
      </c>
      <c r="G5" s="18">
        <v>10.173405000000001</v>
      </c>
      <c r="H5" s="18">
        <v>12.481427</v>
      </c>
      <c r="I5" s="18">
        <v>-2.1406949000000002</v>
      </c>
      <c r="J5" s="18">
        <v>21.593582000000001</v>
      </c>
      <c r="K5" s="25" t="e">
        <v>#N/A</v>
      </c>
      <c r="L5" s="25">
        <v>-4.0147899999999996</v>
      </c>
      <c r="M5" s="25">
        <v>15.683985</v>
      </c>
      <c r="N5" s="25">
        <v>33.471443000000001</v>
      </c>
      <c r="O5">
        <v>11.909616</v>
      </c>
    </row>
    <row r="6" spans="1:16" x14ac:dyDescent="0.3">
      <c r="A6" s="2">
        <v>41803</v>
      </c>
      <c r="B6" s="18">
        <v>11.322939</v>
      </c>
      <c r="C6" s="18">
        <v>20.604085999999999</v>
      </c>
      <c r="D6" s="18">
        <v>-8.0604189999999996</v>
      </c>
      <c r="E6" s="18">
        <v>-1.6438305</v>
      </c>
      <c r="F6" s="18">
        <v>28.896999999999998</v>
      </c>
      <c r="G6" s="18">
        <v>8.8304519999999993</v>
      </c>
      <c r="H6" s="18">
        <v>16.360890999999999</v>
      </c>
      <c r="I6" s="18">
        <v>1.458323</v>
      </c>
      <c r="J6" s="18">
        <v>23.163689000000002</v>
      </c>
      <c r="K6" s="25" t="e">
        <v>#N/A</v>
      </c>
      <c r="L6" s="25">
        <v>6.762016</v>
      </c>
      <c r="M6" s="25">
        <v>16.727637999999999</v>
      </c>
      <c r="N6" s="25">
        <v>41.032609999999998</v>
      </c>
      <c r="O6">
        <v>17.101012999999998</v>
      </c>
    </row>
    <row r="7" spans="1:16" x14ac:dyDescent="0.3">
      <c r="A7" s="2">
        <v>41831</v>
      </c>
      <c r="B7" s="18">
        <v>13.941454999999999</v>
      </c>
      <c r="C7" s="18">
        <v>19.729614000000002</v>
      </c>
      <c r="D7" s="18">
        <v>3.6542176999999998</v>
      </c>
      <c r="E7" s="18">
        <v>-4.6174526</v>
      </c>
      <c r="F7" s="18">
        <v>29.031647</v>
      </c>
      <c r="G7" s="18">
        <v>3.9808870000000001</v>
      </c>
      <c r="H7" s="18">
        <v>6.4338683999999997</v>
      </c>
      <c r="I7" s="18">
        <v>8.7720870000000009</v>
      </c>
      <c r="J7" s="18">
        <v>20.519161</v>
      </c>
      <c r="K7" s="25" t="e">
        <v>#N/A</v>
      </c>
      <c r="L7" s="25">
        <v>1.9407988</v>
      </c>
      <c r="M7" s="25">
        <v>11.52178</v>
      </c>
      <c r="N7" s="25">
        <v>39.275753000000002</v>
      </c>
      <c r="O7">
        <v>18.143975999999999</v>
      </c>
    </row>
    <row r="8" spans="1:16" x14ac:dyDescent="0.3">
      <c r="A8" s="2">
        <v>41864</v>
      </c>
      <c r="B8" s="18">
        <v>14.289797</v>
      </c>
      <c r="C8" s="18">
        <v>17.133713</v>
      </c>
      <c r="D8" s="18">
        <v>-1.2055754999999999</v>
      </c>
      <c r="E8" s="18">
        <v>-1.5837133000000001</v>
      </c>
      <c r="F8" s="18">
        <v>26.994645999999999</v>
      </c>
      <c r="G8" s="18">
        <v>4.3286559999999996</v>
      </c>
      <c r="H8" s="18">
        <v>0.66325665</v>
      </c>
      <c r="I8" s="18">
        <v>13.597811</v>
      </c>
      <c r="J8" s="18">
        <v>10.760248000000001</v>
      </c>
      <c r="K8" s="25" t="e">
        <v>#N/A</v>
      </c>
      <c r="L8" s="25">
        <v>4.5844792999999999</v>
      </c>
      <c r="M8" s="25">
        <v>4.0285349999999998</v>
      </c>
      <c r="N8" s="25">
        <v>14.482856</v>
      </c>
      <c r="O8">
        <v>12.428044999999999</v>
      </c>
    </row>
    <row r="9" spans="1:16" x14ac:dyDescent="0.3">
      <c r="A9" s="2">
        <v>41894</v>
      </c>
      <c r="B9" s="18">
        <v>11.940049999999999</v>
      </c>
      <c r="C9" s="18">
        <v>20.180427999999999</v>
      </c>
      <c r="D9" s="18">
        <v>-7.2765709999999997</v>
      </c>
      <c r="E9" s="18">
        <v>1.9082189000000001</v>
      </c>
      <c r="F9" s="18">
        <v>29.483115999999999</v>
      </c>
      <c r="G9" s="18">
        <v>-0.50721764999999996</v>
      </c>
      <c r="H9" s="18">
        <v>-7.2019935000000004</v>
      </c>
      <c r="I9" s="18">
        <v>13.451815</v>
      </c>
      <c r="J9" s="18">
        <v>10.786474</v>
      </c>
      <c r="K9" s="25" t="e">
        <v>#N/A</v>
      </c>
      <c r="L9" s="25">
        <v>3.6258697999999998</v>
      </c>
      <c r="M9" s="25">
        <v>0.95881223999999998</v>
      </c>
      <c r="N9" s="25">
        <v>19.685268000000001</v>
      </c>
      <c r="O9">
        <v>14.121973000000001</v>
      </c>
    </row>
    <row r="10" spans="1:16" x14ac:dyDescent="0.3">
      <c r="A10" s="2">
        <v>41925</v>
      </c>
      <c r="B10" s="18">
        <v>1.0822892</v>
      </c>
      <c r="C10" s="18">
        <v>12.211204</v>
      </c>
      <c r="D10" s="18">
        <v>-3.3278941999999998</v>
      </c>
      <c r="E10" s="18">
        <v>4.9399853</v>
      </c>
      <c r="F10" s="18">
        <v>19.058585999999998</v>
      </c>
      <c r="G10" s="18">
        <v>3.2812475999999999</v>
      </c>
      <c r="H10" s="18">
        <v>-11.274457</v>
      </c>
      <c r="I10" s="18">
        <v>18.193923999999999</v>
      </c>
      <c r="J10" s="18">
        <v>-2.1030842999999999</v>
      </c>
      <c r="K10" s="25" t="e">
        <v>#N/A</v>
      </c>
      <c r="L10" s="25">
        <v>-7.2362003000000001</v>
      </c>
      <c r="M10" s="25">
        <v>-7.0561465999999999</v>
      </c>
      <c r="N10" s="25">
        <v>-4.1614475000000004</v>
      </c>
      <c r="O10">
        <v>4.4455410000000004</v>
      </c>
    </row>
    <row r="11" spans="1:16" x14ac:dyDescent="0.3">
      <c r="A11" s="2">
        <v>41956</v>
      </c>
      <c r="B11" s="18">
        <v>6.4917207000000001</v>
      </c>
      <c r="C11" s="18">
        <v>16.692947</v>
      </c>
      <c r="D11" s="18">
        <v>-9.1005269999999996</v>
      </c>
      <c r="E11" s="18">
        <v>6.9266079999999999</v>
      </c>
      <c r="F11" s="18">
        <v>24.989975000000001</v>
      </c>
      <c r="G11" s="18">
        <v>4.477608</v>
      </c>
      <c r="H11" s="18">
        <v>-14.205003</v>
      </c>
      <c r="I11" s="18">
        <v>18.096088000000002</v>
      </c>
      <c r="J11" s="18">
        <v>-0.5840957</v>
      </c>
      <c r="K11" s="25" t="e">
        <v>#N/A</v>
      </c>
      <c r="L11" s="25">
        <v>-1.5574694E-2</v>
      </c>
      <c r="M11" s="25">
        <v>1.8980861</v>
      </c>
      <c r="N11" s="25">
        <v>-5.2651167000000001</v>
      </c>
      <c r="O11">
        <v>8.294594</v>
      </c>
    </row>
    <row r="12" spans="1:16" x14ac:dyDescent="0.3">
      <c r="A12" s="2">
        <v>41985</v>
      </c>
      <c r="B12" s="18">
        <v>-0.68956614000000005</v>
      </c>
      <c r="C12" s="18">
        <v>14.968145</v>
      </c>
      <c r="D12" s="18">
        <v>-0.74393153000000001</v>
      </c>
      <c r="E12" s="18">
        <v>8.6230869999999999</v>
      </c>
      <c r="F12" s="18">
        <v>22.62621</v>
      </c>
      <c r="G12" s="18">
        <v>2.2727369999999998</v>
      </c>
      <c r="H12" s="18">
        <v>-35.310245999999999</v>
      </c>
      <c r="I12" s="18">
        <v>26.772808000000001</v>
      </c>
      <c r="J12" s="18">
        <v>-1.8029748999999999</v>
      </c>
      <c r="K12" s="25" t="e">
        <v>#N/A</v>
      </c>
      <c r="L12" s="25">
        <v>-3.0926703999999998</v>
      </c>
      <c r="M12" s="25">
        <v>1.7658948999999999</v>
      </c>
      <c r="N12" s="25">
        <v>-3.3575594</v>
      </c>
      <c r="O12">
        <v>7.8550219999999999</v>
      </c>
    </row>
    <row r="13" spans="1:16" x14ac:dyDescent="0.3">
      <c r="A13" s="2">
        <v>42017</v>
      </c>
      <c r="B13" s="18">
        <v>4.4268609999999997</v>
      </c>
      <c r="C13" s="18">
        <v>13.397169</v>
      </c>
      <c r="D13" s="18">
        <v>-2.3632407</v>
      </c>
      <c r="E13" s="18">
        <v>13.089727999999999</v>
      </c>
      <c r="F13" s="18">
        <v>19.839155000000002</v>
      </c>
      <c r="G13" s="18">
        <v>0.65952540000000004</v>
      </c>
      <c r="H13" s="18">
        <v>-43.512689999999999</v>
      </c>
      <c r="I13" s="18">
        <v>29.363108</v>
      </c>
      <c r="J13" s="18">
        <v>-8.1293399999999991</v>
      </c>
      <c r="K13" s="25" t="e">
        <v>#N/A</v>
      </c>
      <c r="L13" s="25">
        <v>-5.6436596000000003</v>
      </c>
      <c r="M13" s="25">
        <v>-8.8927379999999996</v>
      </c>
      <c r="N13" s="25">
        <v>-15.541582999999999</v>
      </c>
      <c r="O13">
        <v>3.0335665000000001</v>
      </c>
    </row>
    <row r="14" spans="1:16" x14ac:dyDescent="0.3">
      <c r="A14" s="2">
        <v>42048</v>
      </c>
      <c r="B14" s="18">
        <v>11.107718999999999</v>
      </c>
      <c r="C14" s="18">
        <v>16.865729999999999</v>
      </c>
      <c r="D14" s="18">
        <v>-5.9845389999999998</v>
      </c>
      <c r="E14" s="18">
        <v>15.699017</v>
      </c>
      <c r="F14" s="18">
        <v>21.104717000000001</v>
      </c>
      <c r="G14" s="18">
        <v>-7.5323640000000003</v>
      </c>
      <c r="H14" s="18">
        <v>-41.088000000000001</v>
      </c>
      <c r="I14" s="18">
        <v>23.862255000000001</v>
      </c>
      <c r="J14" s="18">
        <v>-2.7102529999999998</v>
      </c>
      <c r="K14" s="25" t="e">
        <v>#N/A</v>
      </c>
      <c r="L14" s="25">
        <v>5.7072279999999997</v>
      </c>
      <c r="M14" s="25">
        <v>-2.3532449999999998</v>
      </c>
      <c r="N14" s="25">
        <v>-10.152167</v>
      </c>
      <c r="O14">
        <v>7.4006676999999996</v>
      </c>
    </row>
    <row r="15" spans="1:16" x14ac:dyDescent="0.3">
      <c r="A15" s="2">
        <v>42076</v>
      </c>
      <c r="B15" s="18">
        <v>6.6484810000000003</v>
      </c>
      <c r="C15" s="18">
        <v>13.320017</v>
      </c>
      <c r="D15" s="18">
        <v>-16.133427000000001</v>
      </c>
      <c r="E15" s="18">
        <v>24.191284</v>
      </c>
      <c r="F15" s="18">
        <v>19.301832000000001</v>
      </c>
      <c r="G15" s="18">
        <v>-23.314803999999999</v>
      </c>
      <c r="H15" s="18">
        <v>-47.194175999999999</v>
      </c>
      <c r="I15" s="18">
        <v>20.156157</v>
      </c>
      <c r="J15" s="18">
        <v>-3.8703918000000002</v>
      </c>
      <c r="K15" s="25" t="e">
        <v>#N/A</v>
      </c>
      <c r="L15" s="25">
        <v>13.154517999999999</v>
      </c>
      <c r="M15" s="25">
        <v>-4.4303119999999998</v>
      </c>
      <c r="N15" s="25">
        <v>-12.726188</v>
      </c>
      <c r="O15">
        <v>6.1156990000000002</v>
      </c>
    </row>
    <row r="16" spans="1:16" x14ac:dyDescent="0.3">
      <c r="A16" s="2">
        <v>42107</v>
      </c>
      <c r="B16" s="18">
        <v>8.4269639999999999</v>
      </c>
      <c r="C16" s="18">
        <v>17.443382</v>
      </c>
      <c r="D16" s="18">
        <v>-9.2885860000000005</v>
      </c>
      <c r="E16" s="18">
        <v>23.225190000000001</v>
      </c>
      <c r="F16" s="18">
        <v>29.203785</v>
      </c>
      <c r="G16" s="18">
        <v>-22.514009999999999</v>
      </c>
      <c r="H16" s="18">
        <v>-45.956429999999997</v>
      </c>
      <c r="I16" s="18">
        <v>20.534157</v>
      </c>
      <c r="J16" s="18">
        <v>-1.3480425</v>
      </c>
      <c r="K16" s="25" t="e">
        <v>#N/A</v>
      </c>
      <c r="L16" s="25">
        <v>20.500792000000001</v>
      </c>
      <c r="M16" s="25">
        <v>-3.1850993999999999</v>
      </c>
      <c r="N16" s="25">
        <v>-11.986141999999999</v>
      </c>
      <c r="O16">
        <v>9.2243790000000008</v>
      </c>
    </row>
    <row r="17" spans="1:15" x14ac:dyDescent="0.3">
      <c r="A17" s="2">
        <v>42137</v>
      </c>
      <c r="B17" s="18">
        <v>5.8504820000000004</v>
      </c>
      <c r="C17" s="18">
        <v>12.718260000000001</v>
      </c>
      <c r="D17" s="18">
        <v>-6.4606724</v>
      </c>
      <c r="E17" s="18">
        <v>14.985991</v>
      </c>
      <c r="F17" s="18">
        <v>23.682259999999999</v>
      </c>
      <c r="G17" s="18">
        <v>-21.685904000000001</v>
      </c>
      <c r="H17" s="18">
        <v>-40.293754999999997</v>
      </c>
      <c r="I17" s="18">
        <v>9.3508720000000007</v>
      </c>
      <c r="J17" s="18">
        <v>-2.0317018</v>
      </c>
      <c r="K17" s="25" t="e">
        <v>#N/A</v>
      </c>
      <c r="L17" s="25">
        <v>16.602898</v>
      </c>
      <c r="M17" s="25">
        <v>-4.9324750000000002</v>
      </c>
      <c r="N17" s="25">
        <v>-7.5315894999999999</v>
      </c>
      <c r="O17">
        <v>7.9349875000000001</v>
      </c>
    </row>
    <row r="18" spans="1:15" x14ac:dyDescent="0.3">
      <c r="A18" s="2">
        <v>42167</v>
      </c>
      <c r="B18" s="18">
        <v>-1.8490374000000001</v>
      </c>
      <c r="C18" s="18">
        <v>10.627996</v>
      </c>
      <c r="D18" s="18">
        <v>-7.6728579999999997</v>
      </c>
      <c r="E18" s="18">
        <v>15.552448999999999</v>
      </c>
      <c r="F18" s="18">
        <v>19.454001999999999</v>
      </c>
      <c r="G18" s="18">
        <v>-20.014555000000001</v>
      </c>
      <c r="H18" s="18">
        <v>-44.759135999999998</v>
      </c>
      <c r="I18" s="18">
        <v>8.0054870000000005</v>
      </c>
      <c r="J18" s="18">
        <v>-4.5945587000000003</v>
      </c>
      <c r="K18" s="25" t="e">
        <v>#N/A</v>
      </c>
      <c r="L18" s="25">
        <v>11.516476000000001</v>
      </c>
      <c r="M18" s="25">
        <v>-2.5297105000000002</v>
      </c>
      <c r="N18" s="25">
        <v>-11.595768</v>
      </c>
      <c r="O18">
        <v>5.1385164000000003</v>
      </c>
    </row>
    <row r="19" spans="1:15" x14ac:dyDescent="0.3">
      <c r="A19" s="2">
        <v>42198</v>
      </c>
      <c r="B19" s="18">
        <v>-6.7309020000000004</v>
      </c>
      <c r="C19" s="18">
        <v>8.7875840000000007</v>
      </c>
      <c r="D19" s="18">
        <v>-13.814259</v>
      </c>
      <c r="E19" s="18">
        <v>18.568766</v>
      </c>
      <c r="F19" s="18">
        <v>16.211880000000001</v>
      </c>
      <c r="G19" s="18">
        <v>-11.255747</v>
      </c>
      <c r="H19" s="18">
        <v>-49.303370000000001</v>
      </c>
      <c r="I19" s="18">
        <v>4.6200394999999999</v>
      </c>
      <c r="J19" s="18">
        <v>-2.8199673000000001</v>
      </c>
      <c r="K19" s="25" t="e">
        <v>#N/A</v>
      </c>
      <c r="L19" s="25">
        <v>8.6315989999999996</v>
      </c>
      <c r="M19" s="25">
        <v>-1.305598</v>
      </c>
      <c r="N19" s="25">
        <v>-7.7535569999999998</v>
      </c>
      <c r="O19">
        <v>2.5448084</v>
      </c>
    </row>
    <row r="20" spans="1:15" x14ac:dyDescent="0.3">
      <c r="A20" s="2">
        <v>42229</v>
      </c>
      <c r="B20" s="18">
        <v>-15.568918</v>
      </c>
      <c r="C20" s="18">
        <v>9.1949699999999996</v>
      </c>
      <c r="D20" s="18">
        <v>-15.324878999999999</v>
      </c>
      <c r="E20" s="18">
        <v>15.724133999999999</v>
      </c>
      <c r="F20" s="18">
        <v>15.652418000000001</v>
      </c>
      <c r="G20" s="18">
        <v>-17.825592</v>
      </c>
      <c r="H20" s="18">
        <v>-56.90672</v>
      </c>
      <c r="I20" s="18">
        <v>9.9181889999999999</v>
      </c>
      <c r="J20" s="18">
        <v>-0.13270377999999999</v>
      </c>
      <c r="K20" s="25" t="e">
        <v>#N/A</v>
      </c>
      <c r="L20" s="25">
        <v>9.4853159999999992</v>
      </c>
      <c r="M20" s="25">
        <v>-1.1676431</v>
      </c>
      <c r="N20" s="25">
        <v>3.4619331</v>
      </c>
      <c r="O20">
        <v>4.2101264</v>
      </c>
    </row>
    <row r="21" spans="1:15" x14ac:dyDescent="0.3">
      <c r="A21" s="2">
        <v>42258</v>
      </c>
      <c r="B21" s="18">
        <v>-22.094833000000001</v>
      </c>
      <c r="C21" s="18">
        <v>0.15053749</v>
      </c>
      <c r="D21" s="18">
        <v>-11.142355</v>
      </c>
      <c r="E21" s="18">
        <v>10.601330000000001</v>
      </c>
      <c r="F21" s="18">
        <v>6.7131400000000001</v>
      </c>
      <c r="G21" s="18">
        <v>-18.192440000000001</v>
      </c>
      <c r="H21" s="18">
        <v>-54.511417000000002</v>
      </c>
      <c r="I21" s="18">
        <v>8.7490799999999993</v>
      </c>
      <c r="J21" s="18">
        <v>-7.1698903999999999</v>
      </c>
      <c r="K21" s="25" t="e">
        <v>#N/A</v>
      </c>
      <c r="L21" s="25">
        <v>0.32684803000000001</v>
      </c>
      <c r="M21" s="25">
        <v>-2.4409532999999999</v>
      </c>
      <c r="N21" s="25">
        <v>-6.0542819999999997</v>
      </c>
      <c r="O21">
        <v>-4.294753</v>
      </c>
    </row>
    <row r="22" spans="1:15" x14ac:dyDescent="0.3">
      <c r="A22" s="2">
        <v>42290</v>
      </c>
      <c r="B22" s="18">
        <v>-12.579328</v>
      </c>
      <c r="C22" s="18">
        <v>9.0145</v>
      </c>
      <c r="D22" s="18">
        <v>-5.6192994000000001</v>
      </c>
      <c r="E22" s="18">
        <v>8.4909800000000004</v>
      </c>
      <c r="F22" s="18">
        <v>15.369785</v>
      </c>
      <c r="G22" s="18">
        <v>-18.645990000000001</v>
      </c>
      <c r="H22" s="18">
        <v>-48.823749999999997</v>
      </c>
      <c r="I22" s="18">
        <v>4.8524019999999997</v>
      </c>
      <c r="J22" s="18">
        <v>2.4297952999999999</v>
      </c>
      <c r="K22" s="25" t="e">
        <v>#N/A</v>
      </c>
      <c r="L22" s="25">
        <v>11.001884</v>
      </c>
      <c r="M22" s="25">
        <v>4.5850872999999996</v>
      </c>
      <c r="N22" s="25">
        <v>7.5459719999999999</v>
      </c>
      <c r="O22">
        <v>4.4399139999999999</v>
      </c>
    </row>
    <row r="23" spans="1:15" x14ac:dyDescent="0.3">
      <c r="A23" s="2">
        <v>42321</v>
      </c>
      <c r="B23" s="18">
        <v>-16.779316000000001</v>
      </c>
      <c r="C23" s="18">
        <v>1.2000084</v>
      </c>
      <c r="D23" s="18">
        <v>-7.2624683000000001</v>
      </c>
      <c r="E23" s="18">
        <v>10.510516000000001</v>
      </c>
      <c r="F23" s="18">
        <v>7.8991175</v>
      </c>
      <c r="G23" s="18">
        <v>-21.196906999999999</v>
      </c>
      <c r="H23" s="18">
        <v>-50.823222999999999</v>
      </c>
      <c r="I23" s="18">
        <v>3.2480954999999998</v>
      </c>
      <c r="J23" s="18">
        <v>-3.8404346</v>
      </c>
      <c r="K23" s="25" t="e">
        <v>#N/A</v>
      </c>
      <c r="L23" s="25">
        <v>6.0777545000000002</v>
      </c>
      <c r="M23" s="25">
        <v>-7.3185086000000004</v>
      </c>
      <c r="N23" s="25">
        <v>1.8876314000000001</v>
      </c>
      <c r="O23">
        <v>-1.4286816</v>
      </c>
    </row>
    <row r="24" spans="1:15" x14ac:dyDescent="0.3">
      <c r="A24" s="2">
        <v>42349</v>
      </c>
      <c r="B24" s="18">
        <v>-17.596912</v>
      </c>
      <c r="C24" s="18">
        <v>0.87023972999999999</v>
      </c>
      <c r="D24" s="18">
        <v>-12.388479</v>
      </c>
      <c r="E24" s="18">
        <v>7.8264594000000001</v>
      </c>
      <c r="F24" s="18">
        <v>7.8887105000000002</v>
      </c>
      <c r="G24" s="18">
        <v>-18.593567</v>
      </c>
      <c r="H24" s="18">
        <v>-45.893616000000002</v>
      </c>
      <c r="I24" s="18">
        <v>1.8649697000000001</v>
      </c>
      <c r="J24" s="18">
        <v>-4.8808517</v>
      </c>
      <c r="K24" s="25" t="e">
        <v>#N/A</v>
      </c>
      <c r="L24" s="25">
        <v>5.8554890000000004</v>
      </c>
      <c r="M24" s="25">
        <v>-10.114515000000001</v>
      </c>
      <c r="N24" s="25">
        <v>-7.8159569999999998E-2</v>
      </c>
      <c r="O24">
        <v>-1.6174911999999999</v>
      </c>
    </row>
    <row r="25" spans="1:15" x14ac:dyDescent="0.3">
      <c r="A25" s="2">
        <v>42382</v>
      </c>
      <c r="B25" s="18">
        <v>-23.7121</v>
      </c>
      <c r="C25" s="18">
        <v>-4.6118499999999996</v>
      </c>
      <c r="D25" s="18">
        <v>-11.374408000000001</v>
      </c>
      <c r="E25" s="18">
        <v>5.0306680000000004</v>
      </c>
      <c r="F25" s="18">
        <v>1.4003634</v>
      </c>
      <c r="G25" s="18">
        <v>-18.099916</v>
      </c>
      <c r="H25" s="18">
        <v>-44.215941999999998</v>
      </c>
      <c r="I25" s="18">
        <v>-2.7518272000000001</v>
      </c>
      <c r="J25" s="18">
        <v>-6.7061662999999996</v>
      </c>
      <c r="K25" s="25" t="e">
        <v>#N/A</v>
      </c>
      <c r="L25" s="25">
        <v>2.8661132</v>
      </c>
      <c r="M25" s="25">
        <v>-8.8310239999999993</v>
      </c>
      <c r="N25" s="25">
        <v>0.88882446000000004</v>
      </c>
      <c r="O25">
        <v>-6.5652249999999999</v>
      </c>
    </row>
    <row r="26" spans="1:15" x14ac:dyDescent="0.3">
      <c r="A26" s="2">
        <v>42412</v>
      </c>
      <c r="B26" s="18">
        <v>-26.208608999999999</v>
      </c>
      <c r="C26" s="18">
        <v>-8.809787</v>
      </c>
      <c r="D26" s="18">
        <v>0.86927414000000003</v>
      </c>
      <c r="E26" s="18">
        <v>0</v>
      </c>
      <c r="F26" s="18">
        <v>-6.5830289999999998</v>
      </c>
      <c r="G26" s="18">
        <v>-15.667809</v>
      </c>
      <c r="H26" s="18">
        <v>-49.656844999999997</v>
      </c>
      <c r="I26" s="18">
        <v>4.1169643000000002</v>
      </c>
      <c r="J26" s="18">
        <v>-16.060452999999999</v>
      </c>
      <c r="K26" s="25" t="e">
        <v>#N/A</v>
      </c>
      <c r="L26" s="25">
        <v>-10.613334999999999</v>
      </c>
      <c r="M26" s="25">
        <v>-17.591930000000001</v>
      </c>
      <c r="N26" s="25">
        <v>-21.479733</v>
      </c>
      <c r="O26">
        <v>-12.55979</v>
      </c>
    </row>
    <row r="27" spans="1:15" x14ac:dyDescent="0.3">
      <c r="A27" s="2">
        <v>42440</v>
      </c>
      <c r="B27" s="18">
        <v>-12.266386000000001</v>
      </c>
      <c r="C27" s="18">
        <v>1.2128592</v>
      </c>
      <c r="D27" s="18">
        <v>7.8194140000000001</v>
      </c>
      <c r="E27" s="18">
        <v>-5.3490105000000003</v>
      </c>
      <c r="F27" s="18">
        <v>2.3485659999999999</v>
      </c>
      <c r="G27" s="18">
        <v>-7.0950449999999998</v>
      </c>
      <c r="H27" s="18">
        <v>-36.387639999999998</v>
      </c>
      <c r="I27" s="18">
        <v>2.6728510000000001</v>
      </c>
      <c r="J27" s="18">
        <v>-6.0681159999999998</v>
      </c>
      <c r="K27" s="25" t="e">
        <v>#N/A</v>
      </c>
      <c r="L27" s="25">
        <v>-4.3235006</v>
      </c>
      <c r="M27" s="25">
        <v>-7.5143694999999999</v>
      </c>
      <c r="N27" s="25">
        <v>-9.8969819999999995</v>
      </c>
      <c r="O27">
        <v>-2.5004327000000002</v>
      </c>
    </row>
    <row r="28" spans="1:15" x14ac:dyDescent="0.3">
      <c r="A28" s="2">
        <v>42473</v>
      </c>
      <c r="B28" s="18">
        <v>-16.230340000000002</v>
      </c>
      <c r="C28" s="18">
        <v>1.6216159000000001</v>
      </c>
      <c r="D28" s="18">
        <v>3.1526803999999999</v>
      </c>
      <c r="E28" s="18">
        <v>-6.3334583999999996</v>
      </c>
      <c r="F28" s="18">
        <v>4.3162703999999996</v>
      </c>
      <c r="G28" s="18">
        <v>-8.1337510000000002</v>
      </c>
      <c r="H28" s="18">
        <v>-34.892359999999996</v>
      </c>
      <c r="I28" s="18">
        <v>3.8002132999999998</v>
      </c>
      <c r="J28" s="18">
        <v>-8.9032889999999991</v>
      </c>
      <c r="K28" s="25" t="e">
        <v>#N/A</v>
      </c>
      <c r="L28" s="25">
        <v>-6.7208886000000003</v>
      </c>
      <c r="M28" s="25">
        <v>-6.0257015000000003</v>
      </c>
      <c r="N28" s="25">
        <v>-17.541105000000002</v>
      </c>
      <c r="O28">
        <v>-3.2318354</v>
      </c>
    </row>
    <row r="29" spans="1:15" x14ac:dyDescent="0.3">
      <c r="A29" s="2">
        <v>42503</v>
      </c>
      <c r="B29" s="18">
        <v>-22.210471999999999</v>
      </c>
      <c r="C29" s="18">
        <v>-0.40470361999999999</v>
      </c>
      <c r="D29" s="18">
        <v>4.4272780000000003</v>
      </c>
      <c r="E29" s="18">
        <v>-0.56840780000000002</v>
      </c>
      <c r="F29" s="18">
        <v>-1.2498617000000001</v>
      </c>
      <c r="G29" s="18">
        <v>-5.0022305999999999</v>
      </c>
      <c r="H29" s="18">
        <v>-37.032795</v>
      </c>
      <c r="I29" s="18">
        <v>14.0975</v>
      </c>
      <c r="J29" s="18">
        <v>-13.859755</v>
      </c>
      <c r="K29" s="25" t="e">
        <v>#N/A</v>
      </c>
      <c r="L29" s="25">
        <v>-10.280305</v>
      </c>
      <c r="M29" s="25">
        <v>-12.988061</v>
      </c>
      <c r="N29" s="25">
        <v>-22.59965</v>
      </c>
      <c r="O29">
        <v>-6.7353009999999998</v>
      </c>
    </row>
    <row r="30" spans="1:15" x14ac:dyDescent="0.3">
      <c r="A30" s="2">
        <v>42534</v>
      </c>
      <c r="B30" s="18">
        <v>-16.28511</v>
      </c>
      <c r="C30" s="18">
        <v>1.394558</v>
      </c>
      <c r="D30" s="18">
        <v>8.3105089999999997</v>
      </c>
      <c r="E30" s="18">
        <v>-1.8079518999999999</v>
      </c>
      <c r="F30" s="18">
        <v>0.42089223999999997</v>
      </c>
      <c r="G30" s="18">
        <v>3.1847120000000002</v>
      </c>
      <c r="H30" s="18">
        <v>-32.162390000000002</v>
      </c>
      <c r="I30" s="18">
        <v>17.676459999999999</v>
      </c>
      <c r="J30" s="18">
        <v>-13.562303999999999</v>
      </c>
      <c r="K30" s="25" t="e">
        <v>#N/A</v>
      </c>
      <c r="L30" s="25">
        <v>-10.637193999999999</v>
      </c>
      <c r="M30" s="25">
        <v>-15.606779</v>
      </c>
      <c r="N30" s="25">
        <v>-25.564920000000001</v>
      </c>
      <c r="O30">
        <v>-4.8726979999999998</v>
      </c>
    </row>
    <row r="31" spans="1:15" x14ac:dyDescent="0.3">
      <c r="A31" s="2">
        <v>42564</v>
      </c>
      <c r="B31" s="18">
        <v>-7.011533</v>
      </c>
      <c r="C31" s="18">
        <v>4.6966910000000004</v>
      </c>
      <c r="D31" s="18">
        <v>15.614032999999999</v>
      </c>
      <c r="E31" s="18">
        <v>-1.6962527999999999</v>
      </c>
      <c r="F31" s="18">
        <v>2.6794075999999998</v>
      </c>
      <c r="G31" s="18">
        <v>-6.4710974999999999</v>
      </c>
      <c r="H31" s="18">
        <v>-30.212759999999999</v>
      </c>
      <c r="I31" s="18">
        <v>25.479519</v>
      </c>
      <c r="J31" s="18">
        <v>-12.076162999999999</v>
      </c>
      <c r="K31" s="25" t="e">
        <v>#N/A</v>
      </c>
      <c r="L31" s="25">
        <v>-5.8320639999999999</v>
      </c>
      <c r="M31" s="25">
        <v>-11.658752</v>
      </c>
      <c r="N31" s="25">
        <v>-25.488030999999999</v>
      </c>
      <c r="O31">
        <v>-0.39824247000000002</v>
      </c>
    </row>
    <row r="32" spans="1:15" x14ac:dyDescent="0.3">
      <c r="A32" s="2">
        <v>42594</v>
      </c>
      <c r="B32" s="18">
        <v>6.6369056999999998</v>
      </c>
      <c r="C32" s="18">
        <v>6.8541527000000002</v>
      </c>
      <c r="D32" s="18">
        <v>18.236660000000001</v>
      </c>
      <c r="E32" s="18">
        <v>-1.5121340999999999</v>
      </c>
      <c r="F32" s="18">
        <v>7.2407602999999998</v>
      </c>
      <c r="G32" s="18">
        <v>-1.9422054</v>
      </c>
      <c r="H32" s="18">
        <v>-19.182103999999999</v>
      </c>
      <c r="I32" s="18">
        <v>15.670813000000001</v>
      </c>
      <c r="J32" s="18">
        <v>-7.8197536000000003</v>
      </c>
      <c r="K32" s="25" t="e">
        <v>#N/A</v>
      </c>
      <c r="L32" s="25">
        <v>-2.3532389999999999</v>
      </c>
      <c r="M32" s="25">
        <v>-5.1750603000000002</v>
      </c>
      <c r="N32" s="25">
        <v>-25.645733</v>
      </c>
      <c r="O32">
        <v>2.2611140999999999</v>
      </c>
    </row>
    <row r="33" spans="1:15" x14ac:dyDescent="0.3">
      <c r="A33" s="2">
        <v>42626</v>
      </c>
      <c r="B33" s="18">
        <v>10.927939</v>
      </c>
      <c r="C33" s="18">
        <v>10.7528925</v>
      </c>
      <c r="D33" s="18">
        <v>18.453275999999999</v>
      </c>
      <c r="E33" s="18">
        <v>-0.52355529999999995</v>
      </c>
      <c r="F33" s="18">
        <v>10.439467</v>
      </c>
      <c r="G33" s="18">
        <v>-4.3333349999999999</v>
      </c>
      <c r="H33" s="18">
        <v>-19.277752</v>
      </c>
      <c r="I33" s="18">
        <v>13.097656000000001</v>
      </c>
      <c r="J33" s="18">
        <v>-2.8251648</v>
      </c>
      <c r="K33" s="25" t="e">
        <v>#N/A</v>
      </c>
      <c r="L33" s="25">
        <v>5.5918336000000002</v>
      </c>
      <c r="M33" s="25">
        <v>-4.2875050000000003</v>
      </c>
      <c r="N33" s="25">
        <v>-22.907347000000001</v>
      </c>
      <c r="O33">
        <v>6.8057895000000004</v>
      </c>
    </row>
    <row r="34" spans="1:15" x14ac:dyDescent="0.3">
      <c r="A34" s="2">
        <v>42656</v>
      </c>
      <c r="B34" s="18">
        <v>8.5353259999999995</v>
      </c>
      <c r="C34" s="18">
        <v>8.6759810000000002</v>
      </c>
      <c r="D34" s="18">
        <v>7.3037744</v>
      </c>
      <c r="E34" s="18">
        <v>2.3114324000000002</v>
      </c>
      <c r="F34" s="18">
        <v>11.521815999999999</v>
      </c>
      <c r="G34" s="18">
        <v>-6.6480693999999998</v>
      </c>
      <c r="H34" s="18">
        <v>-14.051491</v>
      </c>
      <c r="I34" s="18">
        <v>10.718691</v>
      </c>
      <c r="J34" s="18">
        <v>-4.9192133</v>
      </c>
      <c r="K34" s="25" t="e">
        <v>#N/A</v>
      </c>
      <c r="L34" s="25">
        <v>4.4909596000000001</v>
      </c>
      <c r="M34" s="25">
        <v>-4.7579583999999997</v>
      </c>
      <c r="N34" s="25">
        <v>-26.059555</v>
      </c>
      <c r="O34">
        <v>5.0632954000000003</v>
      </c>
    </row>
    <row r="35" spans="1:15" x14ac:dyDescent="0.3">
      <c r="A35" s="2">
        <v>42685</v>
      </c>
      <c r="B35" s="18">
        <v>4.7863603000000001</v>
      </c>
      <c r="C35" s="18">
        <v>6.4347386000000002</v>
      </c>
      <c r="D35" s="18">
        <v>12.780499000000001</v>
      </c>
      <c r="E35" s="18">
        <v>-0.73700549999999998</v>
      </c>
      <c r="F35" s="18">
        <v>3.5098672</v>
      </c>
      <c r="G35" s="18">
        <v>-1.6569197</v>
      </c>
      <c r="H35" s="18">
        <v>-19.922089</v>
      </c>
      <c r="I35" s="18">
        <v>5.4811597000000001</v>
      </c>
      <c r="J35" s="18">
        <v>-6.1999917</v>
      </c>
      <c r="K35" s="25" t="e">
        <v>#N/A</v>
      </c>
      <c r="L35" s="25">
        <v>0.27135609999999999</v>
      </c>
      <c r="M35" s="25">
        <v>-4.1375694000000003</v>
      </c>
      <c r="N35" s="25">
        <v>-20.764832999999999</v>
      </c>
      <c r="O35">
        <v>2.7783750999999999</v>
      </c>
    </row>
    <row r="36" spans="1:15" x14ac:dyDescent="0.3">
      <c r="A36" s="2">
        <v>42717</v>
      </c>
      <c r="B36" s="18">
        <v>19.521809000000001</v>
      </c>
      <c r="C36" s="18">
        <v>15.263104</v>
      </c>
      <c r="D36" s="18">
        <v>7.1186065999999997</v>
      </c>
      <c r="E36" s="18">
        <v>3.0374764999999999</v>
      </c>
      <c r="F36" s="18">
        <v>9.9592209999999994</v>
      </c>
      <c r="G36" s="18">
        <v>-1.8057525000000001</v>
      </c>
      <c r="H36" s="18">
        <v>14.846812999999999</v>
      </c>
      <c r="I36" s="18">
        <v>-2.2916257</v>
      </c>
      <c r="J36" s="18">
        <v>1.2626648</v>
      </c>
      <c r="K36" s="25" t="e">
        <v>#N/A</v>
      </c>
      <c r="L36" s="25">
        <v>8.5226059999999997</v>
      </c>
      <c r="M36" s="25">
        <v>6.8466306000000001</v>
      </c>
      <c r="N36" s="25">
        <v>-9.3124090000000006</v>
      </c>
      <c r="O36">
        <v>10.661483</v>
      </c>
    </row>
    <row r="37" spans="1:15" x14ac:dyDescent="0.3">
      <c r="A37" s="2">
        <v>42748</v>
      </c>
      <c r="B37" s="18">
        <v>28.885066999999999</v>
      </c>
      <c r="C37" s="18">
        <v>22.826218000000001</v>
      </c>
      <c r="D37" s="18">
        <v>9.0622539999999994</v>
      </c>
      <c r="E37" s="18">
        <v>1.869154</v>
      </c>
      <c r="F37" s="18">
        <v>22.213804</v>
      </c>
      <c r="G37" s="18">
        <v>3.6499977000000001</v>
      </c>
      <c r="H37" s="18">
        <v>36.283459999999998</v>
      </c>
      <c r="I37" s="18">
        <v>-0.60423610000000005</v>
      </c>
      <c r="J37" s="18">
        <v>9.5896129999999999</v>
      </c>
      <c r="K37" s="25" t="e">
        <v>#N/A</v>
      </c>
      <c r="L37" s="25">
        <v>14.206481</v>
      </c>
      <c r="M37" s="25">
        <v>13.513123999999999</v>
      </c>
      <c r="N37" s="25">
        <v>-0.61445236000000003</v>
      </c>
      <c r="O37">
        <v>19.839953999999999</v>
      </c>
    </row>
    <row r="38" spans="1:15" x14ac:dyDescent="0.3">
      <c r="A38" s="2">
        <v>42779</v>
      </c>
      <c r="B38" s="18">
        <v>35.229576000000002</v>
      </c>
      <c r="C38" s="18">
        <v>27.404892</v>
      </c>
      <c r="D38" s="18">
        <v>-1.3180137000000001</v>
      </c>
      <c r="E38" s="18">
        <v>4.6950219999999998</v>
      </c>
      <c r="F38" s="18">
        <v>32.147587000000001</v>
      </c>
      <c r="G38" s="18">
        <v>3.9086223000000002</v>
      </c>
      <c r="H38" s="18">
        <v>32.638336000000002</v>
      </c>
      <c r="I38" s="18">
        <v>-6.2236070000000003</v>
      </c>
      <c r="J38" s="18">
        <v>15.326917999999999</v>
      </c>
      <c r="K38" s="25" t="e">
        <v>#N/A</v>
      </c>
      <c r="L38" s="25">
        <v>26.318598000000001</v>
      </c>
      <c r="M38" s="25">
        <v>20.460450999999999</v>
      </c>
      <c r="N38" s="25">
        <v>11.674476</v>
      </c>
      <c r="O38">
        <v>25.609183999999999</v>
      </c>
    </row>
    <row r="39" spans="1:15" x14ac:dyDescent="0.3">
      <c r="A39" s="2">
        <v>42807</v>
      </c>
      <c r="B39" s="18">
        <v>19.460238</v>
      </c>
      <c r="C39" s="18">
        <v>19.808733</v>
      </c>
      <c r="D39" s="18">
        <v>-3.9108991999999998</v>
      </c>
      <c r="E39" s="18">
        <v>4.9699426000000004</v>
      </c>
      <c r="F39" s="18">
        <v>24.969732</v>
      </c>
      <c r="G39" s="18">
        <v>-3.6983668999999999</v>
      </c>
      <c r="H39" s="18">
        <v>2.7180909999999998</v>
      </c>
      <c r="I39" s="18">
        <v>-6.2858223999999998</v>
      </c>
      <c r="J39" s="18">
        <v>8.0791590000000006</v>
      </c>
      <c r="K39" s="25" t="e">
        <v>#N/A</v>
      </c>
      <c r="L39" s="25">
        <v>14.092482</v>
      </c>
      <c r="M39" s="25">
        <v>10.159599</v>
      </c>
      <c r="N39" s="25">
        <v>1.6647935</v>
      </c>
      <c r="O39">
        <v>15.829217999999999</v>
      </c>
    </row>
    <row r="40" spans="1:15" x14ac:dyDescent="0.3">
      <c r="A40" s="2">
        <v>42838</v>
      </c>
      <c r="B40" s="18">
        <v>14.866770000000001</v>
      </c>
      <c r="C40" s="18">
        <v>14.098871000000001</v>
      </c>
      <c r="D40" s="18">
        <v>3.2247186000000001</v>
      </c>
      <c r="E40" s="18">
        <v>5.8248519999999999</v>
      </c>
      <c r="F40" s="18">
        <v>18.782162</v>
      </c>
      <c r="G40" s="18">
        <v>-3.0988633999999999</v>
      </c>
      <c r="H40" s="18">
        <v>5.7767153000000002</v>
      </c>
      <c r="I40" s="18">
        <v>-3.7314712999999999</v>
      </c>
      <c r="J40" s="18">
        <v>7.8330039999999999</v>
      </c>
      <c r="K40" s="25" t="e">
        <v>#N/A</v>
      </c>
      <c r="L40" s="25">
        <v>8.9735984999999996</v>
      </c>
      <c r="M40" s="25">
        <v>6.8221806999999997</v>
      </c>
      <c r="N40" s="25">
        <v>6.0695766999999998</v>
      </c>
      <c r="O40">
        <v>11.642718</v>
      </c>
    </row>
    <row r="41" spans="1:15" x14ac:dyDescent="0.3">
      <c r="A41" s="2">
        <v>42867</v>
      </c>
      <c r="B41" s="18">
        <v>25.487793</v>
      </c>
      <c r="C41" s="18">
        <v>18.09188</v>
      </c>
      <c r="D41" s="18">
        <v>-3.5737871999999999</v>
      </c>
      <c r="E41" s="18">
        <v>5.0451280000000001</v>
      </c>
      <c r="F41" s="18">
        <v>32.236908</v>
      </c>
      <c r="G41" s="18">
        <v>-5.5685577000000004</v>
      </c>
      <c r="H41" s="18">
        <v>-12.526285</v>
      </c>
      <c r="I41" s="18">
        <v>-5.0721590000000001</v>
      </c>
      <c r="J41" s="18">
        <v>17.968834000000001</v>
      </c>
      <c r="K41" s="25" t="e">
        <v>#N/A</v>
      </c>
      <c r="L41" s="25">
        <v>14.210153</v>
      </c>
      <c r="M41" s="25">
        <v>21.64818</v>
      </c>
      <c r="N41" s="25">
        <v>20.464611000000001</v>
      </c>
      <c r="O41">
        <v>16.770230999999999</v>
      </c>
    </row>
    <row r="42" spans="1:15" x14ac:dyDescent="0.3">
      <c r="A42" s="2">
        <v>42899</v>
      </c>
      <c r="B42" s="18">
        <v>24.578856999999999</v>
      </c>
      <c r="C42" s="18">
        <v>19.749079999999999</v>
      </c>
      <c r="D42" s="18">
        <v>-1.7612517000000001</v>
      </c>
      <c r="E42" s="18">
        <v>2.6186585</v>
      </c>
      <c r="F42" s="18">
        <v>31.263314999999999</v>
      </c>
      <c r="G42" s="18">
        <v>-12.566136999999999</v>
      </c>
      <c r="H42" s="18">
        <v>-19.102049000000001</v>
      </c>
      <c r="I42" s="18">
        <v>-5.8672009999999997</v>
      </c>
      <c r="J42" s="18">
        <v>22.851955</v>
      </c>
      <c r="K42" s="25" t="e">
        <v>#N/A</v>
      </c>
      <c r="L42" s="25">
        <v>21.586407000000001</v>
      </c>
      <c r="M42" s="25">
        <v>26.877545999999999</v>
      </c>
      <c r="N42" s="25">
        <v>29.656196999999999</v>
      </c>
      <c r="O42">
        <v>19.684373999999998</v>
      </c>
    </row>
    <row r="43" spans="1:15" x14ac:dyDescent="0.3">
      <c r="A43" s="2">
        <v>42929</v>
      </c>
      <c r="B43" s="18">
        <v>19.261301</v>
      </c>
      <c r="C43" s="18">
        <v>16.041993999999999</v>
      </c>
      <c r="D43" s="18">
        <v>-9.7412770000000002</v>
      </c>
      <c r="E43" s="18">
        <v>-0.60192347000000002</v>
      </c>
      <c r="F43" s="18">
        <v>28.094912000000001</v>
      </c>
      <c r="G43" s="18">
        <v>-7.9797029999999998</v>
      </c>
      <c r="H43" s="18">
        <v>-12.157017</v>
      </c>
      <c r="I43" s="18">
        <v>-10.879212000000001</v>
      </c>
      <c r="J43" s="18">
        <v>22.56006</v>
      </c>
      <c r="K43" s="25" t="e">
        <v>#N/A</v>
      </c>
      <c r="L43" s="25">
        <v>14.445745000000001</v>
      </c>
      <c r="M43" s="25">
        <v>29.666827999999999</v>
      </c>
      <c r="N43" s="25">
        <v>35.135902000000002</v>
      </c>
      <c r="O43">
        <v>16.519047</v>
      </c>
    </row>
    <row r="44" spans="1:15" x14ac:dyDescent="0.3">
      <c r="A44" s="2">
        <v>42958</v>
      </c>
      <c r="B44" s="18">
        <v>13.458920000000001</v>
      </c>
      <c r="C44" s="18">
        <v>13.922404999999999</v>
      </c>
      <c r="D44" s="18">
        <v>-3.8223505000000002</v>
      </c>
      <c r="E44" s="18">
        <v>-2.7430414999999999</v>
      </c>
      <c r="F44" s="18">
        <v>22.582339999999999</v>
      </c>
      <c r="G44" s="18">
        <v>-6.8865179999999997</v>
      </c>
      <c r="H44" s="18">
        <v>-4.0542899999999999</v>
      </c>
      <c r="I44" s="18">
        <v>-6.6948295</v>
      </c>
      <c r="J44" s="18">
        <v>17.502521999999999</v>
      </c>
      <c r="K44" s="25" t="e">
        <v>#N/A</v>
      </c>
      <c r="L44" s="25">
        <v>11.090731999999999</v>
      </c>
      <c r="M44" s="25">
        <v>19.425034</v>
      </c>
      <c r="N44" s="25">
        <v>35.031962999999998</v>
      </c>
      <c r="O44">
        <v>13.377094</v>
      </c>
    </row>
    <row r="45" spans="1:15" x14ac:dyDescent="0.3">
      <c r="A45" s="2">
        <v>42991</v>
      </c>
      <c r="B45" s="18">
        <v>24.507449999999999</v>
      </c>
      <c r="C45" s="18">
        <v>19.713234</v>
      </c>
      <c r="D45" s="18">
        <v>-0.111329556</v>
      </c>
      <c r="E45" s="18">
        <v>-2.8744996</v>
      </c>
      <c r="F45" s="18">
        <v>28.313887000000001</v>
      </c>
      <c r="G45" s="18">
        <v>-6.1722219999999997</v>
      </c>
      <c r="H45" s="18">
        <v>-2.5065780000000002</v>
      </c>
      <c r="I45" s="18">
        <v>-3.3946573999999998</v>
      </c>
      <c r="J45" s="18">
        <v>23.176991999999998</v>
      </c>
      <c r="K45" s="25" t="e">
        <v>#N/A</v>
      </c>
      <c r="L45" s="25">
        <v>14.980102</v>
      </c>
      <c r="M45" s="25">
        <v>25.588072</v>
      </c>
      <c r="N45" s="25">
        <v>42.680584000000003</v>
      </c>
      <c r="O45">
        <v>19.660198000000001</v>
      </c>
    </row>
    <row r="46" spans="1:15" x14ac:dyDescent="0.3">
      <c r="A46" s="2">
        <v>43021</v>
      </c>
      <c r="B46" s="18">
        <v>24.396778000000001</v>
      </c>
      <c r="C46" s="18">
        <v>22.112392</v>
      </c>
      <c r="D46" s="18">
        <v>3.1575441</v>
      </c>
      <c r="E46" s="18">
        <v>-4.1617100000000002</v>
      </c>
      <c r="F46" s="18">
        <v>28.056728</v>
      </c>
      <c r="G46" s="18">
        <v>-4.6812772999999996</v>
      </c>
      <c r="H46" s="18">
        <v>-8.2205589999999997</v>
      </c>
      <c r="I46" s="18">
        <v>-3.2839417000000002</v>
      </c>
      <c r="J46" s="18">
        <v>28.465592999999998</v>
      </c>
      <c r="K46" s="25" t="e">
        <v>#N/A</v>
      </c>
      <c r="L46" s="25">
        <v>18.369054999999999</v>
      </c>
      <c r="M46" s="25">
        <v>31.035661999999999</v>
      </c>
      <c r="N46" s="25">
        <v>47.657333000000001</v>
      </c>
      <c r="O46">
        <v>22.487663000000001</v>
      </c>
    </row>
    <row r="47" spans="1:15" x14ac:dyDescent="0.3">
      <c r="A47" s="2">
        <v>43052</v>
      </c>
      <c r="B47" s="18">
        <v>29.371977000000001</v>
      </c>
      <c r="C47" s="18">
        <v>21.78173</v>
      </c>
      <c r="D47" s="18">
        <v>3.595221</v>
      </c>
      <c r="E47" s="18">
        <v>-4.0250120000000003</v>
      </c>
      <c r="F47" s="18">
        <v>34.207058000000004</v>
      </c>
      <c r="G47" s="18">
        <v>-4.4103025999999996</v>
      </c>
      <c r="H47" s="18">
        <v>16.817225000000001</v>
      </c>
      <c r="I47" s="18">
        <v>4.5351623999999999</v>
      </c>
      <c r="J47" s="18">
        <v>27.068615000000001</v>
      </c>
      <c r="K47" s="25" t="e">
        <v>#N/A</v>
      </c>
      <c r="L47" s="25">
        <v>20.996452000000001</v>
      </c>
      <c r="M47" s="25">
        <v>29.097079999999998</v>
      </c>
      <c r="N47" s="25">
        <v>42.253875999999998</v>
      </c>
      <c r="O47">
        <v>22.564744999999998</v>
      </c>
    </row>
    <row r="48" spans="1:15" x14ac:dyDescent="0.3">
      <c r="A48" s="2">
        <v>43082</v>
      </c>
      <c r="B48" s="18">
        <v>24.274815</v>
      </c>
      <c r="C48" s="18">
        <v>19.490027999999999</v>
      </c>
      <c r="D48" s="18">
        <v>7.8949809999999996</v>
      </c>
      <c r="E48" s="18">
        <v>-6.9295587999999997</v>
      </c>
      <c r="F48" s="18">
        <v>30.792831</v>
      </c>
      <c r="G48" s="18">
        <v>-9.2942350000000005</v>
      </c>
      <c r="H48" s="18">
        <v>-4.3386754999999999</v>
      </c>
      <c r="I48" s="18">
        <v>10.56155</v>
      </c>
      <c r="J48" s="18">
        <v>25.131474999999998</v>
      </c>
      <c r="K48" s="25" t="e">
        <v>#N/A</v>
      </c>
      <c r="L48" s="25">
        <v>19.274616000000002</v>
      </c>
      <c r="M48" s="25">
        <v>20.246338000000002</v>
      </c>
      <c r="N48" s="25">
        <v>31.493113999999998</v>
      </c>
      <c r="O48">
        <v>20.073913999999998</v>
      </c>
    </row>
    <row r="49" spans="1:15" x14ac:dyDescent="0.3">
      <c r="A49" s="2">
        <v>43112</v>
      </c>
      <c r="B49" s="18">
        <v>33.226129999999998</v>
      </c>
      <c r="C49" s="18">
        <v>25.065697</v>
      </c>
      <c r="D49" s="18">
        <v>11.456405999999999</v>
      </c>
      <c r="E49" s="18">
        <v>-9.383756</v>
      </c>
      <c r="F49" s="18">
        <v>35.237563999999999</v>
      </c>
      <c r="G49" s="18">
        <v>-10.077518</v>
      </c>
      <c r="H49" s="18">
        <v>10.557186</v>
      </c>
      <c r="I49" s="18">
        <v>4.7408340000000004</v>
      </c>
      <c r="J49" s="18">
        <v>30.218516999999999</v>
      </c>
      <c r="K49" s="25" t="e">
        <v>#N/A</v>
      </c>
      <c r="L49" s="25">
        <v>27.14405</v>
      </c>
      <c r="M49" s="25">
        <v>27.023363</v>
      </c>
      <c r="N49" s="25">
        <v>38.575744999999998</v>
      </c>
      <c r="O49">
        <v>25.075852999999999</v>
      </c>
    </row>
    <row r="50" spans="1:15" x14ac:dyDescent="0.3">
      <c r="A50" s="2">
        <v>43144</v>
      </c>
      <c r="B50" s="18">
        <v>22.327877000000001</v>
      </c>
      <c r="C50" s="18">
        <v>16.492699999999999</v>
      </c>
      <c r="D50" s="18">
        <v>7.9452040000000004</v>
      </c>
      <c r="E50" s="18">
        <v>-10.187376</v>
      </c>
      <c r="F50" s="18">
        <v>25.797630000000002</v>
      </c>
      <c r="G50" s="18">
        <v>-7.4743449999999996</v>
      </c>
      <c r="H50" s="18">
        <v>4.8972129999999998</v>
      </c>
      <c r="I50" s="18">
        <v>1.3379335000000001</v>
      </c>
      <c r="J50" s="18">
        <v>21.201156999999998</v>
      </c>
      <c r="K50" s="25" t="e">
        <v>#N/A</v>
      </c>
      <c r="L50" s="25">
        <v>16.836511999999999</v>
      </c>
      <c r="M50" s="25">
        <v>14.056182</v>
      </c>
      <c r="N50" s="25">
        <v>36.380184</v>
      </c>
      <c r="O50">
        <v>16.569471</v>
      </c>
    </row>
    <row r="51" spans="1:15" x14ac:dyDescent="0.3">
      <c r="A51" s="2">
        <v>43172</v>
      </c>
      <c r="B51" s="18">
        <v>26.004864000000001</v>
      </c>
      <c r="C51" s="18">
        <v>18.619071999999999</v>
      </c>
      <c r="D51" s="18">
        <v>9.6217520000000007</v>
      </c>
      <c r="E51" s="18">
        <v>-10.339218000000001</v>
      </c>
      <c r="F51" s="18">
        <v>31.659020000000002</v>
      </c>
      <c r="G51" s="18">
        <v>-3.2917678000000001</v>
      </c>
      <c r="H51" s="18">
        <v>20.701063000000001</v>
      </c>
      <c r="I51" s="18">
        <v>4.8847079999999998</v>
      </c>
      <c r="J51" s="18">
        <v>19.848144999999999</v>
      </c>
      <c r="K51" s="25" t="e">
        <v>#N/A</v>
      </c>
      <c r="L51" s="25">
        <v>18.951118000000001</v>
      </c>
      <c r="M51" s="25">
        <v>13.134074</v>
      </c>
      <c r="N51" s="25">
        <v>34.03013</v>
      </c>
      <c r="O51">
        <v>17.681968999999999</v>
      </c>
    </row>
    <row r="52" spans="1:15" x14ac:dyDescent="0.3">
      <c r="A52" s="2">
        <v>43203</v>
      </c>
      <c r="B52" s="18">
        <v>19.985306000000001</v>
      </c>
      <c r="C52" s="18">
        <v>16.208791999999999</v>
      </c>
      <c r="D52" s="18">
        <v>3.9559484</v>
      </c>
      <c r="E52" s="18">
        <v>-9.3062459999999998</v>
      </c>
      <c r="F52" s="18">
        <v>24.825727000000001</v>
      </c>
      <c r="G52" s="18">
        <v>-4.0101585000000002</v>
      </c>
      <c r="H52" s="18">
        <v>22.341394000000001</v>
      </c>
      <c r="I52" s="18">
        <v>0.39677620000000002</v>
      </c>
      <c r="J52" s="18">
        <v>19.781483000000001</v>
      </c>
      <c r="K52" s="25" t="e">
        <v>#N/A</v>
      </c>
      <c r="L52" s="25">
        <v>20.577287999999999</v>
      </c>
      <c r="M52" s="25">
        <v>9.1292620000000007</v>
      </c>
      <c r="N52" s="25">
        <v>38.329230000000003</v>
      </c>
      <c r="O52">
        <v>16.319524999999999</v>
      </c>
    </row>
    <row r="53" spans="1:15" x14ac:dyDescent="0.3">
      <c r="A53" s="2">
        <v>43231</v>
      </c>
      <c r="B53" s="18">
        <v>16.073440000000002</v>
      </c>
      <c r="C53" s="18">
        <v>16.15156</v>
      </c>
      <c r="D53" s="18">
        <v>7.2961330000000002</v>
      </c>
      <c r="E53" s="18">
        <v>-5.4274560000000003</v>
      </c>
      <c r="F53" s="18">
        <v>23.604810000000001</v>
      </c>
      <c r="G53" s="18">
        <v>-5.2499950000000002</v>
      </c>
      <c r="H53" s="18">
        <v>45.883156</v>
      </c>
      <c r="I53" s="18">
        <v>1.4781833</v>
      </c>
      <c r="J53" s="18">
        <v>12.856161</v>
      </c>
      <c r="K53" s="25" t="e">
        <v>#N/A</v>
      </c>
      <c r="L53" s="25">
        <v>18.851459999999999</v>
      </c>
      <c r="M53" s="25">
        <v>5.0139069999999997</v>
      </c>
      <c r="N53" s="25">
        <v>24.101437000000001</v>
      </c>
      <c r="O53">
        <v>14.884876999999999</v>
      </c>
    </row>
    <row r="54" spans="1:15" x14ac:dyDescent="0.3">
      <c r="A54" s="2">
        <v>43264</v>
      </c>
      <c r="B54" s="18">
        <v>11.650895999999999</v>
      </c>
      <c r="C54" s="18">
        <v>15.854513000000001</v>
      </c>
      <c r="D54" s="18">
        <v>2.2493362000000001</v>
      </c>
      <c r="E54" s="18">
        <v>-1.5418529999999999</v>
      </c>
      <c r="F54" s="18">
        <v>26.352499999999999</v>
      </c>
      <c r="G54" s="18">
        <v>-5.8497190000000003</v>
      </c>
      <c r="H54" s="18">
        <v>43.690013999999998</v>
      </c>
      <c r="I54" s="18">
        <v>-1.6413926999999999</v>
      </c>
      <c r="J54" s="18">
        <v>8.2400079999999996</v>
      </c>
      <c r="K54" s="25" t="e">
        <v>#N/A</v>
      </c>
      <c r="L54" s="25">
        <v>12.720596</v>
      </c>
      <c r="M54" s="25">
        <v>0.82904100000000003</v>
      </c>
      <c r="N54" s="25">
        <v>10.874498000000001</v>
      </c>
      <c r="O54">
        <v>12.9488945</v>
      </c>
    </row>
    <row r="55" spans="1:15" x14ac:dyDescent="0.3">
      <c r="A55" s="2">
        <v>43294</v>
      </c>
      <c r="B55" s="18">
        <v>4.2249203</v>
      </c>
      <c r="C55" s="18">
        <v>16.522290000000002</v>
      </c>
      <c r="D55" s="18">
        <v>1.5455007999999999</v>
      </c>
      <c r="E55" s="18">
        <v>1.0238767</v>
      </c>
      <c r="F55" s="18">
        <v>28.404903000000001</v>
      </c>
      <c r="G55" s="18">
        <v>-12.982457999999999</v>
      </c>
      <c r="H55" s="18">
        <v>50.903846999999999</v>
      </c>
      <c r="I55" s="18">
        <v>2.2010206999999999</v>
      </c>
      <c r="J55" s="18">
        <v>5.5068609999999998</v>
      </c>
      <c r="K55" s="25" t="e">
        <v>#N/A</v>
      </c>
      <c r="L55" s="25">
        <v>9.1579075000000003</v>
      </c>
      <c r="M55" s="25">
        <v>-6.9775343000000003</v>
      </c>
      <c r="N55" s="25">
        <v>5.1639556999999998</v>
      </c>
      <c r="O55">
        <v>12.374449</v>
      </c>
    </row>
    <row r="56" spans="1:15" x14ac:dyDescent="0.3">
      <c r="A56" s="2">
        <v>43325</v>
      </c>
      <c r="B56" s="18">
        <v>0.73170659999999998</v>
      </c>
      <c r="C56" s="18">
        <v>17.712842999999999</v>
      </c>
      <c r="D56" s="18">
        <v>-8.0055420000000002</v>
      </c>
      <c r="E56" s="18">
        <v>5.8236239999999997</v>
      </c>
      <c r="F56" s="18">
        <v>27.92362</v>
      </c>
      <c r="G56" s="18">
        <v>-11.041670999999999</v>
      </c>
      <c r="H56" s="18">
        <v>41.314877000000003</v>
      </c>
      <c r="I56" s="18">
        <v>-2.2910297000000002</v>
      </c>
      <c r="J56" s="18">
        <v>3.0111669999999999</v>
      </c>
      <c r="K56" s="25">
        <v>-0.56865215000000002</v>
      </c>
      <c r="L56" s="25">
        <v>7.2566031999999998</v>
      </c>
      <c r="M56" s="25">
        <v>-3.0494629999999998</v>
      </c>
      <c r="N56" s="25">
        <v>-3.4542918</v>
      </c>
      <c r="O56">
        <v>12.321579</v>
      </c>
    </row>
    <row r="57" spans="1:15" x14ac:dyDescent="0.3">
      <c r="A57" s="2">
        <v>43356</v>
      </c>
      <c r="B57" s="18">
        <v>-6.4067544999999999</v>
      </c>
      <c r="C57" s="18">
        <v>18.420815000000001</v>
      </c>
      <c r="D57" s="18">
        <v>-9.433961</v>
      </c>
      <c r="E57" s="18">
        <v>4.6840310000000001</v>
      </c>
      <c r="F57" s="18">
        <v>27.047909000000001</v>
      </c>
      <c r="G57" s="18">
        <v>-9.3899249999999999</v>
      </c>
      <c r="H57" s="18">
        <v>43.936836</v>
      </c>
      <c r="I57" s="18">
        <v>-3.2116592000000002</v>
      </c>
      <c r="J57" s="18">
        <v>0.37482977000000001</v>
      </c>
      <c r="K57" s="25">
        <v>-4.6184960000000004</v>
      </c>
      <c r="L57" s="25">
        <v>5.7265161999999998</v>
      </c>
      <c r="M57" s="25">
        <v>-3.9325296999999999</v>
      </c>
      <c r="N57" s="25">
        <v>-6.0704710000000004</v>
      </c>
      <c r="O57">
        <v>11.550653000000001</v>
      </c>
    </row>
    <row r="58" spans="1:15" x14ac:dyDescent="0.3">
      <c r="A58" s="2">
        <v>43385</v>
      </c>
      <c r="B58" s="18">
        <v>-11.393725999999999</v>
      </c>
      <c r="C58" s="18">
        <v>10.342873000000001</v>
      </c>
      <c r="D58" s="18">
        <v>-6.2332153000000003</v>
      </c>
      <c r="E58" s="18">
        <v>4.8549533</v>
      </c>
      <c r="F58" s="18">
        <v>18.874310999999999</v>
      </c>
      <c r="G58" s="18">
        <v>-7.9706372999999999</v>
      </c>
      <c r="H58" s="18">
        <v>46.668877000000002</v>
      </c>
      <c r="I58" s="18">
        <v>-5.9722660000000003</v>
      </c>
      <c r="J58" s="18">
        <v>-7.2152795999999997</v>
      </c>
      <c r="K58" s="25">
        <v>-9.076511</v>
      </c>
      <c r="L58" s="25">
        <v>1.5479326</v>
      </c>
      <c r="M58" s="25">
        <v>-11.000280999999999</v>
      </c>
      <c r="N58" s="25">
        <v>-13.808846000000001</v>
      </c>
      <c r="O58">
        <v>4.0464997</v>
      </c>
    </row>
    <row r="59" spans="1:15" x14ac:dyDescent="0.3">
      <c r="A59" s="2">
        <v>43417</v>
      </c>
      <c r="B59" s="18">
        <v>-11.596131</v>
      </c>
      <c r="C59" s="18">
        <v>7.2334646999999999</v>
      </c>
      <c r="D59" s="18">
        <v>-6.2731859999999999</v>
      </c>
      <c r="E59" s="18">
        <v>5.6779146000000003</v>
      </c>
      <c r="F59" s="18">
        <v>9.0207339999999991</v>
      </c>
      <c r="G59" s="18">
        <v>-10.679112999999999</v>
      </c>
      <c r="H59" s="18">
        <v>3.4205914000000002</v>
      </c>
      <c r="I59" s="18">
        <v>-5.8681369999999999</v>
      </c>
      <c r="J59" s="18">
        <v>-6.5586624000000002</v>
      </c>
      <c r="K59" s="25">
        <v>-9.6928300000000007</v>
      </c>
      <c r="L59" s="25">
        <v>-6.5968156000000002</v>
      </c>
      <c r="M59" s="25">
        <v>-10.794199000000001</v>
      </c>
      <c r="N59" s="25">
        <v>-15.256065</v>
      </c>
      <c r="O59">
        <v>1.8199801</v>
      </c>
    </row>
    <row r="60" spans="1:15" x14ac:dyDescent="0.3">
      <c r="A60" s="2">
        <v>43447</v>
      </c>
      <c r="B60" s="18">
        <v>-9.9130745000000005</v>
      </c>
      <c r="C60" s="18">
        <v>1.2949705</v>
      </c>
      <c r="D60" s="18">
        <v>-1.3761817999999999</v>
      </c>
      <c r="E60" s="18">
        <v>6.8058610000000002</v>
      </c>
      <c r="F60" s="18">
        <v>6.6540600000000003</v>
      </c>
      <c r="G60" s="18">
        <v>-4.6027420000000001</v>
      </c>
      <c r="H60" s="18">
        <v>0</v>
      </c>
      <c r="I60" s="18">
        <v>-4.7706422999999996</v>
      </c>
      <c r="J60" s="18">
        <v>-11.431103999999999</v>
      </c>
      <c r="K60" s="25">
        <v>-9.4878079999999994</v>
      </c>
      <c r="L60" s="25">
        <v>-9.6404259999999997</v>
      </c>
      <c r="M60" s="25">
        <v>-11.069637</v>
      </c>
      <c r="N60" s="25">
        <v>-15.336859</v>
      </c>
      <c r="O60">
        <v>-3.2325745000000001</v>
      </c>
    </row>
    <row r="61" spans="1:15" x14ac:dyDescent="0.3">
      <c r="A61" s="2">
        <v>43476</v>
      </c>
      <c r="B61" s="18">
        <v>-14.814812</v>
      </c>
      <c r="C61" s="18">
        <v>-4.4139265999999999</v>
      </c>
      <c r="D61" s="18">
        <v>-2.9017865999999999</v>
      </c>
      <c r="E61" s="18">
        <v>6.9858549999999999</v>
      </c>
      <c r="F61" s="18">
        <v>-0.75089335000000001</v>
      </c>
      <c r="G61" s="18">
        <v>-6.3278619999999997</v>
      </c>
      <c r="H61" s="18">
        <v>-13.46649</v>
      </c>
      <c r="I61" s="18">
        <v>-6.8646670000000007E-2</v>
      </c>
      <c r="J61" s="18">
        <v>-14.234042000000001</v>
      </c>
      <c r="K61" s="25">
        <v>-11.943823</v>
      </c>
      <c r="L61" s="25">
        <v>-15.164638</v>
      </c>
      <c r="M61" s="25">
        <v>-14.310140000000001</v>
      </c>
      <c r="N61" s="25">
        <v>-18.651522</v>
      </c>
      <c r="O61">
        <v>-8.0341699999999996</v>
      </c>
    </row>
    <row r="62" spans="1:15" x14ac:dyDescent="0.3">
      <c r="A62" s="2">
        <v>43509</v>
      </c>
      <c r="B62" s="18">
        <v>-10.0284815</v>
      </c>
      <c r="C62" s="18">
        <v>5.3565383000000004</v>
      </c>
      <c r="D62" s="18">
        <v>-2.1494270000000002</v>
      </c>
      <c r="E62" s="18">
        <v>11.701465000000001</v>
      </c>
      <c r="F62" s="18">
        <v>8.004308</v>
      </c>
      <c r="G62" s="18">
        <v>-10.037041</v>
      </c>
      <c r="H62" s="18">
        <v>-1.791358</v>
      </c>
      <c r="I62" s="18">
        <v>4.5630455000000003</v>
      </c>
      <c r="J62" s="18">
        <v>-8.2359790000000004</v>
      </c>
      <c r="K62" s="25">
        <v>-9.2154450000000008</v>
      </c>
      <c r="L62" s="25">
        <v>-8.0657370000000004</v>
      </c>
      <c r="M62" s="25">
        <v>-7.2955728000000004</v>
      </c>
      <c r="N62" s="25">
        <v>-14.521986</v>
      </c>
      <c r="O62">
        <v>0.64564942999999997</v>
      </c>
    </row>
    <row r="63" spans="1:15" x14ac:dyDescent="0.3">
      <c r="A63" s="2">
        <v>43537</v>
      </c>
      <c r="B63" s="18">
        <v>-9.9091170000000002</v>
      </c>
      <c r="C63" s="18">
        <v>3.6136865999999999</v>
      </c>
      <c r="D63" s="18">
        <v>-1.5423775</v>
      </c>
      <c r="E63" s="18">
        <v>10.989475000000001</v>
      </c>
      <c r="F63" s="18">
        <v>3.9679527000000001</v>
      </c>
      <c r="G63" s="18">
        <v>-14.678782</v>
      </c>
      <c r="H63" s="18">
        <v>-0.77972410000000003</v>
      </c>
      <c r="I63" s="18">
        <v>5.0306319999999998</v>
      </c>
      <c r="J63" s="18">
        <v>-5.5625439999999999</v>
      </c>
      <c r="K63" s="25">
        <v>-11.63165</v>
      </c>
      <c r="L63" s="25">
        <v>-9.0141480000000005</v>
      </c>
      <c r="M63" s="25">
        <v>-7.7892302999999998</v>
      </c>
      <c r="N63" s="25">
        <v>-12.637699</v>
      </c>
      <c r="O63">
        <v>0.44798850000000001</v>
      </c>
    </row>
    <row r="64" spans="1:15" x14ac:dyDescent="0.3">
      <c r="A64" s="2">
        <v>43567</v>
      </c>
      <c r="B64" s="18">
        <v>-4.4982075999999998</v>
      </c>
      <c r="C64" s="18">
        <v>11.240339000000001</v>
      </c>
      <c r="D64" s="18">
        <v>-3.7829757000000002</v>
      </c>
      <c r="E64" s="18">
        <v>11.471057</v>
      </c>
      <c r="F64" s="18">
        <v>15.559519</v>
      </c>
      <c r="G64" s="18">
        <v>-10.072767000000001</v>
      </c>
      <c r="H64" s="18">
        <v>-1.8351911999999999</v>
      </c>
      <c r="I64" s="18">
        <v>4.5114635999999999</v>
      </c>
      <c r="J64" s="18">
        <v>-3.5882234999999998</v>
      </c>
      <c r="K64" s="25">
        <v>-5.8344364000000004</v>
      </c>
      <c r="L64" s="25">
        <v>-7.1532669999999996</v>
      </c>
      <c r="M64" s="25">
        <v>2.6551485000000001</v>
      </c>
      <c r="N64" s="25">
        <v>-11.217366999999999</v>
      </c>
      <c r="O64">
        <v>5.6833267000000003</v>
      </c>
    </row>
    <row r="65" spans="1:15" x14ac:dyDescent="0.3">
      <c r="A65" s="2">
        <v>43598</v>
      </c>
      <c r="B65" s="18">
        <v>-10.277509999999999</v>
      </c>
      <c r="C65" s="18">
        <v>4.9440980000000003</v>
      </c>
      <c r="D65" s="18">
        <v>-1.8640041000000001</v>
      </c>
      <c r="E65" s="18">
        <v>8.6856000000000009</v>
      </c>
      <c r="F65" s="18">
        <v>6.2999606000000004</v>
      </c>
      <c r="G65" s="18">
        <v>-17.070830000000001</v>
      </c>
      <c r="H65" s="18">
        <v>-13.325530000000001</v>
      </c>
      <c r="I65" s="18">
        <v>8.3539250000000003</v>
      </c>
      <c r="J65" s="18">
        <v>-8.5927120000000006</v>
      </c>
      <c r="K65" s="25">
        <v>-10.397804000000001</v>
      </c>
      <c r="L65" s="25">
        <v>-12.406974999999999</v>
      </c>
      <c r="M65" s="25">
        <v>-8.5631730000000008</v>
      </c>
      <c r="N65" s="25">
        <v>-16.868752000000001</v>
      </c>
      <c r="O65">
        <v>-3.8570166000000003E-2</v>
      </c>
    </row>
    <row r="66" spans="1:15" x14ac:dyDescent="0.3">
      <c r="A66" s="2">
        <v>43629</v>
      </c>
      <c r="B66" s="18">
        <v>-5.1301240000000004</v>
      </c>
      <c r="C66" s="18">
        <v>6.1864257</v>
      </c>
      <c r="D66" s="18">
        <v>2.7680755000000001</v>
      </c>
      <c r="E66" s="18">
        <v>7.2255969999999996</v>
      </c>
      <c r="F66" s="18">
        <v>5.2315234999999998</v>
      </c>
      <c r="G66" s="18">
        <v>-9.2231930000000002</v>
      </c>
      <c r="H66" s="18">
        <v>-20.707571000000002</v>
      </c>
      <c r="I66" s="18">
        <v>12.926674</v>
      </c>
      <c r="J66" s="18">
        <v>-4.0815773000000002</v>
      </c>
      <c r="K66" s="25">
        <v>-3.0229867000000001</v>
      </c>
      <c r="L66" s="25">
        <v>-9.4115549999999999</v>
      </c>
      <c r="M66" s="25">
        <v>-3.8354218000000002</v>
      </c>
      <c r="N66" s="25">
        <v>-7.0830764999999998</v>
      </c>
      <c r="O66">
        <v>2.2232889999999998</v>
      </c>
    </row>
    <row r="67" spans="1:15" x14ac:dyDescent="0.3">
      <c r="A67" s="2">
        <v>43658</v>
      </c>
      <c r="B67" s="18">
        <v>2.6828408000000001</v>
      </c>
      <c r="C67" s="18">
        <v>9.7578639999999996</v>
      </c>
      <c r="D67" s="18">
        <v>13.0364895</v>
      </c>
      <c r="E67" s="18">
        <v>5.7641625000000003</v>
      </c>
      <c r="F67" s="18">
        <v>8.7868209999999998</v>
      </c>
      <c r="G67" s="18">
        <v>-1.9005597000000001</v>
      </c>
      <c r="H67" s="18">
        <v>-10.644036</v>
      </c>
      <c r="I67" s="18">
        <v>9.2430000000000003</v>
      </c>
      <c r="J67" s="18">
        <v>-0.6020546</v>
      </c>
      <c r="K67" s="25">
        <v>3.8299560000000001</v>
      </c>
      <c r="L67" s="25">
        <v>-1.7686605</v>
      </c>
      <c r="M67" s="25">
        <v>3.4644960999999999</v>
      </c>
      <c r="N67" s="25">
        <v>2.6831865000000001</v>
      </c>
      <c r="O67">
        <v>6.3805223</v>
      </c>
    </row>
    <row r="68" spans="1:15" x14ac:dyDescent="0.3">
      <c r="A68" s="2">
        <v>43690</v>
      </c>
      <c r="B68" s="18">
        <v>-1.1156499</v>
      </c>
      <c r="C68" s="18">
        <v>5.7672499999999998</v>
      </c>
      <c r="D68" s="18">
        <v>25.513458</v>
      </c>
      <c r="E68" s="18">
        <v>5.3227304999999996</v>
      </c>
      <c r="F68" s="18">
        <v>5.392468</v>
      </c>
      <c r="G68" s="18">
        <v>-10.180616000000001</v>
      </c>
      <c r="H68" s="18">
        <v>-15.69736</v>
      </c>
      <c r="I68" s="18">
        <v>21.476900000000001</v>
      </c>
      <c r="J68" s="18">
        <v>-2.6488364</v>
      </c>
      <c r="K68" s="25">
        <v>-1.8111824999999999</v>
      </c>
      <c r="L68" s="25">
        <v>-4.5361099999999999</v>
      </c>
      <c r="M68" s="25">
        <v>-5.2643420000000001</v>
      </c>
      <c r="N68" s="25">
        <v>-0.43979287</v>
      </c>
      <c r="O68">
        <v>3.203249</v>
      </c>
    </row>
    <row r="69" spans="1:15" x14ac:dyDescent="0.3">
      <c r="A69" s="2">
        <v>43721</v>
      </c>
      <c r="B69" s="18">
        <v>6.2816859999999997</v>
      </c>
      <c r="C69" s="18">
        <v>5.5872320000000002</v>
      </c>
      <c r="D69" s="18">
        <v>23.197948</v>
      </c>
      <c r="E69" s="18">
        <v>7.6464295</v>
      </c>
      <c r="F69" s="18">
        <v>5.2566648000000002</v>
      </c>
      <c r="G69" s="18">
        <v>-8.6422205000000005</v>
      </c>
      <c r="H69" s="18">
        <v>-21.56071</v>
      </c>
      <c r="I69" s="18">
        <v>17.614328</v>
      </c>
      <c r="J69" s="18">
        <v>0.64185859999999995</v>
      </c>
      <c r="K69" s="25">
        <v>2.262807</v>
      </c>
      <c r="L69" s="25">
        <v>0.62888860000000002</v>
      </c>
      <c r="M69" s="25">
        <v>-1.3996660999999999</v>
      </c>
      <c r="N69" s="25">
        <v>4.6154736999999999</v>
      </c>
      <c r="O69">
        <v>4.0167212000000001</v>
      </c>
    </row>
    <row r="70" spans="1:15" x14ac:dyDescent="0.3">
      <c r="A70" s="2">
        <v>43749</v>
      </c>
      <c r="B70" s="18">
        <v>11.925209000000001</v>
      </c>
      <c r="C70" s="18">
        <v>11.035895</v>
      </c>
      <c r="D70" s="18">
        <v>20.944893</v>
      </c>
      <c r="E70" s="18">
        <v>7.3646307000000002</v>
      </c>
      <c r="F70" s="18">
        <v>13.697253999999999</v>
      </c>
      <c r="G70" s="18">
        <v>-7.2240589999999996</v>
      </c>
      <c r="H70" s="18">
        <v>-23.523039000000001</v>
      </c>
      <c r="I70" s="18">
        <v>25.386965</v>
      </c>
      <c r="J70" s="18">
        <v>6.4454675000000003</v>
      </c>
      <c r="K70" s="25">
        <v>6.9272280000000004</v>
      </c>
      <c r="L70" s="25">
        <v>2.6787399999999999</v>
      </c>
      <c r="M70" s="25">
        <v>1.0428548</v>
      </c>
      <c r="N70" s="25">
        <v>12.832737</v>
      </c>
      <c r="O70">
        <v>9.5636130000000001</v>
      </c>
    </row>
    <row r="71" spans="1:15" x14ac:dyDescent="0.3">
      <c r="A71" s="2">
        <v>43782</v>
      </c>
      <c r="B71" s="18">
        <v>12.607514999999999</v>
      </c>
      <c r="C71" s="18">
        <v>15.887249000000001</v>
      </c>
      <c r="D71" s="18">
        <v>21.354437000000001</v>
      </c>
      <c r="E71" s="18">
        <v>4.8219323000000003</v>
      </c>
      <c r="F71" s="18">
        <v>22.187125999999999</v>
      </c>
      <c r="G71" s="18">
        <v>-4.979813</v>
      </c>
      <c r="H71" s="18">
        <v>2.1449566</v>
      </c>
      <c r="I71" s="18">
        <v>22.695170999999998</v>
      </c>
      <c r="J71" s="18">
        <v>12.243498000000001</v>
      </c>
      <c r="K71" s="25">
        <v>9.6731300000000005</v>
      </c>
      <c r="L71" s="25">
        <v>12.113142</v>
      </c>
      <c r="M71" s="25">
        <v>12.355995</v>
      </c>
      <c r="N71" s="25">
        <v>22.77788</v>
      </c>
      <c r="O71">
        <v>14.631653</v>
      </c>
    </row>
    <row r="72" spans="1:15" x14ac:dyDescent="0.3">
      <c r="A72" s="2">
        <v>43812</v>
      </c>
      <c r="B72" s="18">
        <v>14.663542</v>
      </c>
      <c r="C72" s="18">
        <v>21.968305999999998</v>
      </c>
      <c r="D72" s="18">
        <v>18.310224999999999</v>
      </c>
      <c r="E72" s="18">
        <v>3.8852929999999999</v>
      </c>
      <c r="F72" s="18">
        <v>26.623450999999999</v>
      </c>
      <c r="G72" s="18">
        <v>-3.9885760000000001</v>
      </c>
      <c r="H72" s="18">
        <v>11.316109000000001</v>
      </c>
      <c r="I72" s="18">
        <v>20.623434</v>
      </c>
      <c r="J72" s="18">
        <v>19.56793</v>
      </c>
      <c r="K72" s="25">
        <v>12.742352500000001</v>
      </c>
      <c r="L72" s="25">
        <v>15.282213</v>
      </c>
      <c r="M72" s="25">
        <v>19.401443</v>
      </c>
      <c r="N72" s="25">
        <v>21.164619999999999</v>
      </c>
      <c r="O72">
        <v>20.52139</v>
      </c>
    </row>
    <row r="73" spans="1:15" x14ac:dyDescent="0.3">
      <c r="A73" s="2">
        <v>43843</v>
      </c>
      <c r="B73" s="18">
        <v>19.353354</v>
      </c>
      <c r="C73" s="18">
        <v>29.027187000000001</v>
      </c>
      <c r="D73" s="18">
        <v>19.720852000000001</v>
      </c>
      <c r="E73" s="18">
        <v>5.4626106999999999</v>
      </c>
      <c r="F73" s="18">
        <v>38.632106999999998</v>
      </c>
      <c r="G73" s="18">
        <v>-3.3678471999999999</v>
      </c>
      <c r="H73" s="18">
        <v>11.765599</v>
      </c>
      <c r="I73" s="18">
        <v>16.817796999999999</v>
      </c>
      <c r="J73" s="18">
        <v>19.929527</v>
      </c>
      <c r="K73" s="25">
        <v>13.815474500000001</v>
      </c>
      <c r="L73" s="25">
        <v>15.671514999999999</v>
      </c>
      <c r="M73" s="25">
        <v>18.485296000000002</v>
      </c>
      <c r="N73" s="25">
        <v>21.567094999999998</v>
      </c>
      <c r="O73">
        <v>25.219082</v>
      </c>
    </row>
    <row r="74" spans="1:15" x14ac:dyDescent="0.3">
      <c r="A74" s="2">
        <v>43874</v>
      </c>
      <c r="B74" s="18">
        <v>11.085642</v>
      </c>
      <c r="C74" s="18">
        <v>24.890720000000002</v>
      </c>
      <c r="D74" s="18">
        <v>20.272349999999999</v>
      </c>
      <c r="E74" s="18">
        <v>5.5521370000000001</v>
      </c>
      <c r="F74" s="18">
        <v>37.942279999999997</v>
      </c>
      <c r="G74" s="18">
        <v>-4.1421469999999996</v>
      </c>
      <c r="H74" s="18">
        <v>-2.6262998999999998</v>
      </c>
      <c r="I74" s="18">
        <v>21.566486000000001</v>
      </c>
      <c r="J74" s="18">
        <v>16.821503</v>
      </c>
      <c r="K74" s="25">
        <v>6.9537044000000003</v>
      </c>
      <c r="L74" s="25">
        <v>11.6835</v>
      </c>
      <c r="M74" s="25">
        <v>18.355751000000001</v>
      </c>
      <c r="N74" s="25">
        <v>19.760418000000001</v>
      </c>
      <c r="O74">
        <v>21.108447999999999</v>
      </c>
    </row>
    <row r="75" spans="1:15" x14ac:dyDescent="0.3">
      <c r="A75" s="2">
        <v>43903</v>
      </c>
      <c r="B75" s="18">
        <v>-12.025351000000001</v>
      </c>
      <c r="C75" s="18">
        <v>-2.4612962999999999</v>
      </c>
      <c r="D75" s="18">
        <v>15.697680999999999</v>
      </c>
      <c r="E75" s="18">
        <v>8.6558930000000007</v>
      </c>
      <c r="F75" s="18">
        <v>9.5545770000000001</v>
      </c>
      <c r="G75" s="18">
        <v>-11.573744</v>
      </c>
      <c r="H75" s="18">
        <v>-39.686985</v>
      </c>
      <c r="I75" s="18">
        <v>29.167807</v>
      </c>
      <c r="J75" s="18">
        <v>-16.066009999999999</v>
      </c>
      <c r="K75" s="25">
        <v>-17.485928000000001</v>
      </c>
      <c r="L75" s="25">
        <v>-12.9453</v>
      </c>
      <c r="M75" s="25">
        <v>-9.9263130000000004</v>
      </c>
      <c r="N75" s="25">
        <v>-20.337630000000001</v>
      </c>
      <c r="O75">
        <v>-7.6730609999999997</v>
      </c>
    </row>
    <row r="76" spans="1:15" x14ac:dyDescent="0.3">
      <c r="A76" s="2">
        <v>43934</v>
      </c>
      <c r="B76" s="18">
        <v>-17.313831</v>
      </c>
      <c r="C76" s="18">
        <v>-3.0302584000000001</v>
      </c>
      <c r="D76" s="18">
        <v>32.487892000000002</v>
      </c>
      <c r="E76" s="18">
        <v>5.7363033000000003</v>
      </c>
      <c r="F76" s="18">
        <v>10.1888895</v>
      </c>
      <c r="G76" s="18">
        <v>-18.277353000000002</v>
      </c>
      <c r="H76" s="18">
        <v>-44.120130000000003</v>
      </c>
      <c r="I76" s="18">
        <v>36.456023999999999</v>
      </c>
      <c r="J76" s="18">
        <v>-16.253328</v>
      </c>
      <c r="K76" s="25">
        <v>-22.128117</v>
      </c>
      <c r="L76" s="25">
        <v>-6.9619894000000002</v>
      </c>
      <c r="M76" s="25">
        <v>-15.154296</v>
      </c>
      <c r="N76" s="25">
        <v>-22.665220000000001</v>
      </c>
      <c r="O76">
        <v>-7.5201216000000004</v>
      </c>
    </row>
    <row r="77" spans="1:15" x14ac:dyDescent="0.3">
      <c r="A77" s="2">
        <v>43964</v>
      </c>
      <c r="B77" s="18">
        <v>-7.2779712999999999</v>
      </c>
      <c r="C77" s="18">
        <v>2.3393988999999999</v>
      </c>
      <c r="D77" s="18">
        <v>31.719255</v>
      </c>
      <c r="E77" s="18">
        <v>5.8261989999999999</v>
      </c>
      <c r="F77" s="18">
        <v>23.873519999999999</v>
      </c>
      <c r="G77" s="18">
        <v>-11.483549999999999</v>
      </c>
      <c r="H77" s="18">
        <v>-53.502296000000001</v>
      </c>
      <c r="I77" s="18">
        <v>34.359634</v>
      </c>
      <c r="J77" s="18">
        <v>-12.626308</v>
      </c>
      <c r="K77" s="25">
        <v>-15.059756999999999</v>
      </c>
      <c r="L77" s="25">
        <v>1.2369037000000001</v>
      </c>
      <c r="M77" s="25">
        <v>-6.4545750000000002</v>
      </c>
      <c r="N77" s="25">
        <v>-21.090983999999999</v>
      </c>
      <c r="O77">
        <v>-2.1465540000000001</v>
      </c>
    </row>
    <row r="78" spans="1:15" x14ac:dyDescent="0.3">
      <c r="A78" s="2">
        <v>43994</v>
      </c>
      <c r="B78" s="18">
        <v>-1.1839390000000001</v>
      </c>
      <c r="C78" s="18">
        <v>7.6696634000000001</v>
      </c>
      <c r="D78" s="18">
        <v>29.237853999999999</v>
      </c>
      <c r="E78" s="18">
        <v>2.4325847999999999</v>
      </c>
      <c r="F78" s="18">
        <v>30.467583000000001</v>
      </c>
      <c r="G78" s="18">
        <v>-17.461157</v>
      </c>
      <c r="H78" s="18">
        <v>-27.781279000000001</v>
      </c>
      <c r="I78" s="18">
        <v>26.661860999999998</v>
      </c>
      <c r="J78" s="18">
        <v>-4.9914779999999999</v>
      </c>
      <c r="K78" s="25">
        <v>-8.2835199999999993</v>
      </c>
      <c r="L78" s="25">
        <v>5.7610273000000003</v>
      </c>
      <c r="M78" s="25">
        <v>2.8613925</v>
      </c>
      <c r="N78" s="25">
        <v>-8.7382849999999994</v>
      </c>
      <c r="O78">
        <v>3.6345242999999998</v>
      </c>
    </row>
    <row r="79" spans="1:15" x14ac:dyDescent="0.3">
      <c r="A79" s="2">
        <v>44025</v>
      </c>
      <c r="B79" s="18">
        <v>3.5023092999999998</v>
      </c>
      <c r="C79" s="18">
        <v>6.8408490000000004</v>
      </c>
      <c r="D79" s="18">
        <v>26.862870999999998</v>
      </c>
      <c r="E79" s="18">
        <v>1.5361309000000001</v>
      </c>
      <c r="F79" s="18">
        <v>34.666919999999998</v>
      </c>
      <c r="G79" s="18">
        <v>-19.167739999999998</v>
      </c>
      <c r="H79" s="18">
        <v>-33.310744999999997</v>
      </c>
      <c r="I79" s="18">
        <v>30.592596</v>
      </c>
      <c r="J79" s="18">
        <v>-3.7362218</v>
      </c>
      <c r="K79" s="25">
        <v>-8.022589</v>
      </c>
      <c r="L79" s="25">
        <v>2.7579308</v>
      </c>
      <c r="M79" s="25">
        <v>7.3684573000000002</v>
      </c>
      <c r="N79" s="25">
        <v>-12.414813000000001</v>
      </c>
      <c r="O79">
        <v>3.4332870999999998</v>
      </c>
    </row>
    <row r="80" spans="1:15" x14ac:dyDescent="0.3">
      <c r="A80" s="2">
        <v>44056</v>
      </c>
      <c r="B80" s="18">
        <v>12.244128999999999</v>
      </c>
      <c r="C80" s="18">
        <v>17.467928000000001</v>
      </c>
      <c r="D80" s="18">
        <v>29.305971</v>
      </c>
      <c r="E80" s="18">
        <v>-3.1427562</v>
      </c>
      <c r="F80" s="18">
        <v>45.800243000000002</v>
      </c>
      <c r="G80" s="18">
        <v>-4.4410170000000004</v>
      </c>
      <c r="H80" s="18">
        <v>-23.959309000000001</v>
      </c>
      <c r="I80" s="18">
        <v>17.06953</v>
      </c>
      <c r="J80" s="18">
        <v>7.0980549999999996</v>
      </c>
      <c r="K80" s="25">
        <v>5.4545760000000003</v>
      </c>
      <c r="L80" s="25">
        <v>9.9823360000000001</v>
      </c>
      <c r="M80" s="25">
        <v>27.857707999999999</v>
      </c>
      <c r="N80" s="25">
        <v>2.0214677000000001</v>
      </c>
      <c r="O80">
        <v>13.662279</v>
      </c>
    </row>
    <row r="81" spans="1:15" x14ac:dyDescent="0.3">
      <c r="A81" s="2">
        <v>44085</v>
      </c>
      <c r="B81" s="18">
        <v>7.5920820000000004</v>
      </c>
      <c r="C81" s="18">
        <v>13.514161</v>
      </c>
      <c r="D81" s="18">
        <v>29.36964</v>
      </c>
      <c r="E81" s="18">
        <v>-4.3052077000000004</v>
      </c>
      <c r="F81" s="18">
        <v>41.675792999999999</v>
      </c>
      <c r="G81" s="18">
        <v>-9.9086759999999996E-2</v>
      </c>
      <c r="H81" s="18">
        <v>-31.818121000000001</v>
      </c>
      <c r="I81" s="18">
        <v>19.171047000000002</v>
      </c>
      <c r="J81" s="18">
        <v>2.8414250000000001</v>
      </c>
      <c r="K81" s="25">
        <v>0.90756415999999995</v>
      </c>
      <c r="L81" s="25">
        <v>6.9489717000000004</v>
      </c>
      <c r="M81" s="25">
        <v>20.548701999999999</v>
      </c>
      <c r="N81" s="25">
        <v>-5.0237299999999996</v>
      </c>
      <c r="O81">
        <v>10.042548</v>
      </c>
    </row>
    <row r="82" spans="1:15" x14ac:dyDescent="0.3">
      <c r="A82" s="2">
        <v>44117</v>
      </c>
      <c r="B82" s="18">
        <v>13.007270999999999</v>
      </c>
      <c r="C82" s="18">
        <v>20.498370999999999</v>
      </c>
      <c r="D82" s="18">
        <v>26.915656999999999</v>
      </c>
      <c r="E82" s="18">
        <v>-3.9295852</v>
      </c>
      <c r="F82" s="18">
        <v>55.262923999999998</v>
      </c>
      <c r="G82" s="18">
        <v>-5.3821564000000004</v>
      </c>
      <c r="H82" s="18">
        <v>-28.268360000000001</v>
      </c>
      <c r="I82" s="18">
        <v>17.109907</v>
      </c>
      <c r="J82" s="18">
        <v>2.5526762000000001</v>
      </c>
      <c r="K82" s="25">
        <v>1.9502877999999999</v>
      </c>
      <c r="L82" s="25">
        <v>6.0680630000000004</v>
      </c>
      <c r="M82" s="25">
        <v>24.20063</v>
      </c>
      <c r="N82" s="25">
        <v>-8.527666</v>
      </c>
      <c r="O82">
        <v>14.832699</v>
      </c>
    </row>
    <row r="83" spans="1:15" x14ac:dyDescent="0.3">
      <c r="A83" s="2">
        <v>44148</v>
      </c>
      <c r="B83" s="18">
        <v>15.400898</v>
      </c>
      <c r="C83" s="18">
        <v>18.129802999999999</v>
      </c>
      <c r="D83" s="18">
        <v>28.395426</v>
      </c>
      <c r="E83" s="18">
        <v>-5.0521430000000001</v>
      </c>
      <c r="F83" s="18">
        <v>45.397151999999998</v>
      </c>
      <c r="G83" s="18">
        <v>-5.8175382999999998</v>
      </c>
      <c r="H83" s="18">
        <v>-32.435142999999997</v>
      </c>
      <c r="I83" s="18">
        <v>17.736113</v>
      </c>
      <c r="J83" s="18">
        <v>4.0305733999999998</v>
      </c>
      <c r="K83" s="25">
        <v>6.4166306999999998</v>
      </c>
      <c r="L83" s="25">
        <v>8.2862015000000007</v>
      </c>
      <c r="M83" s="25">
        <v>22.026454999999999</v>
      </c>
      <c r="N83" s="25">
        <v>-5.4562569999999999</v>
      </c>
      <c r="O83">
        <v>13.527430000000001</v>
      </c>
    </row>
    <row r="84" spans="1:15" x14ac:dyDescent="0.3">
      <c r="A84" s="2">
        <v>44176</v>
      </c>
      <c r="B84" s="18">
        <v>17.386139</v>
      </c>
      <c r="C84" s="18">
        <v>18.790268000000001</v>
      </c>
      <c r="D84" s="18">
        <v>24.164999000000002</v>
      </c>
      <c r="E84" s="18">
        <v>-5.966717</v>
      </c>
      <c r="F84" s="18">
        <v>48.359740000000002</v>
      </c>
      <c r="G84" s="18">
        <v>-4.2919517000000003</v>
      </c>
      <c r="H84" s="18">
        <v>-24.965751999999998</v>
      </c>
      <c r="I84" s="18">
        <v>15.360474999999999</v>
      </c>
      <c r="J84" s="18">
        <v>6.7515729999999996</v>
      </c>
      <c r="K84" s="25">
        <v>14.990055</v>
      </c>
      <c r="L84" s="25">
        <v>11.33436</v>
      </c>
      <c r="M84" s="25">
        <v>23.47343</v>
      </c>
      <c r="N84" s="25">
        <v>1.8901587</v>
      </c>
      <c r="O84" s="25">
        <v>15.927065000000001</v>
      </c>
    </row>
    <row r="85" spans="1:15" x14ac:dyDescent="0.3">
      <c r="A85" s="2">
        <v>44209</v>
      </c>
      <c r="B85" s="18">
        <v>17.152573</v>
      </c>
      <c r="C85" s="18">
        <v>18.011427000000001</v>
      </c>
      <c r="D85" s="18">
        <v>18.893146999999999</v>
      </c>
      <c r="E85" s="18">
        <v>-7.0556760000000001</v>
      </c>
      <c r="F85" s="18">
        <v>44.057380000000002</v>
      </c>
      <c r="G85" s="18">
        <v>-0.42682885999999998</v>
      </c>
      <c r="H85" s="18">
        <v>-16.132104999999999</v>
      </c>
      <c r="I85" s="18">
        <v>12.242400999999999</v>
      </c>
      <c r="J85" s="18">
        <v>8.5271000000000008</v>
      </c>
      <c r="K85" s="25">
        <v>17.153214999999999</v>
      </c>
      <c r="L85" s="25">
        <v>16.986525</v>
      </c>
      <c r="M85" s="25">
        <v>26.400316</v>
      </c>
      <c r="N85" s="25">
        <v>2.9105663000000002</v>
      </c>
      <c r="O85">
        <v>16.65014</v>
      </c>
    </row>
    <row r="86" spans="1:15" x14ac:dyDescent="0.3">
      <c r="A86" s="2">
        <v>44239</v>
      </c>
      <c r="B86" s="18">
        <v>29.577017000000001</v>
      </c>
      <c r="C86" s="18">
        <v>18.580127999999998</v>
      </c>
      <c r="D86" s="18">
        <v>15.690671999999999</v>
      </c>
      <c r="E86" s="18">
        <v>-8.7883359999999993</v>
      </c>
      <c r="F86" s="18">
        <v>44.640957</v>
      </c>
      <c r="G86" s="18">
        <v>5.4327249999999996</v>
      </c>
      <c r="H86" s="18">
        <v>3.1148910000000001</v>
      </c>
      <c r="I86" s="18">
        <v>4.0798306000000002</v>
      </c>
      <c r="J86" s="18">
        <v>9.3993300000000009</v>
      </c>
      <c r="K86" s="25">
        <v>23.288036000000002</v>
      </c>
      <c r="L86" s="25">
        <v>21.875525</v>
      </c>
      <c r="M86" s="25">
        <v>26.515984</v>
      </c>
      <c r="N86" s="25">
        <v>4.3434499999999998</v>
      </c>
      <c r="O86">
        <v>17.836642999999999</v>
      </c>
    </row>
    <row r="87" spans="1:15" x14ac:dyDescent="0.3">
      <c r="A87" s="2">
        <v>44267</v>
      </c>
      <c r="B87" s="18">
        <v>61.095534999999998</v>
      </c>
      <c r="C87" s="18">
        <v>61.847589999999997</v>
      </c>
      <c r="D87" s="18">
        <v>9.2699169999999995</v>
      </c>
      <c r="E87" s="18">
        <v>-6.6187620000000003</v>
      </c>
      <c r="F87" s="18">
        <v>79.173599999999993</v>
      </c>
      <c r="G87" s="18">
        <v>21.233345</v>
      </c>
      <c r="H87" s="18">
        <v>82.536339999999996</v>
      </c>
      <c r="I87" s="18">
        <v>-12.39785</v>
      </c>
      <c r="J87" s="18">
        <v>58.918083000000003</v>
      </c>
      <c r="K87" s="25">
        <v>68.474019999999996</v>
      </c>
      <c r="L87" s="25">
        <v>55.725501999999999</v>
      </c>
      <c r="M87" s="25">
        <v>90.48357</v>
      </c>
      <c r="N87" s="25">
        <v>72.124626000000006</v>
      </c>
      <c r="O87">
        <v>63.130367</v>
      </c>
    </row>
    <row r="88" spans="1:15" x14ac:dyDescent="0.3">
      <c r="A88" s="2">
        <v>44299</v>
      </c>
      <c r="B88" s="18">
        <v>51.625489999999999</v>
      </c>
      <c r="C88" s="18">
        <v>52.187835999999997</v>
      </c>
      <c r="D88" s="18">
        <v>1.2514590999999999</v>
      </c>
      <c r="E88" s="18">
        <v>-8.1754029999999993</v>
      </c>
      <c r="F88" s="18">
        <v>68.805459999999997</v>
      </c>
      <c r="G88" s="18">
        <v>27.319600000000001</v>
      </c>
      <c r="H88" s="18">
        <v>66.212940000000003</v>
      </c>
      <c r="I88" s="18">
        <v>-14.317602000000001</v>
      </c>
      <c r="J88" s="18">
        <v>49.35342</v>
      </c>
      <c r="K88" s="25">
        <v>61.064888000000003</v>
      </c>
      <c r="L88" s="25">
        <v>40.549872999999998</v>
      </c>
      <c r="M88" s="25">
        <v>81.500860000000003</v>
      </c>
      <c r="N88" s="25">
        <v>54.800842000000003</v>
      </c>
      <c r="O88">
        <v>52.148567</v>
      </c>
    </row>
    <row r="89" spans="1:15" x14ac:dyDescent="0.3">
      <c r="A89" s="2">
        <v>44329</v>
      </c>
      <c r="B89" s="18">
        <v>44.21996</v>
      </c>
      <c r="C89" s="18">
        <v>48.046639999999996</v>
      </c>
      <c r="D89" s="18">
        <v>5.9103846999999998</v>
      </c>
      <c r="E89" s="18">
        <v>-10.099518</v>
      </c>
      <c r="F89" s="18">
        <v>46.499969999999998</v>
      </c>
      <c r="G89" s="18">
        <v>36.752772999999998</v>
      </c>
      <c r="H89" s="18">
        <v>120.63248400000001</v>
      </c>
      <c r="I89" s="18">
        <v>-16.787374</v>
      </c>
      <c r="J89" s="18">
        <v>52.408493</v>
      </c>
      <c r="K89" s="25">
        <v>57.566845000000001</v>
      </c>
      <c r="L89" s="25">
        <v>27.403568</v>
      </c>
      <c r="M89" s="25">
        <v>78.470359999999999</v>
      </c>
      <c r="N89" s="25">
        <v>62.516914</v>
      </c>
      <c r="O89">
        <v>47.815345999999998</v>
      </c>
    </row>
    <row r="90" spans="1:15" x14ac:dyDescent="0.3">
      <c r="A90" s="2">
        <v>44358</v>
      </c>
      <c r="B90" s="18">
        <v>45.048107000000002</v>
      </c>
      <c r="C90" s="18">
        <v>43.426940000000002</v>
      </c>
      <c r="D90" s="18">
        <v>8.2209590000000006</v>
      </c>
      <c r="E90" s="18">
        <v>-7.0255814000000001</v>
      </c>
      <c r="F90" s="18">
        <v>46.726643000000003</v>
      </c>
      <c r="G90" s="18">
        <v>39.999996000000003</v>
      </c>
      <c r="H90" s="18">
        <v>86.972139999999996</v>
      </c>
      <c r="I90" s="18">
        <v>-11.919242000000001</v>
      </c>
      <c r="J90" s="18">
        <v>46.173656000000001</v>
      </c>
      <c r="K90" s="25">
        <v>53.253839999999997</v>
      </c>
      <c r="L90" s="25">
        <v>27.318107999999999</v>
      </c>
      <c r="M90" s="25">
        <v>68.848274000000004</v>
      </c>
      <c r="N90" s="25">
        <v>49.774909999999998</v>
      </c>
      <c r="O90">
        <v>43.708289999999998</v>
      </c>
    </row>
    <row r="91" spans="1:15" x14ac:dyDescent="0.3">
      <c r="A91" s="2">
        <v>44390</v>
      </c>
      <c r="B91" s="18">
        <v>26.525509</v>
      </c>
      <c r="C91" s="18">
        <v>40.429519999999997</v>
      </c>
      <c r="D91" s="18">
        <v>-0.10625124</v>
      </c>
      <c r="E91" s="18">
        <v>-4.2961239999999998</v>
      </c>
      <c r="F91" s="18">
        <v>40.974460000000001</v>
      </c>
      <c r="G91" s="18">
        <v>34.375</v>
      </c>
      <c r="H91" s="18">
        <v>80.839386000000005</v>
      </c>
      <c r="I91" s="18">
        <v>-11.722683999999999</v>
      </c>
      <c r="J91" s="18">
        <v>35.807631999999998</v>
      </c>
      <c r="K91" s="25">
        <v>40.641415000000002</v>
      </c>
      <c r="L91" s="25">
        <v>24.652576</v>
      </c>
      <c r="M91" s="25">
        <v>50.309310000000004</v>
      </c>
      <c r="N91" s="25">
        <v>32.908237</v>
      </c>
      <c r="O91">
        <v>38.230277999999998</v>
      </c>
    </row>
    <row r="92" spans="1:15" x14ac:dyDescent="0.3">
      <c r="A92" s="2">
        <v>44421</v>
      </c>
      <c r="B92" s="18">
        <v>20.454062</v>
      </c>
      <c r="C92" s="18">
        <v>34.374428000000002</v>
      </c>
      <c r="D92" s="18">
        <v>-9.2401689999999999</v>
      </c>
      <c r="E92" s="18">
        <v>-1.4274359000000001</v>
      </c>
      <c r="F92" s="18">
        <v>36.124374000000003</v>
      </c>
      <c r="G92" s="18">
        <v>35.364150000000002</v>
      </c>
      <c r="H92" s="18">
        <v>56.148539999999997</v>
      </c>
      <c r="I92" s="18">
        <v>-8.0036459999999998</v>
      </c>
      <c r="J92" s="18">
        <v>32.168770000000002</v>
      </c>
      <c r="K92" s="25">
        <v>31.332492999999999</v>
      </c>
      <c r="L92" s="25">
        <v>19.970226</v>
      </c>
      <c r="M92" s="25">
        <v>41.020668000000001</v>
      </c>
      <c r="N92" s="25">
        <v>31.801987</v>
      </c>
      <c r="O92">
        <v>33.037303999999999</v>
      </c>
    </row>
    <row r="93" spans="1:15" x14ac:dyDescent="0.3">
      <c r="A93" s="2">
        <v>44452</v>
      </c>
      <c r="B93" s="18">
        <v>23.922241</v>
      </c>
      <c r="C93" s="18">
        <v>35.689174999999999</v>
      </c>
      <c r="D93" s="18">
        <v>-8.0624760000000002</v>
      </c>
      <c r="E93" s="18">
        <v>-1.2311338999999999</v>
      </c>
      <c r="F93" s="18">
        <v>39.938713</v>
      </c>
      <c r="G93" s="18">
        <v>24.764479000000001</v>
      </c>
      <c r="H93" s="18">
        <v>84.583280000000002</v>
      </c>
      <c r="I93" s="18">
        <v>-7.8958807000000002</v>
      </c>
      <c r="J93" s="18">
        <v>31.489277000000001</v>
      </c>
      <c r="K93" s="25">
        <v>36.612465</v>
      </c>
      <c r="L93" s="25">
        <v>27.486122000000002</v>
      </c>
      <c r="M93" s="25">
        <v>38.456176999999997</v>
      </c>
      <c r="N93" s="25">
        <v>30.253733</v>
      </c>
      <c r="O93">
        <v>34.358905999999998</v>
      </c>
    </row>
    <row r="94" spans="1:15" x14ac:dyDescent="0.3">
      <c r="A94" s="2">
        <v>44482</v>
      </c>
      <c r="B94" s="18">
        <v>15.944338</v>
      </c>
      <c r="C94" s="18">
        <v>26.054227999999998</v>
      </c>
      <c r="D94" s="18">
        <v>-5.6999803</v>
      </c>
      <c r="E94" s="18">
        <v>-0.118768215</v>
      </c>
      <c r="F94" s="18">
        <v>22.886800000000001</v>
      </c>
      <c r="G94" s="18">
        <v>28.629292</v>
      </c>
      <c r="H94" s="18">
        <v>100.154785</v>
      </c>
      <c r="I94" s="18">
        <v>-8.8050730000000001</v>
      </c>
      <c r="J94" s="18">
        <v>27.419339999999998</v>
      </c>
      <c r="K94" s="25">
        <v>29.474270000000001</v>
      </c>
      <c r="L94" s="25">
        <v>15.167308</v>
      </c>
      <c r="M94" s="25">
        <v>31.597317</v>
      </c>
      <c r="N94" s="25">
        <v>32.088352</v>
      </c>
      <c r="O94">
        <v>25.485980999999999</v>
      </c>
    </row>
    <row r="95" spans="1:15" x14ac:dyDescent="0.3">
      <c r="A95" s="2">
        <v>44512</v>
      </c>
      <c r="B95" s="18">
        <v>14.405751</v>
      </c>
      <c r="C95" s="18">
        <v>34.169186000000003</v>
      </c>
      <c r="D95" s="18">
        <v>-0.85815790000000003</v>
      </c>
      <c r="E95" s="18">
        <v>1.6746402</v>
      </c>
      <c r="F95" s="18">
        <v>37.590800000000002</v>
      </c>
      <c r="G95" s="18">
        <v>31.578945000000001</v>
      </c>
      <c r="H95" s="18">
        <v>96.638400000000004</v>
      </c>
      <c r="I95" s="18">
        <v>-5.5630264</v>
      </c>
      <c r="J95" s="18">
        <v>27.476500999999999</v>
      </c>
      <c r="K95" s="25">
        <v>25.656510000000001</v>
      </c>
      <c r="L95" s="25">
        <v>13.411784000000001</v>
      </c>
      <c r="M95" s="25">
        <v>32.460680000000004</v>
      </c>
      <c r="N95" s="25">
        <v>29.993068999999998</v>
      </c>
      <c r="O95">
        <v>31.059670000000001</v>
      </c>
    </row>
    <row r="96" spans="1:15" x14ac:dyDescent="0.3">
      <c r="A96" s="2">
        <v>44543</v>
      </c>
      <c r="B96" s="18">
        <v>2.7135015</v>
      </c>
      <c r="C96" s="18">
        <v>29.18074</v>
      </c>
      <c r="D96" s="18">
        <v>-3.1827985999999999</v>
      </c>
      <c r="E96" s="18">
        <v>5.2567244000000004</v>
      </c>
      <c r="F96" s="18">
        <v>30.647265999999998</v>
      </c>
      <c r="G96" s="18">
        <v>27.713180000000001</v>
      </c>
      <c r="H96" s="18">
        <v>61.285614000000002</v>
      </c>
      <c r="I96" s="18">
        <v>-3.3992946000000002</v>
      </c>
      <c r="J96" s="18">
        <v>15.53055</v>
      </c>
      <c r="K96" s="25">
        <v>8.8860869999999998</v>
      </c>
      <c r="L96" s="25">
        <v>3.9320349999999999</v>
      </c>
      <c r="M96" s="25">
        <v>19.722414000000001</v>
      </c>
      <c r="N96" s="25">
        <v>13.174474999999999</v>
      </c>
      <c r="O96">
        <v>22.605537000000002</v>
      </c>
    </row>
    <row r="97" spans="1:15" x14ac:dyDescent="0.3">
      <c r="A97" s="2">
        <v>44574</v>
      </c>
      <c r="B97" s="18">
        <v>-1.2744069</v>
      </c>
      <c r="C97" s="18">
        <v>23.958407999999999</v>
      </c>
      <c r="D97" s="18">
        <v>-1.8515288999999999</v>
      </c>
      <c r="E97" s="18">
        <v>4.3496129999999997</v>
      </c>
      <c r="F97" s="18">
        <v>20.073795</v>
      </c>
      <c r="G97" s="18">
        <v>20.636868</v>
      </c>
      <c r="H97" s="18">
        <v>64.467669999999998</v>
      </c>
      <c r="I97" s="18">
        <v>-4.0284275999999997</v>
      </c>
      <c r="J97" s="18">
        <v>14.166366999999999</v>
      </c>
      <c r="K97" s="25">
        <v>5.5682299999999998</v>
      </c>
      <c r="L97" s="25">
        <v>-0.716275</v>
      </c>
      <c r="M97" s="25">
        <v>17.247831000000001</v>
      </c>
      <c r="N97" s="25">
        <v>15.090752</v>
      </c>
      <c r="O97">
        <v>17.711089999999999</v>
      </c>
    </row>
    <row r="98" spans="1:15" x14ac:dyDescent="0.3">
      <c r="A98" s="2">
        <v>44603</v>
      </c>
      <c r="B98" s="18">
        <v>-9.2279800000000005</v>
      </c>
      <c r="C98" s="18">
        <v>14.250398000000001</v>
      </c>
      <c r="D98" s="18">
        <v>1.5185952</v>
      </c>
      <c r="E98" s="18">
        <v>5.5395960000000004</v>
      </c>
      <c r="F98" s="18">
        <v>4.2302730000000004</v>
      </c>
      <c r="G98" s="18">
        <v>26.650666999999999</v>
      </c>
      <c r="H98" s="18">
        <v>69.766045000000005</v>
      </c>
      <c r="I98" s="18">
        <v>-5.7386755999999997</v>
      </c>
      <c r="J98" s="18">
        <v>7.8284859999999998</v>
      </c>
      <c r="K98" s="25">
        <v>1.3119698</v>
      </c>
      <c r="L98" s="25">
        <v>-8.1916274999999992</v>
      </c>
      <c r="M98" s="25">
        <v>1.3579129999999999</v>
      </c>
      <c r="N98" s="25">
        <v>7.3375583000000004</v>
      </c>
      <c r="O98">
        <v>9.2801570000000009</v>
      </c>
    </row>
    <row r="99" spans="1:15" x14ac:dyDescent="0.3">
      <c r="A99" s="2">
        <v>44631</v>
      </c>
      <c r="B99" s="18">
        <v>-16.36402</v>
      </c>
      <c r="C99" s="18">
        <v>8.1806549999999998</v>
      </c>
      <c r="D99" s="18">
        <v>14.592611</v>
      </c>
      <c r="E99" s="18">
        <v>7.7204347000000002</v>
      </c>
      <c r="F99" s="18">
        <v>2.491641</v>
      </c>
      <c r="G99" s="18">
        <v>26.16985</v>
      </c>
      <c r="H99" s="18">
        <v>72.845950000000002</v>
      </c>
      <c r="I99" s="18">
        <v>-1.4230906999999999</v>
      </c>
      <c r="J99" s="18">
        <v>-5.9099617000000002</v>
      </c>
      <c r="K99" s="25">
        <v>-6.5317449999999999</v>
      </c>
      <c r="L99" s="25">
        <v>-12.180096000000001</v>
      </c>
      <c r="M99" s="25">
        <v>-15.792446999999999</v>
      </c>
      <c r="N99" s="25">
        <v>-12.605100999999999</v>
      </c>
      <c r="O99">
        <v>2.3403287000000002</v>
      </c>
    </row>
    <row r="100" spans="1:15" x14ac:dyDescent="0.3">
      <c r="A100" s="2">
        <v>44664</v>
      </c>
      <c r="B100" s="18">
        <v>-8.9370250000000002</v>
      </c>
      <c r="C100" s="18">
        <v>8.7979079999999996</v>
      </c>
      <c r="D100" s="18">
        <v>12.984157</v>
      </c>
      <c r="E100" s="18">
        <v>8.0938929999999996</v>
      </c>
      <c r="F100" s="18">
        <v>2.1785855000000001</v>
      </c>
      <c r="G100" s="18">
        <v>31.174088000000001</v>
      </c>
      <c r="H100" s="18">
        <v>87.688000000000002</v>
      </c>
      <c r="I100" s="18">
        <v>-9.6041500000000006</v>
      </c>
      <c r="J100" s="18">
        <v>-2.5034725999999998</v>
      </c>
      <c r="K100" s="25">
        <v>-1.550889</v>
      </c>
      <c r="L100" s="25">
        <v>-14.217739999999999</v>
      </c>
      <c r="M100" s="25">
        <v>-13.22217</v>
      </c>
      <c r="N100" s="25">
        <v>-6.4975795999999999</v>
      </c>
      <c r="O100">
        <v>3.867972</v>
      </c>
    </row>
    <row r="101" spans="1:15" x14ac:dyDescent="0.3">
      <c r="A101" s="2">
        <v>44694</v>
      </c>
      <c r="B101" s="18">
        <v>-16.327667000000002</v>
      </c>
      <c r="C101" s="18">
        <v>-0.78920126000000002</v>
      </c>
      <c r="D101" s="18">
        <v>-1.3673902</v>
      </c>
      <c r="E101" s="18">
        <v>14.678144</v>
      </c>
      <c r="F101" s="18">
        <v>-4.9927590000000004</v>
      </c>
      <c r="G101" s="18">
        <v>19.697783999999999</v>
      </c>
      <c r="H101" s="18">
        <v>83.943389999999994</v>
      </c>
      <c r="I101" s="18">
        <v>-13.219595</v>
      </c>
      <c r="J101" s="18">
        <v>-12.622934000000001</v>
      </c>
      <c r="K101" s="25">
        <v>-10.955774</v>
      </c>
      <c r="L101" s="25">
        <v>-12.859374000000001</v>
      </c>
      <c r="M101" s="25">
        <v>-22.572749999999999</v>
      </c>
      <c r="N101" s="25">
        <v>-13.968247</v>
      </c>
      <c r="O101">
        <v>-5.1009060000000002</v>
      </c>
    </row>
    <row r="102" spans="1:15" x14ac:dyDescent="0.3">
      <c r="A102" s="2">
        <v>44725</v>
      </c>
      <c r="B102" s="18">
        <v>-22.17961</v>
      </c>
      <c r="C102" s="18">
        <v>-10.450362999999999</v>
      </c>
      <c r="D102" s="18">
        <v>-3.3060252999999999</v>
      </c>
      <c r="E102" s="18">
        <v>15.400410000000001</v>
      </c>
      <c r="F102" s="18">
        <v>-18.902194999999999</v>
      </c>
      <c r="G102" s="18">
        <v>14.285707</v>
      </c>
      <c r="H102" s="18">
        <v>86.592995000000002</v>
      </c>
      <c r="I102" s="18">
        <v>-21.283604</v>
      </c>
      <c r="J102" s="18">
        <v>-20.759148</v>
      </c>
      <c r="K102" s="25">
        <v>-20.318287000000002</v>
      </c>
      <c r="L102" s="25">
        <v>-20.883953000000002</v>
      </c>
      <c r="M102" s="25">
        <v>-29.092693000000001</v>
      </c>
      <c r="N102" s="25">
        <v>-24.457937000000001</v>
      </c>
      <c r="O102">
        <v>-14.565116</v>
      </c>
    </row>
    <row r="103" spans="1:15" x14ac:dyDescent="0.3">
      <c r="A103" s="2">
        <v>44755</v>
      </c>
      <c r="B103" s="18">
        <v>-21.850156999999999</v>
      </c>
      <c r="C103" s="18">
        <v>-11.791116000000001</v>
      </c>
      <c r="D103" s="18">
        <v>-4.5030117000000001</v>
      </c>
      <c r="E103" s="18">
        <v>15.551102</v>
      </c>
      <c r="F103" s="18">
        <v>-20.745241</v>
      </c>
      <c r="G103" s="18">
        <v>9.4130749999999992</v>
      </c>
      <c r="H103" s="18">
        <v>41.232444999999998</v>
      </c>
      <c r="I103" s="18">
        <v>-18.439388000000001</v>
      </c>
      <c r="J103" s="18">
        <v>-21.357882</v>
      </c>
      <c r="K103" s="25">
        <v>-22.363244999999999</v>
      </c>
      <c r="L103" s="25">
        <v>-21.133120000000002</v>
      </c>
      <c r="M103" s="25">
        <v>-31.784946000000001</v>
      </c>
      <c r="N103" s="25">
        <v>-24.850726999999999</v>
      </c>
      <c r="O103">
        <v>-15.259534</v>
      </c>
    </row>
    <row r="104" spans="1:15" x14ac:dyDescent="0.3">
      <c r="A104" s="2">
        <v>44785</v>
      </c>
      <c r="B104" s="18">
        <v>-14.896345</v>
      </c>
      <c r="C104" s="18">
        <v>-2.6786447</v>
      </c>
      <c r="D104" s="18">
        <v>2.3347973999999998</v>
      </c>
      <c r="E104" s="18">
        <v>13.090479</v>
      </c>
      <c r="F104" s="18">
        <v>-9.6064570000000007</v>
      </c>
      <c r="G104" s="18">
        <v>7.1576715000000002</v>
      </c>
      <c r="H104" s="18">
        <v>55.394979999999997</v>
      </c>
      <c r="I104" s="18">
        <v>-19.581669000000002</v>
      </c>
      <c r="J104" s="18">
        <v>-16.218</v>
      </c>
      <c r="K104" s="25">
        <v>-13.277673999999999</v>
      </c>
      <c r="L104" s="25">
        <v>-14.726644500000001</v>
      </c>
      <c r="M104" s="25">
        <v>-26.184887</v>
      </c>
      <c r="N104" s="25">
        <v>-21.155035000000002</v>
      </c>
      <c r="O104">
        <v>-7.4369550000000002</v>
      </c>
    </row>
    <row r="105" spans="1:15" x14ac:dyDescent="0.3">
      <c r="A105" s="2">
        <v>44817</v>
      </c>
      <c r="B105" s="18">
        <v>-21.170055000000001</v>
      </c>
      <c r="C105" s="18">
        <v>-10.720926</v>
      </c>
      <c r="D105" s="18">
        <v>-5.4846883000000002</v>
      </c>
      <c r="E105" s="18">
        <v>18.375551000000002</v>
      </c>
      <c r="F105" s="18">
        <v>-21.523707999999999</v>
      </c>
      <c r="G105" s="18">
        <v>11.542605999999999</v>
      </c>
      <c r="H105" s="18">
        <v>44.932279999999999</v>
      </c>
      <c r="I105" s="18">
        <v>-26.536959</v>
      </c>
      <c r="J105" s="18">
        <v>-22.942060000000001</v>
      </c>
      <c r="K105" s="25">
        <v>-21.225898999999998</v>
      </c>
      <c r="L105" s="25">
        <v>-28.829961999999998</v>
      </c>
      <c r="M105" s="25">
        <v>-32.570152</v>
      </c>
      <c r="N105" s="25">
        <v>-24.477958999999998</v>
      </c>
      <c r="O105">
        <v>-15.334654</v>
      </c>
    </row>
    <row r="106" spans="1:15" x14ac:dyDescent="0.3">
      <c r="A106" s="2">
        <v>44847</v>
      </c>
      <c r="B106" s="18">
        <v>-26.862877000000001</v>
      </c>
      <c r="C106" s="18">
        <v>-14.628273</v>
      </c>
      <c r="D106" s="18">
        <v>-7.5660825000000003</v>
      </c>
      <c r="E106" s="18">
        <v>19.896947999999998</v>
      </c>
      <c r="F106" s="18">
        <v>-24.864668000000002</v>
      </c>
      <c r="G106" s="18">
        <v>5.9317589999999996</v>
      </c>
      <c r="H106" s="18">
        <v>29.852331</v>
      </c>
      <c r="I106" s="18">
        <v>-30.262768000000001</v>
      </c>
      <c r="J106" s="18">
        <v>-27.056366000000001</v>
      </c>
      <c r="K106" s="25">
        <v>-24.139368000000001</v>
      </c>
      <c r="L106" s="25">
        <v>-25.664484000000002</v>
      </c>
      <c r="M106" s="25">
        <v>-36.487698000000002</v>
      </c>
      <c r="N106" s="25">
        <v>-28.952259999999999</v>
      </c>
      <c r="O106">
        <v>-18.748563999999998</v>
      </c>
    </row>
    <row r="107" spans="1:15" x14ac:dyDescent="0.3">
      <c r="A107" s="2">
        <v>44876</v>
      </c>
      <c r="B107" s="18">
        <v>-22.620964000000001</v>
      </c>
      <c r="C107" s="18">
        <v>-12.768345999999999</v>
      </c>
      <c r="D107" s="18">
        <v>-5.4904640000000002</v>
      </c>
      <c r="E107" s="18">
        <v>12.220907</v>
      </c>
      <c r="F107" s="18">
        <v>-25.818407000000001</v>
      </c>
      <c r="G107" s="18">
        <v>2.448976</v>
      </c>
      <c r="H107" s="18">
        <v>34.336353000000003</v>
      </c>
      <c r="I107" s="18">
        <v>-32.463140000000003</v>
      </c>
      <c r="J107" s="18">
        <v>-17.070049999999998</v>
      </c>
      <c r="K107" s="25">
        <v>-17.163170000000001</v>
      </c>
      <c r="L107" s="25">
        <v>-18.624656999999999</v>
      </c>
      <c r="M107" s="25">
        <v>-25.260179999999998</v>
      </c>
      <c r="N107" s="25">
        <v>-15.555531</v>
      </c>
      <c r="O107">
        <v>-14.877485999999999</v>
      </c>
    </row>
    <row r="108" spans="1:15" x14ac:dyDescent="0.3">
      <c r="A108" s="2">
        <v>44908</v>
      </c>
      <c r="B108" s="18">
        <v>-15.803856</v>
      </c>
      <c r="C108" s="18">
        <v>-12.539016999999999</v>
      </c>
      <c r="D108" s="18">
        <v>0.90419053999999999</v>
      </c>
      <c r="E108" s="18">
        <v>8.9043729999999996</v>
      </c>
      <c r="F108" s="18">
        <v>-25.957232999999999</v>
      </c>
      <c r="G108" s="18">
        <v>0.40465593</v>
      </c>
      <c r="H108" s="18">
        <v>29.710138000000001</v>
      </c>
      <c r="I108" s="18">
        <v>-27.129978000000001</v>
      </c>
      <c r="J108" s="18">
        <v>-10.004020000000001</v>
      </c>
      <c r="K108" s="25">
        <v>-15.7332</v>
      </c>
      <c r="L108" s="25">
        <v>-15.394574</v>
      </c>
      <c r="M108" s="25">
        <v>-19.483858000000001</v>
      </c>
      <c r="N108" s="25">
        <v>-8.8001970000000007</v>
      </c>
      <c r="O108">
        <v>-12.6001835</v>
      </c>
    </row>
    <row r="109" spans="1:15" x14ac:dyDescent="0.3">
      <c r="A109" s="2">
        <v>44939</v>
      </c>
      <c r="B109" s="18">
        <v>-13.324975999999999</v>
      </c>
      <c r="C109" s="18">
        <v>-12.818718000000001</v>
      </c>
      <c r="D109" s="18">
        <v>5.0540566</v>
      </c>
      <c r="E109" s="18">
        <v>8.971012</v>
      </c>
      <c r="F109" s="18">
        <v>-25.055842999999999</v>
      </c>
      <c r="G109" s="18">
        <v>-0.37693379999999999</v>
      </c>
      <c r="H109" s="18">
        <v>20.889590999999999</v>
      </c>
      <c r="I109" s="18">
        <v>-24.281496000000001</v>
      </c>
      <c r="J109" s="18">
        <v>-8.9933630000000004</v>
      </c>
      <c r="K109" s="25">
        <v>-16.757201999999999</v>
      </c>
      <c r="L109" s="25">
        <v>-14.64448</v>
      </c>
      <c r="M109" s="25">
        <v>-20.239998</v>
      </c>
      <c r="N109" s="25">
        <v>-7.8005433000000002</v>
      </c>
      <c r="O109">
        <v>-12.272769</v>
      </c>
    </row>
    <row r="110" spans="1:15" x14ac:dyDescent="0.3">
      <c r="A110" s="2">
        <v>44970</v>
      </c>
      <c r="B110" s="18">
        <v>-13.081026</v>
      </c>
      <c r="C110" s="18">
        <v>-4.7481419999999996</v>
      </c>
      <c r="D110" s="18">
        <v>-0.76520440000000001</v>
      </c>
      <c r="E110" s="18">
        <v>9.4288709999999991</v>
      </c>
      <c r="F110" s="18">
        <v>-11.618453000000001</v>
      </c>
      <c r="G110" s="18">
        <v>-3.3198178</v>
      </c>
      <c r="H110" s="18">
        <v>6.0070753000000003</v>
      </c>
      <c r="I110" s="18">
        <v>-22.733592999999999</v>
      </c>
      <c r="J110" s="18">
        <v>-3.3547760000000002</v>
      </c>
      <c r="K110" s="25">
        <v>-15.036553</v>
      </c>
      <c r="L110" s="25">
        <v>-8.0852509999999995</v>
      </c>
      <c r="M110" s="25">
        <v>-9.4209309999999995</v>
      </c>
      <c r="N110" s="25">
        <v>-0.39514303000000001</v>
      </c>
      <c r="O110">
        <v>-5.2087665000000003</v>
      </c>
    </row>
    <row r="111" spans="1:15" x14ac:dyDescent="0.3">
      <c r="A111" s="2">
        <v>44998</v>
      </c>
      <c r="B111" s="18">
        <v>-7.284999</v>
      </c>
      <c r="C111" s="18">
        <v>-6.7704380000000004</v>
      </c>
      <c r="D111" s="18">
        <v>-3.9062082999999999</v>
      </c>
      <c r="E111" s="18">
        <v>6.8908810000000003</v>
      </c>
      <c r="F111" s="18">
        <v>-9.7331939999999992</v>
      </c>
      <c r="G111" s="18">
        <v>-8.2980520000000002</v>
      </c>
      <c r="H111" s="18">
        <v>-14.262229</v>
      </c>
      <c r="I111" s="18">
        <v>-19.533570000000001</v>
      </c>
      <c r="J111" s="18">
        <v>3.7069201000000001</v>
      </c>
      <c r="K111" s="25">
        <v>-10.954535</v>
      </c>
      <c r="L111" s="25">
        <v>-2.7734518000000001</v>
      </c>
      <c r="M111" s="25">
        <v>-3.7630140000000001</v>
      </c>
      <c r="N111" s="25">
        <v>13.386272999999999</v>
      </c>
      <c r="O111">
        <v>-5.1917669999999996</v>
      </c>
    </row>
    <row r="112" spans="1:15" x14ac:dyDescent="0.3">
      <c r="A112" s="2">
        <v>45029</v>
      </c>
      <c r="B112" s="18">
        <v>-7.6289949999999997</v>
      </c>
      <c r="C112" s="18">
        <v>-5.1392259999999998</v>
      </c>
      <c r="D112" s="18">
        <v>2.7457356000000002</v>
      </c>
      <c r="E112" s="18">
        <v>3.9377331999999998</v>
      </c>
      <c r="F112" s="18">
        <v>-7.1423290000000001</v>
      </c>
      <c r="G112" s="18">
        <v>-7.5294790000000003</v>
      </c>
      <c r="H112" s="18">
        <v>-7.9251946999999996</v>
      </c>
      <c r="I112" s="18">
        <v>-11.628579999999999</v>
      </c>
      <c r="J112" s="18">
        <v>5.7443739999999996</v>
      </c>
      <c r="K112" s="25">
        <v>-9.9996089999999995</v>
      </c>
      <c r="L112" s="25">
        <v>1.7557621000000001</v>
      </c>
      <c r="M112" s="25">
        <v>-2.6673377</v>
      </c>
      <c r="N112" s="25">
        <v>13.612246499999999</v>
      </c>
      <c r="O112">
        <v>-3.6027431000000001</v>
      </c>
    </row>
    <row r="113" spans="1:15" x14ac:dyDescent="0.3">
      <c r="A113" s="2">
        <v>45058</v>
      </c>
      <c r="B113" s="18">
        <v>1.5955448000000001</v>
      </c>
      <c r="C113" s="18">
        <v>6.6970587000000004</v>
      </c>
      <c r="D113" s="18">
        <v>9.7784519999999997</v>
      </c>
      <c r="E113" s="18">
        <v>1.0583400999999999</v>
      </c>
      <c r="F113" s="18">
        <v>12.49094</v>
      </c>
      <c r="G113" s="18">
        <v>-4.7240852999999996</v>
      </c>
      <c r="H113" s="18">
        <v>-20.430422</v>
      </c>
      <c r="I113" s="18">
        <v>-8.9737950000000009</v>
      </c>
      <c r="J113" s="18">
        <v>17.746030000000001</v>
      </c>
      <c r="K113" s="25">
        <v>0.13737679</v>
      </c>
      <c r="L113" s="25">
        <v>10.409665</v>
      </c>
      <c r="M113" s="25">
        <v>11.43111</v>
      </c>
      <c r="N113" s="25">
        <v>24.116527999999999</v>
      </c>
      <c r="O113">
        <v>8.4219930000000005</v>
      </c>
    </row>
    <row r="114" spans="1:15" x14ac:dyDescent="0.3">
      <c r="A114" s="2">
        <v>45090</v>
      </c>
      <c r="B114" s="18">
        <v>3.6262631000000001</v>
      </c>
      <c r="C114" s="18">
        <v>18.430185000000002</v>
      </c>
      <c r="D114" s="18">
        <v>6.2437534000000001</v>
      </c>
      <c r="E114" s="18">
        <v>1.9555092000000001</v>
      </c>
      <c r="F114" s="18">
        <v>32.907283999999997</v>
      </c>
      <c r="G114" s="18">
        <v>-1.6341030999999999</v>
      </c>
      <c r="H114" s="18" t="e">
        <v>#N/A</v>
      </c>
      <c r="I114" s="18">
        <v>-5.5345240000000002</v>
      </c>
      <c r="J114" s="18">
        <v>19.370508000000001</v>
      </c>
      <c r="K114" s="25">
        <v>10.03232</v>
      </c>
      <c r="L114" s="25">
        <v>20.353949</v>
      </c>
      <c r="M114" s="25">
        <v>12.56907</v>
      </c>
      <c r="N114" s="25">
        <v>31.145524999999999</v>
      </c>
      <c r="O114">
        <v>17.695129999999999</v>
      </c>
    </row>
    <row r="115" spans="1:15" x14ac:dyDescent="0.3">
      <c r="A115" s="2">
        <v>45120</v>
      </c>
      <c r="B115" s="18">
        <v>8.665991</v>
      </c>
      <c r="C115" s="18">
        <v>20.626246999999999</v>
      </c>
      <c r="D115" s="18">
        <v>12.629937999999999</v>
      </c>
      <c r="E115" s="18">
        <v>-3.5303295000000001</v>
      </c>
      <c r="F115" s="18">
        <v>33.681010000000001</v>
      </c>
      <c r="G115" s="18">
        <v>8.5762499999999999</v>
      </c>
      <c r="H115" s="18" t="e">
        <v>#N/A</v>
      </c>
      <c r="I115" s="18">
        <v>-9.9278750000000002</v>
      </c>
      <c r="J115" s="18">
        <v>27.541817000000002</v>
      </c>
      <c r="K115" s="25">
        <v>18.076933</v>
      </c>
      <c r="L115" s="25">
        <v>20.932006999999999</v>
      </c>
      <c r="M115" s="25">
        <v>21.377372999999999</v>
      </c>
      <c r="N115" s="25">
        <v>49.717500000000001</v>
      </c>
      <c r="O115">
        <v>20.960902999999998</v>
      </c>
    </row>
    <row r="116" spans="1:15" x14ac:dyDescent="0.3">
      <c r="A116" s="2">
        <v>45149</v>
      </c>
      <c r="B116" s="18">
        <v>0.51698685</v>
      </c>
      <c r="C116" s="18">
        <v>7.8582882999999999</v>
      </c>
      <c r="D116" s="18">
        <v>6.7692756999999997</v>
      </c>
      <c r="E116" s="18">
        <v>2.4200200000000001</v>
      </c>
      <c r="F116" s="18">
        <v>13.81681</v>
      </c>
      <c r="G116" s="18">
        <v>4.3402552999999999</v>
      </c>
      <c r="H116" s="18" t="e">
        <v>#N/A</v>
      </c>
      <c r="I116" s="18">
        <v>-14.092475</v>
      </c>
      <c r="J116" s="18">
        <v>13.846647000000001</v>
      </c>
      <c r="K116" s="25">
        <v>2.9847383000000001</v>
      </c>
      <c r="L116" s="25">
        <v>10.038399999999999</v>
      </c>
      <c r="M116" s="25">
        <v>0.98692179999999996</v>
      </c>
      <c r="N116" s="25">
        <v>31.808674</v>
      </c>
      <c r="O116">
        <v>7.9964994999999996</v>
      </c>
    </row>
    <row r="117" spans="1:15" x14ac:dyDescent="0.3">
      <c r="A117" s="2">
        <v>45182</v>
      </c>
      <c r="B117" s="18">
        <v>4.1060924999999999</v>
      </c>
      <c r="C117" s="18">
        <v>15.458703</v>
      </c>
      <c r="D117" s="18">
        <v>11.694217</v>
      </c>
      <c r="E117" s="18">
        <v>0.26173592000000001</v>
      </c>
      <c r="F117" s="18">
        <v>28.322935000000001</v>
      </c>
      <c r="G117" s="18">
        <v>7.4390409999999996</v>
      </c>
      <c r="H117" s="18" t="e">
        <v>#N/A</v>
      </c>
      <c r="I117" s="18">
        <v>-9.7609700000000004</v>
      </c>
      <c r="J117" s="18">
        <v>19.681571999999999</v>
      </c>
      <c r="K117" s="25">
        <v>8.8935849999999999</v>
      </c>
      <c r="L117" s="25">
        <v>22.436845999999999</v>
      </c>
      <c r="M117" s="25">
        <v>7.5752139999999999</v>
      </c>
      <c r="N117" s="25">
        <v>37.574885999999999</v>
      </c>
      <c r="O117">
        <v>15.617953999999999</v>
      </c>
    </row>
    <row r="118" spans="1:15" x14ac:dyDescent="0.3">
      <c r="A118" s="2">
        <v>45212</v>
      </c>
      <c r="B118" s="18">
        <v>11.190844</v>
      </c>
      <c r="C118" s="18">
        <v>19.780850000000001</v>
      </c>
      <c r="D118" s="18">
        <v>15.441227</v>
      </c>
      <c r="E118" s="18">
        <v>-0.18862486000000001</v>
      </c>
      <c r="F118" s="18">
        <v>36.807884000000001</v>
      </c>
      <c r="G118" s="18">
        <v>8.1091639999999998</v>
      </c>
      <c r="H118" s="18" t="e">
        <v>#N/A</v>
      </c>
      <c r="I118" s="18">
        <v>-9.0128839999999997</v>
      </c>
      <c r="J118" s="18">
        <v>26.400448000000001</v>
      </c>
      <c r="K118" s="25">
        <v>12.670636</v>
      </c>
      <c r="L118" s="25">
        <v>22.298098</v>
      </c>
      <c r="M118" s="25">
        <v>21.1738</v>
      </c>
      <c r="N118" s="25">
        <v>42.14132</v>
      </c>
      <c r="O118">
        <v>19.970966000000001</v>
      </c>
    </row>
    <row r="119" spans="1:15" x14ac:dyDescent="0.3">
      <c r="A119" s="2">
        <v>45243</v>
      </c>
      <c r="B119" s="18">
        <v>4.4504045999999997</v>
      </c>
      <c r="C119" s="18">
        <v>12.215529999999999</v>
      </c>
      <c r="D119" s="18">
        <v>9.6925139999999992</v>
      </c>
      <c r="E119" s="18">
        <v>4.9277424999999999</v>
      </c>
      <c r="F119" s="18">
        <v>31.885742</v>
      </c>
      <c r="G119" s="18">
        <v>11.900484000000001</v>
      </c>
      <c r="H119" s="18" t="e">
        <v>#N/A</v>
      </c>
      <c r="I119" s="18">
        <v>-7.3430540000000004</v>
      </c>
      <c r="J119" s="18">
        <v>8.9434620000000002</v>
      </c>
      <c r="K119" s="25">
        <v>3.4663080000000002</v>
      </c>
      <c r="L119" s="25">
        <v>11.033797</v>
      </c>
      <c r="M119" s="25">
        <v>-2.4643123</v>
      </c>
      <c r="N119" s="25">
        <v>19.274176000000001</v>
      </c>
      <c r="O119">
        <v>10.582089</v>
      </c>
    </row>
    <row r="120" spans="1:15" x14ac:dyDescent="0.3">
      <c r="A120" s="2">
        <v>45273</v>
      </c>
      <c r="B120" s="18">
        <v>4.3801904</v>
      </c>
      <c r="C120" s="18">
        <v>18.90992</v>
      </c>
      <c r="D120" s="18">
        <v>11.346519000000001</v>
      </c>
      <c r="E120" s="18">
        <v>4.6081184999999998</v>
      </c>
      <c r="F120" s="18">
        <v>40.824115999999997</v>
      </c>
      <c r="G120" s="18">
        <v>9.9570749999999997</v>
      </c>
      <c r="H120" s="18" t="e">
        <v>#N/A</v>
      </c>
      <c r="I120" s="18">
        <v>-7.0272264</v>
      </c>
      <c r="J120" s="18">
        <v>13.554180000000001</v>
      </c>
      <c r="K120" s="25">
        <v>11.961079</v>
      </c>
      <c r="L120" s="25">
        <v>15.275216</v>
      </c>
      <c r="M120" s="25">
        <v>10.745239</v>
      </c>
      <c r="N120" s="25">
        <v>25.492847000000001</v>
      </c>
      <c r="O120">
        <v>16.767752000000002</v>
      </c>
    </row>
    <row r="121" spans="1:15" x14ac:dyDescent="0.3">
      <c r="A121" s="2">
        <v>45303</v>
      </c>
      <c r="B121" s="18">
        <v>3.9947033E-2</v>
      </c>
      <c r="C121" s="18">
        <v>21.921026000000001</v>
      </c>
      <c r="D121" s="18">
        <v>7.3992370000000003</v>
      </c>
      <c r="E121" s="18">
        <v>6.2683939999999998</v>
      </c>
      <c r="F121" s="18">
        <v>47.780642999999998</v>
      </c>
      <c r="G121" s="18">
        <v>10.521625999999999</v>
      </c>
      <c r="H121" s="18" t="e">
        <v>#N/A</v>
      </c>
      <c r="I121" s="18">
        <v>-7.3190330000000001</v>
      </c>
      <c r="J121" s="18">
        <v>9.5911030000000004</v>
      </c>
      <c r="K121" s="25">
        <v>9.8881359999999994</v>
      </c>
      <c r="L121" s="25">
        <v>20.010470999999999</v>
      </c>
      <c r="M121" s="25">
        <v>9.4204310000000007</v>
      </c>
      <c r="N121" s="25">
        <v>18.622185000000002</v>
      </c>
      <c r="O121">
        <v>18.420981999999999</v>
      </c>
    </row>
    <row r="122" spans="1:15" x14ac:dyDescent="0.3">
      <c r="A122" s="2">
        <v>45335</v>
      </c>
      <c r="B122">
        <v>0.17862320000000001</v>
      </c>
      <c r="C122">
        <v>21.513473999999999</v>
      </c>
      <c r="D122">
        <v>6.9863200000000001</v>
      </c>
      <c r="E122">
        <v>7.6809763999999996</v>
      </c>
      <c r="F122">
        <v>41.708599999999997</v>
      </c>
      <c r="G122">
        <v>13.274729000000001</v>
      </c>
      <c r="H122" t="e">
        <v>#N/A</v>
      </c>
      <c r="I122">
        <v>-8.2905180000000005</v>
      </c>
      <c r="J122">
        <v>6.2899229999999999</v>
      </c>
      <c r="K122" s="25">
        <v>11.802588999999999</v>
      </c>
      <c r="L122" s="25">
        <v>17.332602000000001</v>
      </c>
      <c r="M122" s="25">
        <v>5.6179404000000002</v>
      </c>
      <c r="N122" s="25">
        <v>13.378166999999999</v>
      </c>
      <c r="O122">
        <v>17.157219999999999</v>
      </c>
    </row>
    <row r="123" spans="1:15" x14ac:dyDescent="0.3">
      <c r="A123" s="2"/>
    </row>
    <row r="124" spans="1:15" x14ac:dyDescent="0.3">
      <c r="A124" s="2"/>
    </row>
    <row r="125" spans="1:15" x14ac:dyDescent="0.3">
      <c r="A125" s="2"/>
    </row>
    <row r="126" spans="1:15" x14ac:dyDescent="0.3">
      <c r="A126" s="2" t="s">
        <v>28</v>
      </c>
      <c r="B126" s="18" cm="1">
        <f t="array" ref="B126">MIN(_xlfn._xlws.FILTER(B2:B122, ISNUMBER(B2:B122)))</f>
        <v>-26.862877000000001</v>
      </c>
      <c r="C126" s="18" cm="1">
        <f t="array" ref="C126">MIN(_xlfn._xlws.FILTER(C2:C122, ISNUMBER(C2:C122)))</f>
        <v>-14.628273</v>
      </c>
      <c r="D126" s="18" cm="1">
        <f t="array" ref="D126">MIN(_xlfn._xlws.FILTER(D2:D122, ISNUMBER(D2:D122)))</f>
        <v>-21.100287999999999</v>
      </c>
      <c r="E126" s="18" cm="1">
        <f t="array" ref="E126">MIN(_xlfn._xlws.FILTER(E2:E122, ISNUMBER(E2:E122)))</f>
        <v>-10.339218000000001</v>
      </c>
      <c r="F126" s="18" cm="1">
        <f t="array" ref="F126">MIN(_xlfn._xlws.FILTER(F2:F122, ISNUMBER(F2:F122)))</f>
        <v>-25.957232999999999</v>
      </c>
      <c r="G126" s="18" cm="1">
        <f t="array" ref="G126">MIN(_xlfn._xlws.FILTER(G2:G122, ISNUMBER(G2:G122)))</f>
        <v>-23.314803999999999</v>
      </c>
      <c r="H126" s="18" cm="1">
        <f t="array" ref="H126">MIN(_xlfn._xlws.FILTER(H2:H122, ISNUMBER(H2:H122)))</f>
        <v>-56.90672</v>
      </c>
      <c r="I126" s="18" cm="1">
        <f t="array" ref="I126">MIN(_xlfn._xlws.FILTER(I2:I122, ISNUMBER(I2:I122)))</f>
        <v>-32.463140000000003</v>
      </c>
      <c r="J126" s="18" cm="1">
        <f t="array" ref="J126">MIN(_xlfn._xlws.FILTER(J2:J122, ISNUMBER(J2:J122)))</f>
        <v>-27.056366000000001</v>
      </c>
      <c r="K126" s="18" cm="1">
        <f t="array" ref="K126">MIN(_xlfn._xlws.FILTER(K2:K122, ISNUMBER(K2:K122)))</f>
        <v>-24.139368000000001</v>
      </c>
      <c r="L126" s="18" cm="1">
        <f t="array" ref="L126">MIN(_xlfn._xlws.FILTER(L2:L122, ISNUMBER(L2:L122)))</f>
        <v>-28.829961999999998</v>
      </c>
      <c r="M126" s="18" cm="1">
        <f t="array" ref="M126">MIN(_xlfn._xlws.FILTER(M2:M122, ISNUMBER(M2:M122)))</f>
        <v>-36.487698000000002</v>
      </c>
      <c r="N126" s="18" cm="1">
        <f t="array" ref="N126">MIN(_xlfn._xlws.FILTER(N2:N122, ISNUMBER(N2:N122)))</f>
        <v>-28.952259999999999</v>
      </c>
      <c r="O126" s="18" cm="1">
        <f t="array" ref="O126">MIN(_xlfn._xlws.FILTER(O2:O122, ISNUMBER(O2:O122)))</f>
        <v>-18.748563999999998</v>
      </c>
    </row>
    <row r="127" spans="1:15" x14ac:dyDescent="0.3">
      <c r="A127" s="2" t="s">
        <v>50</v>
      </c>
      <c r="B127" s="20" cm="1">
        <f t="array" ref="B127">MAX(_xlfn._xlws.FILTER(B1:B122, ISNUMBER(B1:B122)))</f>
        <v>61.095534999999998</v>
      </c>
      <c r="C127" s="20" cm="1">
        <f t="array" ref="C127">MAX(_xlfn._xlws.FILTER(C1:C122, ISNUMBER(C1:C122)))</f>
        <v>61.847589999999997</v>
      </c>
      <c r="D127" s="20" cm="1">
        <f t="array" ref="D127">MAX(_xlfn._xlws.FILTER(D1:D122, ISNUMBER(D1:D122)))</f>
        <v>32.487892000000002</v>
      </c>
      <c r="E127" s="20" cm="1">
        <f t="array" ref="E127">MAX(_xlfn._xlws.FILTER(E1:E122, ISNUMBER(E1:E122)))</f>
        <v>24.191284</v>
      </c>
      <c r="F127" s="20" cm="1">
        <f t="array" ref="F127">MAX(_xlfn._xlws.FILTER(F1:F122, ISNUMBER(F1:F122)))</f>
        <v>79.173599999999993</v>
      </c>
      <c r="G127" s="20" cm="1">
        <f t="array" ref="G127">MAX(_xlfn._xlws.FILTER(G1:G122, ISNUMBER(G1:G122)))</f>
        <v>39.999996000000003</v>
      </c>
      <c r="H127" s="20" cm="1">
        <f t="array" ref="H127">MAX(_xlfn._xlws.FILTER(H1:H122, ISNUMBER(H1:H122)))</f>
        <v>120.63248400000001</v>
      </c>
      <c r="I127" s="20" cm="1">
        <f t="array" ref="I127">MAX(_xlfn._xlws.FILTER(I1:I122, ISNUMBER(I1:I122)))</f>
        <v>36.456023999999999</v>
      </c>
      <c r="J127" s="20" cm="1">
        <f t="array" ref="J127">MAX(_xlfn._xlws.FILTER(J1:J122, ISNUMBER(J1:J122)))</f>
        <v>58.918083000000003</v>
      </c>
      <c r="K127" s="20" cm="1">
        <f t="array" ref="K127">MAX(_xlfn._xlws.FILTER(K1:K122, ISNUMBER(K1:K122)))</f>
        <v>68.474019999999996</v>
      </c>
      <c r="L127" s="20" cm="1">
        <f t="array" ref="L127">MAX(_xlfn._xlws.FILTER(L1:L122, ISNUMBER(L1:L122)))</f>
        <v>55.725501999999999</v>
      </c>
      <c r="M127" s="20" cm="1">
        <f t="array" ref="M127">MAX(_xlfn._xlws.FILTER(M1:M122, ISNUMBER(M1:M122)))</f>
        <v>90.48357</v>
      </c>
      <c r="N127" s="20" cm="1">
        <f t="array" ref="N127">MAX(_xlfn._xlws.FILTER(N1:N122, ISNUMBER(N1:N122)))</f>
        <v>72.124626000000006</v>
      </c>
      <c r="O127" s="20" cm="1">
        <f t="array" ref="O127">MAX(_xlfn._xlws.FILTER(O1:O122, ISNUMBER(O1:O122)))</f>
        <v>63.130367</v>
      </c>
    </row>
    <row r="128" spans="1:15" x14ac:dyDescent="0.3">
      <c r="A128" s="2" t="s">
        <v>51</v>
      </c>
      <c r="B128" s="18" cm="1">
        <f t="array" ref="B128">MEDIAN(_xlfn._xlws.FILTER(B1:B122, ISNUMBER(B1:B122)))</f>
        <v>4.1060924999999999</v>
      </c>
      <c r="C128" s="18" cm="1">
        <f t="array" ref="C128">MEDIAN(_xlfn._xlws.FILTER(C1:C122, ISNUMBER(C1:C122)))</f>
        <v>14.250398000000001</v>
      </c>
      <c r="D128" s="18" cm="1">
        <f t="array" ref="D128">MEDIAN(_xlfn._xlws.FILTER(D1:D122, ISNUMBER(D1:D122)))</f>
        <v>2.2493362000000001</v>
      </c>
      <c r="E128" s="18" cm="1">
        <f t="array" ref="E128">MEDIAN(_xlfn._xlws.FILTER(E1:E122, ISNUMBER(E1:E122)))</f>
        <v>4.3496129999999997</v>
      </c>
      <c r="F128" s="18" cm="1">
        <f t="array" ref="F128">MEDIAN(_xlfn._xlws.FILTER(F1:F122, ISNUMBER(F1:F122)))</f>
        <v>22.582339999999999</v>
      </c>
      <c r="G128" s="18" cm="1">
        <f t="array" ref="G128">MEDIAN(_xlfn._xlws.FILTER(G1:G122, ISNUMBER(G1:G122)))</f>
        <v>-4.1421469999999996</v>
      </c>
      <c r="H128" s="18" cm="1">
        <f t="array" ref="H128">MEDIAN(_xlfn._xlws.FILTER(H1:H122, ISNUMBER(H1:H122)))</f>
        <v>-2.1708845999999999</v>
      </c>
      <c r="I128" s="18" cm="1">
        <f t="array" ref="I128">MEDIAN(_xlfn._xlws.FILTER(I1:I122, ISNUMBER(I1:I122)))</f>
        <v>1.3379335000000001</v>
      </c>
      <c r="J128" s="18" cm="1">
        <f t="array" ref="J128">MEDIAN(_xlfn._xlws.FILTER(J1:J122, ISNUMBER(J1:J122)))</f>
        <v>3.7069201000000001</v>
      </c>
      <c r="K128" s="18" cm="1">
        <f t="array" ref="K128">MEDIAN(_xlfn._xlws.FILTER(K1:K122, ISNUMBER(K1:K122)))</f>
        <v>1.3119698</v>
      </c>
      <c r="L128" s="18" cm="1">
        <f t="array" ref="L128">MEDIAN(_xlfn._xlws.FILTER(L1:L122, ISNUMBER(L1:L122)))</f>
        <v>6.0777545000000002</v>
      </c>
      <c r="M128" s="18" cm="1">
        <f t="array" ref="M128">MEDIAN(_xlfn._xlws.FILTER(M1:M122, ISNUMBER(M1:M122)))</f>
        <v>1.8980861</v>
      </c>
      <c r="N128" s="18" cm="1">
        <f t="array" ref="N128">MEDIAN(_xlfn._xlws.FILTER(N1:N122, ISNUMBER(N1:N122)))</f>
        <v>2.0214677000000001</v>
      </c>
      <c r="O128" s="18" cm="1">
        <f t="array" ref="O128">MEDIAN(_xlfn._xlws.FILTER(O1:O122, ISNUMBER(O1:O122)))</f>
        <v>9.5636130000000001</v>
      </c>
    </row>
    <row r="129" spans="1:15" x14ac:dyDescent="0.3">
      <c r="A129" s="2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</row>
    <row r="130" spans="1:15" x14ac:dyDescent="0.3">
      <c r="A130" s="2" t="s">
        <v>30</v>
      </c>
      <c r="B130">
        <f>COUNTIF(B2:B122, "&lt;"&amp;#REF!)</f>
        <v>0</v>
      </c>
      <c r="C130">
        <f>COUNTIF(C2:C122, "&lt;"&amp;#REF!)</f>
        <v>0</v>
      </c>
      <c r="D130">
        <f>COUNTIF(D2:D122, "&lt;"&amp;#REF!)</f>
        <v>0</v>
      </c>
      <c r="E130">
        <f>COUNTIF(E2:E122, "&lt;"&amp;#REF!)</f>
        <v>0</v>
      </c>
      <c r="F130">
        <f>COUNTIF(F2:F122, "&lt;"&amp;#REF!)</f>
        <v>0</v>
      </c>
      <c r="G130">
        <f>COUNTIF(G2:G122, "&lt;"&amp;#REF!)</f>
        <v>0</v>
      </c>
      <c r="H130">
        <f>COUNTIF(H2:H122, "&lt;"&amp;#REF!)</f>
        <v>0</v>
      </c>
      <c r="I130">
        <f>COUNTIF(I2:I122, "&lt;"&amp;#REF!)</f>
        <v>0</v>
      </c>
      <c r="J130">
        <f>COUNTIF(J2:J122, "&lt;"&amp;#REF!)</f>
        <v>0</v>
      </c>
      <c r="K130">
        <f>COUNTIF(K2:K122, "&lt;"&amp;#REF!)</f>
        <v>0</v>
      </c>
      <c r="L130">
        <f>COUNTIF(L2:L122, "&lt;"&amp;#REF!)</f>
        <v>0</v>
      </c>
      <c r="M130">
        <f>COUNTIF(M2:M122, "&lt;"&amp;#REF!)</f>
        <v>0</v>
      </c>
      <c r="N130">
        <f>COUNTIF(N2:N122, "&lt;"&amp;#REF!)</f>
        <v>0</v>
      </c>
      <c r="O130">
        <f>COUNTIF(O2:O122, "&lt;"&amp;#REF!)</f>
        <v>0</v>
      </c>
    </row>
    <row r="131" spans="1:15" x14ac:dyDescent="0.3">
      <c r="A131" s="2" t="s">
        <v>29</v>
      </c>
      <c r="B131">
        <f t="shared" ref="B131:J131" si="0">COUNT(B1:B122)</f>
        <v>121</v>
      </c>
      <c r="C131">
        <f t="shared" si="0"/>
        <v>121</v>
      </c>
      <c r="D131">
        <f t="shared" si="0"/>
        <v>121</v>
      </c>
      <c r="E131">
        <f t="shared" si="0"/>
        <v>121</v>
      </c>
      <c r="F131">
        <f t="shared" si="0"/>
        <v>121</v>
      </c>
      <c r="G131">
        <f t="shared" si="0"/>
        <v>121</v>
      </c>
      <c r="H131">
        <f t="shared" si="0"/>
        <v>112</v>
      </c>
      <c r="I131">
        <f t="shared" si="0"/>
        <v>121</v>
      </c>
      <c r="J131">
        <f t="shared" si="0"/>
        <v>121</v>
      </c>
      <c r="K131">
        <f t="shared" ref="K131:N131" si="1">COUNT(K1:K122)</f>
        <v>67</v>
      </c>
      <c r="L131">
        <f t="shared" si="1"/>
        <v>121</v>
      </c>
      <c r="M131">
        <f t="shared" si="1"/>
        <v>121</v>
      </c>
      <c r="N131">
        <f t="shared" si="1"/>
        <v>121</v>
      </c>
      <c r="O131">
        <f t="shared" ref="O131" si="2">COUNT(O1:O122)</f>
        <v>121</v>
      </c>
    </row>
    <row r="132" spans="1:15" x14ac:dyDescent="0.3">
      <c r="A132" s="2"/>
    </row>
    <row r="133" spans="1:15" x14ac:dyDescent="0.3">
      <c r="A133" s="2" t="s">
        <v>52</v>
      </c>
      <c r="B133" s="8">
        <f t="shared" ref="B133:J133" si="3">B130/B131</f>
        <v>0</v>
      </c>
      <c r="C133" s="8">
        <f t="shared" si="3"/>
        <v>0</v>
      </c>
      <c r="D133" s="8">
        <f t="shared" si="3"/>
        <v>0</v>
      </c>
      <c r="E133" s="8">
        <f t="shared" si="3"/>
        <v>0</v>
      </c>
      <c r="F133" s="8">
        <f t="shared" si="3"/>
        <v>0</v>
      </c>
      <c r="G133" s="8">
        <f t="shared" si="3"/>
        <v>0</v>
      </c>
      <c r="H133" s="8">
        <f t="shared" si="3"/>
        <v>0</v>
      </c>
      <c r="I133" s="8">
        <f t="shared" si="3"/>
        <v>0</v>
      </c>
      <c r="J133" s="8">
        <f t="shared" si="3"/>
        <v>0</v>
      </c>
      <c r="K133" s="8">
        <f t="shared" ref="K133:N133" si="4">K130/K131</f>
        <v>0</v>
      </c>
      <c r="L133" s="8">
        <f t="shared" si="4"/>
        <v>0</v>
      </c>
      <c r="M133" s="8">
        <f t="shared" si="4"/>
        <v>0</v>
      </c>
      <c r="N133" s="8">
        <f t="shared" si="4"/>
        <v>0</v>
      </c>
      <c r="O133" s="8">
        <f t="shared" ref="O133" si="5">O130/O131</f>
        <v>0</v>
      </c>
    </row>
    <row r="134" spans="1:15" x14ac:dyDescent="0.3">
      <c r="A134" s="2"/>
    </row>
    <row r="135" spans="1:15" x14ac:dyDescent="0.3">
      <c r="A135" s="2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</row>
    <row r="136" spans="1:15" x14ac:dyDescent="0.3">
      <c r="A136" s="2" t="s">
        <v>54</v>
      </c>
      <c r="B136" s="18" cm="1">
        <f t="array" ref="B136">_xlfn.PERCENTRANK.EXC(_xlfn._xlws.FILTER(B2:B122, ISNUMBER(B2:B122)),B120)</f>
        <v>0.51600000000000001</v>
      </c>
      <c r="C136" s="18" cm="1">
        <f t="array" ref="C136">_xlfn.PERCENTRANK.EXC(_xlfn._xlws.FILTER(C2:C122, ISNUMBER(C2:C122)),C120)</f>
        <v>0.72099999999999997</v>
      </c>
      <c r="D136" s="18" cm="1">
        <f t="array" ref="D136">_xlfn.PERCENTRANK.EXC(_xlfn._xlws.FILTER(D2:D122, ISNUMBER(D2:D122)),D120)</f>
        <v>0.745</v>
      </c>
      <c r="E136" s="18" cm="1">
        <f t="array" ref="E136">_xlfn.PERCENTRANK.EXC(_xlfn._xlws.FILTER(E2:E122, ISNUMBER(E2:E122)),E120)</f>
        <v>0.50800000000000001</v>
      </c>
      <c r="F136" s="18" cm="1">
        <f t="array" ref="F136">_xlfn.PERCENTRANK.EXC(_xlfn._xlws.FILTER(F2:F122, ISNUMBER(F2:F122)),F120)</f>
        <v>0.877</v>
      </c>
      <c r="G136" s="18" cm="1">
        <f t="array" ref="G136">_xlfn.PERCENTRANK.EXC(_xlfn._xlws.FILTER(G2:G122, ISNUMBER(G2:G122)),G120)</f>
        <v>0.81100000000000005</v>
      </c>
      <c r="H136" s="18" t="e" cm="1">
        <f t="array" ref="H136">_xlfn.PERCENTRANK.EXC(_xlfn._xlws.FILTER(H2:H122, ISNUMBER(H2:H122)),H120)</f>
        <v>#N/A</v>
      </c>
      <c r="I136" s="18" cm="1">
        <f t="array" ref="I136">_xlfn.PERCENTRANK.EXC(_xlfn._xlws.FILTER(I2:I122, ISNUMBER(I2:I122)),I120)</f>
        <v>0.254</v>
      </c>
      <c r="J136" s="18" cm="1">
        <f t="array" ref="J136">_xlfn.PERCENTRANK.EXC(_xlfn._xlws.FILTER(J2:J122, ISNUMBER(J2:J122)),J120)</f>
        <v>0.67200000000000004</v>
      </c>
      <c r="K136" s="18" cm="1">
        <f t="array" ref="K136">_xlfn.PERCENTRANK.EXC(_xlfn._xlws.FILTER(K2:K122, ISNUMBER(K2:K122)),K120)</f>
        <v>0.75</v>
      </c>
      <c r="L136" s="18" cm="1">
        <f t="array" ref="L136">_xlfn.PERCENTRANK.EXC(_xlfn._xlws.FILTER(L2:L122, ISNUMBER(L2:L122)),L120)</f>
        <v>0.754</v>
      </c>
      <c r="M136" s="18" cm="1">
        <f t="array" ref="M136">_xlfn.PERCENTRANK.EXC(_xlfn._xlws.FILTER(M2:M122, ISNUMBER(M2:M122)),M120)</f>
        <v>0.622</v>
      </c>
      <c r="N136" s="18" cm="1">
        <f t="array" ref="N136">_xlfn.PERCENTRANK.EXC(_xlfn._xlws.FILTER(N2:N122, ISNUMBER(N2:N122)),N120)</f>
        <v>0.745</v>
      </c>
      <c r="O136" s="18" cm="1">
        <f t="array" ref="O136">_xlfn.PERCENTRANK.EXC(_xlfn._xlws.FILTER(O2:O122, ISNUMBER(O2:O122)),O120)</f>
        <v>0.71299999999999997</v>
      </c>
    </row>
    <row r="137" spans="1:15" x14ac:dyDescent="0.3">
      <c r="A137" s="2" t="s">
        <v>53</v>
      </c>
      <c r="B137" s="18" cm="1">
        <f t="array" ref="B137">_xlfn.PERCENTRANK.EXC(_xlfn._xlws.FILTER(B2:B122, ISNUMBER(B2:B122)),B121)</f>
        <v>0.41799999999999998</v>
      </c>
      <c r="C137" s="18" cm="1">
        <f t="array" ref="C137">_xlfn.PERCENTRANK.EXC(_xlfn._xlws.FILTER(C2:C122, ISNUMBER(C2:C122)),C121)</f>
        <v>0.83599999999999997</v>
      </c>
      <c r="D137" s="18" cm="1">
        <f t="array" ref="D137">_xlfn.PERCENTRANK.EXC(_xlfn._xlws.FILTER(D2:D122, ISNUMBER(D2:D122)),D121)</f>
        <v>0.65500000000000003</v>
      </c>
      <c r="E137" s="18" cm="1">
        <f t="array" ref="E137">_xlfn.PERCENTRANK.EXC(_xlfn._xlws.FILTER(E2:E122, ISNUMBER(E2:E122)),E121)</f>
        <v>0.68</v>
      </c>
      <c r="F137" s="18" cm="1">
        <f t="array" ref="F137">_xlfn.PERCENTRANK.EXC(_xlfn._xlws.FILTER(F2:F122, ISNUMBER(F2:F122)),F121)</f>
        <v>0.95899999999999996</v>
      </c>
      <c r="G137" s="18" cm="1">
        <f t="array" ref="G137">_xlfn.PERCENTRANK.EXC(_xlfn._xlws.FILTER(G2:G122, ISNUMBER(G2:G122)),G121)</f>
        <v>0.82699999999999996</v>
      </c>
      <c r="H137" s="18" t="e" cm="1">
        <f t="array" ref="H137">_xlfn.PERCENTRANK.EXC(_xlfn._xlws.FILTER(H2:H122, ISNUMBER(H2:H122)),H121)</f>
        <v>#N/A</v>
      </c>
      <c r="I137" s="18" cm="1">
        <f t="array" ref="I137">_xlfn.PERCENTRANK.EXC(_xlfn._xlws.FILTER(I2:I122, ISNUMBER(I2:I122)),I121)</f>
        <v>0.245</v>
      </c>
      <c r="J137" s="18" cm="1">
        <f t="array" ref="J137">_xlfn.PERCENTRANK.EXC(_xlfn._xlws.FILTER(J2:J122, ISNUMBER(J2:J122)),J121)</f>
        <v>0.63100000000000001</v>
      </c>
      <c r="K137" s="18" cm="1">
        <f t="array" ref="K137">_xlfn.PERCENTRANK.EXC(_xlfn._xlws.FILTER(K2:K122, ISNUMBER(K2:K122)),K121)</f>
        <v>0.70499999999999996</v>
      </c>
      <c r="L137" s="18" cm="1">
        <f t="array" ref="L137">_xlfn.PERCENTRANK.EXC(_xlfn._xlws.FILTER(L2:L122, ISNUMBER(L2:L122)),L121)</f>
        <v>0.85199999999999998</v>
      </c>
      <c r="M137" s="18" cm="1">
        <f t="array" ref="M137">_xlfn.PERCENTRANK.EXC(_xlfn._xlws.FILTER(M2:M122, ISNUMBER(M2:M122)),M121)</f>
        <v>0.60599999999999998</v>
      </c>
      <c r="N137" s="18" cm="1">
        <f t="array" ref="N137">_xlfn.PERCENTRANK.EXC(_xlfn._xlws.FILTER(N2:N122, ISNUMBER(N2:N122)),N121)</f>
        <v>0.65500000000000003</v>
      </c>
      <c r="O137" s="18" cm="1">
        <f t="array" ref="O137">_xlfn.PERCENTRANK.EXC(_xlfn._xlws.FILTER(O2:O122, ISNUMBER(O2:O122)),O121)</f>
        <v>0.79500000000000004</v>
      </c>
    </row>
    <row r="138" spans="1:15" x14ac:dyDescent="0.3">
      <c r="A138" s="2" t="s">
        <v>55</v>
      </c>
      <c r="B138" s="18" cm="1">
        <f t="array" ref="B138">_xlfn.PERCENTRANK.EXC(_xlfn._xlws.FILTER(B2:B122, ISNUMBER(B2:B122)),B122)</f>
        <v>0.42599999999999999</v>
      </c>
      <c r="C138" s="18" cm="1">
        <f t="array" ref="C138">_xlfn.PERCENTRANK.EXC(_xlfn._xlws.FILTER(C2:C122, ISNUMBER(C2:C122)),C122)</f>
        <v>0.81899999999999995</v>
      </c>
      <c r="D138" s="18" cm="1">
        <f t="array" ref="D138">_xlfn.PERCENTRANK.EXC(_xlfn._xlws.FILTER(D2:D122, ISNUMBER(D2:D122)),D122)</f>
        <v>0.622</v>
      </c>
      <c r="E138" s="18" cm="1">
        <f t="array" ref="E138">_xlfn.PERCENTRANK.EXC(_xlfn._xlws.FILTER(E2:E122, ISNUMBER(E2:E122)),E122)</f>
        <v>0.745</v>
      </c>
      <c r="F138" s="18" cm="1">
        <f t="array" ref="F138">_xlfn.PERCENTRANK.EXC(_xlfn._xlws.FILTER(F2:F122, ISNUMBER(F2:F122)),F122)</f>
        <v>0.90100000000000002</v>
      </c>
      <c r="G138" s="18" cm="1">
        <f t="array" ref="G138">_xlfn.PERCENTRANK.EXC(_xlfn._xlws.FILTER(G2:G122, ISNUMBER(G2:G122)),G122)</f>
        <v>0.86</v>
      </c>
      <c r="H138" s="18" t="e" cm="1">
        <f t="array" ref="H138">_xlfn.PERCENTRANK.EXC(_xlfn._xlws.FILTER(H2:H122, ISNUMBER(H2:H122)),H122)</f>
        <v>#N/A</v>
      </c>
      <c r="I138" s="18" cm="1">
        <f t="array" ref="I138">_xlfn.PERCENTRANK.EXC(_xlfn._xlws.FILTER(I2:I122, ISNUMBER(I2:I122)),I122)</f>
        <v>0.21299999999999999</v>
      </c>
      <c r="J138" s="18" cm="1">
        <f t="array" ref="J138">_xlfn.PERCENTRANK.EXC(_xlfn._xlws.FILTER(J2:J122, ISNUMBER(J2:J122)),J122)</f>
        <v>0.53200000000000003</v>
      </c>
      <c r="K138" s="18" cm="1">
        <f t="array" ref="K138">_xlfn.PERCENTRANK.EXC(_xlfn._xlws.FILTER(K2:K122, ISNUMBER(K2:K122)),K122)</f>
        <v>0.73499999999999999</v>
      </c>
      <c r="L138" s="18" cm="1">
        <f t="array" ref="L138">_xlfn.PERCENTRANK.EXC(_xlfn._xlws.FILTER(L2:L122, ISNUMBER(L2:L122)),L122)</f>
        <v>0.80300000000000005</v>
      </c>
      <c r="M138" s="18" cm="1">
        <f t="array" ref="M138">_xlfn.PERCENTRANK.EXC(_xlfn._xlws.FILTER(M2:M122, ISNUMBER(M2:M122)),M122)</f>
        <v>0.55700000000000005</v>
      </c>
      <c r="N138" s="18" cm="1">
        <f t="array" ref="N138">_xlfn.PERCENTRANK.EXC(_xlfn._xlws.FILTER(N2:N122, ISNUMBER(N2:N122)),N122)</f>
        <v>0.61399999999999999</v>
      </c>
      <c r="O138" s="18" cm="1">
        <f t="array" ref="O138">_xlfn.PERCENTRANK.EXC(_xlfn._xlws.FILTER(O2:O122, ISNUMBER(O2:O122)),O122)</f>
        <v>0.73699999999999999</v>
      </c>
    </row>
    <row r="139" spans="1:15" x14ac:dyDescent="0.3">
      <c r="A139" s="2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</row>
    <row r="140" spans="1:15" x14ac:dyDescent="0.3">
      <c r="A140" s="2" t="s">
        <v>62</v>
      </c>
      <c r="B140" s="18">
        <f t="shared" ref="B140:J140" si="6">AVERAGE(B136:B138)</f>
        <v>0.45333333333333331</v>
      </c>
      <c r="C140" s="18">
        <f t="shared" si="6"/>
        <v>0.79199999999999993</v>
      </c>
      <c r="D140" s="18">
        <f t="shared" si="6"/>
        <v>0.67399999999999993</v>
      </c>
      <c r="E140" s="18">
        <f t="shared" si="6"/>
        <v>0.64433333333333342</v>
      </c>
      <c r="F140" s="18">
        <f t="shared" si="6"/>
        <v>0.91233333333333333</v>
      </c>
      <c r="G140" s="18">
        <f t="shared" si="6"/>
        <v>0.83266666666666656</v>
      </c>
      <c r="H140" s="18" t="e">
        <f t="shared" si="6"/>
        <v>#N/A</v>
      </c>
      <c r="I140" s="18">
        <f t="shared" si="6"/>
        <v>0.23733333333333331</v>
      </c>
      <c r="J140" s="18">
        <f t="shared" si="6"/>
        <v>0.61166666666666669</v>
      </c>
      <c r="K140" s="18">
        <f t="shared" ref="K140:N140" si="7">AVERAGE(K136:K138)</f>
        <v>0.73</v>
      </c>
      <c r="L140" s="18">
        <f t="shared" si="7"/>
        <v>0.80299999999999994</v>
      </c>
      <c r="M140" s="18">
        <f t="shared" si="7"/>
        <v>0.59500000000000008</v>
      </c>
      <c r="N140" s="18">
        <f t="shared" si="7"/>
        <v>0.67133333333333323</v>
      </c>
      <c r="O140" s="18">
        <f t="shared" ref="O140" si="8">AVERAGE(O136:O138)</f>
        <v>0.74833333333333341</v>
      </c>
    </row>
    <row r="141" spans="1:15" x14ac:dyDescent="0.3">
      <c r="A141" s="2"/>
    </row>
    <row r="142" spans="1:15" x14ac:dyDescent="0.3">
      <c r="A142" s="2"/>
    </row>
    <row r="143" spans="1:15" x14ac:dyDescent="0.3">
      <c r="A143" s="2"/>
    </row>
    <row r="144" spans="1:15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  <row r="511" spans="1:1" x14ac:dyDescent="0.3">
      <c r="A511" s="2"/>
    </row>
    <row r="512" spans="1:1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2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2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2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2"/>
    </row>
    <row r="531" spans="1:1" x14ac:dyDescent="0.3">
      <c r="A531" s="2"/>
    </row>
    <row r="532" spans="1:1" x14ac:dyDescent="0.3">
      <c r="A532" s="2"/>
    </row>
    <row r="533" spans="1:1" x14ac:dyDescent="0.3">
      <c r="A533" s="2"/>
    </row>
    <row r="534" spans="1:1" x14ac:dyDescent="0.3">
      <c r="A534" s="2"/>
    </row>
    <row r="535" spans="1:1" x14ac:dyDescent="0.3">
      <c r="A535" s="2"/>
    </row>
    <row r="536" spans="1:1" x14ac:dyDescent="0.3">
      <c r="A536" s="2"/>
    </row>
    <row r="537" spans="1:1" x14ac:dyDescent="0.3">
      <c r="A537" s="2"/>
    </row>
    <row r="538" spans="1:1" x14ac:dyDescent="0.3">
      <c r="A538" s="2"/>
    </row>
    <row r="539" spans="1:1" x14ac:dyDescent="0.3">
      <c r="A539" s="2"/>
    </row>
    <row r="540" spans="1:1" x14ac:dyDescent="0.3">
      <c r="A540" s="2"/>
    </row>
    <row r="541" spans="1:1" x14ac:dyDescent="0.3">
      <c r="A541" s="2"/>
    </row>
    <row r="542" spans="1:1" x14ac:dyDescent="0.3">
      <c r="A542" s="2"/>
    </row>
    <row r="543" spans="1:1" x14ac:dyDescent="0.3">
      <c r="A543" s="2"/>
    </row>
    <row r="544" spans="1:1" x14ac:dyDescent="0.3">
      <c r="A544" s="2"/>
    </row>
    <row r="545" spans="1:1" x14ac:dyDescent="0.3">
      <c r="A545" s="2"/>
    </row>
    <row r="546" spans="1:1" x14ac:dyDescent="0.3">
      <c r="A546" s="2"/>
    </row>
    <row r="547" spans="1:1" x14ac:dyDescent="0.3">
      <c r="A547" s="2"/>
    </row>
    <row r="548" spans="1:1" x14ac:dyDescent="0.3">
      <c r="A548" s="2"/>
    </row>
    <row r="549" spans="1:1" x14ac:dyDescent="0.3">
      <c r="A549" s="2"/>
    </row>
    <row r="550" spans="1:1" x14ac:dyDescent="0.3">
      <c r="A550" s="2"/>
    </row>
    <row r="551" spans="1:1" x14ac:dyDescent="0.3">
      <c r="A551" s="2"/>
    </row>
    <row r="552" spans="1:1" x14ac:dyDescent="0.3">
      <c r="A552" s="2"/>
    </row>
    <row r="553" spans="1:1" x14ac:dyDescent="0.3">
      <c r="A553" s="2"/>
    </row>
    <row r="554" spans="1:1" x14ac:dyDescent="0.3">
      <c r="A554" s="2"/>
    </row>
    <row r="555" spans="1:1" x14ac:dyDescent="0.3">
      <c r="A555" s="2"/>
    </row>
    <row r="556" spans="1:1" x14ac:dyDescent="0.3">
      <c r="A556" s="2"/>
    </row>
    <row r="557" spans="1:1" x14ac:dyDescent="0.3">
      <c r="A557" s="2"/>
    </row>
    <row r="558" spans="1:1" x14ac:dyDescent="0.3">
      <c r="A558" s="2"/>
    </row>
    <row r="559" spans="1:1" x14ac:dyDescent="0.3">
      <c r="A559" s="2"/>
    </row>
    <row r="560" spans="1:1" x14ac:dyDescent="0.3">
      <c r="A560" s="2"/>
    </row>
    <row r="561" spans="1:1" x14ac:dyDescent="0.3">
      <c r="A561" s="2"/>
    </row>
    <row r="562" spans="1:1" x14ac:dyDescent="0.3">
      <c r="A562" s="2"/>
    </row>
    <row r="563" spans="1:1" x14ac:dyDescent="0.3">
      <c r="A563" s="2"/>
    </row>
    <row r="564" spans="1:1" x14ac:dyDescent="0.3">
      <c r="A564" s="2"/>
    </row>
    <row r="565" spans="1:1" x14ac:dyDescent="0.3">
      <c r="A565" s="2"/>
    </row>
    <row r="566" spans="1:1" x14ac:dyDescent="0.3">
      <c r="A566" s="2"/>
    </row>
    <row r="567" spans="1:1" x14ac:dyDescent="0.3">
      <c r="A567" s="2"/>
    </row>
    <row r="568" spans="1:1" x14ac:dyDescent="0.3">
      <c r="A568" s="2"/>
    </row>
    <row r="569" spans="1:1" x14ac:dyDescent="0.3">
      <c r="A569" s="2"/>
    </row>
    <row r="570" spans="1:1" x14ac:dyDescent="0.3">
      <c r="A570" s="2"/>
    </row>
    <row r="571" spans="1:1" x14ac:dyDescent="0.3">
      <c r="A571" s="2"/>
    </row>
    <row r="572" spans="1:1" x14ac:dyDescent="0.3">
      <c r="A572" s="2"/>
    </row>
    <row r="573" spans="1:1" x14ac:dyDescent="0.3">
      <c r="A573" s="2"/>
    </row>
    <row r="574" spans="1:1" x14ac:dyDescent="0.3">
      <c r="A574" s="2"/>
    </row>
    <row r="575" spans="1:1" x14ac:dyDescent="0.3">
      <c r="A575" s="2"/>
    </row>
    <row r="576" spans="1:1" x14ac:dyDescent="0.3">
      <c r="A576" s="2"/>
    </row>
    <row r="577" spans="1:1" x14ac:dyDescent="0.3">
      <c r="A577" s="2"/>
    </row>
    <row r="578" spans="1:1" x14ac:dyDescent="0.3">
      <c r="A578" s="2"/>
    </row>
    <row r="579" spans="1:1" x14ac:dyDescent="0.3">
      <c r="A579" s="2"/>
    </row>
    <row r="580" spans="1:1" x14ac:dyDescent="0.3">
      <c r="A580" s="2"/>
    </row>
    <row r="581" spans="1:1" x14ac:dyDescent="0.3">
      <c r="A581" s="2"/>
    </row>
    <row r="582" spans="1:1" x14ac:dyDescent="0.3">
      <c r="A582" s="2"/>
    </row>
    <row r="583" spans="1:1" x14ac:dyDescent="0.3">
      <c r="A583" s="2"/>
    </row>
    <row r="584" spans="1:1" x14ac:dyDescent="0.3">
      <c r="A584" s="2"/>
    </row>
    <row r="585" spans="1:1" x14ac:dyDescent="0.3">
      <c r="A585" s="2"/>
    </row>
    <row r="586" spans="1:1" x14ac:dyDescent="0.3">
      <c r="A586" s="2"/>
    </row>
    <row r="587" spans="1:1" x14ac:dyDescent="0.3">
      <c r="A587" s="2"/>
    </row>
    <row r="588" spans="1:1" x14ac:dyDescent="0.3">
      <c r="A588" s="2"/>
    </row>
    <row r="589" spans="1:1" x14ac:dyDescent="0.3">
      <c r="A589" s="2"/>
    </row>
    <row r="590" spans="1:1" x14ac:dyDescent="0.3">
      <c r="A590" s="2"/>
    </row>
    <row r="591" spans="1:1" x14ac:dyDescent="0.3">
      <c r="A591" s="2"/>
    </row>
    <row r="592" spans="1:1" x14ac:dyDescent="0.3">
      <c r="A592" s="2"/>
    </row>
    <row r="593" spans="1:1" x14ac:dyDescent="0.3">
      <c r="A593" s="2"/>
    </row>
    <row r="594" spans="1:1" x14ac:dyDescent="0.3">
      <c r="A594" s="2"/>
    </row>
    <row r="595" spans="1:1" x14ac:dyDescent="0.3">
      <c r="A595" s="2"/>
    </row>
    <row r="596" spans="1:1" x14ac:dyDescent="0.3">
      <c r="A596" s="2"/>
    </row>
    <row r="597" spans="1:1" x14ac:dyDescent="0.3">
      <c r="A597" s="2"/>
    </row>
    <row r="598" spans="1:1" x14ac:dyDescent="0.3">
      <c r="A598" s="2"/>
    </row>
    <row r="599" spans="1:1" x14ac:dyDescent="0.3">
      <c r="A599" s="2"/>
    </row>
    <row r="600" spans="1:1" x14ac:dyDescent="0.3">
      <c r="A600" s="2"/>
    </row>
    <row r="601" spans="1:1" x14ac:dyDescent="0.3">
      <c r="A601" s="2"/>
    </row>
    <row r="602" spans="1:1" x14ac:dyDescent="0.3">
      <c r="A602" s="2"/>
    </row>
    <row r="603" spans="1:1" x14ac:dyDescent="0.3">
      <c r="A603" s="2"/>
    </row>
    <row r="604" spans="1:1" x14ac:dyDescent="0.3">
      <c r="A604" s="2"/>
    </row>
    <row r="605" spans="1:1" x14ac:dyDescent="0.3">
      <c r="A605" s="2"/>
    </row>
    <row r="606" spans="1:1" x14ac:dyDescent="0.3">
      <c r="A606" s="2"/>
    </row>
    <row r="607" spans="1:1" x14ac:dyDescent="0.3">
      <c r="A607" s="2"/>
    </row>
    <row r="608" spans="1:1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x14ac:dyDescent="0.3">
      <c r="A1000" s="2"/>
    </row>
    <row r="1001" spans="1:1" x14ac:dyDescent="0.3">
      <c r="A1001" s="2"/>
    </row>
    <row r="1002" spans="1:1" x14ac:dyDescent="0.3">
      <c r="A1002" s="2"/>
    </row>
    <row r="1003" spans="1:1" x14ac:dyDescent="0.3">
      <c r="A1003" s="2"/>
    </row>
    <row r="1004" spans="1:1" x14ac:dyDescent="0.3">
      <c r="A1004" s="2"/>
    </row>
    <row r="1005" spans="1:1" x14ac:dyDescent="0.3">
      <c r="A1005" s="2"/>
    </row>
    <row r="1006" spans="1:1" x14ac:dyDescent="0.3">
      <c r="A1006" s="2"/>
    </row>
    <row r="1007" spans="1:1" x14ac:dyDescent="0.3">
      <c r="A1007" s="2"/>
    </row>
    <row r="1008" spans="1:1" x14ac:dyDescent="0.3">
      <c r="A1008" s="2"/>
    </row>
    <row r="1009" spans="1:1" x14ac:dyDescent="0.3">
      <c r="A1009" s="2"/>
    </row>
    <row r="1010" spans="1:1" x14ac:dyDescent="0.3">
      <c r="A1010" s="2"/>
    </row>
    <row r="1011" spans="1:1" x14ac:dyDescent="0.3">
      <c r="A1011" s="2"/>
    </row>
    <row r="1012" spans="1:1" x14ac:dyDescent="0.3">
      <c r="A1012" s="2"/>
    </row>
    <row r="1013" spans="1:1" x14ac:dyDescent="0.3">
      <c r="A1013" s="2"/>
    </row>
    <row r="1014" spans="1:1" x14ac:dyDescent="0.3">
      <c r="A1014" s="2"/>
    </row>
    <row r="1015" spans="1:1" x14ac:dyDescent="0.3">
      <c r="A1015" s="2"/>
    </row>
    <row r="1016" spans="1:1" x14ac:dyDescent="0.3">
      <c r="A1016" s="2"/>
    </row>
    <row r="1017" spans="1:1" x14ac:dyDescent="0.3">
      <c r="A1017" s="2"/>
    </row>
    <row r="1018" spans="1:1" x14ac:dyDescent="0.3">
      <c r="A1018" s="2"/>
    </row>
    <row r="1019" spans="1:1" x14ac:dyDescent="0.3">
      <c r="A1019" s="2"/>
    </row>
    <row r="1020" spans="1:1" x14ac:dyDescent="0.3">
      <c r="A1020" s="2"/>
    </row>
    <row r="1021" spans="1:1" x14ac:dyDescent="0.3">
      <c r="A1021" s="2"/>
    </row>
    <row r="1022" spans="1:1" x14ac:dyDescent="0.3">
      <c r="A1022" s="2"/>
    </row>
    <row r="1023" spans="1:1" x14ac:dyDescent="0.3">
      <c r="A1023" s="2"/>
    </row>
    <row r="1024" spans="1:1" x14ac:dyDescent="0.3">
      <c r="A1024" s="2"/>
    </row>
    <row r="1025" spans="1:1" x14ac:dyDescent="0.3">
      <c r="A1025" s="2"/>
    </row>
    <row r="1026" spans="1:1" x14ac:dyDescent="0.3">
      <c r="A1026" s="2"/>
    </row>
    <row r="1027" spans="1:1" x14ac:dyDescent="0.3">
      <c r="A1027" s="2"/>
    </row>
    <row r="1028" spans="1:1" x14ac:dyDescent="0.3">
      <c r="A1028" s="2"/>
    </row>
    <row r="1029" spans="1:1" x14ac:dyDescent="0.3">
      <c r="A1029" s="2"/>
    </row>
    <row r="1030" spans="1:1" x14ac:dyDescent="0.3">
      <c r="A1030" s="2"/>
    </row>
    <row r="1031" spans="1:1" x14ac:dyDescent="0.3">
      <c r="A1031" s="2"/>
    </row>
    <row r="1032" spans="1:1" x14ac:dyDescent="0.3">
      <c r="A1032" s="2"/>
    </row>
    <row r="1033" spans="1:1" x14ac:dyDescent="0.3">
      <c r="A1033" s="2"/>
    </row>
    <row r="1034" spans="1:1" x14ac:dyDescent="0.3">
      <c r="A1034" s="2"/>
    </row>
    <row r="1035" spans="1:1" x14ac:dyDescent="0.3">
      <c r="A1035" s="2"/>
    </row>
    <row r="1036" spans="1:1" x14ac:dyDescent="0.3">
      <c r="A1036" s="2"/>
    </row>
    <row r="1037" spans="1:1" x14ac:dyDescent="0.3">
      <c r="A1037" s="2"/>
    </row>
    <row r="1038" spans="1:1" x14ac:dyDescent="0.3">
      <c r="A1038" s="2"/>
    </row>
    <row r="1039" spans="1:1" x14ac:dyDescent="0.3">
      <c r="A1039" s="2"/>
    </row>
    <row r="1040" spans="1:1" x14ac:dyDescent="0.3">
      <c r="A1040" s="2"/>
    </row>
    <row r="1041" spans="1:1" x14ac:dyDescent="0.3">
      <c r="A1041" s="2"/>
    </row>
    <row r="1042" spans="1:1" x14ac:dyDescent="0.3">
      <c r="A1042" s="2"/>
    </row>
    <row r="1043" spans="1:1" x14ac:dyDescent="0.3">
      <c r="A1043" s="2"/>
    </row>
    <row r="1044" spans="1:1" x14ac:dyDescent="0.3">
      <c r="A1044" s="2"/>
    </row>
    <row r="1045" spans="1:1" x14ac:dyDescent="0.3">
      <c r="A1045" s="2"/>
    </row>
    <row r="1046" spans="1:1" x14ac:dyDescent="0.3">
      <c r="A1046" s="2"/>
    </row>
    <row r="1047" spans="1:1" x14ac:dyDescent="0.3">
      <c r="A1047" s="2"/>
    </row>
    <row r="1048" spans="1:1" x14ac:dyDescent="0.3">
      <c r="A1048" s="2"/>
    </row>
    <row r="1049" spans="1:1" x14ac:dyDescent="0.3">
      <c r="A1049" s="2"/>
    </row>
    <row r="1050" spans="1:1" x14ac:dyDescent="0.3">
      <c r="A1050" s="2"/>
    </row>
    <row r="1051" spans="1:1" x14ac:dyDescent="0.3">
      <c r="A1051" s="2"/>
    </row>
    <row r="1052" spans="1:1" x14ac:dyDescent="0.3">
      <c r="A1052" s="2"/>
    </row>
    <row r="1053" spans="1:1" x14ac:dyDescent="0.3">
      <c r="A1053" s="2"/>
    </row>
    <row r="1054" spans="1:1" x14ac:dyDescent="0.3">
      <c r="A1054" s="2"/>
    </row>
    <row r="1055" spans="1:1" x14ac:dyDescent="0.3">
      <c r="A1055" s="2"/>
    </row>
    <row r="1056" spans="1:1" x14ac:dyDescent="0.3">
      <c r="A1056" s="2"/>
    </row>
    <row r="1057" spans="1:1" x14ac:dyDescent="0.3">
      <c r="A1057" s="2"/>
    </row>
    <row r="1058" spans="1:1" x14ac:dyDescent="0.3">
      <c r="A1058" s="2"/>
    </row>
    <row r="1059" spans="1:1" x14ac:dyDescent="0.3">
      <c r="A1059" s="2"/>
    </row>
    <row r="1060" spans="1:1" x14ac:dyDescent="0.3">
      <c r="A1060" s="2"/>
    </row>
    <row r="1061" spans="1:1" x14ac:dyDescent="0.3">
      <c r="A1061" s="2"/>
    </row>
    <row r="1062" spans="1:1" x14ac:dyDescent="0.3">
      <c r="A1062" s="2"/>
    </row>
    <row r="1063" spans="1:1" x14ac:dyDescent="0.3">
      <c r="A1063" s="2"/>
    </row>
    <row r="1064" spans="1:1" x14ac:dyDescent="0.3">
      <c r="A1064" s="2"/>
    </row>
    <row r="1065" spans="1:1" x14ac:dyDescent="0.3">
      <c r="A1065" s="2"/>
    </row>
    <row r="1066" spans="1:1" x14ac:dyDescent="0.3">
      <c r="A1066" s="2"/>
    </row>
    <row r="1067" spans="1:1" x14ac:dyDescent="0.3">
      <c r="A1067" s="2"/>
    </row>
    <row r="1068" spans="1:1" x14ac:dyDescent="0.3">
      <c r="A1068" s="2"/>
    </row>
    <row r="1069" spans="1:1" x14ac:dyDescent="0.3">
      <c r="A1069" s="2"/>
    </row>
    <row r="1070" spans="1:1" x14ac:dyDescent="0.3">
      <c r="A1070" s="2"/>
    </row>
    <row r="1071" spans="1:1" x14ac:dyDescent="0.3">
      <c r="A1071" s="2"/>
    </row>
    <row r="1072" spans="1:1" x14ac:dyDescent="0.3">
      <c r="A1072" s="2"/>
    </row>
    <row r="1073" spans="1:1" x14ac:dyDescent="0.3">
      <c r="A1073" s="2"/>
    </row>
    <row r="1074" spans="1:1" x14ac:dyDescent="0.3">
      <c r="A1074" s="2"/>
    </row>
    <row r="1075" spans="1:1" x14ac:dyDescent="0.3">
      <c r="A1075" s="2"/>
    </row>
    <row r="1076" spans="1:1" x14ac:dyDescent="0.3">
      <c r="A1076" s="2"/>
    </row>
    <row r="1077" spans="1:1" x14ac:dyDescent="0.3">
      <c r="A1077" s="2"/>
    </row>
    <row r="1078" spans="1:1" x14ac:dyDescent="0.3">
      <c r="A1078" s="2"/>
    </row>
    <row r="1079" spans="1:1" x14ac:dyDescent="0.3">
      <c r="A1079" s="2"/>
    </row>
    <row r="1080" spans="1:1" x14ac:dyDescent="0.3">
      <c r="A1080" s="2"/>
    </row>
    <row r="1081" spans="1:1" x14ac:dyDescent="0.3">
      <c r="A1081" s="2"/>
    </row>
    <row r="1082" spans="1:1" x14ac:dyDescent="0.3">
      <c r="A1082" s="2"/>
    </row>
    <row r="1083" spans="1:1" x14ac:dyDescent="0.3">
      <c r="A1083" s="2"/>
    </row>
    <row r="1084" spans="1:1" x14ac:dyDescent="0.3">
      <c r="A1084" s="2"/>
    </row>
    <row r="1085" spans="1:1" x14ac:dyDescent="0.3">
      <c r="A1085" s="2"/>
    </row>
    <row r="1086" spans="1:1" x14ac:dyDescent="0.3">
      <c r="A1086" s="2"/>
    </row>
    <row r="1087" spans="1:1" x14ac:dyDescent="0.3">
      <c r="A1087" s="2"/>
    </row>
    <row r="1088" spans="1:1" x14ac:dyDescent="0.3">
      <c r="A1088" s="2"/>
    </row>
    <row r="1089" spans="1:1" x14ac:dyDescent="0.3">
      <c r="A1089" s="2"/>
    </row>
    <row r="1090" spans="1:1" x14ac:dyDescent="0.3">
      <c r="A1090" s="2"/>
    </row>
    <row r="1091" spans="1:1" x14ac:dyDescent="0.3">
      <c r="A1091" s="2"/>
    </row>
    <row r="1092" spans="1:1" x14ac:dyDescent="0.3">
      <c r="A1092" s="2"/>
    </row>
    <row r="1093" spans="1:1" x14ac:dyDescent="0.3">
      <c r="A1093" s="2"/>
    </row>
    <row r="1094" spans="1:1" x14ac:dyDescent="0.3">
      <c r="A1094" s="2"/>
    </row>
    <row r="1095" spans="1:1" x14ac:dyDescent="0.3">
      <c r="A1095" s="2"/>
    </row>
    <row r="1096" spans="1:1" x14ac:dyDescent="0.3">
      <c r="A1096" s="2"/>
    </row>
    <row r="1097" spans="1:1" x14ac:dyDescent="0.3">
      <c r="A1097" s="2"/>
    </row>
    <row r="1098" spans="1:1" x14ac:dyDescent="0.3">
      <c r="A1098" s="2"/>
    </row>
    <row r="1099" spans="1:1" x14ac:dyDescent="0.3">
      <c r="A1099" s="2"/>
    </row>
    <row r="1100" spans="1:1" x14ac:dyDescent="0.3">
      <c r="A1100" s="2"/>
    </row>
    <row r="1101" spans="1:1" x14ac:dyDescent="0.3">
      <c r="A1101" s="2"/>
    </row>
    <row r="1102" spans="1:1" x14ac:dyDescent="0.3">
      <c r="A1102" s="2"/>
    </row>
    <row r="1103" spans="1:1" x14ac:dyDescent="0.3">
      <c r="A1103" s="2"/>
    </row>
    <row r="1104" spans="1:1" x14ac:dyDescent="0.3">
      <c r="A1104" s="2"/>
    </row>
    <row r="1105" spans="1:1" x14ac:dyDescent="0.3">
      <c r="A1105" s="2"/>
    </row>
    <row r="1106" spans="1:1" x14ac:dyDescent="0.3">
      <c r="A1106" s="2"/>
    </row>
    <row r="1107" spans="1:1" x14ac:dyDescent="0.3">
      <c r="A1107" s="2"/>
    </row>
    <row r="1108" spans="1:1" x14ac:dyDescent="0.3">
      <c r="A1108" s="2"/>
    </row>
    <row r="1109" spans="1:1" x14ac:dyDescent="0.3">
      <c r="A1109" s="2"/>
    </row>
    <row r="1110" spans="1:1" x14ac:dyDescent="0.3">
      <c r="A1110" s="2"/>
    </row>
    <row r="1111" spans="1:1" x14ac:dyDescent="0.3">
      <c r="A1111" s="2"/>
    </row>
    <row r="1112" spans="1:1" x14ac:dyDescent="0.3">
      <c r="A1112" s="2"/>
    </row>
    <row r="1113" spans="1:1" x14ac:dyDescent="0.3">
      <c r="A1113" s="2"/>
    </row>
    <row r="1114" spans="1:1" x14ac:dyDescent="0.3">
      <c r="A1114" s="2"/>
    </row>
    <row r="1115" spans="1:1" x14ac:dyDescent="0.3">
      <c r="A1115" s="2"/>
    </row>
    <row r="1116" spans="1:1" x14ac:dyDescent="0.3">
      <c r="A1116" s="2"/>
    </row>
    <row r="1117" spans="1:1" x14ac:dyDescent="0.3">
      <c r="A1117" s="2"/>
    </row>
    <row r="1118" spans="1:1" x14ac:dyDescent="0.3">
      <c r="A1118" s="2"/>
    </row>
    <row r="1119" spans="1:1" x14ac:dyDescent="0.3">
      <c r="A1119" s="2"/>
    </row>
    <row r="1120" spans="1:1" x14ac:dyDescent="0.3">
      <c r="A1120" s="2"/>
    </row>
    <row r="1121" spans="1:1" x14ac:dyDescent="0.3">
      <c r="A1121" s="2"/>
    </row>
    <row r="1122" spans="1:1" x14ac:dyDescent="0.3">
      <c r="A1122" s="2"/>
    </row>
    <row r="1123" spans="1:1" x14ac:dyDescent="0.3">
      <c r="A1123" s="2"/>
    </row>
    <row r="1124" spans="1:1" x14ac:dyDescent="0.3">
      <c r="A1124" s="2"/>
    </row>
    <row r="1125" spans="1:1" x14ac:dyDescent="0.3">
      <c r="A1125" s="2"/>
    </row>
    <row r="1126" spans="1:1" x14ac:dyDescent="0.3">
      <c r="A1126" s="2"/>
    </row>
    <row r="1127" spans="1:1" x14ac:dyDescent="0.3">
      <c r="A1127" s="2"/>
    </row>
    <row r="1128" spans="1:1" x14ac:dyDescent="0.3">
      <c r="A1128" s="2"/>
    </row>
    <row r="1129" spans="1:1" x14ac:dyDescent="0.3">
      <c r="A1129" s="2"/>
    </row>
    <row r="1130" spans="1:1" x14ac:dyDescent="0.3">
      <c r="A1130" s="2"/>
    </row>
    <row r="1131" spans="1:1" x14ac:dyDescent="0.3">
      <c r="A1131" s="2"/>
    </row>
    <row r="1132" spans="1:1" x14ac:dyDescent="0.3">
      <c r="A1132" s="2"/>
    </row>
    <row r="1133" spans="1:1" x14ac:dyDescent="0.3">
      <c r="A1133" s="2"/>
    </row>
    <row r="1134" spans="1:1" x14ac:dyDescent="0.3">
      <c r="A1134" s="2"/>
    </row>
    <row r="1135" spans="1:1" x14ac:dyDescent="0.3">
      <c r="A1135" s="2"/>
    </row>
    <row r="1136" spans="1:1" x14ac:dyDescent="0.3">
      <c r="A1136" s="2"/>
    </row>
    <row r="1137" spans="1:1" x14ac:dyDescent="0.3">
      <c r="A1137" s="2"/>
    </row>
    <row r="1138" spans="1:1" x14ac:dyDescent="0.3">
      <c r="A1138" s="2"/>
    </row>
    <row r="1139" spans="1:1" x14ac:dyDescent="0.3">
      <c r="A1139" s="2"/>
    </row>
    <row r="1140" spans="1:1" x14ac:dyDescent="0.3">
      <c r="A1140" s="2"/>
    </row>
    <row r="1141" spans="1:1" x14ac:dyDescent="0.3">
      <c r="A1141" s="2"/>
    </row>
    <row r="1142" spans="1:1" x14ac:dyDescent="0.3">
      <c r="A1142" s="2"/>
    </row>
    <row r="1143" spans="1:1" x14ac:dyDescent="0.3">
      <c r="A1143" s="2"/>
    </row>
    <row r="1144" spans="1:1" x14ac:dyDescent="0.3">
      <c r="A1144" s="2"/>
    </row>
    <row r="1145" spans="1:1" x14ac:dyDescent="0.3">
      <c r="A1145" s="2"/>
    </row>
    <row r="1146" spans="1:1" x14ac:dyDescent="0.3">
      <c r="A1146" s="2"/>
    </row>
    <row r="1147" spans="1:1" x14ac:dyDescent="0.3">
      <c r="A1147" s="2"/>
    </row>
    <row r="1148" spans="1:1" x14ac:dyDescent="0.3">
      <c r="A1148" s="2"/>
    </row>
    <row r="1149" spans="1:1" x14ac:dyDescent="0.3">
      <c r="A1149" s="2"/>
    </row>
    <row r="1150" spans="1:1" x14ac:dyDescent="0.3">
      <c r="A1150" s="2"/>
    </row>
    <row r="1151" spans="1:1" x14ac:dyDescent="0.3">
      <c r="A1151" s="2"/>
    </row>
    <row r="1152" spans="1:1" x14ac:dyDescent="0.3">
      <c r="A1152" s="2"/>
    </row>
    <row r="1153" spans="1:1" x14ac:dyDescent="0.3">
      <c r="A1153" s="2"/>
    </row>
    <row r="1154" spans="1:1" x14ac:dyDescent="0.3">
      <c r="A1154" s="2"/>
    </row>
    <row r="1155" spans="1:1" x14ac:dyDescent="0.3">
      <c r="A1155" s="2"/>
    </row>
    <row r="1156" spans="1:1" x14ac:dyDescent="0.3">
      <c r="A1156" s="2"/>
    </row>
    <row r="1157" spans="1:1" x14ac:dyDescent="0.3">
      <c r="A1157" s="2"/>
    </row>
    <row r="1158" spans="1:1" x14ac:dyDescent="0.3">
      <c r="A1158" s="2"/>
    </row>
    <row r="1159" spans="1:1" x14ac:dyDescent="0.3">
      <c r="A1159" s="2"/>
    </row>
    <row r="1160" spans="1:1" x14ac:dyDescent="0.3">
      <c r="A1160" s="2"/>
    </row>
    <row r="1161" spans="1:1" x14ac:dyDescent="0.3">
      <c r="A1161" s="2"/>
    </row>
    <row r="1162" spans="1:1" x14ac:dyDescent="0.3">
      <c r="A1162" s="2"/>
    </row>
    <row r="1163" spans="1:1" x14ac:dyDescent="0.3">
      <c r="A1163" s="2"/>
    </row>
    <row r="1164" spans="1:1" x14ac:dyDescent="0.3">
      <c r="A1164" s="2"/>
    </row>
    <row r="1165" spans="1:1" x14ac:dyDescent="0.3">
      <c r="A1165" s="2"/>
    </row>
    <row r="1166" spans="1:1" x14ac:dyDescent="0.3">
      <c r="A1166" s="2"/>
    </row>
    <row r="1167" spans="1:1" x14ac:dyDescent="0.3">
      <c r="A1167" s="2"/>
    </row>
    <row r="1168" spans="1:1" x14ac:dyDescent="0.3">
      <c r="A1168" s="2"/>
    </row>
    <row r="1169" spans="1:1" x14ac:dyDescent="0.3">
      <c r="A1169" s="2"/>
    </row>
    <row r="1170" spans="1:1" x14ac:dyDescent="0.3">
      <c r="A1170" s="2"/>
    </row>
    <row r="1171" spans="1:1" x14ac:dyDescent="0.3">
      <c r="A1171" s="2"/>
    </row>
    <row r="1172" spans="1:1" x14ac:dyDescent="0.3">
      <c r="A1172" s="2"/>
    </row>
    <row r="1173" spans="1:1" x14ac:dyDescent="0.3">
      <c r="A1173" s="2"/>
    </row>
    <row r="1174" spans="1:1" x14ac:dyDescent="0.3">
      <c r="A1174" s="2"/>
    </row>
    <row r="1175" spans="1:1" x14ac:dyDescent="0.3">
      <c r="A1175" s="2"/>
    </row>
    <row r="1176" spans="1:1" x14ac:dyDescent="0.3">
      <c r="A1176" s="2"/>
    </row>
    <row r="1177" spans="1:1" x14ac:dyDescent="0.3">
      <c r="A1177" s="2"/>
    </row>
    <row r="1178" spans="1:1" x14ac:dyDescent="0.3">
      <c r="A1178" s="2"/>
    </row>
    <row r="1179" spans="1:1" x14ac:dyDescent="0.3">
      <c r="A1179" s="2"/>
    </row>
    <row r="1180" spans="1:1" x14ac:dyDescent="0.3">
      <c r="A1180" s="2"/>
    </row>
    <row r="1181" spans="1:1" x14ac:dyDescent="0.3">
      <c r="A1181" s="2"/>
    </row>
    <row r="1182" spans="1:1" x14ac:dyDescent="0.3">
      <c r="A1182" s="2"/>
    </row>
    <row r="1183" spans="1:1" x14ac:dyDescent="0.3">
      <c r="A1183" s="2"/>
    </row>
    <row r="1184" spans="1:1" x14ac:dyDescent="0.3">
      <c r="A1184" s="2"/>
    </row>
    <row r="1185" spans="1:1" x14ac:dyDescent="0.3">
      <c r="A1185" s="2"/>
    </row>
    <row r="1186" spans="1:1" x14ac:dyDescent="0.3">
      <c r="A1186" s="2"/>
    </row>
    <row r="1187" spans="1:1" x14ac:dyDescent="0.3">
      <c r="A1187" s="2"/>
    </row>
    <row r="1188" spans="1:1" x14ac:dyDescent="0.3">
      <c r="A1188" s="2"/>
    </row>
    <row r="1189" spans="1:1" x14ac:dyDescent="0.3">
      <c r="A1189" s="2"/>
    </row>
    <row r="1190" spans="1:1" x14ac:dyDescent="0.3">
      <c r="A1190" s="2"/>
    </row>
    <row r="1191" spans="1:1" x14ac:dyDescent="0.3">
      <c r="A1191" s="2"/>
    </row>
    <row r="1192" spans="1:1" x14ac:dyDescent="0.3">
      <c r="A1192" s="2"/>
    </row>
    <row r="1193" spans="1:1" x14ac:dyDescent="0.3">
      <c r="A1193" s="2"/>
    </row>
    <row r="1194" spans="1:1" x14ac:dyDescent="0.3">
      <c r="A1194" s="2"/>
    </row>
    <row r="1195" spans="1:1" x14ac:dyDescent="0.3">
      <c r="A1195" s="2"/>
    </row>
    <row r="1196" spans="1:1" x14ac:dyDescent="0.3">
      <c r="A1196" s="2"/>
    </row>
    <row r="1197" spans="1:1" x14ac:dyDescent="0.3">
      <c r="A1197" s="2"/>
    </row>
    <row r="1198" spans="1:1" x14ac:dyDescent="0.3">
      <c r="A1198" s="2"/>
    </row>
    <row r="1199" spans="1:1" x14ac:dyDescent="0.3">
      <c r="A1199" s="2"/>
    </row>
    <row r="1200" spans="1:1" x14ac:dyDescent="0.3">
      <c r="A1200" s="2"/>
    </row>
    <row r="1201" spans="1:1" x14ac:dyDescent="0.3">
      <c r="A1201" s="2"/>
    </row>
    <row r="1202" spans="1:1" x14ac:dyDescent="0.3">
      <c r="A1202" s="2"/>
    </row>
    <row r="1203" spans="1:1" x14ac:dyDescent="0.3">
      <c r="A1203" s="2"/>
    </row>
    <row r="1204" spans="1:1" x14ac:dyDescent="0.3">
      <c r="A1204" s="2"/>
    </row>
    <row r="1205" spans="1:1" x14ac:dyDescent="0.3">
      <c r="A1205" s="2"/>
    </row>
    <row r="1206" spans="1:1" x14ac:dyDescent="0.3">
      <c r="A1206" s="2"/>
    </row>
    <row r="1207" spans="1:1" x14ac:dyDescent="0.3">
      <c r="A1207" s="2"/>
    </row>
    <row r="1208" spans="1:1" x14ac:dyDescent="0.3">
      <c r="A1208" s="2"/>
    </row>
    <row r="1209" spans="1:1" x14ac:dyDescent="0.3">
      <c r="A1209" s="2"/>
    </row>
    <row r="1210" spans="1:1" x14ac:dyDescent="0.3">
      <c r="A1210" s="2"/>
    </row>
    <row r="1211" spans="1:1" x14ac:dyDescent="0.3">
      <c r="A1211" s="2"/>
    </row>
    <row r="1212" spans="1:1" x14ac:dyDescent="0.3">
      <c r="A1212" s="2"/>
    </row>
    <row r="1213" spans="1:1" x14ac:dyDescent="0.3">
      <c r="A1213" s="2"/>
    </row>
    <row r="1214" spans="1:1" x14ac:dyDescent="0.3">
      <c r="A1214" s="2"/>
    </row>
    <row r="1215" spans="1:1" x14ac:dyDescent="0.3">
      <c r="A1215" s="2"/>
    </row>
    <row r="1216" spans="1:1" x14ac:dyDescent="0.3">
      <c r="A1216" s="2"/>
    </row>
    <row r="1217" spans="1:1" x14ac:dyDescent="0.3">
      <c r="A1217" s="2"/>
    </row>
    <row r="1218" spans="1:1" x14ac:dyDescent="0.3">
      <c r="A1218" s="2"/>
    </row>
    <row r="1219" spans="1:1" x14ac:dyDescent="0.3">
      <c r="A1219" s="2"/>
    </row>
    <row r="1220" spans="1:1" x14ac:dyDescent="0.3">
      <c r="A1220" s="2"/>
    </row>
    <row r="1221" spans="1:1" x14ac:dyDescent="0.3">
      <c r="A1221" s="2"/>
    </row>
    <row r="1222" spans="1:1" x14ac:dyDescent="0.3">
      <c r="A1222" s="2"/>
    </row>
    <row r="1223" spans="1:1" x14ac:dyDescent="0.3">
      <c r="A1223" s="2"/>
    </row>
    <row r="1224" spans="1:1" x14ac:dyDescent="0.3">
      <c r="A1224" s="2"/>
    </row>
    <row r="1225" spans="1:1" x14ac:dyDescent="0.3">
      <c r="A1225" s="2"/>
    </row>
    <row r="1226" spans="1:1" x14ac:dyDescent="0.3">
      <c r="A1226" s="2"/>
    </row>
    <row r="1227" spans="1:1" x14ac:dyDescent="0.3">
      <c r="A1227" s="2"/>
    </row>
    <row r="1228" spans="1:1" x14ac:dyDescent="0.3">
      <c r="A1228" s="2"/>
    </row>
    <row r="1229" spans="1:1" x14ac:dyDescent="0.3">
      <c r="A1229" s="2"/>
    </row>
    <row r="1230" spans="1:1" x14ac:dyDescent="0.3">
      <c r="A1230" s="2"/>
    </row>
    <row r="1231" spans="1:1" x14ac:dyDescent="0.3">
      <c r="A1231" s="2"/>
    </row>
    <row r="1232" spans="1:1" x14ac:dyDescent="0.3">
      <c r="A1232" s="2"/>
    </row>
    <row r="1233" spans="1:1" x14ac:dyDescent="0.3">
      <c r="A1233" s="2"/>
    </row>
    <row r="1234" spans="1:1" x14ac:dyDescent="0.3">
      <c r="A1234" s="2"/>
    </row>
    <row r="1235" spans="1:1" x14ac:dyDescent="0.3">
      <c r="A1235" s="2"/>
    </row>
    <row r="1236" spans="1:1" x14ac:dyDescent="0.3">
      <c r="A1236" s="2"/>
    </row>
    <row r="1237" spans="1:1" x14ac:dyDescent="0.3">
      <c r="A1237" s="2"/>
    </row>
    <row r="1238" spans="1:1" x14ac:dyDescent="0.3">
      <c r="A1238" s="2"/>
    </row>
    <row r="1239" spans="1:1" x14ac:dyDescent="0.3">
      <c r="A1239" s="2"/>
    </row>
    <row r="1240" spans="1:1" x14ac:dyDescent="0.3">
      <c r="A1240" s="2"/>
    </row>
    <row r="1241" spans="1:1" x14ac:dyDescent="0.3">
      <c r="A1241" s="2"/>
    </row>
    <row r="1242" spans="1:1" x14ac:dyDescent="0.3">
      <c r="A1242" s="2"/>
    </row>
    <row r="1243" spans="1:1" x14ac:dyDescent="0.3">
      <c r="A1243" s="2"/>
    </row>
    <row r="1244" spans="1:1" x14ac:dyDescent="0.3">
      <c r="A1244" s="2"/>
    </row>
    <row r="1245" spans="1:1" x14ac:dyDescent="0.3">
      <c r="A1245" s="2"/>
    </row>
    <row r="1246" spans="1:1" x14ac:dyDescent="0.3">
      <c r="A1246" s="2"/>
    </row>
    <row r="1247" spans="1:1" x14ac:dyDescent="0.3">
      <c r="A1247" s="2"/>
    </row>
    <row r="1248" spans="1:1" x14ac:dyDescent="0.3">
      <c r="A1248" s="2"/>
    </row>
    <row r="1249" spans="1:1" x14ac:dyDescent="0.3">
      <c r="A1249" s="2"/>
    </row>
    <row r="1250" spans="1:1" x14ac:dyDescent="0.3">
      <c r="A1250" s="2"/>
    </row>
    <row r="1251" spans="1:1" x14ac:dyDescent="0.3">
      <c r="A1251" s="2"/>
    </row>
    <row r="1252" spans="1:1" x14ac:dyDescent="0.3">
      <c r="A1252" s="2"/>
    </row>
    <row r="1253" spans="1:1" x14ac:dyDescent="0.3">
      <c r="A1253" s="2"/>
    </row>
    <row r="1254" spans="1:1" x14ac:dyDescent="0.3">
      <c r="A1254" s="2"/>
    </row>
    <row r="1255" spans="1:1" x14ac:dyDescent="0.3">
      <c r="A1255" s="2"/>
    </row>
    <row r="1256" spans="1:1" x14ac:dyDescent="0.3">
      <c r="A1256" s="2"/>
    </row>
    <row r="1257" spans="1:1" x14ac:dyDescent="0.3">
      <c r="A1257" s="2"/>
    </row>
    <row r="1258" spans="1:1" x14ac:dyDescent="0.3">
      <c r="A1258" s="2"/>
    </row>
    <row r="1259" spans="1:1" x14ac:dyDescent="0.3">
      <c r="A1259" s="2"/>
    </row>
    <row r="1260" spans="1:1" x14ac:dyDescent="0.3">
      <c r="A1260" s="2"/>
    </row>
    <row r="1261" spans="1:1" x14ac:dyDescent="0.3">
      <c r="A1261" s="2"/>
    </row>
    <row r="1262" spans="1:1" x14ac:dyDescent="0.3">
      <c r="A1262" s="2"/>
    </row>
    <row r="1263" spans="1:1" x14ac:dyDescent="0.3">
      <c r="A1263" s="2"/>
    </row>
    <row r="1264" spans="1:1" x14ac:dyDescent="0.3">
      <c r="A1264" s="2"/>
    </row>
    <row r="1265" spans="1:1" x14ac:dyDescent="0.3">
      <c r="A1265" s="2"/>
    </row>
    <row r="1266" spans="1:1" x14ac:dyDescent="0.3">
      <c r="A1266" s="2"/>
    </row>
    <row r="1267" spans="1:1" x14ac:dyDescent="0.3">
      <c r="A1267" s="2"/>
    </row>
    <row r="1268" spans="1:1" x14ac:dyDescent="0.3">
      <c r="A1268" s="2"/>
    </row>
    <row r="1269" spans="1:1" x14ac:dyDescent="0.3">
      <c r="A1269" s="2"/>
    </row>
    <row r="1270" spans="1:1" x14ac:dyDescent="0.3">
      <c r="A1270" s="2"/>
    </row>
    <row r="1271" spans="1:1" x14ac:dyDescent="0.3">
      <c r="A1271" s="2"/>
    </row>
    <row r="1272" spans="1:1" x14ac:dyDescent="0.3">
      <c r="A1272" s="2"/>
    </row>
    <row r="1273" spans="1:1" x14ac:dyDescent="0.3">
      <c r="A1273" s="2"/>
    </row>
    <row r="1274" spans="1:1" x14ac:dyDescent="0.3">
      <c r="A1274" s="2"/>
    </row>
    <row r="1275" spans="1:1" x14ac:dyDescent="0.3">
      <c r="A1275" s="2"/>
    </row>
    <row r="1276" spans="1:1" x14ac:dyDescent="0.3">
      <c r="A1276" s="2"/>
    </row>
    <row r="1277" spans="1:1" x14ac:dyDescent="0.3">
      <c r="A1277" s="2"/>
    </row>
    <row r="1278" spans="1:1" x14ac:dyDescent="0.3">
      <c r="A1278" s="2"/>
    </row>
    <row r="1279" spans="1:1" x14ac:dyDescent="0.3">
      <c r="A1279" s="2"/>
    </row>
    <row r="1280" spans="1:1" x14ac:dyDescent="0.3">
      <c r="A1280" s="2"/>
    </row>
    <row r="1281" spans="1:1" x14ac:dyDescent="0.3">
      <c r="A1281" s="2"/>
    </row>
    <row r="1282" spans="1:1" x14ac:dyDescent="0.3">
      <c r="A1282" s="2"/>
    </row>
    <row r="1283" spans="1:1" x14ac:dyDescent="0.3">
      <c r="A1283" s="2"/>
    </row>
    <row r="1284" spans="1:1" x14ac:dyDescent="0.3">
      <c r="A1284" s="2"/>
    </row>
    <row r="1285" spans="1:1" x14ac:dyDescent="0.3">
      <c r="A1285" s="2"/>
    </row>
    <row r="1286" spans="1:1" x14ac:dyDescent="0.3">
      <c r="A1286" s="2"/>
    </row>
    <row r="1287" spans="1:1" x14ac:dyDescent="0.3">
      <c r="A1287" s="2"/>
    </row>
    <row r="1288" spans="1:1" x14ac:dyDescent="0.3">
      <c r="A1288" s="2"/>
    </row>
    <row r="1289" spans="1:1" x14ac:dyDescent="0.3">
      <c r="A1289" s="2"/>
    </row>
    <row r="1290" spans="1:1" x14ac:dyDescent="0.3">
      <c r="A1290" s="2"/>
    </row>
    <row r="1291" spans="1:1" x14ac:dyDescent="0.3">
      <c r="A1291" s="2"/>
    </row>
    <row r="1292" spans="1:1" x14ac:dyDescent="0.3">
      <c r="A1292" s="2"/>
    </row>
    <row r="1293" spans="1:1" x14ac:dyDescent="0.3">
      <c r="A1293" s="2"/>
    </row>
    <row r="1294" spans="1:1" x14ac:dyDescent="0.3">
      <c r="A1294" s="2"/>
    </row>
    <row r="1295" spans="1:1" x14ac:dyDescent="0.3">
      <c r="A1295" s="2"/>
    </row>
    <row r="1296" spans="1:1" x14ac:dyDescent="0.3">
      <c r="A1296" s="2"/>
    </row>
    <row r="1297" spans="1:1" x14ac:dyDescent="0.3">
      <c r="A1297" s="2"/>
    </row>
    <row r="1298" spans="1:1" x14ac:dyDescent="0.3">
      <c r="A1298" s="2"/>
    </row>
    <row r="1299" spans="1:1" x14ac:dyDescent="0.3">
      <c r="A1299" s="2"/>
    </row>
    <row r="1300" spans="1:1" x14ac:dyDescent="0.3">
      <c r="A1300" s="2"/>
    </row>
    <row r="1301" spans="1:1" x14ac:dyDescent="0.3">
      <c r="A1301" s="2"/>
    </row>
    <row r="1302" spans="1:1" x14ac:dyDescent="0.3">
      <c r="A1302" s="2"/>
    </row>
    <row r="1303" spans="1:1" x14ac:dyDescent="0.3">
      <c r="A1303" s="2"/>
    </row>
    <row r="1304" spans="1:1" x14ac:dyDescent="0.3">
      <c r="A1304" s="2"/>
    </row>
    <row r="1305" spans="1:1" x14ac:dyDescent="0.3">
      <c r="A1305" s="2"/>
    </row>
    <row r="1306" spans="1:1" x14ac:dyDescent="0.3">
      <c r="A1306" s="2"/>
    </row>
    <row r="1307" spans="1:1" x14ac:dyDescent="0.3">
      <c r="A1307" s="2"/>
    </row>
    <row r="1308" spans="1:1" x14ac:dyDescent="0.3">
      <c r="A1308" s="2"/>
    </row>
    <row r="1309" spans="1:1" x14ac:dyDescent="0.3">
      <c r="A1309" s="2"/>
    </row>
    <row r="1310" spans="1:1" x14ac:dyDescent="0.3">
      <c r="A1310" s="2"/>
    </row>
    <row r="1311" spans="1:1" x14ac:dyDescent="0.3">
      <c r="A1311" s="2"/>
    </row>
    <row r="1312" spans="1:1" x14ac:dyDescent="0.3">
      <c r="A1312" s="2"/>
    </row>
    <row r="1313" spans="1:1" x14ac:dyDescent="0.3">
      <c r="A1313" s="2"/>
    </row>
    <row r="1314" spans="1:1" x14ac:dyDescent="0.3">
      <c r="A1314" s="2"/>
    </row>
    <row r="1315" spans="1:1" x14ac:dyDescent="0.3">
      <c r="A1315" s="2"/>
    </row>
    <row r="1316" spans="1:1" x14ac:dyDescent="0.3">
      <c r="A1316" s="2"/>
    </row>
    <row r="1317" spans="1:1" x14ac:dyDescent="0.3">
      <c r="A1317" s="2"/>
    </row>
    <row r="1318" spans="1:1" x14ac:dyDescent="0.3">
      <c r="A1318" s="2"/>
    </row>
    <row r="1319" spans="1:1" x14ac:dyDescent="0.3">
      <c r="A1319" s="2"/>
    </row>
    <row r="1320" spans="1:1" x14ac:dyDescent="0.3">
      <c r="A1320" s="2"/>
    </row>
    <row r="1321" spans="1:1" x14ac:dyDescent="0.3">
      <c r="A1321" s="2"/>
    </row>
    <row r="1322" spans="1:1" x14ac:dyDescent="0.3">
      <c r="A1322" s="2"/>
    </row>
    <row r="1323" spans="1:1" x14ac:dyDescent="0.3">
      <c r="A1323" s="2"/>
    </row>
    <row r="1324" spans="1:1" x14ac:dyDescent="0.3">
      <c r="A1324" s="2"/>
    </row>
    <row r="1325" spans="1:1" x14ac:dyDescent="0.3">
      <c r="A1325" s="2"/>
    </row>
    <row r="1326" spans="1:1" x14ac:dyDescent="0.3">
      <c r="A1326" s="2"/>
    </row>
    <row r="1327" spans="1:1" x14ac:dyDescent="0.3">
      <c r="A1327" s="2"/>
    </row>
    <row r="1328" spans="1:1" x14ac:dyDescent="0.3">
      <c r="A1328" s="2"/>
    </row>
    <row r="1329" spans="1:1" x14ac:dyDescent="0.3">
      <c r="A1329" s="2"/>
    </row>
    <row r="1330" spans="1:1" x14ac:dyDescent="0.3">
      <c r="A1330" s="2"/>
    </row>
    <row r="1331" spans="1:1" x14ac:dyDescent="0.3">
      <c r="A1331" s="2"/>
    </row>
    <row r="1332" spans="1:1" x14ac:dyDescent="0.3">
      <c r="A1332" s="2"/>
    </row>
    <row r="1333" spans="1:1" x14ac:dyDescent="0.3">
      <c r="A1333" s="2"/>
    </row>
    <row r="1334" spans="1:1" x14ac:dyDescent="0.3">
      <c r="A1334" s="2"/>
    </row>
    <row r="1335" spans="1:1" x14ac:dyDescent="0.3">
      <c r="A1335" s="2"/>
    </row>
    <row r="1336" spans="1:1" x14ac:dyDescent="0.3">
      <c r="A1336" s="2"/>
    </row>
    <row r="1337" spans="1:1" x14ac:dyDescent="0.3">
      <c r="A1337" s="2"/>
    </row>
    <row r="1338" spans="1:1" x14ac:dyDescent="0.3">
      <c r="A1338" s="2"/>
    </row>
    <row r="1339" spans="1:1" x14ac:dyDescent="0.3">
      <c r="A1339" s="2"/>
    </row>
    <row r="1340" spans="1:1" x14ac:dyDescent="0.3">
      <c r="A1340" s="2"/>
    </row>
    <row r="1341" spans="1:1" x14ac:dyDescent="0.3">
      <c r="A1341" s="2"/>
    </row>
    <row r="1342" spans="1:1" x14ac:dyDescent="0.3">
      <c r="A1342" s="2"/>
    </row>
    <row r="1343" spans="1:1" x14ac:dyDescent="0.3">
      <c r="A1343" s="2"/>
    </row>
    <row r="1344" spans="1:1" x14ac:dyDescent="0.3">
      <c r="A1344" s="2"/>
    </row>
    <row r="1345" spans="1:1" x14ac:dyDescent="0.3">
      <c r="A1345" s="2"/>
    </row>
    <row r="1346" spans="1:1" x14ac:dyDescent="0.3">
      <c r="A1346" s="2"/>
    </row>
    <row r="1347" spans="1:1" x14ac:dyDescent="0.3">
      <c r="A1347" s="2"/>
    </row>
    <row r="1348" spans="1:1" x14ac:dyDescent="0.3">
      <c r="A1348" s="2"/>
    </row>
    <row r="1349" spans="1:1" x14ac:dyDescent="0.3">
      <c r="A1349" s="2"/>
    </row>
    <row r="1350" spans="1:1" x14ac:dyDescent="0.3">
      <c r="A1350" s="2"/>
    </row>
    <row r="1351" spans="1:1" x14ac:dyDescent="0.3">
      <c r="A1351" s="2"/>
    </row>
    <row r="1352" spans="1:1" x14ac:dyDescent="0.3">
      <c r="A1352" s="2"/>
    </row>
    <row r="1353" spans="1:1" x14ac:dyDescent="0.3">
      <c r="A1353" s="2"/>
    </row>
    <row r="1354" spans="1:1" x14ac:dyDescent="0.3">
      <c r="A1354" s="2"/>
    </row>
    <row r="1355" spans="1:1" x14ac:dyDescent="0.3">
      <c r="A1355" s="2"/>
    </row>
    <row r="1356" spans="1:1" x14ac:dyDescent="0.3">
      <c r="A1356" s="2"/>
    </row>
    <row r="1357" spans="1:1" x14ac:dyDescent="0.3">
      <c r="A1357" s="2"/>
    </row>
    <row r="1358" spans="1:1" x14ac:dyDescent="0.3">
      <c r="A1358" s="2"/>
    </row>
    <row r="1359" spans="1:1" x14ac:dyDescent="0.3">
      <c r="A1359" s="2"/>
    </row>
    <row r="1360" spans="1:1" x14ac:dyDescent="0.3">
      <c r="A1360" s="2"/>
    </row>
    <row r="1361" spans="1:1" x14ac:dyDescent="0.3">
      <c r="A1361" s="2"/>
    </row>
    <row r="1362" spans="1:1" x14ac:dyDescent="0.3">
      <c r="A1362" s="2"/>
    </row>
    <row r="1363" spans="1:1" x14ac:dyDescent="0.3">
      <c r="A1363" s="2"/>
    </row>
    <row r="1364" spans="1:1" x14ac:dyDescent="0.3">
      <c r="A1364" s="2"/>
    </row>
    <row r="1365" spans="1:1" x14ac:dyDescent="0.3">
      <c r="A1365" s="2"/>
    </row>
    <row r="1366" spans="1:1" x14ac:dyDescent="0.3">
      <c r="A1366" s="2"/>
    </row>
    <row r="1367" spans="1:1" x14ac:dyDescent="0.3">
      <c r="A1367" s="2"/>
    </row>
    <row r="1368" spans="1:1" x14ac:dyDescent="0.3">
      <c r="A1368" s="2"/>
    </row>
    <row r="1369" spans="1:1" x14ac:dyDescent="0.3">
      <c r="A1369" s="2"/>
    </row>
    <row r="1370" spans="1:1" x14ac:dyDescent="0.3">
      <c r="A1370" s="2"/>
    </row>
    <row r="1371" spans="1:1" x14ac:dyDescent="0.3">
      <c r="A1371" s="2"/>
    </row>
    <row r="1372" spans="1:1" x14ac:dyDescent="0.3">
      <c r="A1372" s="2"/>
    </row>
    <row r="1373" spans="1:1" x14ac:dyDescent="0.3">
      <c r="A1373" s="2"/>
    </row>
    <row r="1374" spans="1:1" x14ac:dyDescent="0.3">
      <c r="A1374" s="2"/>
    </row>
    <row r="1375" spans="1:1" x14ac:dyDescent="0.3">
      <c r="A1375" s="2"/>
    </row>
    <row r="1376" spans="1:1" x14ac:dyDescent="0.3">
      <c r="A1376" s="2"/>
    </row>
    <row r="1377" spans="1:1" x14ac:dyDescent="0.3">
      <c r="A1377" s="2"/>
    </row>
    <row r="1378" spans="1:1" x14ac:dyDescent="0.3">
      <c r="A1378" s="2"/>
    </row>
    <row r="1379" spans="1:1" x14ac:dyDescent="0.3">
      <c r="A1379" s="2"/>
    </row>
    <row r="1380" spans="1:1" x14ac:dyDescent="0.3">
      <c r="A1380" s="2"/>
    </row>
    <row r="1381" spans="1:1" x14ac:dyDescent="0.3">
      <c r="A1381" s="2"/>
    </row>
    <row r="1382" spans="1:1" x14ac:dyDescent="0.3">
      <c r="A1382" s="2"/>
    </row>
    <row r="1383" spans="1:1" x14ac:dyDescent="0.3">
      <c r="A1383" s="2"/>
    </row>
    <row r="1384" spans="1:1" x14ac:dyDescent="0.3">
      <c r="A1384" s="2"/>
    </row>
    <row r="1385" spans="1:1" x14ac:dyDescent="0.3">
      <c r="A1385" s="2"/>
    </row>
    <row r="1386" spans="1:1" x14ac:dyDescent="0.3">
      <c r="A1386" s="2"/>
    </row>
    <row r="1387" spans="1:1" x14ac:dyDescent="0.3">
      <c r="A1387" s="2"/>
    </row>
    <row r="1388" spans="1:1" x14ac:dyDescent="0.3">
      <c r="A1388" s="2"/>
    </row>
    <row r="1389" spans="1:1" x14ac:dyDescent="0.3">
      <c r="A1389" s="2"/>
    </row>
    <row r="1390" spans="1:1" x14ac:dyDescent="0.3">
      <c r="A1390" s="2"/>
    </row>
    <row r="1391" spans="1:1" x14ac:dyDescent="0.3">
      <c r="A1391" s="2"/>
    </row>
    <row r="1392" spans="1:1" x14ac:dyDescent="0.3">
      <c r="A1392" s="2"/>
    </row>
    <row r="1393" spans="1:1" x14ac:dyDescent="0.3">
      <c r="A1393" s="2"/>
    </row>
    <row r="1394" spans="1:1" x14ac:dyDescent="0.3">
      <c r="A1394" s="2"/>
    </row>
    <row r="1395" spans="1:1" x14ac:dyDescent="0.3">
      <c r="A1395" s="2"/>
    </row>
    <row r="1396" spans="1:1" x14ac:dyDescent="0.3">
      <c r="A1396" s="2"/>
    </row>
    <row r="1397" spans="1:1" x14ac:dyDescent="0.3">
      <c r="A1397" s="2"/>
    </row>
    <row r="1398" spans="1:1" x14ac:dyDescent="0.3">
      <c r="A1398" s="2"/>
    </row>
    <row r="1399" spans="1:1" x14ac:dyDescent="0.3">
      <c r="A1399" s="2"/>
    </row>
    <row r="1400" spans="1:1" x14ac:dyDescent="0.3">
      <c r="A1400" s="2"/>
    </row>
    <row r="1401" spans="1:1" x14ac:dyDescent="0.3">
      <c r="A1401" s="2"/>
    </row>
    <row r="1402" spans="1:1" x14ac:dyDescent="0.3">
      <c r="A1402" s="2"/>
    </row>
    <row r="1403" spans="1:1" x14ac:dyDescent="0.3">
      <c r="A1403" s="2"/>
    </row>
    <row r="1404" spans="1:1" x14ac:dyDescent="0.3">
      <c r="A1404" s="2"/>
    </row>
    <row r="1405" spans="1:1" x14ac:dyDescent="0.3">
      <c r="A1405" s="2"/>
    </row>
    <row r="1406" spans="1:1" x14ac:dyDescent="0.3">
      <c r="A1406" s="2"/>
    </row>
    <row r="1407" spans="1:1" x14ac:dyDescent="0.3">
      <c r="A1407" s="2"/>
    </row>
    <row r="1408" spans="1:1" x14ac:dyDescent="0.3">
      <c r="A1408" s="2"/>
    </row>
    <row r="1409" spans="1:1" x14ac:dyDescent="0.3">
      <c r="A1409" s="2"/>
    </row>
    <row r="1410" spans="1:1" x14ac:dyDescent="0.3">
      <c r="A1410" s="2"/>
    </row>
    <row r="1411" spans="1:1" x14ac:dyDescent="0.3">
      <c r="A1411" s="2"/>
    </row>
    <row r="1412" spans="1:1" x14ac:dyDescent="0.3">
      <c r="A1412" s="2"/>
    </row>
    <row r="1413" spans="1:1" x14ac:dyDescent="0.3">
      <c r="A1413" s="2"/>
    </row>
    <row r="1414" spans="1:1" x14ac:dyDescent="0.3">
      <c r="A1414" s="2"/>
    </row>
    <row r="1415" spans="1:1" x14ac:dyDescent="0.3">
      <c r="A1415" s="2"/>
    </row>
    <row r="1416" spans="1:1" x14ac:dyDescent="0.3">
      <c r="A1416" s="2"/>
    </row>
    <row r="1417" spans="1:1" x14ac:dyDescent="0.3">
      <c r="A1417" s="2"/>
    </row>
    <row r="1418" spans="1:1" x14ac:dyDescent="0.3">
      <c r="A1418" s="2"/>
    </row>
    <row r="1419" spans="1:1" x14ac:dyDescent="0.3">
      <c r="A1419" s="2"/>
    </row>
    <row r="1420" spans="1:1" x14ac:dyDescent="0.3">
      <c r="A1420" s="2"/>
    </row>
    <row r="1421" spans="1:1" x14ac:dyDescent="0.3">
      <c r="A1421" s="2"/>
    </row>
    <row r="1422" spans="1:1" x14ac:dyDescent="0.3">
      <c r="A1422" s="2"/>
    </row>
    <row r="1423" spans="1:1" x14ac:dyDescent="0.3">
      <c r="A1423" s="2"/>
    </row>
    <row r="1424" spans="1:1" x14ac:dyDescent="0.3">
      <c r="A1424" s="2"/>
    </row>
    <row r="1425" spans="1:1" x14ac:dyDescent="0.3">
      <c r="A1425" s="2"/>
    </row>
    <row r="1426" spans="1:1" x14ac:dyDescent="0.3">
      <c r="A1426" s="2"/>
    </row>
    <row r="1427" spans="1:1" x14ac:dyDescent="0.3">
      <c r="A1427" s="2"/>
    </row>
    <row r="1428" spans="1:1" x14ac:dyDescent="0.3">
      <c r="A1428" s="2"/>
    </row>
    <row r="1429" spans="1:1" x14ac:dyDescent="0.3">
      <c r="A1429" s="2"/>
    </row>
    <row r="1430" spans="1:1" x14ac:dyDescent="0.3">
      <c r="A1430" s="2"/>
    </row>
    <row r="1431" spans="1:1" x14ac:dyDescent="0.3">
      <c r="A1431" s="2"/>
    </row>
    <row r="1432" spans="1:1" x14ac:dyDescent="0.3">
      <c r="A1432" s="2"/>
    </row>
    <row r="1433" spans="1:1" x14ac:dyDescent="0.3">
      <c r="A1433" s="2"/>
    </row>
    <row r="1434" spans="1:1" x14ac:dyDescent="0.3">
      <c r="A1434" s="2"/>
    </row>
    <row r="1435" spans="1:1" x14ac:dyDescent="0.3">
      <c r="A1435" s="2"/>
    </row>
    <row r="1436" spans="1:1" x14ac:dyDescent="0.3">
      <c r="A1436" s="2"/>
    </row>
    <row r="1437" spans="1:1" x14ac:dyDescent="0.3">
      <c r="A1437" s="2"/>
    </row>
    <row r="1438" spans="1:1" x14ac:dyDescent="0.3">
      <c r="A1438" s="2"/>
    </row>
    <row r="1439" spans="1:1" x14ac:dyDescent="0.3">
      <c r="A1439" s="2"/>
    </row>
    <row r="1440" spans="1:1" x14ac:dyDescent="0.3">
      <c r="A1440" s="2"/>
    </row>
    <row r="1441" spans="1:1" x14ac:dyDescent="0.3">
      <c r="A1441" s="2"/>
    </row>
    <row r="1442" spans="1:1" x14ac:dyDescent="0.3">
      <c r="A1442" s="2"/>
    </row>
    <row r="1443" spans="1:1" x14ac:dyDescent="0.3">
      <c r="A1443" s="2"/>
    </row>
    <row r="1444" spans="1:1" x14ac:dyDescent="0.3">
      <c r="A1444" s="2"/>
    </row>
    <row r="1445" spans="1:1" x14ac:dyDescent="0.3">
      <c r="A1445" s="2"/>
    </row>
    <row r="1446" spans="1:1" x14ac:dyDescent="0.3">
      <c r="A1446" s="2"/>
    </row>
    <row r="1447" spans="1:1" x14ac:dyDescent="0.3">
      <c r="A1447" s="2"/>
    </row>
    <row r="1448" spans="1:1" x14ac:dyDescent="0.3">
      <c r="A1448" s="2"/>
    </row>
    <row r="1449" spans="1:1" x14ac:dyDescent="0.3">
      <c r="A1449" s="2"/>
    </row>
    <row r="1450" spans="1:1" x14ac:dyDescent="0.3">
      <c r="A1450" s="2"/>
    </row>
    <row r="1451" spans="1:1" x14ac:dyDescent="0.3">
      <c r="A1451" s="2"/>
    </row>
    <row r="1452" spans="1:1" x14ac:dyDescent="0.3">
      <c r="A1452" s="2"/>
    </row>
    <row r="1453" spans="1:1" x14ac:dyDescent="0.3">
      <c r="A1453" s="2"/>
    </row>
    <row r="1454" spans="1:1" x14ac:dyDescent="0.3">
      <c r="A1454" s="2"/>
    </row>
    <row r="1455" spans="1:1" x14ac:dyDescent="0.3">
      <c r="A1455" s="2"/>
    </row>
    <row r="1456" spans="1:1" x14ac:dyDescent="0.3">
      <c r="A1456" s="2"/>
    </row>
    <row r="1457" spans="1:1" x14ac:dyDescent="0.3">
      <c r="A1457" s="2"/>
    </row>
    <row r="1458" spans="1:1" x14ac:dyDescent="0.3">
      <c r="A1458" s="2"/>
    </row>
    <row r="1459" spans="1:1" x14ac:dyDescent="0.3">
      <c r="A1459" s="2"/>
    </row>
    <row r="1460" spans="1:1" x14ac:dyDescent="0.3">
      <c r="A1460" s="2"/>
    </row>
    <row r="1461" spans="1:1" x14ac:dyDescent="0.3">
      <c r="A1461" s="2"/>
    </row>
    <row r="1462" spans="1:1" x14ac:dyDescent="0.3">
      <c r="A1462" s="2"/>
    </row>
    <row r="1463" spans="1:1" x14ac:dyDescent="0.3">
      <c r="A1463" s="2"/>
    </row>
    <row r="1464" spans="1:1" x14ac:dyDescent="0.3">
      <c r="A1464" s="2"/>
    </row>
    <row r="1465" spans="1:1" x14ac:dyDescent="0.3">
      <c r="A1465" s="2"/>
    </row>
    <row r="1466" spans="1:1" x14ac:dyDescent="0.3">
      <c r="A1466" s="2"/>
    </row>
    <row r="1467" spans="1:1" x14ac:dyDescent="0.3">
      <c r="A1467" s="2"/>
    </row>
    <row r="1468" spans="1:1" x14ac:dyDescent="0.3">
      <c r="A1468" s="2"/>
    </row>
    <row r="1469" spans="1:1" x14ac:dyDescent="0.3">
      <c r="A1469" s="2"/>
    </row>
    <row r="1470" spans="1:1" x14ac:dyDescent="0.3">
      <c r="A1470" s="2"/>
    </row>
    <row r="1471" spans="1:1" x14ac:dyDescent="0.3">
      <c r="A1471" s="2"/>
    </row>
    <row r="1472" spans="1:1" x14ac:dyDescent="0.3">
      <c r="A1472" s="2"/>
    </row>
    <row r="1473" spans="1:1" x14ac:dyDescent="0.3">
      <c r="A1473" s="2"/>
    </row>
    <row r="1474" spans="1:1" x14ac:dyDescent="0.3">
      <c r="A1474" s="2"/>
    </row>
    <row r="1475" spans="1:1" x14ac:dyDescent="0.3">
      <c r="A1475" s="2"/>
    </row>
    <row r="1476" spans="1:1" x14ac:dyDescent="0.3">
      <c r="A1476" s="2"/>
    </row>
    <row r="1477" spans="1:1" x14ac:dyDescent="0.3">
      <c r="A1477" s="2"/>
    </row>
    <row r="1478" spans="1:1" x14ac:dyDescent="0.3">
      <c r="A1478" s="2"/>
    </row>
    <row r="1479" spans="1:1" x14ac:dyDescent="0.3">
      <c r="A1479" s="2"/>
    </row>
    <row r="1480" spans="1:1" x14ac:dyDescent="0.3">
      <c r="A1480" s="2"/>
    </row>
    <row r="1481" spans="1:1" x14ac:dyDescent="0.3">
      <c r="A1481" s="2"/>
    </row>
    <row r="1482" spans="1:1" x14ac:dyDescent="0.3">
      <c r="A1482" s="2"/>
    </row>
    <row r="1483" spans="1:1" x14ac:dyDescent="0.3">
      <c r="A1483" s="2"/>
    </row>
    <row r="1484" spans="1:1" x14ac:dyDescent="0.3">
      <c r="A1484" s="2"/>
    </row>
    <row r="1485" spans="1:1" x14ac:dyDescent="0.3">
      <c r="A1485" s="2"/>
    </row>
    <row r="1486" spans="1:1" x14ac:dyDescent="0.3">
      <c r="A1486" s="2"/>
    </row>
    <row r="1487" spans="1:1" x14ac:dyDescent="0.3">
      <c r="A1487" s="2"/>
    </row>
    <row r="1488" spans="1:1" x14ac:dyDescent="0.3">
      <c r="A1488" s="2"/>
    </row>
    <row r="1489" spans="1:1" x14ac:dyDescent="0.3">
      <c r="A1489" s="2"/>
    </row>
    <row r="1490" spans="1:1" x14ac:dyDescent="0.3">
      <c r="A1490" s="2"/>
    </row>
    <row r="1491" spans="1:1" x14ac:dyDescent="0.3">
      <c r="A1491" s="2"/>
    </row>
    <row r="1492" spans="1:1" x14ac:dyDescent="0.3">
      <c r="A1492" s="2"/>
    </row>
    <row r="1493" spans="1:1" x14ac:dyDescent="0.3">
      <c r="A1493" s="2"/>
    </row>
    <row r="1494" spans="1:1" x14ac:dyDescent="0.3">
      <c r="A1494" s="2"/>
    </row>
    <row r="1495" spans="1:1" x14ac:dyDescent="0.3">
      <c r="A1495" s="2"/>
    </row>
    <row r="1496" spans="1:1" x14ac:dyDescent="0.3">
      <c r="A1496" s="2"/>
    </row>
    <row r="1497" spans="1:1" x14ac:dyDescent="0.3">
      <c r="A1497" s="2"/>
    </row>
    <row r="1498" spans="1:1" x14ac:dyDescent="0.3">
      <c r="A1498" s="2"/>
    </row>
    <row r="1499" spans="1:1" x14ac:dyDescent="0.3">
      <c r="A1499" s="2"/>
    </row>
    <row r="1500" spans="1:1" x14ac:dyDescent="0.3">
      <c r="A1500" s="2"/>
    </row>
    <row r="1501" spans="1:1" x14ac:dyDescent="0.3">
      <c r="A1501" s="2"/>
    </row>
    <row r="1502" spans="1:1" x14ac:dyDescent="0.3">
      <c r="A1502" s="2"/>
    </row>
    <row r="1503" spans="1:1" x14ac:dyDescent="0.3">
      <c r="A1503" s="2"/>
    </row>
    <row r="1504" spans="1:1" x14ac:dyDescent="0.3">
      <c r="A1504" s="2"/>
    </row>
    <row r="1505" spans="1:1" x14ac:dyDescent="0.3">
      <c r="A1505" s="2"/>
    </row>
    <row r="1506" spans="1:1" x14ac:dyDescent="0.3">
      <c r="A1506" s="2"/>
    </row>
    <row r="1507" spans="1:1" x14ac:dyDescent="0.3">
      <c r="A1507" s="2"/>
    </row>
    <row r="1508" spans="1:1" x14ac:dyDescent="0.3">
      <c r="A1508" s="2"/>
    </row>
    <row r="1509" spans="1:1" x14ac:dyDescent="0.3">
      <c r="A1509" s="2"/>
    </row>
    <row r="1510" spans="1:1" x14ac:dyDescent="0.3">
      <c r="A1510" s="2"/>
    </row>
    <row r="1511" spans="1:1" x14ac:dyDescent="0.3">
      <c r="A1511" s="2"/>
    </row>
    <row r="1512" spans="1:1" x14ac:dyDescent="0.3">
      <c r="A1512" s="2"/>
    </row>
    <row r="1513" spans="1:1" x14ac:dyDescent="0.3">
      <c r="A1513" s="2"/>
    </row>
    <row r="1514" spans="1:1" x14ac:dyDescent="0.3">
      <c r="A1514" s="2"/>
    </row>
    <row r="1515" spans="1:1" x14ac:dyDescent="0.3">
      <c r="A1515" s="2"/>
    </row>
    <row r="1516" spans="1:1" x14ac:dyDescent="0.3">
      <c r="A1516" s="2"/>
    </row>
    <row r="1517" spans="1:1" x14ac:dyDescent="0.3">
      <c r="A1517" s="2"/>
    </row>
    <row r="1518" spans="1:1" x14ac:dyDescent="0.3">
      <c r="A1518" s="2"/>
    </row>
    <row r="1519" spans="1:1" x14ac:dyDescent="0.3">
      <c r="A1519" s="2"/>
    </row>
    <row r="1520" spans="1:1" x14ac:dyDescent="0.3">
      <c r="A1520" s="2"/>
    </row>
    <row r="1521" spans="1:1" x14ac:dyDescent="0.3">
      <c r="A1521" s="2"/>
    </row>
    <row r="1522" spans="1:1" x14ac:dyDescent="0.3">
      <c r="A1522" s="2"/>
    </row>
    <row r="1523" spans="1:1" x14ac:dyDescent="0.3">
      <c r="A1523" s="2"/>
    </row>
    <row r="1524" spans="1:1" x14ac:dyDescent="0.3">
      <c r="A1524" s="2"/>
    </row>
    <row r="1525" spans="1:1" x14ac:dyDescent="0.3">
      <c r="A1525" s="2"/>
    </row>
    <row r="1526" spans="1:1" x14ac:dyDescent="0.3">
      <c r="A1526" s="2"/>
    </row>
    <row r="1527" spans="1:1" x14ac:dyDescent="0.3">
      <c r="A1527" s="2"/>
    </row>
    <row r="1528" spans="1:1" x14ac:dyDescent="0.3">
      <c r="A1528" s="2"/>
    </row>
    <row r="1529" spans="1:1" x14ac:dyDescent="0.3">
      <c r="A1529" s="2"/>
    </row>
    <row r="1530" spans="1:1" x14ac:dyDescent="0.3">
      <c r="A1530" s="2"/>
    </row>
    <row r="1531" spans="1:1" x14ac:dyDescent="0.3">
      <c r="A1531" s="2"/>
    </row>
    <row r="1532" spans="1:1" x14ac:dyDescent="0.3">
      <c r="A1532" s="2"/>
    </row>
    <row r="1533" spans="1:1" x14ac:dyDescent="0.3">
      <c r="A1533" s="2"/>
    </row>
    <row r="1534" spans="1:1" x14ac:dyDescent="0.3">
      <c r="A1534" s="2"/>
    </row>
    <row r="1535" spans="1:1" x14ac:dyDescent="0.3">
      <c r="A1535" s="2"/>
    </row>
    <row r="1536" spans="1:1" x14ac:dyDescent="0.3">
      <c r="A1536" s="2"/>
    </row>
    <row r="1537" spans="1:1" x14ac:dyDescent="0.3">
      <c r="A1537" s="2"/>
    </row>
    <row r="1538" spans="1:1" x14ac:dyDescent="0.3">
      <c r="A1538" s="2"/>
    </row>
    <row r="1539" spans="1:1" x14ac:dyDescent="0.3">
      <c r="A1539" s="2"/>
    </row>
    <row r="1540" spans="1:1" x14ac:dyDescent="0.3">
      <c r="A1540" s="2"/>
    </row>
    <row r="1541" spans="1:1" x14ac:dyDescent="0.3">
      <c r="A1541" s="2"/>
    </row>
    <row r="1542" spans="1:1" x14ac:dyDescent="0.3">
      <c r="A1542" s="2"/>
    </row>
    <row r="1543" spans="1:1" x14ac:dyDescent="0.3">
      <c r="A1543" s="2"/>
    </row>
    <row r="1544" spans="1:1" x14ac:dyDescent="0.3">
      <c r="A1544" s="2"/>
    </row>
    <row r="1545" spans="1:1" x14ac:dyDescent="0.3">
      <c r="A1545" s="2"/>
    </row>
    <row r="1546" spans="1:1" x14ac:dyDescent="0.3">
      <c r="A1546" s="2"/>
    </row>
    <row r="1547" spans="1:1" x14ac:dyDescent="0.3">
      <c r="A1547" s="2"/>
    </row>
    <row r="1548" spans="1:1" x14ac:dyDescent="0.3">
      <c r="A1548" s="2"/>
    </row>
    <row r="1549" spans="1:1" x14ac:dyDescent="0.3">
      <c r="A1549" s="2"/>
    </row>
    <row r="1550" spans="1:1" x14ac:dyDescent="0.3">
      <c r="A1550" s="2"/>
    </row>
    <row r="1551" spans="1:1" x14ac:dyDescent="0.3">
      <c r="A1551" s="2"/>
    </row>
    <row r="1552" spans="1:1" x14ac:dyDescent="0.3">
      <c r="A1552" s="2"/>
    </row>
    <row r="1553" spans="1:1" x14ac:dyDescent="0.3">
      <c r="A1553" s="2"/>
    </row>
    <row r="1554" spans="1:1" x14ac:dyDescent="0.3">
      <c r="A1554" s="2"/>
    </row>
    <row r="1555" spans="1:1" x14ac:dyDescent="0.3">
      <c r="A1555" s="2"/>
    </row>
    <row r="1556" spans="1:1" x14ac:dyDescent="0.3">
      <c r="A1556" s="2"/>
    </row>
    <row r="1557" spans="1:1" x14ac:dyDescent="0.3">
      <c r="A1557" s="2"/>
    </row>
    <row r="1558" spans="1:1" x14ac:dyDescent="0.3">
      <c r="A1558" s="2"/>
    </row>
    <row r="1559" spans="1:1" x14ac:dyDescent="0.3">
      <c r="A1559" s="2"/>
    </row>
    <row r="1560" spans="1:1" x14ac:dyDescent="0.3">
      <c r="A1560" s="2"/>
    </row>
    <row r="1561" spans="1:1" x14ac:dyDescent="0.3">
      <c r="A1561" s="2"/>
    </row>
    <row r="1562" spans="1:1" x14ac:dyDescent="0.3">
      <c r="A1562" s="2"/>
    </row>
    <row r="1563" spans="1:1" x14ac:dyDescent="0.3">
      <c r="A1563" s="2"/>
    </row>
    <row r="1564" spans="1:1" x14ac:dyDescent="0.3">
      <c r="A1564" s="2"/>
    </row>
    <row r="1565" spans="1:1" x14ac:dyDescent="0.3">
      <c r="A1565" s="2"/>
    </row>
    <row r="1566" spans="1:1" x14ac:dyDescent="0.3">
      <c r="A1566" s="2"/>
    </row>
    <row r="1567" spans="1:1" x14ac:dyDescent="0.3">
      <c r="A1567" s="2"/>
    </row>
    <row r="1568" spans="1:1" x14ac:dyDescent="0.3">
      <c r="A1568" s="2"/>
    </row>
    <row r="1569" spans="1:1" x14ac:dyDescent="0.3">
      <c r="A1569" s="2"/>
    </row>
    <row r="1570" spans="1:1" x14ac:dyDescent="0.3">
      <c r="A1570" s="2"/>
    </row>
    <row r="1571" spans="1:1" x14ac:dyDescent="0.3">
      <c r="A1571" s="2"/>
    </row>
    <row r="1572" spans="1:1" x14ac:dyDescent="0.3">
      <c r="A1572" s="2"/>
    </row>
    <row r="1573" spans="1:1" x14ac:dyDescent="0.3">
      <c r="A1573" s="2"/>
    </row>
    <row r="1574" spans="1:1" x14ac:dyDescent="0.3">
      <c r="A1574" s="2"/>
    </row>
    <row r="1575" spans="1:1" x14ac:dyDescent="0.3">
      <c r="A1575" s="2"/>
    </row>
    <row r="1576" spans="1:1" x14ac:dyDescent="0.3">
      <c r="A1576" s="2"/>
    </row>
    <row r="1577" spans="1:1" x14ac:dyDescent="0.3">
      <c r="A1577" s="2"/>
    </row>
    <row r="1578" spans="1:1" x14ac:dyDescent="0.3">
      <c r="A1578" s="2"/>
    </row>
    <row r="1579" spans="1:1" x14ac:dyDescent="0.3">
      <c r="A1579" s="2"/>
    </row>
    <row r="1580" spans="1:1" x14ac:dyDescent="0.3">
      <c r="A1580" s="2"/>
    </row>
    <row r="1581" spans="1:1" x14ac:dyDescent="0.3">
      <c r="A1581" s="2"/>
    </row>
    <row r="1582" spans="1:1" x14ac:dyDescent="0.3">
      <c r="A1582" s="2"/>
    </row>
    <row r="1583" spans="1:1" x14ac:dyDescent="0.3">
      <c r="A1583" s="2"/>
    </row>
    <row r="1584" spans="1:1" x14ac:dyDescent="0.3">
      <c r="A1584" s="2"/>
    </row>
    <row r="1585" spans="1:1" x14ac:dyDescent="0.3">
      <c r="A1585" s="2"/>
    </row>
    <row r="1586" spans="1:1" x14ac:dyDescent="0.3">
      <c r="A1586" s="2"/>
    </row>
    <row r="1587" spans="1:1" x14ac:dyDescent="0.3">
      <c r="A1587" s="2"/>
    </row>
    <row r="1588" spans="1:1" x14ac:dyDescent="0.3">
      <c r="A1588" s="2"/>
    </row>
    <row r="1589" spans="1:1" x14ac:dyDescent="0.3">
      <c r="A1589" s="2"/>
    </row>
    <row r="1590" spans="1:1" x14ac:dyDescent="0.3">
      <c r="A1590" s="2"/>
    </row>
    <row r="1591" spans="1:1" x14ac:dyDescent="0.3">
      <c r="A1591" s="2"/>
    </row>
    <row r="1592" spans="1:1" x14ac:dyDescent="0.3">
      <c r="A1592" s="2"/>
    </row>
    <row r="1593" spans="1:1" x14ac:dyDescent="0.3">
      <c r="A1593" s="2"/>
    </row>
    <row r="1594" spans="1:1" x14ac:dyDescent="0.3">
      <c r="A1594" s="2"/>
    </row>
    <row r="1595" spans="1:1" x14ac:dyDescent="0.3">
      <c r="A1595" s="2"/>
    </row>
    <row r="1596" spans="1:1" x14ac:dyDescent="0.3">
      <c r="A1596" s="2"/>
    </row>
    <row r="1597" spans="1:1" x14ac:dyDescent="0.3">
      <c r="A1597" s="2"/>
    </row>
    <row r="1598" spans="1:1" x14ac:dyDescent="0.3">
      <c r="A1598" s="2"/>
    </row>
    <row r="1599" spans="1:1" x14ac:dyDescent="0.3">
      <c r="A1599" s="2"/>
    </row>
    <row r="1600" spans="1:1" x14ac:dyDescent="0.3">
      <c r="A1600" s="2"/>
    </row>
    <row r="1601" spans="1:1" x14ac:dyDescent="0.3">
      <c r="A1601" s="2"/>
    </row>
    <row r="1602" spans="1:1" x14ac:dyDescent="0.3">
      <c r="A1602" s="2"/>
    </row>
    <row r="1603" spans="1:1" x14ac:dyDescent="0.3">
      <c r="A1603" s="2"/>
    </row>
    <row r="1604" spans="1:1" x14ac:dyDescent="0.3">
      <c r="A1604" s="2"/>
    </row>
    <row r="1605" spans="1:1" x14ac:dyDescent="0.3">
      <c r="A1605" s="2"/>
    </row>
    <row r="1606" spans="1:1" x14ac:dyDescent="0.3">
      <c r="A1606" s="2"/>
    </row>
    <row r="1607" spans="1:1" x14ac:dyDescent="0.3">
      <c r="A1607" s="2"/>
    </row>
    <row r="1608" spans="1:1" x14ac:dyDescent="0.3">
      <c r="A1608" s="2"/>
    </row>
    <row r="1609" spans="1:1" x14ac:dyDescent="0.3">
      <c r="A1609" s="2"/>
    </row>
    <row r="1610" spans="1:1" x14ac:dyDescent="0.3">
      <c r="A1610" s="2"/>
    </row>
    <row r="1611" spans="1:1" x14ac:dyDescent="0.3">
      <c r="A1611" s="2"/>
    </row>
    <row r="1612" spans="1:1" x14ac:dyDescent="0.3">
      <c r="A1612" s="2"/>
    </row>
    <row r="1613" spans="1:1" x14ac:dyDescent="0.3">
      <c r="A1613" s="2"/>
    </row>
    <row r="1614" spans="1:1" x14ac:dyDescent="0.3">
      <c r="A1614" s="2"/>
    </row>
    <row r="1615" spans="1:1" x14ac:dyDescent="0.3">
      <c r="A1615" s="2"/>
    </row>
    <row r="1616" spans="1:1" x14ac:dyDescent="0.3">
      <c r="A1616" s="2"/>
    </row>
    <row r="1617" spans="1:1" x14ac:dyDescent="0.3">
      <c r="A1617" s="2"/>
    </row>
    <row r="1618" spans="1:1" x14ac:dyDescent="0.3">
      <c r="A1618" s="2"/>
    </row>
    <row r="1619" spans="1:1" x14ac:dyDescent="0.3">
      <c r="A1619" s="2"/>
    </row>
    <row r="1620" spans="1:1" x14ac:dyDescent="0.3">
      <c r="A1620" s="2"/>
    </row>
    <row r="1621" spans="1:1" x14ac:dyDescent="0.3">
      <c r="A1621" s="2"/>
    </row>
    <row r="1622" spans="1:1" x14ac:dyDescent="0.3">
      <c r="A1622" s="2"/>
    </row>
    <row r="1623" spans="1:1" x14ac:dyDescent="0.3">
      <c r="A1623" s="2"/>
    </row>
    <row r="1624" spans="1:1" x14ac:dyDescent="0.3">
      <c r="A1624" s="2"/>
    </row>
    <row r="1625" spans="1:1" x14ac:dyDescent="0.3">
      <c r="A1625" s="2"/>
    </row>
    <row r="1626" spans="1:1" x14ac:dyDescent="0.3">
      <c r="A1626" s="2"/>
    </row>
    <row r="1627" spans="1:1" x14ac:dyDescent="0.3">
      <c r="A1627" s="2"/>
    </row>
    <row r="1628" spans="1:1" x14ac:dyDescent="0.3">
      <c r="A1628" s="2"/>
    </row>
    <row r="1629" spans="1:1" x14ac:dyDescent="0.3">
      <c r="A1629" s="2"/>
    </row>
    <row r="1630" spans="1:1" x14ac:dyDescent="0.3">
      <c r="A1630" s="2"/>
    </row>
    <row r="1631" spans="1:1" x14ac:dyDescent="0.3">
      <c r="A1631" s="2"/>
    </row>
    <row r="1632" spans="1:1" x14ac:dyDescent="0.3">
      <c r="A1632" s="2"/>
    </row>
    <row r="1633" spans="1:1" x14ac:dyDescent="0.3">
      <c r="A1633" s="2"/>
    </row>
    <row r="1634" spans="1:1" x14ac:dyDescent="0.3">
      <c r="A1634" s="2"/>
    </row>
    <row r="1635" spans="1:1" x14ac:dyDescent="0.3">
      <c r="A1635" s="2"/>
    </row>
    <row r="1636" spans="1:1" x14ac:dyDescent="0.3">
      <c r="A1636" s="2"/>
    </row>
    <row r="1637" spans="1:1" x14ac:dyDescent="0.3">
      <c r="A1637" s="2"/>
    </row>
    <row r="1638" spans="1:1" x14ac:dyDescent="0.3">
      <c r="A1638" s="2"/>
    </row>
    <row r="1639" spans="1:1" x14ac:dyDescent="0.3">
      <c r="A1639" s="2"/>
    </row>
    <row r="1640" spans="1:1" x14ac:dyDescent="0.3">
      <c r="A1640" s="2"/>
    </row>
    <row r="1641" spans="1:1" x14ac:dyDescent="0.3">
      <c r="A1641" s="2"/>
    </row>
    <row r="1642" spans="1:1" x14ac:dyDescent="0.3">
      <c r="A1642" s="2"/>
    </row>
    <row r="1643" spans="1:1" x14ac:dyDescent="0.3">
      <c r="A1643" s="2"/>
    </row>
    <row r="1644" spans="1:1" x14ac:dyDescent="0.3">
      <c r="A1644" s="2"/>
    </row>
    <row r="1645" spans="1:1" x14ac:dyDescent="0.3">
      <c r="A1645" s="2"/>
    </row>
    <row r="1646" spans="1:1" x14ac:dyDescent="0.3">
      <c r="A1646" s="2"/>
    </row>
    <row r="1647" spans="1:1" x14ac:dyDescent="0.3">
      <c r="A1647" s="2"/>
    </row>
    <row r="1648" spans="1:1" x14ac:dyDescent="0.3">
      <c r="A1648" s="2"/>
    </row>
    <row r="1649" spans="1:1" x14ac:dyDescent="0.3">
      <c r="A1649" s="2"/>
    </row>
    <row r="1650" spans="1:1" x14ac:dyDescent="0.3">
      <c r="A1650" s="2"/>
    </row>
    <row r="1651" spans="1:1" x14ac:dyDescent="0.3">
      <c r="A1651" s="2"/>
    </row>
    <row r="1652" spans="1:1" x14ac:dyDescent="0.3">
      <c r="A1652" s="2"/>
    </row>
    <row r="1653" spans="1:1" x14ac:dyDescent="0.3">
      <c r="A1653" s="2"/>
    </row>
    <row r="1654" spans="1:1" x14ac:dyDescent="0.3">
      <c r="A1654" s="2"/>
    </row>
    <row r="1655" spans="1:1" x14ac:dyDescent="0.3">
      <c r="A1655" s="2"/>
    </row>
    <row r="1656" spans="1:1" x14ac:dyDescent="0.3">
      <c r="A1656" s="2"/>
    </row>
    <row r="1657" spans="1:1" x14ac:dyDescent="0.3">
      <c r="A1657" s="2"/>
    </row>
    <row r="1658" spans="1:1" x14ac:dyDescent="0.3">
      <c r="A1658" s="2"/>
    </row>
    <row r="1659" spans="1:1" x14ac:dyDescent="0.3">
      <c r="A1659" s="2"/>
    </row>
    <row r="1660" spans="1:1" x14ac:dyDescent="0.3">
      <c r="A1660" s="2"/>
    </row>
    <row r="1661" spans="1:1" x14ac:dyDescent="0.3">
      <c r="A1661" s="2"/>
    </row>
    <row r="1662" spans="1:1" x14ac:dyDescent="0.3">
      <c r="A1662" s="2"/>
    </row>
    <row r="1663" spans="1:1" x14ac:dyDescent="0.3">
      <c r="A1663" s="2"/>
    </row>
    <row r="1664" spans="1:1" x14ac:dyDescent="0.3">
      <c r="A1664" s="2"/>
    </row>
    <row r="1665" spans="1:1" x14ac:dyDescent="0.3">
      <c r="A1665" s="2"/>
    </row>
    <row r="1666" spans="1:1" x14ac:dyDescent="0.3">
      <c r="A1666" s="2"/>
    </row>
    <row r="1667" spans="1:1" x14ac:dyDescent="0.3">
      <c r="A1667" s="2"/>
    </row>
    <row r="1668" spans="1:1" x14ac:dyDescent="0.3">
      <c r="A1668" s="2"/>
    </row>
    <row r="1669" spans="1:1" x14ac:dyDescent="0.3">
      <c r="A1669" s="2"/>
    </row>
    <row r="1670" spans="1:1" x14ac:dyDescent="0.3">
      <c r="A1670" s="2"/>
    </row>
    <row r="1671" spans="1:1" x14ac:dyDescent="0.3">
      <c r="A1671" s="2"/>
    </row>
    <row r="1672" spans="1:1" x14ac:dyDescent="0.3">
      <c r="A1672" s="2"/>
    </row>
    <row r="1673" spans="1:1" x14ac:dyDescent="0.3">
      <c r="A1673" s="2"/>
    </row>
    <row r="1674" spans="1:1" x14ac:dyDescent="0.3">
      <c r="A1674" s="2"/>
    </row>
    <row r="1675" spans="1:1" x14ac:dyDescent="0.3">
      <c r="A1675" s="2"/>
    </row>
    <row r="1676" spans="1:1" x14ac:dyDescent="0.3">
      <c r="A1676" s="2"/>
    </row>
    <row r="1677" spans="1:1" x14ac:dyDescent="0.3">
      <c r="A1677" s="2"/>
    </row>
    <row r="1678" spans="1:1" x14ac:dyDescent="0.3">
      <c r="A1678" s="2"/>
    </row>
    <row r="1679" spans="1:1" x14ac:dyDescent="0.3">
      <c r="A1679" s="2"/>
    </row>
    <row r="1680" spans="1:1" x14ac:dyDescent="0.3">
      <c r="A1680" s="2"/>
    </row>
    <row r="1681" spans="1:1" x14ac:dyDescent="0.3">
      <c r="A1681" s="2"/>
    </row>
    <row r="1682" spans="1:1" x14ac:dyDescent="0.3">
      <c r="A1682" s="2"/>
    </row>
    <row r="1683" spans="1:1" x14ac:dyDescent="0.3">
      <c r="A1683" s="2"/>
    </row>
    <row r="1684" spans="1:1" x14ac:dyDescent="0.3">
      <c r="A1684" s="2"/>
    </row>
    <row r="1685" spans="1:1" x14ac:dyDescent="0.3">
      <c r="A1685" s="2"/>
    </row>
    <row r="1686" spans="1:1" x14ac:dyDescent="0.3">
      <c r="A1686" s="2"/>
    </row>
    <row r="1687" spans="1:1" x14ac:dyDescent="0.3">
      <c r="A1687" s="2"/>
    </row>
    <row r="1688" spans="1:1" x14ac:dyDescent="0.3">
      <c r="A1688" s="2"/>
    </row>
    <row r="1689" spans="1:1" x14ac:dyDescent="0.3">
      <c r="A1689" s="2"/>
    </row>
    <row r="1690" spans="1:1" x14ac:dyDescent="0.3">
      <c r="A1690" s="2"/>
    </row>
    <row r="1691" spans="1:1" x14ac:dyDescent="0.3">
      <c r="A1691" s="2"/>
    </row>
    <row r="1692" spans="1:1" x14ac:dyDescent="0.3">
      <c r="A1692" s="2"/>
    </row>
    <row r="1693" spans="1:1" x14ac:dyDescent="0.3">
      <c r="A1693" s="2"/>
    </row>
    <row r="1694" spans="1:1" x14ac:dyDescent="0.3">
      <c r="A1694" s="2"/>
    </row>
    <row r="1695" spans="1:1" x14ac:dyDescent="0.3">
      <c r="A1695" s="2"/>
    </row>
    <row r="1696" spans="1:1" x14ac:dyDescent="0.3">
      <c r="A1696" s="2"/>
    </row>
    <row r="1697" spans="1:1" x14ac:dyDescent="0.3">
      <c r="A1697" s="2"/>
    </row>
    <row r="1698" spans="1:1" x14ac:dyDescent="0.3">
      <c r="A1698" s="2"/>
    </row>
    <row r="1699" spans="1:1" x14ac:dyDescent="0.3">
      <c r="A1699" s="2"/>
    </row>
    <row r="1700" spans="1:1" x14ac:dyDescent="0.3">
      <c r="A1700" s="2"/>
    </row>
    <row r="1701" spans="1:1" x14ac:dyDescent="0.3">
      <c r="A1701" s="2"/>
    </row>
    <row r="1702" spans="1:1" x14ac:dyDescent="0.3">
      <c r="A1702" s="2"/>
    </row>
    <row r="1703" spans="1:1" x14ac:dyDescent="0.3">
      <c r="A1703" s="2"/>
    </row>
    <row r="1704" spans="1:1" x14ac:dyDescent="0.3">
      <c r="A1704" s="2"/>
    </row>
    <row r="1705" spans="1:1" x14ac:dyDescent="0.3">
      <c r="A1705" s="2"/>
    </row>
    <row r="1706" spans="1:1" x14ac:dyDescent="0.3">
      <c r="A1706" s="2"/>
    </row>
    <row r="1707" spans="1:1" x14ac:dyDescent="0.3">
      <c r="A1707" s="2"/>
    </row>
    <row r="1708" spans="1:1" x14ac:dyDescent="0.3">
      <c r="A1708" s="2"/>
    </row>
    <row r="1709" spans="1:1" x14ac:dyDescent="0.3">
      <c r="A1709" s="2"/>
    </row>
    <row r="1710" spans="1:1" x14ac:dyDescent="0.3">
      <c r="A1710" s="2"/>
    </row>
    <row r="1711" spans="1:1" x14ac:dyDescent="0.3">
      <c r="A1711" s="2"/>
    </row>
    <row r="1712" spans="1:1" x14ac:dyDescent="0.3">
      <c r="A1712" s="2"/>
    </row>
    <row r="1713" spans="1:1" x14ac:dyDescent="0.3">
      <c r="A1713" s="2"/>
    </row>
    <row r="1714" spans="1:1" x14ac:dyDescent="0.3">
      <c r="A1714" s="2"/>
    </row>
    <row r="1715" spans="1:1" x14ac:dyDescent="0.3">
      <c r="A1715" s="2"/>
    </row>
    <row r="1716" spans="1:1" x14ac:dyDescent="0.3">
      <c r="A1716" s="2"/>
    </row>
    <row r="1717" spans="1:1" x14ac:dyDescent="0.3">
      <c r="A1717" s="2"/>
    </row>
    <row r="1718" spans="1:1" x14ac:dyDescent="0.3">
      <c r="A1718" s="2"/>
    </row>
    <row r="1719" spans="1:1" x14ac:dyDescent="0.3">
      <c r="A1719" s="2"/>
    </row>
    <row r="1720" spans="1:1" x14ac:dyDescent="0.3">
      <c r="A1720" s="2"/>
    </row>
    <row r="1721" spans="1:1" x14ac:dyDescent="0.3">
      <c r="A1721" s="2"/>
    </row>
    <row r="1722" spans="1:1" x14ac:dyDescent="0.3">
      <c r="A1722" s="2"/>
    </row>
    <row r="1723" spans="1:1" x14ac:dyDescent="0.3">
      <c r="A1723" s="2"/>
    </row>
    <row r="1724" spans="1:1" x14ac:dyDescent="0.3">
      <c r="A1724" s="2"/>
    </row>
    <row r="1725" spans="1:1" x14ac:dyDescent="0.3">
      <c r="A1725" s="2"/>
    </row>
    <row r="1726" spans="1:1" x14ac:dyDescent="0.3">
      <c r="A1726" s="2"/>
    </row>
    <row r="1727" spans="1:1" x14ac:dyDescent="0.3">
      <c r="A1727" s="2"/>
    </row>
    <row r="1728" spans="1:1" x14ac:dyDescent="0.3">
      <c r="A1728" s="2"/>
    </row>
    <row r="1729" spans="1:1" x14ac:dyDescent="0.3">
      <c r="A1729" s="2"/>
    </row>
    <row r="1730" spans="1:1" x14ac:dyDescent="0.3">
      <c r="A1730" s="2"/>
    </row>
    <row r="1731" spans="1:1" x14ac:dyDescent="0.3">
      <c r="A1731" s="2"/>
    </row>
    <row r="1732" spans="1:1" x14ac:dyDescent="0.3">
      <c r="A1732" s="2"/>
    </row>
    <row r="1733" spans="1:1" x14ac:dyDescent="0.3">
      <c r="A1733" s="2"/>
    </row>
    <row r="1734" spans="1:1" x14ac:dyDescent="0.3">
      <c r="A1734" s="2"/>
    </row>
    <row r="1735" spans="1:1" x14ac:dyDescent="0.3">
      <c r="A1735" s="2"/>
    </row>
    <row r="1736" spans="1:1" x14ac:dyDescent="0.3">
      <c r="A1736" s="2"/>
    </row>
    <row r="1737" spans="1:1" x14ac:dyDescent="0.3">
      <c r="A1737" s="2"/>
    </row>
    <row r="1738" spans="1:1" x14ac:dyDescent="0.3">
      <c r="A1738" s="2"/>
    </row>
    <row r="1739" spans="1:1" x14ac:dyDescent="0.3">
      <c r="A1739" s="2"/>
    </row>
    <row r="1740" spans="1:1" x14ac:dyDescent="0.3">
      <c r="A1740" s="2"/>
    </row>
    <row r="1741" spans="1:1" x14ac:dyDescent="0.3">
      <c r="A1741" s="2"/>
    </row>
    <row r="1742" spans="1:1" x14ac:dyDescent="0.3">
      <c r="A1742" s="2"/>
    </row>
    <row r="1743" spans="1:1" x14ac:dyDescent="0.3">
      <c r="A1743" s="2"/>
    </row>
    <row r="1744" spans="1:1" x14ac:dyDescent="0.3">
      <c r="A1744" s="2"/>
    </row>
    <row r="1745" spans="1:1" x14ac:dyDescent="0.3">
      <c r="A1745" s="2"/>
    </row>
    <row r="1746" spans="1:1" x14ac:dyDescent="0.3">
      <c r="A1746" s="2"/>
    </row>
    <row r="1747" spans="1:1" x14ac:dyDescent="0.3">
      <c r="A1747" s="2"/>
    </row>
    <row r="1748" spans="1:1" x14ac:dyDescent="0.3">
      <c r="A1748" s="2"/>
    </row>
    <row r="1749" spans="1:1" x14ac:dyDescent="0.3">
      <c r="A1749" s="2"/>
    </row>
    <row r="1750" spans="1:1" x14ac:dyDescent="0.3">
      <c r="A1750" s="2"/>
    </row>
    <row r="1751" spans="1:1" x14ac:dyDescent="0.3">
      <c r="A1751" s="2"/>
    </row>
    <row r="1752" spans="1:1" x14ac:dyDescent="0.3">
      <c r="A1752" s="2"/>
    </row>
    <row r="1753" spans="1:1" x14ac:dyDescent="0.3">
      <c r="A1753" s="2"/>
    </row>
    <row r="1754" spans="1:1" x14ac:dyDescent="0.3">
      <c r="A1754" s="2"/>
    </row>
    <row r="1755" spans="1:1" x14ac:dyDescent="0.3">
      <c r="A1755" s="2"/>
    </row>
    <row r="1756" spans="1:1" x14ac:dyDescent="0.3">
      <c r="A1756" s="2"/>
    </row>
    <row r="1757" spans="1:1" x14ac:dyDescent="0.3">
      <c r="A1757" s="2"/>
    </row>
    <row r="1758" spans="1:1" x14ac:dyDescent="0.3">
      <c r="A1758" s="2"/>
    </row>
    <row r="1759" spans="1:1" x14ac:dyDescent="0.3">
      <c r="A1759" s="2"/>
    </row>
    <row r="1760" spans="1:1" x14ac:dyDescent="0.3">
      <c r="A1760" s="2"/>
    </row>
    <row r="1761" spans="1:1" x14ac:dyDescent="0.3">
      <c r="A1761" s="2"/>
    </row>
    <row r="1762" spans="1:1" x14ac:dyDescent="0.3">
      <c r="A1762" s="2"/>
    </row>
    <row r="1763" spans="1:1" x14ac:dyDescent="0.3">
      <c r="A1763" s="2"/>
    </row>
    <row r="1764" spans="1:1" x14ac:dyDescent="0.3">
      <c r="A1764" s="2"/>
    </row>
    <row r="1765" spans="1:1" x14ac:dyDescent="0.3">
      <c r="A1765" s="2"/>
    </row>
    <row r="1766" spans="1:1" x14ac:dyDescent="0.3">
      <c r="A1766" s="2"/>
    </row>
    <row r="1767" spans="1:1" x14ac:dyDescent="0.3">
      <c r="A1767" s="2"/>
    </row>
    <row r="1768" spans="1:1" x14ac:dyDescent="0.3">
      <c r="A1768" s="2"/>
    </row>
    <row r="1769" spans="1:1" x14ac:dyDescent="0.3">
      <c r="A1769" s="2"/>
    </row>
    <row r="1770" spans="1:1" x14ac:dyDescent="0.3">
      <c r="A1770" s="2"/>
    </row>
    <row r="1771" spans="1:1" x14ac:dyDescent="0.3">
      <c r="A1771" s="2"/>
    </row>
    <row r="1772" spans="1:1" x14ac:dyDescent="0.3">
      <c r="A1772" s="2"/>
    </row>
    <row r="1773" spans="1:1" x14ac:dyDescent="0.3">
      <c r="A1773" s="2"/>
    </row>
    <row r="1774" spans="1:1" x14ac:dyDescent="0.3">
      <c r="A1774" s="2"/>
    </row>
    <row r="1775" spans="1:1" x14ac:dyDescent="0.3">
      <c r="A1775" s="2"/>
    </row>
    <row r="1776" spans="1:1" x14ac:dyDescent="0.3">
      <c r="A1776" s="2"/>
    </row>
    <row r="1777" spans="1:1" x14ac:dyDescent="0.3">
      <c r="A1777" s="2"/>
    </row>
    <row r="1778" spans="1:1" x14ac:dyDescent="0.3">
      <c r="A1778" s="2"/>
    </row>
    <row r="1779" spans="1:1" x14ac:dyDescent="0.3">
      <c r="A1779" s="2"/>
    </row>
    <row r="1780" spans="1:1" x14ac:dyDescent="0.3">
      <c r="A1780" s="2"/>
    </row>
    <row r="1781" spans="1:1" x14ac:dyDescent="0.3">
      <c r="A1781" s="2"/>
    </row>
    <row r="1782" spans="1:1" x14ac:dyDescent="0.3">
      <c r="A1782" s="2"/>
    </row>
    <row r="1783" spans="1:1" x14ac:dyDescent="0.3">
      <c r="A1783" s="2"/>
    </row>
    <row r="1784" spans="1:1" x14ac:dyDescent="0.3">
      <c r="A1784" s="2"/>
    </row>
    <row r="1785" spans="1:1" x14ac:dyDescent="0.3">
      <c r="A1785" s="2"/>
    </row>
    <row r="1786" spans="1:1" x14ac:dyDescent="0.3">
      <c r="A1786" s="2"/>
    </row>
    <row r="1787" spans="1:1" x14ac:dyDescent="0.3">
      <c r="A1787" s="2"/>
    </row>
    <row r="1788" spans="1:1" x14ac:dyDescent="0.3">
      <c r="A1788" s="2"/>
    </row>
    <row r="1789" spans="1:1" x14ac:dyDescent="0.3">
      <c r="A1789" s="2"/>
    </row>
    <row r="1790" spans="1:1" x14ac:dyDescent="0.3">
      <c r="A1790" s="2"/>
    </row>
    <row r="1791" spans="1:1" x14ac:dyDescent="0.3">
      <c r="A1791" s="2"/>
    </row>
    <row r="1792" spans="1:1" x14ac:dyDescent="0.3">
      <c r="A1792" s="2"/>
    </row>
    <row r="1793" spans="1:1" x14ac:dyDescent="0.3">
      <c r="A1793" s="2"/>
    </row>
    <row r="1794" spans="1:1" x14ac:dyDescent="0.3">
      <c r="A1794" s="2"/>
    </row>
    <row r="1795" spans="1:1" x14ac:dyDescent="0.3">
      <c r="A1795" s="2"/>
    </row>
    <row r="1796" spans="1:1" x14ac:dyDescent="0.3">
      <c r="A1796" s="2"/>
    </row>
    <row r="1797" spans="1:1" x14ac:dyDescent="0.3">
      <c r="A1797" s="2"/>
    </row>
    <row r="1798" spans="1:1" x14ac:dyDescent="0.3">
      <c r="A1798" s="2"/>
    </row>
    <row r="1799" spans="1:1" x14ac:dyDescent="0.3">
      <c r="A1799" s="2"/>
    </row>
    <row r="1800" spans="1:1" x14ac:dyDescent="0.3">
      <c r="A1800" s="2"/>
    </row>
    <row r="1801" spans="1:1" x14ac:dyDescent="0.3">
      <c r="A1801" s="2"/>
    </row>
    <row r="1802" spans="1:1" x14ac:dyDescent="0.3">
      <c r="A1802" s="2"/>
    </row>
    <row r="1803" spans="1:1" x14ac:dyDescent="0.3">
      <c r="A1803" s="2"/>
    </row>
    <row r="1804" spans="1:1" x14ac:dyDescent="0.3">
      <c r="A1804" s="2"/>
    </row>
    <row r="1805" spans="1:1" x14ac:dyDescent="0.3">
      <c r="A1805" s="2"/>
    </row>
    <row r="1806" spans="1:1" x14ac:dyDescent="0.3">
      <c r="A1806" s="2"/>
    </row>
    <row r="1807" spans="1:1" x14ac:dyDescent="0.3">
      <c r="A1807" s="2"/>
    </row>
    <row r="1808" spans="1:1" x14ac:dyDescent="0.3">
      <c r="A1808" s="2"/>
    </row>
    <row r="1809" spans="1:1" x14ac:dyDescent="0.3">
      <c r="A1809" s="2"/>
    </row>
    <row r="1810" spans="1:1" x14ac:dyDescent="0.3">
      <c r="A1810" s="2"/>
    </row>
    <row r="1811" spans="1:1" x14ac:dyDescent="0.3">
      <c r="A1811" s="2"/>
    </row>
    <row r="1812" spans="1:1" x14ac:dyDescent="0.3">
      <c r="A1812" s="2"/>
    </row>
    <row r="1813" spans="1:1" x14ac:dyDescent="0.3">
      <c r="A1813" s="2"/>
    </row>
    <row r="1814" spans="1:1" x14ac:dyDescent="0.3">
      <c r="A1814" s="2"/>
    </row>
    <row r="1815" spans="1:1" x14ac:dyDescent="0.3">
      <c r="A1815" s="2"/>
    </row>
    <row r="1816" spans="1:1" x14ac:dyDescent="0.3">
      <c r="A1816" s="2"/>
    </row>
    <row r="1817" spans="1:1" x14ac:dyDescent="0.3">
      <c r="A1817" s="2"/>
    </row>
    <row r="1818" spans="1:1" x14ac:dyDescent="0.3">
      <c r="A1818" s="2"/>
    </row>
    <row r="1819" spans="1:1" x14ac:dyDescent="0.3">
      <c r="A1819" s="2"/>
    </row>
    <row r="1820" spans="1:1" x14ac:dyDescent="0.3">
      <c r="A1820" s="2"/>
    </row>
    <row r="1821" spans="1:1" x14ac:dyDescent="0.3">
      <c r="A1821" s="2"/>
    </row>
    <row r="1822" spans="1:1" x14ac:dyDescent="0.3">
      <c r="A1822" s="2"/>
    </row>
    <row r="1823" spans="1:1" x14ac:dyDescent="0.3">
      <c r="A1823" s="2"/>
    </row>
    <row r="1824" spans="1:1" x14ac:dyDescent="0.3">
      <c r="A1824" s="2"/>
    </row>
    <row r="1825" spans="1:1" x14ac:dyDescent="0.3">
      <c r="A1825" s="2"/>
    </row>
    <row r="1826" spans="1:1" x14ac:dyDescent="0.3">
      <c r="A1826" s="2"/>
    </row>
    <row r="1827" spans="1:1" x14ac:dyDescent="0.3">
      <c r="A1827" s="2"/>
    </row>
    <row r="1828" spans="1:1" x14ac:dyDescent="0.3">
      <c r="A1828" s="2"/>
    </row>
    <row r="1829" spans="1:1" x14ac:dyDescent="0.3">
      <c r="A1829" s="2"/>
    </row>
    <row r="1830" spans="1:1" x14ac:dyDescent="0.3">
      <c r="A1830" s="2"/>
    </row>
    <row r="1831" spans="1:1" x14ac:dyDescent="0.3">
      <c r="A1831" s="2"/>
    </row>
    <row r="1832" spans="1:1" x14ac:dyDescent="0.3">
      <c r="A1832" s="2"/>
    </row>
    <row r="1833" spans="1:1" x14ac:dyDescent="0.3">
      <c r="A1833" s="2"/>
    </row>
    <row r="1834" spans="1:1" x14ac:dyDescent="0.3">
      <c r="A1834" s="2"/>
    </row>
    <row r="1835" spans="1:1" x14ac:dyDescent="0.3">
      <c r="A1835" s="2"/>
    </row>
    <row r="1836" spans="1:1" x14ac:dyDescent="0.3">
      <c r="A1836" s="2"/>
    </row>
    <row r="1837" spans="1:1" x14ac:dyDescent="0.3">
      <c r="A1837" s="2"/>
    </row>
    <row r="1838" spans="1:1" x14ac:dyDescent="0.3">
      <c r="A1838" s="2"/>
    </row>
    <row r="1839" spans="1:1" x14ac:dyDescent="0.3">
      <c r="A1839" s="2"/>
    </row>
    <row r="1840" spans="1:1" x14ac:dyDescent="0.3">
      <c r="A1840" s="2"/>
    </row>
    <row r="1841" spans="1:1" x14ac:dyDescent="0.3">
      <c r="A1841" s="2"/>
    </row>
    <row r="1842" spans="1:1" x14ac:dyDescent="0.3">
      <c r="A1842" s="2"/>
    </row>
    <row r="1843" spans="1:1" x14ac:dyDescent="0.3">
      <c r="A1843" s="2"/>
    </row>
    <row r="1844" spans="1:1" x14ac:dyDescent="0.3">
      <c r="A1844" s="2"/>
    </row>
    <row r="1845" spans="1:1" x14ac:dyDescent="0.3">
      <c r="A1845" s="2"/>
    </row>
    <row r="1846" spans="1:1" x14ac:dyDescent="0.3">
      <c r="A1846" s="2"/>
    </row>
    <row r="1847" spans="1:1" x14ac:dyDescent="0.3">
      <c r="A1847" s="2"/>
    </row>
    <row r="1848" spans="1:1" x14ac:dyDescent="0.3">
      <c r="A1848" s="2"/>
    </row>
    <row r="1849" spans="1:1" x14ac:dyDescent="0.3">
      <c r="A1849" s="2"/>
    </row>
    <row r="1850" spans="1:1" x14ac:dyDescent="0.3">
      <c r="A1850" s="2"/>
    </row>
    <row r="1851" spans="1:1" x14ac:dyDescent="0.3">
      <c r="A1851" s="2"/>
    </row>
    <row r="1852" spans="1:1" x14ac:dyDescent="0.3">
      <c r="A1852" s="2"/>
    </row>
    <row r="1853" spans="1:1" x14ac:dyDescent="0.3">
      <c r="A1853" s="2"/>
    </row>
    <row r="1854" spans="1:1" x14ac:dyDescent="0.3">
      <c r="A1854" s="2"/>
    </row>
    <row r="1855" spans="1:1" x14ac:dyDescent="0.3">
      <c r="A1855" s="2"/>
    </row>
    <row r="1856" spans="1:1" x14ac:dyDescent="0.3">
      <c r="A1856" s="2"/>
    </row>
    <row r="1857" spans="1:1" x14ac:dyDescent="0.3">
      <c r="A1857" s="2"/>
    </row>
    <row r="1858" spans="1:1" x14ac:dyDescent="0.3">
      <c r="A1858" s="2"/>
    </row>
    <row r="1859" spans="1:1" x14ac:dyDescent="0.3">
      <c r="A1859" s="2"/>
    </row>
    <row r="1860" spans="1:1" x14ac:dyDescent="0.3">
      <c r="A1860" s="2"/>
    </row>
    <row r="1861" spans="1:1" x14ac:dyDescent="0.3">
      <c r="A1861" s="2"/>
    </row>
    <row r="1862" spans="1:1" x14ac:dyDescent="0.3">
      <c r="A1862" s="2"/>
    </row>
    <row r="1863" spans="1:1" x14ac:dyDescent="0.3">
      <c r="A1863" s="2"/>
    </row>
    <row r="1864" spans="1:1" x14ac:dyDescent="0.3">
      <c r="A1864" s="2"/>
    </row>
    <row r="1865" spans="1:1" x14ac:dyDescent="0.3">
      <c r="A1865" s="2"/>
    </row>
    <row r="1866" spans="1:1" x14ac:dyDescent="0.3">
      <c r="A1866" s="2"/>
    </row>
    <row r="1867" spans="1:1" x14ac:dyDescent="0.3">
      <c r="A1867" s="2"/>
    </row>
    <row r="1868" spans="1:1" x14ac:dyDescent="0.3">
      <c r="A1868" s="2"/>
    </row>
    <row r="1869" spans="1:1" x14ac:dyDescent="0.3">
      <c r="A1869" s="2"/>
    </row>
    <row r="1870" spans="1:1" x14ac:dyDescent="0.3">
      <c r="A1870" s="2"/>
    </row>
    <row r="1871" spans="1:1" x14ac:dyDescent="0.3">
      <c r="A1871" s="2"/>
    </row>
    <row r="1872" spans="1:1" x14ac:dyDescent="0.3">
      <c r="A1872" s="2"/>
    </row>
    <row r="1873" spans="1:1" x14ac:dyDescent="0.3">
      <c r="A1873" s="2"/>
    </row>
    <row r="1874" spans="1:1" x14ac:dyDescent="0.3">
      <c r="A1874" s="2"/>
    </row>
    <row r="1875" spans="1:1" x14ac:dyDescent="0.3">
      <c r="A1875" s="2"/>
    </row>
    <row r="1876" spans="1:1" x14ac:dyDescent="0.3">
      <c r="A1876" s="2"/>
    </row>
    <row r="1877" spans="1:1" x14ac:dyDescent="0.3">
      <c r="A1877" s="2"/>
    </row>
    <row r="1878" spans="1:1" x14ac:dyDescent="0.3">
      <c r="A1878" s="2"/>
    </row>
    <row r="1879" spans="1:1" x14ac:dyDescent="0.3">
      <c r="A1879" s="2"/>
    </row>
    <row r="1880" spans="1:1" x14ac:dyDescent="0.3">
      <c r="A1880" s="2"/>
    </row>
    <row r="1881" spans="1:1" x14ac:dyDescent="0.3">
      <c r="A1881" s="2"/>
    </row>
    <row r="1882" spans="1:1" x14ac:dyDescent="0.3">
      <c r="A1882" s="2"/>
    </row>
    <row r="1883" spans="1:1" x14ac:dyDescent="0.3">
      <c r="A1883" s="2"/>
    </row>
    <row r="1884" spans="1:1" x14ac:dyDescent="0.3">
      <c r="A1884" s="2"/>
    </row>
    <row r="1885" spans="1:1" x14ac:dyDescent="0.3">
      <c r="A1885" s="2"/>
    </row>
    <row r="1886" spans="1:1" x14ac:dyDescent="0.3">
      <c r="A1886" s="2"/>
    </row>
    <row r="1887" spans="1:1" x14ac:dyDescent="0.3">
      <c r="A1887" s="2"/>
    </row>
    <row r="1888" spans="1:1" x14ac:dyDescent="0.3">
      <c r="A1888" s="2"/>
    </row>
    <row r="1889" spans="1:1" x14ac:dyDescent="0.3">
      <c r="A1889" s="2"/>
    </row>
    <row r="1890" spans="1:1" x14ac:dyDescent="0.3">
      <c r="A1890" s="2"/>
    </row>
    <row r="1891" spans="1:1" x14ac:dyDescent="0.3">
      <c r="A1891" s="2"/>
    </row>
    <row r="1892" spans="1:1" x14ac:dyDescent="0.3">
      <c r="A1892" s="2"/>
    </row>
    <row r="1893" spans="1:1" x14ac:dyDescent="0.3">
      <c r="A1893" s="2"/>
    </row>
    <row r="1894" spans="1:1" x14ac:dyDescent="0.3">
      <c r="A1894" s="2"/>
    </row>
    <row r="1895" spans="1:1" x14ac:dyDescent="0.3">
      <c r="A1895" s="2"/>
    </row>
    <row r="1896" spans="1:1" x14ac:dyDescent="0.3">
      <c r="A1896" s="2"/>
    </row>
    <row r="1897" spans="1:1" x14ac:dyDescent="0.3">
      <c r="A1897" s="2"/>
    </row>
    <row r="1898" spans="1:1" x14ac:dyDescent="0.3">
      <c r="A1898" s="2"/>
    </row>
    <row r="1899" spans="1:1" x14ac:dyDescent="0.3">
      <c r="A1899" s="2"/>
    </row>
    <row r="1900" spans="1:1" x14ac:dyDescent="0.3">
      <c r="A1900" s="2"/>
    </row>
    <row r="1901" spans="1:1" x14ac:dyDescent="0.3">
      <c r="A1901" s="2"/>
    </row>
    <row r="1902" spans="1:1" x14ac:dyDescent="0.3">
      <c r="A1902" s="2"/>
    </row>
    <row r="1903" spans="1:1" x14ac:dyDescent="0.3">
      <c r="A1903" s="2"/>
    </row>
    <row r="1904" spans="1:1" x14ac:dyDescent="0.3">
      <c r="A1904" s="2"/>
    </row>
    <row r="1905" spans="1:1" x14ac:dyDescent="0.3">
      <c r="A1905" s="2"/>
    </row>
    <row r="1906" spans="1:1" x14ac:dyDescent="0.3">
      <c r="A1906" s="2"/>
    </row>
    <row r="1907" spans="1:1" x14ac:dyDescent="0.3">
      <c r="A1907" s="2"/>
    </row>
    <row r="1908" spans="1:1" x14ac:dyDescent="0.3">
      <c r="A1908" s="2"/>
    </row>
    <row r="1909" spans="1:1" x14ac:dyDescent="0.3">
      <c r="A1909" s="2"/>
    </row>
    <row r="1910" spans="1:1" x14ac:dyDescent="0.3">
      <c r="A1910" s="2"/>
    </row>
    <row r="1911" spans="1:1" x14ac:dyDescent="0.3">
      <c r="A1911" s="2"/>
    </row>
    <row r="1912" spans="1:1" x14ac:dyDescent="0.3">
      <c r="A1912" s="2"/>
    </row>
    <row r="1913" spans="1:1" x14ac:dyDescent="0.3">
      <c r="A1913" s="2"/>
    </row>
    <row r="1914" spans="1:1" x14ac:dyDescent="0.3">
      <c r="A1914" s="2"/>
    </row>
    <row r="1915" spans="1:1" x14ac:dyDescent="0.3">
      <c r="A1915" s="2"/>
    </row>
    <row r="1916" spans="1:1" x14ac:dyDescent="0.3">
      <c r="A1916" s="2"/>
    </row>
    <row r="1917" spans="1:1" x14ac:dyDescent="0.3">
      <c r="A1917" s="2"/>
    </row>
    <row r="1918" spans="1:1" x14ac:dyDescent="0.3">
      <c r="A1918" s="2"/>
    </row>
    <row r="1919" spans="1:1" x14ac:dyDescent="0.3">
      <c r="A1919" s="2"/>
    </row>
    <row r="1920" spans="1:1" x14ac:dyDescent="0.3">
      <c r="A1920" s="2"/>
    </row>
    <row r="1921" spans="1:1" x14ac:dyDescent="0.3">
      <c r="A1921" s="2"/>
    </row>
    <row r="1922" spans="1:1" x14ac:dyDescent="0.3">
      <c r="A1922" s="2"/>
    </row>
    <row r="1923" spans="1:1" x14ac:dyDescent="0.3">
      <c r="A1923" s="2"/>
    </row>
    <row r="1924" spans="1:1" x14ac:dyDescent="0.3">
      <c r="A1924" s="2"/>
    </row>
    <row r="1925" spans="1:1" x14ac:dyDescent="0.3">
      <c r="A1925" s="2"/>
    </row>
    <row r="1926" spans="1:1" x14ac:dyDescent="0.3">
      <c r="A1926" s="2"/>
    </row>
    <row r="1927" spans="1:1" x14ac:dyDescent="0.3">
      <c r="A1927" s="2"/>
    </row>
    <row r="1928" spans="1:1" x14ac:dyDescent="0.3">
      <c r="A1928" s="2"/>
    </row>
    <row r="1929" spans="1:1" x14ac:dyDescent="0.3">
      <c r="A1929" s="2"/>
    </row>
    <row r="1930" spans="1:1" x14ac:dyDescent="0.3">
      <c r="A1930" s="2"/>
    </row>
    <row r="1931" spans="1:1" x14ac:dyDescent="0.3">
      <c r="A1931" s="2"/>
    </row>
    <row r="1932" spans="1:1" x14ac:dyDescent="0.3">
      <c r="A1932" s="2"/>
    </row>
    <row r="1933" spans="1:1" x14ac:dyDescent="0.3">
      <c r="A1933" s="2"/>
    </row>
    <row r="1934" spans="1:1" x14ac:dyDescent="0.3">
      <c r="A1934" s="2"/>
    </row>
    <row r="1935" spans="1:1" x14ac:dyDescent="0.3">
      <c r="A1935" s="2"/>
    </row>
    <row r="1936" spans="1:1" x14ac:dyDescent="0.3">
      <c r="A1936" s="2"/>
    </row>
    <row r="1937" spans="1:1" x14ac:dyDescent="0.3">
      <c r="A1937" s="2"/>
    </row>
    <row r="1938" spans="1:1" x14ac:dyDescent="0.3">
      <c r="A1938" s="2"/>
    </row>
    <row r="1939" spans="1:1" x14ac:dyDescent="0.3">
      <c r="A1939" s="2"/>
    </row>
    <row r="1940" spans="1:1" x14ac:dyDescent="0.3">
      <c r="A1940" s="2"/>
    </row>
    <row r="1941" spans="1:1" x14ac:dyDescent="0.3">
      <c r="A1941" s="2"/>
    </row>
    <row r="1942" spans="1:1" x14ac:dyDescent="0.3">
      <c r="A1942" s="2"/>
    </row>
    <row r="1943" spans="1:1" x14ac:dyDescent="0.3">
      <c r="A1943" s="2"/>
    </row>
    <row r="1944" spans="1:1" x14ac:dyDescent="0.3">
      <c r="A1944" s="2"/>
    </row>
    <row r="1945" spans="1:1" x14ac:dyDescent="0.3">
      <c r="A1945" s="2"/>
    </row>
    <row r="1946" spans="1:1" x14ac:dyDescent="0.3">
      <c r="A1946" s="2"/>
    </row>
    <row r="1947" spans="1:1" x14ac:dyDescent="0.3">
      <c r="A1947" s="2"/>
    </row>
    <row r="1948" spans="1:1" x14ac:dyDescent="0.3">
      <c r="A1948" s="2"/>
    </row>
    <row r="1949" spans="1:1" x14ac:dyDescent="0.3">
      <c r="A1949" s="2"/>
    </row>
    <row r="1950" spans="1:1" x14ac:dyDescent="0.3">
      <c r="A1950" s="2"/>
    </row>
    <row r="1951" spans="1:1" x14ac:dyDescent="0.3">
      <c r="A1951" s="2"/>
    </row>
    <row r="1952" spans="1:1" x14ac:dyDescent="0.3">
      <c r="A1952" s="2"/>
    </row>
    <row r="1953" spans="1:1" x14ac:dyDescent="0.3">
      <c r="A1953" s="2"/>
    </row>
    <row r="1954" spans="1:1" x14ac:dyDescent="0.3">
      <c r="A1954" s="2"/>
    </row>
    <row r="1955" spans="1:1" x14ac:dyDescent="0.3">
      <c r="A1955" s="2"/>
    </row>
    <row r="1956" spans="1:1" x14ac:dyDescent="0.3">
      <c r="A1956" s="2"/>
    </row>
    <row r="1957" spans="1:1" x14ac:dyDescent="0.3">
      <c r="A1957" s="2"/>
    </row>
    <row r="1958" spans="1:1" x14ac:dyDescent="0.3">
      <c r="A1958" s="2"/>
    </row>
    <row r="1959" spans="1:1" x14ac:dyDescent="0.3">
      <c r="A1959" s="2"/>
    </row>
    <row r="1960" spans="1:1" x14ac:dyDescent="0.3">
      <c r="A1960" s="2"/>
    </row>
    <row r="1961" spans="1:1" x14ac:dyDescent="0.3">
      <c r="A1961" s="2"/>
    </row>
    <row r="1962" spans="1:1" x14ac:dyDescent="0.3">
      <c r="A1962" s="2"/>
    </row>
    <row r="1963" spans="1:1" x14ac:dyDescent="0.3">
      <c r="A1963" s="2"/>
    </row>
    <row r="1964" spans="1:1" x14ac:dyDescent="0.3">
      <c r="A1964" s="2"/>
    </row>
    <row r="1965" spans="1:1" x14ac:dyDescent="0.3">
      <c r="A1965" s="2"/>
    </row>
    <row r="1966" spans="1:1" x14ac:dyDescent="0.3">
      <c r="A1966" s="2"/>
    </row>
    <row r="1967" spans="1:1" x14ac:dyDescent="0.3">
      <c r="A1967" s="2"/>
    </row>
    <row r="1968" spans="1:1" x14ac:dyDescent="0.3">
      <c r="A1968" s="2"/>
    </row>
    <row r="1969" spans="1:1" x14ac:dyDescent="0.3">
      <c r="A1969" s="2"/>
    </row>
    <row r="1970" spans="1:1" x14ac:dyDescent="0.3">
      <c r="A1970" s="2"/>
    </row>
    <row r="1971" spans="1:1" x14ac:dyDescent="0.3">
      <c r="A1971" s="2"/>
    </row>
    <row r="1972" spans="1:1" x14ac:dyDescent="0.3">
      <c r="A1972" s="2"/>
    </row>
    <row r="1973" spans="1:1" x14ac:dyDescent="0.3">
      <c r="A1973" s="2"/>
    </row>
    <row r="1974" spans="1:1" x14ac:dyDescent="0.3">
      <c r="A1974" s="2"/>
    </row>
    <row r="1975" spans="1:1" x14ac:dyDescent="0.3">
      <c r="A1975" s="2"/>
    </row>
    <row r="1976" spans="1:1" x14ac:dyDescent="0.3">
      <c r="A1976" s="2"/>
    </row>
    <row r="1977" spans="1:1" x14ac:dyDescent="0.3">
      <c r="A1977" s="2"/>
    </row>
    <row r="1978" spans="1:1" x14ac:dyDescent="0.3">
      <c r="A1978" s="2"/>
    </row>
    <row r="1979" spans="1:1" x14ac:dyDescent="0.3">
      <c r="A1979" s="2"/>
    </row>
    <row r="1980" spans="1:1" x14ac:dyDescent="0.3">
      <c r="A1980" s="2"/>
    </row>
    <row r="1981" spans="1:1" x14ac:dyDescent="0.3">
      <c r="A1981" s="2"/>
    </row>
    <row r="1982" spans="1:1" x14ac:dyDescent="0.3">
      <c r="A1982" s="2"/>
    </row>
    <row r="1983" spans="1:1" x14ac:dyDescent="0.3">
      <c r="A1983" s="2"/>
    </row>
    <row r="1984" spans="1:1" x14ac:dyDescent="0.3">
      <c r="A1984" s="2"/>
    </row>
    <row r="1985" spans="1:1" x14ac:dyDescent="0.3">
      <c r="A1985" s="2"/>
    </row>
    <row r="1986" spans="1:1" x14ac:dyDescent="0.3">
      <c r="A1986" s="2"/>
    </row>
    <row r="1987" spans="1:1" x14ac:dyDescent="0.3">
      <c r="A1987" s="2"/>
    </row>
    <row r="1988" spans="1:1" x14ac:dyDescent="0.3">
      <c r="A1988" s="2"/>
    </row>
    <row r="1989" spans="1:1" x14ac:dyDescent="0.3">
      <c r="A1989" s="2"/>
    </row>
    <row r="1990" spans="1:1" x14ac:dyDescent="0.3">
      <c r="A1990" s="2"/>
    </row>
    <row r="1991" spans="1:1" x14ac:dyDescent="0.3">
      <c r="A1991" s="2"/>
    </row>
    <row r="1992" spans="1:1" x14ac:dyDescent="0.3">
      <c r="A1992" s="2"/>
    </row>
    <row r="1993" spans="1:1" x14ac:dyDescent="0.3">
      <c r="A1993" s="2"/>
    </row>
    <row r="1994" spans="1:1" x14ac:dyDescent="0.3">
      <c r="A1994" s="2"/>
    </row>
    <row r="1995" spans="1:1" x14ac:dyDescent="0.3">
      <c r="A1995" s="2"/>
    </row>
    <row r="1996" spans="1:1" x14ac:dyDescent="0.3">
      <c r="A1996" s="2"/>
    </row>
    <row r="1997" spans="1:1" x14ac:dyDescent="0.3">
      <c r="A1997" s="2"/>
    </row>
    <row r="1998" spans="1:1" x14ac:dyDescent="0.3">
      <c r="A1998" s="2"/>
    </row>
    <row r="1999" spans="1:1" x14ac:dyDescent="0.3">
      <c r="A1999" s="2"/>
    </row>
    <row r="2000" spans="1:1" x14ac:dyDescent="0.3">
      <c r="A2000" s="2"/>
    </row>
    <row r="2001" spans="1:1" x14ac:dyDescent="0.3">
      <c r="A2001" s="2"/>
    </row>
    <row r="2002" spans="1:1" x14ac:dyDescent="0.3">
      <c r="A2002" s="2"/>
    </row>
    <row r="2003" spans="1:1" x14ac:dyDescent="0.3">
      <c r="A2003" s="2"/>
    </row>
    <row r="2004" spans="1:1" x14ac:dyDescent="0.3">
      <c r="A2004" s="2"/>
    </row>
    <row r="2005" spans="1:1" x14ac:dyDescent="0.3">
      <c r="A2005" s="2"/>
    </row>
    <row r="2006" spans="1:1" x14ac:dyDescent="0.3">
      <c r="A2006" s="2"/>
    </row>
    <row r="2007" spans="1:1" x14ac:dyDescent="0.3">
      <c r="A2007" s="2"/>
    </row>
    <row r="2008" spans="1:1" x14ac:dyDescent="0.3">
      <c r="A2008" s="2"/>
    </row>
    <row r="2009" spans="1:1" x14ac:dyDescent="0.3">
      <c r="A2009" s="2"/>
    </row>
    <row r="2010" spans="1:1" x14ac:dyDescent="0.3">
      <c r="A2010" s="2"/>
    </row>
    <row r="2011" spans="1:1" x14ac:dyDescent="0.3">
      <c r="A2011" s="2"/>
    </row>
    <row r="2012" spans="1:1" x14ac:dyDescent="0.3">
      <c r="A2012" s="2"/>
    </row>
    <row r="2013" spans="1:1" x14ac:dyDescent="0.3">
      <c r="A2013" s="2"/>
    </row>
    <row r="2014" spans="1:1" x14ac:dyDescent="0.3">
      <c r="A2014" s="2"/>
    </row>
    <row r="2015" spans="1:1" x14ac:dyDescent="0.3">
      <c r="A2015" s="2"/>
    </row>
    <row r="2016" spans="1:1" x14ac:dyDescent="0.3">
      <c r="A2016" s="2"/>
    </row>
    <row r="2017" spans="1:1" x14ac:dyDescent="0.3">
      <c r="A2017" s="2"/>
    </row>
    <row r="2018" spans="1:1" x14ac:dyDescent="0.3">
      <c r="A2018" s="2"/>
    </row>
    <row r="2019" spans="1:1" x14ac:dyDescent="0.3">
      <c r="A2019" s="2"/>
    </row>
    <row r="2020" spans="1:1" x14ac:dyDescent="0.3">
      <c r="A2020" s="2"/>
    </row>
    <row r="2021" spans="1:1" x14ac:dyDescent="0.3">
      <c r="A2021" s="2"/>
    </row>
    <row r="2022" spans="1:1" x14ac:dyDescent="0.3">
      <c r="A2022" s="2"/>
    </row>
    <row r="2023" spans="1:1" x14ac:dyDescent="0.3">
      <c r="A2023" s="2"/>
    </row>
    <row r="2024" spans="1:1" x14ac:dyDescent="0.3">
      <c r="A2024" s="2"/>
    </row>
    <row r="2025" spans="1:1" x14ac:dyDescent="0.3">
      <c r="A2025" s="2"/>
    </row>
    <row r="2026" spans="1:1" x14ac:dyDescent="0.3">
      <c r="A2026" s="2"/>
    </row>
    <row r="2027" spans="1:1" x14ac:dyDescent="0.3">
      <c r="A2027" s="2"/>
    </row>
    <row r="2028" spans="1:1" x14ac:dyDescent="0.3">
      <c r="A2028" s="2"/>
    </row>
    <row r="2029" spans="1:1" x14ac:dyDescent="0.3">
      <c r="A2029" s="2"/>
    </row>
    <row r="2030" spans="1:1" x14ac:dyDescent="0.3">
      <c r="A2030" s="2"/>
    </row>
    <row r="2031" spans="1:1" x14ac:dyDescent="0.3">
      <c r="A2031" s="2"/>
    </row>
    <row r="2032" spans="1:1" x14ac:dyDescent="0.3">
      <c r="A2032" s="2"/>
    </row>
    <row r="2033" spans="1:1" x14ac:dyDescent="0.3">
      <c r="A2033" s="2"/>
    </row>
    <row r="2034" spans="1:1" x14ac:dyDescent="0.3">
      <c r="A2034" s="2"/>
    </row>
    <row r="2035" spans="1:1" x14ac:dyDescent="0.3">
      <c r="A2035" s="2"/>
    </row>
    <row r="2036" spans="1:1" x14ac:dyDescent="0.3">
      <c r="A2036" s="2"/>
    </row>
    <row r="2037" spans="1:1" x14ac:dyDescent="0.3">
      <c r="A2037" s="2"/>
    </row>
    <row r="2038" spans="1:1" x14ac:dyDescent="0.3">
      <c r="A2038" s="2"/>
    </row>
    <row r="2039" spans="1:1" x14ac:dyDescent="0.3">
      <c r="A2039" s="2"/>
    </row>
    <row r="2040" spans="1:1" x14ac:dyDescent="0.3">
      <c r="A2040" s="2"/>
    </row>
    <row r="2041" spans="1:1" x14ac:dyDescent="0.3">
      <c r="A2041" s="2"/>
    </row>
    <row r="2042" spans="1:1" x14ac:dyDescent="0.3">
      <c r="A2042" s="2"/>
    </row>
    <row r="2043" spans="1:1" x14ac:dyDescent="0.3">
      <c r="A2043" s="2"/>
    </row>
    <row r="2044" spans="1:1" x14ac:dyDescent="0.3">
      <c r="A2044" s="2"/>
    </row>
    <row r="2045" spans="1:1" x14ac:dyDescent="0.3">
      <c r="A2045" s="2"/>
    </row>
    <row r="2046" spans="1:1" x14ac:dyDescent="0.3">
      <c r="A2046" s="2"/>
    </row>
    <row r="2047" spans="1:1" x14ac:dyDescent="0.3">
      <c r="A2047" s="2"/>
    </row>
    <row r="2048" spans="1:1" x14ac:dyDescent="0.3">
      <c r="A2048" s="2"/>
    </row>
    <row r="2049" spans="1:1" x14ac:dyDescent="0.3">
      <c r="A2049" s="2"/>
    </row>
    <row r="2050" spans="1:1" x14ac:dyDescent="0.3">
      <c r="A2050" s="2"/>
    </row>
    <row r="2051" spans="1:1" x14ac:dyDescent="0.3">
      <c r="A2051" s="2"/>
    </row>
    <row r="2052" spans="1:1" x14ac:dyDescent="0.3">
      <c r="A2052" s="2"/>
    </row>
    <row r="2053" spans="1:1" x14ac:dyDescent="0.3">
      <c r="A2053" s="2"/>
    </row>
    <row r="2054" spans="1:1" x14ac:dyDescent="0.3">
      <c r="A2054" s="2"/>
    </row>
    <row r="2055" spans="1:1" x14ac:dyDescent="0.3">
      <c r="A2055" s="2"/>
    </row>
    <row r="2056" spans="1:1" x14ac:dyDescent="0.3">
      <c r="A2056" s="2"/>
    </row>
    <row r="2057" spans="1:1" x14ac:dyDescent="0.3">
      <c r="A2057" s="2"/>
    </row>
    <row r="2058" spans="1:1" x14ac:dyDescent="0.3">
      <c r="A2058" s="2"/>
    </row>
    <row r="2059" spans="1:1" x14ac:dyDescent="0.3">
      <c r="A2059" s="2"/>
    </row>
    <row r="2060" spans="1:1" x14ac:dyDescent="0.3">
      <c r="A2060" s="2"/>
    </row>
    <row r="2061" spans="1:1" x14ac:dyDescent="0.3">
      <c r="A2061" s="2"/>
    </row>
    <row r="2062" spans="1:1" x14ac:dyDescent="0.3">
      <c r="A2062" s="2"/>
    </row>
    <row r="2063" spans="1:1" x14ac:dyDescent="0.3">
      <c r="A2063" s="2"/>
    </row>
    <row r="2064" spans="1:1" x14ac:dyDescent="0.3">
      <c r="A2064" s="2"/>
    </row>
    <row r="2065" spans="1:1" x14ac:dyDescent="0.3">
      <c r="A2065" s="2"/>
    </row>
    <row r="2066" spans="1:1" x14ac:dyDescent="0.3">
      <c r="A2066" s="2"/>
    </row>
    <row r="2067" spans="1:1" x14ac:dyDescent="0.3">
      <c r="A2067" s="2"/>
    </row>
    <row r="2068" spans="1:1" x14ac:dyDescent="0.3">
      <c r="A2068" s="2"/>
    </row>
    <row r="2069" spans="1:1" x14ac:dyDescent="0.3">
      <c r="A2069" s="2"/>
    </row>
    <row r="2070" spans="1:1" x14ac:dyDescent="0.3">
      <c r="A2070" s="2"/>
    </row>
    <row r="2071" spans="1:1" x14ac:dyDescent="0.3">
      <c r="A2071" s="2"/>
    </row>
    <row r="2072" spans="1:1" x14ac:dyDescent="0.3">
      <c r="A2072" s="2"/>
    </row>
    <row r="2073" spans="1:1" x14ac:dyDescent="0.3">
      <c r="A2073" s="2"/>
    </row>
    <row r="2074" spans="1:1" x14ac:dyDescent="0.3">
      <c r="A2074" s="2"/>
    </row>
    <row r="2075" spans="1:1" x14ac:dyDescent="0.3">
      <c r="A2075" s="2"/>
    </row>
    <row r="2076" spans="1:1" x14ac:dyDescent="0.3">
      <c r="A2076" s="2"/>
    </row>
    <row r="2077" spans="1:1" x14ac:dyDescent="0.3">
      <c r="A2077" s="2"/>
    </row>
    <row r="2078" spans="1:1" x14ac:dyDescent="0.3">
      <c r="A2078" s="2"/>
    </row>
    <row r="2079" spans="1:1" x14ac:dyDescent="0.3">
      <c r="A2079" s="2"/>
    </row>
    <row r="2080" spans="1:1" x14ac:dyDescent="0.3">
      <c r="A2080" s="2"/>
    </row>
    <row r="2081" spans="1:1" x14ac:dyDescent="0.3">
      <c r="A2081" s="2"/>
    </row>
    <row r="2082" spans="1:1" x14ac:dyDescent="0.3">
      <c r="A2082" s="2"/>
    </row>
    <row r="2083" spans="1:1" x14ac:dyDescent="0.3">
      <c r="A2083" s="2"/>
    </row>
    <row r="2084" spans="1:1" x14ac:dyDescent="0.3">
      <c r="A2084" s="2"/>
    </row>
    <row r="2085" spans="1:1" x14ac:dyDescent="0.3">
      <c r="A2085" s="2"/>
    </row>
    <row r="2086" spans="1:1" x14ac:dyDescent="0.3">
      <c r="A2086" s="2"/>
    </row>
    <row r="2087" spans="1:1" x14ac:dyDescent="0.3">
      <c r="A2087" s="2"/>
    </row>
    <row r="2088" spans="1:1" x14ac:dyDescent="0.3">
      <c r="A2088" s="2"/>
    </row>
    <row r="2089" spans="1:1" x14ac:dyDescent="0.3">
      <c r="A2089" s="2"/>
    </row>
    <row r="2090" spans="1:1" x14ac:dyDescent="0.3">
      <c r="A2090" s="2"/>
    </row>
    <row r="2091" spans="1:1" x14ac:dyDescent="0.3">
      <c r="A2091" s="2"/>
    </row>
    <row r="2092" spans="1:1" x14ac:dyDescent="0.3">
      <c r="A2092" s="2"/>
    </row>
    <row r="2093" spans="1:1" x14ac:dyDescent="0.3">
      <c r="A2093" s="2"/>
    </row>
    <row r="2094" spans="1:1" x14ac:dyDescent="0.3">
      <c r="A2094" s="2"/>
    </row>
    <row r="2095" spans="1:1" x14ac:dyDescent="0.3">
      <c r="A2095" s="2"/>
    </row>
    <row r="2096" spans="1:1" x14ac:dyDescent="0.3">
      <c r="A2096" s="2"/>
    </row>
    <row r="2097" spans="1:1" x14ac:dyDescent="0.3">
      <c r="A2097" s="2"/>
    </row>
    <row r="2098" spans="1:1" x14ac:dyDescent="0.3">
      <c r="A2098" s="2"/>
    </row>
    <row r="2099" spans="1:1" x14ac:dyDescent="0.3">
      <c r="A2099" s="2"/>
    </row>
    <row r="2100" spans="1:1" x14ac:dyDescent="0.3">
      <c r="A2100" s="2"/>
    </row>
    <row r="2101" spans="1:1" x14ac:dyDescent="0.3">
      <c r="A2101" s="2"/>
    </row>
    <row r="2102" spans="1:1" x14ac:dyDescent="0.3">
      <c r="A2102" s="2"/>
    </row>
    <row r="2103" spans="1:1" x14ac:dyDescent="0.3">
      <c r="A2103" s="2"/>
    </row>
    <row r="2104" spans="1:1" x14ac:dyDescent="0.3">
      <c r="A2104" s="2"/>
    </row>
    <row r="2105" spans="1:1" x14ac:dyDescent="0.3">
      <c r="A2105" s="2"/>
    </row>
    <row r="2106" spans="1:1" x14ac:dyDescent="0.3">
      <c r="A2106" s="2"/>
    </row>
    <row r="2107" spans="1:1" x14ac:dyDescent="0.3">
      <c r="A2107" s="2"/>
    </row>
    <row r="2108" spans="1:1" x14ac:dyDescent="0.3">
      <c r="A2108" s="2"/>
    </row>
    <row r="2109" spans="1:1" x14ac:dyDescent="0.3">
      <c r="A2109" s="2"/>
    </row>
    <row r="2110" spans="1:1" x14ac:dyDescent="0.3">
      <c r="A2110" s="2"/>
    </row>
    <row r="2111" spans="1:1" x14ac:dyDescent="0.3">
      <c r="A2111" s="2"/>
    </row>
    <row r="2112" spans="1:1" x14ac:dyDescent="0.3">
      <c r="A2112" s="2"/>
    </row>
    <row r="2113" spans="1:1" x14ac:dyDescent="0.3">
      <c r="A2113" s="2"/>
    </row>
    <row r="2114" spans="1:1" x14ac:dyDescent="0.3">
      <c r="A2114" s="2"/>
    </row>
    <row r="2115" spans="1:1" x14ac:dyDescent="0.3">
      <c r="A2115" s="2"/>
    </row>
    <row r="2116" spans="1:1" x14ac:dyDescent="0.3">
      <c r="A2116" s="2"/>
    </row>
    <row r="2117" spans="1:1" x14ac:dyDescent="0.3">
      <c r="A2117" s="2"/>
    </row>
    <row r="2118" spans="1:1" x14ac:dyDescent="0.3">
      <c r="A2118" s="2"/>
    </row>
    <row r="2119" spans="1:1" x14ac:dyDescent="0.3">
      <c r="A2119" s="2"/>
    </row>
    <row r="2120" spans="1:1" x14ac:dyDescent="0.3">
      <c r="A2120" s="2"/>
    </row>
    <row r="2121" spans="1:1" x14ac:dyDescent="0.3">
      <c r="A2121" s="2"/>
    </row>
    <row r="2122" spans="1:1" x14ac:dyDescent="0.3">
      <c r="A2122" s="2"/>
    </row>
    <row r="2123" spans="1:1" x14ac:dyDescent="0.3">
      <c r="A2123" s="2"/>
    </row>
    <row r="2124" spans="1:1" x14ac:dyDescent="0.3">
      <c r="A2124" s="2"/>
    </row>
    <row r="2125" spans="1:1" x14ac:dyDescent="0.3">
      <c r="A2125" s="2"/>
    </row>
    <row r="2126" spans="1:1" x14ac:dyDescent="0.3">
      <c r="A2126" s="2"/>
    </row>
    <row r="2127" spans="1:1" x14ac:dyDescent="0.3">
      <c r="A2127" s="2"/>
    </row>
    <row r="2128" spans="1:1" x14ac:dyDescent="0.3">
      <c r="A2128" s="2"/>
    </row>
    <row r="2129" spans="1:1" x14ac:dyDescent="0.3">
      <c r="A2129" s="2"/>
    </row>
    <row r="2130" spans="1:1" x14ac:dyDescent="0.3">
      <c r="A2130" s="2"/>
    </row>
    <row r="2131" spans="1:1" x14ac:dyDescent="0.3">
      <c r="A2131" s="2"/>
    </row>
    <row r="2132" spans="1:1" x14ac:dyDescent="0.3">
      <c r="A2132" s="2"/>
    </row>
    <row r="2133" spans="1:1" x14ac:dyDescent="0.3">
      <c r="A2133" s="2"/>
    </row>
    <row r="2134" spans="1:1" x14ac:dyDescent="0.3">
      <c r="A2134" s="2"/>
    </row>
    <row r="2135" spans="1:1" x14ac:dyDescent="0.3">
      <c r="A2135" s="2"/>
    </row>
    <row r="2136" spans="1:1" x14ac:dyDescent="0.3">
      <c r="A2136" s="2"/>
    </row>
    <row r="2137" spans="1:1" x14ac:dyDescent="0.3">
      <c r="A2137" s="2"/>
    </row>
    <row r="2138" spans="1:1" x14ac:dyDescent="0.3">
      <c r="A2138" s="2"/>
    </row>
    <row r="2139" spans="1:1" x14ac:dyDescent="0.3">
      <c r="A2139" s="2"/>
    </row>
    <row r="2140" spans="1:1" x14ac:dyDescent="0.3">
      <c r="A2140" s="2"/>
    </row>
    <row r="2141" spans="1:1" x14ac:dyDescent="0.3">
      <c r="A2141" s="2"/>
    </row>
    <row r="2142" spans="1:1" x14ac:dyDescent="0.3">
      <c r="A2142" s="2"/>
    </row>
    <row r="2143" spans="1:1" x14ac:dyDescent="0.3">
      <c r="A2143" s="2"/>
    </row>
    <row r="2144" spans="1:1" x14ac:dyDescent="0.3">
      <c r="A2144" s="2"/>
    </row>
    <row r="2145" spans="1:1" x14ac:dyDescent="0.3">
      <c r="A2145" s="2"/>
    </row>
    <row r="2146" spans="1:1" x14ac:dyDescent="0.3">
      <c r="A2146" s="2"/>
    </row>
    <row r="2147" spans="1:1" x14ac:dyDescent="0.3">
      <c r="A2147" s="2"/>
    </row>
    <row r="2148" spans="1:1" x14ac:dyDescent="0.3">
      <c r="A2148" s="2"/>
    </row>
    <row r="2149" spans="1:1" x14ac:dyDescent="0.3">
      <c r="A2149" s="2"/>
    </row>
    <row r="2150" spans="1:1" x14ac:dyDescent="0.3">
      <c r="A2150" s="2"/>
    </row>
    <row r="2151" spans="1:1" x14ac:dyDescent="0.3">
      <c r="A2151" s="2"/>
    </row>
    <row r="2152" spans="1:1" x14ac:dyDescent="0.3">
      <c r="A2152" s="2"/>
    </row>
    <row r="2153" spans="1:1" x14ac:dyDescent="0.3">
      <c r="A2153" s="2"/>
    </row>
    <row r="2154" spans="1:1" x14ac:dyDescent="0.3">
      <c r="A2154" s="2"/>
    </row>
    <row r="2155" spans="1:1" x14ac:dyDescent="0.3">
      <c r="A2155" s="2"/>
    </row>
    <row r="2156" spans="1:1" x14ac:dyDescent="0.3">
      <c r="A2156" s="2"/>
    </row>
    <row r="2157" spans="1:1" x14ac:dyDescent="0.3">
      <c r="A2157" s="2"/>
    </row>
    <row r="2158" spans="1:1" x14ac:dyDescent="0.3">
      <c r="A2158" s="2"/>
    </row>
    <row r="2159" spans="1:1" x14ac:dyDescent="0.3">
      <c r="A2159" s="2"/>
    </row>
    <row r="2160" spans="1:1" x14ac:dyDescent="0.3">
      <c r="A2160" s="2"/>
    </row>
    <row r="2161" spans="1:1" x14ac:dyDescent="0.3">
      <c r="A2161" s="2"/>
    </row>
    <row r="2162" spans="1:1" x14ac:dyDescent="0.3">
      <c r="A2162" s="2"/>
    </row>
    <row r="2163" spans="1:1" x14ac:dyDescent="0.3">
      <c r="A2163" s="2"/>
    </row>
    <row r="2164" spans="1:1" x14ac:dyDescent="0.3">
      <c r="A2164" s="2"/>
    </row>
    <row r="2165" spans="1:1" x14ac:dyDescent="0.3">
      <c r="A2165" s="2"/>
    </row>
    <row r="2166" spans="1:1" x14ac:dyDescent="0.3">
      <c r="A2166" s="2"/>
    </row>
    <row r="2167" spans="1:1" x14ac:dyDescent="0.3">
      <c r="A2167" s="2"/>
    </row>
    <row r="2168" spans="1:1" x14ac:dyDescent="0.3">
      <c r="A2168" s="2"/>
    </row>
    <row r="2169" spans="1:1" x14ac:dyDescent="0.3">
      <c r="A2169" s="2"/>
    </row>
    <row r="2170" spans="1:1" x14ac:dyDescent="0.3">
      <c r="A2170" s="2"/>
    </row>
    <row r="2171" spans="1:1" x14ac:dyDescent="0.3">
      <c r="A2171" s="2"/>
    </row>
    <row r="2172" spans="1:1" x14ac:dyDescent="0.3">
      <c r="A2172" s="2"/>
    </row>
    <row r="2173" spans="1:1" x14ac:dyDescent="0.3">
      <c r="A2173" s="2"/>
    </row>
    <row r="2174" spans="1:1" x14ac:dyDescent="0.3">
      <c r="A2174" s="2"/>
    </row>
    <row r="2175" spans="1:1" x14ac:dyDescent="0.3">
      <c r="A2175" s="2"/>
    </row>
    <row r="2176" spans="1:1" x14ac:dyDescent="0.3">
      <c r="A2176" s="2"/>
    </row>
    <row r="2177" spans="1:1" x14ac:dyDescent="0.3">
      <c r="A2177" s="2"/>
    </row>
    <row r="2178" spans="1:1" x14ac:dyDescent="0.3">
      <c r="A2178" s="2"/>
    </row>
    <row r="2179" spans="1:1" x14ac:dyDescent="0.3">
      <c r="A2179" s="2"/>
    </row>
    <row r="2180" spans="1:1" x14ac:dyDescent="0.3">
      <c r="A2180" s="2"/>
    </row>
    <row r="2181" spans="1:1" x14ac:dyDescent="0.3">
      <c r="A2181" s="2"/>
    </row>
    <row r="2182" spans="1:1" x14ac:dyDescent="0.3">
      <c r="A2182" s="2"/>
    </row>
    <row r="2183" spans="1:1" x14ac:dyDescent="0.3">
      <c r="A2183" s="2"/>
    </row>
    <row r="2184" spans="1:1" x14ac:dyDescent="0.3">
      <c r="A2184" s="2"/>
    </row>
    <row r="2185" spans="1:1" x14ac:dyDescent="0.3">
      <c r="A2185" s="2"/>
    </row>
    <row r="2186" spans="1:1" x14ac:dyDescent="0.3">
      <c r="A2186" s="2"/>
    </row>
    <row r="2187" spans="1:1" x14ac:dyDescent="0.3">
      <c r="A2187" s="2"/>
    </row>
    <row r="2188" spans="1:1" x14ac:dyDescent="0.3">
      <c r="A2188" s="2"/>
    </row>
    <row r="2189" spans="1:1" x14ac:dyDescent="0.3">
      <c r="A2189" s="2"/>
    </row>
    <row r="2190" spans="1:1" x14ac:dyDescent="0.3">
      <c r="A2190" s="2"/>
    </row>
    <row r="2191" spans="1:1" x14ac:dyDescent="0.3">
      <c r="A2191" s="2"/>
    </row>
    <row r="2192" spans="1:1" x14ac:dyDescent="0.3">
      <c r="A2192" s="2"/>
    </row>
    <row r="2193" spans="1:1" x14ac:dyDescent="0.3">
      <c r="A2193" s="2"/>
    </row>
    <row r="2194" spans="1:1" x14ac:dyDescent="0.3">
      <c r="A2194" s="2"/>
    </row>
    <row r="2195" spans="1:1" x14ac:dyDescent="0.3">
      <c r="A2195" s="2"/>
    </row>
    <row r="2196" spans="1:1" x14ac:dyDescent="0.3">
      <c r="A2196" s="2"/>
    </row>
    <row r="2197" spans="1:1" x14ac:dyDescent="0.3">
      <c r="A2197" s="2"/>
    </row>
    <row r="2198" spans="1:1" x14ac:dyDescent="0.3">
      <c r="A2198" s="2"/>
    </row>
    <row r="2199" spans="1:1" x14ac:dyDescent="0.3">
      <c r="A2199" s="2"/>
    </row>
    <row r="2200" spans="1:1" x14ac:dyDescent="0.3">
      <c r="A2200" s="2"/>
    </row>
    <row r="2201" spans="1:1" x14ac:dyDescent="0.3">
      <c r="A2201" s="2"/>
    </row>
    <row r="2202" spans="1:1" x14ac:dyDescent="0.3">
      <c r="A2202" s="2"/>
    </row>
    <row r="2203" spans="1:1" x14ac:dyDescent="0.3">
      <c r="A2203" s="2"/>
    </row>
    <row r="2204" spans="1:1" x14ac:dyDescent="0.3">
      <c r="A2204" s="2"/>
    </row>
    <row r="2205" spans="1:1" x14ac:dyDescent="0.3">
      <c r="A2205" s="2"/>
    </row>
    <row r="2206" spans="1:1" x14ac:dyDescent="0.3">
      <c r="A2206" s="2"/>
    </row>
    <row r="2207" spans="1:1" x14ac:dyDescent="0.3">
      <c r="A2207" s="2"/>
    </row>
    <row r="2208" spans="1:1" x14ac:dyDescent="0.3">
      <c r="A2208" s="2"/>
    </row>
    <row r="2209" spans="1:1" x14ac:dyDescent="0.3">
      <c r="A2209" s="2"/>
    </row>
    <row r="2210" spans="1:1" x14ac:dyDescent="0.3">
      <c r="A2210" s="2"/>
    </row>
    <row r="2211" spans="1:1" x14ac:dyDescent="0.3">
      <c r="A2211" s="2"/>
    </row>
    <row r="2212" spans="1:1" x14ac:dyDescent="0.3">
      <c r="A2212" s="2"/>
    </row>
    <row r="2213" spans="1:1" x14ac:dyDescent="0.3">
      <c r="A2213" s="2"/>
    </row>
    <row r="2214" spans="1:1" x14ac:dyDescent="0.3">
      <c r="A2214" s="2"/>
    </row>
    <row r="2215" spans="1:1" x14ac:dyDescent="0.3">
      <c r="A2215" s="2"/>
    </row>
    <row r="2216" spans="1:1" x14ac:dyDescent="0.3">
      <c r="A2216" s="2"/>
    </row>
    <row r="2217" spans="1:1" x14ac:dyDescent="0.3">
      <c r="A2217" s="2"/>
    </row>
    <row r="2218" spans="1:1" x14ac:dyDescent="0.3">
      <c r="A2218" s="2"/>
    </row>
    <row r="2219" spans="1:1" x14ac:dyDescent="0.3">
      <c r="A2219" s="2"/>
    </row>
    <row r="2220" spans="1:1" x14ac:dyDescent="0.3">
      <c r="A2220" s="2"/>
    </row>
    <row r="2221" spans="1:1" x14ac:dyDescent="0.3">
      <c r="A2221" s="2"/>
    </row>
    <row r="2222" spans="1:1" x14ac:dyDescent="0.3">
      <c r="A2222" s="2"/>
    </row>
    <row r="2223" spans="1:1" x14ac:dyDescent="0.3">
      <c r="A2223" s="2"/>
    </row>
    <row r="2224" spans="1:1" x14ac:dyDescent="0.3">
      <c r="A2224" s="2"/>
    </row>
    <row r="2225" spans="1:1" x14ac:dyDescent="0.3">
      <c r="A2225" s="2"/>
    </row>
    <row r="2226" spans="1:1" x14ac:dyDescent="0.3">
      <c r="A2226" s="2"/>
    </row>
    <row r="2227" spans="1:1" x14ac:dyDescent="0.3">
      <c r="A2227" s="2"/>
    </row>
    <row r="2228" spans="1:1" x14ac:dyDescent="0.3">
      <c r="A2228" s="2"/>
    </row>
    <row r="2229" spans="1:1" x14ac:dyDescent="0.3">
      <c r="A2229" s="2"/>
    </row>
    <row r="2230" spans="1:1" x14ac:dyDescent="0.3">
      <c r="A2230" s="2"/>
    </row>
    <row r="2231" spans="1:1" x14ac:dyDescent="0.3">
      <c r="A2231" s="2"/>
    </row>
    <row r="2232" spans="1:1" x14ac:dyDescent="0.3">
      <c r="A2232" s="2"/>
    </row>
    <row r="2233" spans="1:1" x14ac:dyDescent="0.3">
      <c r="A2233" s="2"/>
    </row>
    <row r="2234" spans="1:1" x14ac:dyDescent="0.3">
      <c r="A2234" s="2"/>
    </row>
    <row r="2235" spans="1:1" x14ac:dyDescent="0.3">
      <c r="A2235" s="2"/>
    </row>
    <row r="2236" spans="1:1" x14ac:dyDescent="0.3">
      <c r="A2236" s="2"/>
    </row>
    <row r="2237" spans="1:1" x14ac:dyDescent="0.3">
      <c r="A2237" s="2"/>
    </row>
    <row r="2238" spans="1:1" x14ac:dyDescent="0.3">
      <c r="A2238" s="2"/>
    </row>
    <row r="2239" spans="1:1" x14ac:dyDescent="0.3">
      <c r="A2239" s="2"/>
    </row>
    <row r="2240" spans="1:1" x14ac:dyDescent="0.3">
      <c r="A2240" s="2"/>
    </row>
    <row r="2241" spans="1:1" x14ac:dyDescent="0.3">
      <c r="A2241" s="2"/>
    </row>
    <row r="2242" spans="1:1" x14ac:dyDescent="0.3">
      <c r="A2242" s="2"/>
    </row>
    <row r="2243" spans="1:1" x14ac:dyDescent="0.3">
      <c r="A2243" s="2"/>
    </row>
    <row r="2244" spans="1:1" x14ac:dyDescent="0.3">
      <c r="A2244" s="2"/>
    </row>
    <row r="2245" spans="1:1" x14ac:dyDescent="0.3">
      <c r="A2245" s="2"/>
    </row>
    <row r="2246" spans="1:1" x14ac:dyDescent="0.3">
      <c r="A2246" s="2"/>
    </row>
    <row r="2247" spans="1:1" x14ac:dyDescent="0.3">
      <c r="A2247" s="2"/>
    </row>
    <row r="2248" spans="1:1" x14ac:dyDescent="0.3">
      <c r="A2248" s="2"/>
    </row>
    <row r="2249" spans="1:1" x14ac:dyDescent="0.3">
      <c r="A2249" s="2"/>
    </row>
    <row r="2250" spans="1:1" x14ac:dyDescent="0.3">
      <c r="A2250" s="2"/>
    </row>
    <row r="2251" spans="1:1" x14ac:dyDescent="0.3">
      <c r="A2251" s="2"/>
    </row>
    <row r="2252" spans="1:1" x14ac:dyDescent="0.3">
      <c r="A2252" s="2"/>
    </row>
    <row r="2253" spans="1:1" x14ac:dyDescent="0.3">
      <c r="A2253" s="2"/>
    </row>
    <row r="2254" spans="1:1" x14ac:dyDescent="0.3">
      <c r="A2254" s="2"/>
    </row>
    <row r="2255" spans="1:1" x14ac:dyDescent="0.3">
      <c r="A2255" s="2"/>
    </row>
    <row r="2256" spans="1:1" x14ac:dyDescent="0.3">
      <c r="A2256" s="2"/>
    </row>
    <row r="2257" spans="1:1" x14ac:dyDescent="0.3">
      <c r="A2257" s="2"/>
    </row>
    <row r="2258" spans="1:1" x14ac:dyDescent="0.3">
      <c r="A2258" s="2"/>
    </row>
    <row r="2259" spans="1:1" x14ac:dyDescent="0.3">
      <c r="A2259" s="2"/>
    </row>
    <row r="2260" spans="1:1" x14ac:dyDescent="0.3">
      <c r="A2260" s="2"/>
    </row>
    <row r="2261" spans="1:1" x14ac:dyDescent="0.3">
      <c r="A2261" s="2"/>
    </row>
    <row r="2262" spans="1:1" x14ac:dyDescent="0.3">
      <c r="A2262" s="2"/>
    </row>
    <row r="2263" spans="1:1" x14ac:dyDescent="0.3">
      <c r="A2263" s="2"/>
    </row>
    <row r="2264" spans="1:1" x14ac:dyDescent="0.3">
      <c r="A2264" s="2"/>
    </row>
    <row r="2265" spans="1:1" x14ac:dyDescent="0.3">
      <c r="A2265" s="2"/>
    </row>
    <row r="2266" spans="1:1" x14ac:dyDescent="0.3">
      <c r="A2266" s="2"/>
    </row>
    <row r="2267" spans="1:1" x14ac:dyDescent="0.3">
      <c r="A2267" s="2"/>
    </row>
    <row r="2268" spans="1:1" x14ac:dyDescent="0.3">
      <c r="A2268" s="2"/>
    </row>
    <row r="2269" spans="1:1" x14ac:dyDescent="0.3">
      <c r="A2269" s="2"/>
    </row>
    <row r="2270" spans="1:1" x14ac:dyDescent="0.3">
      <c r="A2270" s="2"/>
    </row>
    <row r="2271" spans="1:1" x14ac:dyDescent="0.3">
      <c r="A2271" s="2"/>
    </row>
    <row r="2272" spans="1:1" x14ac:dyDescent="0.3">
      <c r="A2272" s="2"/>
    </row>
    <row r="2273" spans="1:1" x14ac:dyDescent="0.3">
      <c r="A2273" s="2"/>
    </row>
    <row r="2274" spans="1:1" x14ac:dyDescent="0.3">
      <c r="A2274" s="2"/>
    </row>
    <row r="2275" spans="1:1" x14ac:dyDescent="0.3">
      <c r="A2275" s="2"/>
    </row>
    <row r="2276" spans="1:1" x14ac:dyDescent="0.3">
      <c r="A2276" s="2"/>
    </row>
    <row r="2277" spans="1:1" x14ac:dyDescent="0.3">
      <c r="A2277" s="2"/>
    </row>
    <row r="2278" spans="1:1" x14ac:dyDescent="0.3">
      <c r="A2278" s="2"/>
    </row>
    <row r="2279" spans="1:1" x14ac:dyDescent="0.3">
      <c r="A2279" s="2"/>
    </row>
    <row r="2280" spans="1:1" x14ac:dyDescent="0.3">
      <c r="A2280" s="2"/>
    </row>
    <row r="2281" spans="1:1" x14ac:dyDescent="0.3">
      <c r="A2281" s="2"/>
    </row>
    <row r="2282" spans="1:1" x14ac:dyDescent="0.3">
      <c r="A2282" s="2"/>
    </row>
    <row r="2283" spans="1:1" x14ac:dyDescent="0.3">
      <c r="A2283" s="2"/>
    </row>
    <row r="2284" spans="1:1" x14ac:dyDescent="0.3">
      <c r="A2284" s="2"/>
    </row>
    <row r="2285" spans="1:1" x14ac:dyDescent="0.3">
      <c r="A2285" s="2"/>
    </row>
    <row r="2286" spans="1:1" x14ac:dyDescent="0.3">
      <c r="A2286" s="2"/>
    </row>
    <row r="2287" spans="1:1" x14ac:dyDescent="0.3">
      <c r="A2287" s="2"/>
    </row>
    <row r="2288" spans="1:1" x14ac:dyDescent="0.3">
      <c r="A2288" s="2"/>
    </row>
    <row r="2289" spans="1:1" x14ac:dyDescent="0.3">
      <c r="A2289" s="2"/>
    </row>
    <row r="2290" spans="1:1" x14ac:dyDescent="0.3">
      <c r="A2290" s="2"/>
    </row>
    <row r="2291" spans="1:1" x14ac:dyDescent="0.3">
      <c r="A2291" s="2"/>
    </row>
    <row r="2292" spans="1:1" x14ac:dyDescent="0.3">
      <c r="A2292" s="2"/>
    </row>
    <row r="2293" spans="1:1" x14ac:dyDescent="0.3">
      <c r="A2293" s="2"/>
    </row>
    <row r="2294" spans="1:1" x14ac:dyDescent="0.3">
      <c r="A2294" s="2"/>
    </row>
    <row r="2295" spans="1:1" x14ac:dyDescent="0.3">
      <c r="A2295" s="2"/>
    </row>
    <row r="2296" spans="1:1" x14ac:dyDescent="0.3">
      <c r="A2296" s="2"/>
    </row>
    <row r="2297" spans="1:1" x14ac:dyDescent="0.3">
      <c r="A2297" s="2"/>
    </row>
    <row r="2298" spans="1:1" x14ac:dyDescent="0.3">
      <c r="A2298" s="2"/>
    </row>
    <row r="2299" spans="1:1" x14ac:dyDescent="0.3">
      <c r="A2299" s="2"/>
    </row>
    <row r="2300" spans="1:1" x14ac:dyDescent="0.3">
      <c r="A2300" s="2"/>
    </row>
    <row r="2301" spans="1:1" x14ac:dyDescent="0.3">
      <c r="A2301" s="2"/>
    </row>
    <row r="2302" spans="1:1" x14ac:dyDescent="0.3">
      <c r="A2302" s="2"/>
    </row>
    <row r="2303" spans="1:1" x14ac:dyDescent="0.3">
      <c r="A2303" s="2"/>
    </row>
    <row r="2304" spans="1:1" x14ac:dyDescent="0.3">
      <c r="A2304" s="2"/>
    </row>
    <row r="2305" spans="1:1" x14ac:dyDescent="0.3">
      <c r="A2305" s="2"/>
    </row>
    <row r="2306" spans="1:1" x14ac:dyDescent="0.3">
      <c r="A2306" s="2"/>
    </row>
    <row r="2307" spans="1:1" x14ac:dyDescent="0.3">
      <c r="A2307" s="2"/>
    </row>
    <row r="2308" spans="1:1" x14ac:dyDescent="0.3">
      <c r="A2308" s="2"/>
    </row>
    <row r="2309" spans="1:1" x14ac:dyDescent="0.3">
      <c r="A2309" s="2"/>
    </row>
    <row r="2310" spans="1:1" x14ac:dyDescent="0.3">
      <c r="A2310" s="2"/>
    </row>
    <row r="2311" spans="1:1" x14ac:dyDescent="0.3">
      <c r="A2311" s="2"/>
    </row>
    <row r="2312" spans="1:1" x14ac:dyDescent="0.3">
      <c r="A2312" s="2"/>
    </row>
    <row r="2313" spans="1:1" x14ac:dyDescent="0.3">
      <c r="A2313" s="2"/>
    </row>
    <row r="2314" spans="1:1" x14ac:dyDescent="0.3">
      <c r="A2314" s="2"/>
    </row>
    <row r="2315" spans="1:1" x14ac:dyDescent="0.3">
      <c r="A2315" s="2"/>
    </row>
    <row r="2316" spans="1:1" x14ac:dyDescent="0.3">
      <c r="A2316" s="2"/>
    </row>
    <row r="2317" spans="1:1" x14ac:dyDescent="0.3">
      <c r="A2317" s="2"/>
    </row>
    <row r="2318" spans="1:1" x14ac:dyDescent="0.3">
      <c r="A2318" s="2"/>
    </row>
    <row r="2319" spans="1:1" x14ac:dyDescent="0.3">
      <c r="A2319" s="2"/>
    </row>
    <row r="2320" spans="1:1" x14ac:dyDescent="0.3">
      <c r="A2320" s="2"/>
    </row>
    <row r="2321" spans="1:1" x14ac:dyDescent="0.3">
      <c r="A2321" s="2"/>
    </row>
    <row r="2322" spans="1:1" x14ac:dyDescent="0.3">
      <c r="A2322" s="2"/>
    </row>
    <row r="2323" spans="1:1" x14ac:dyDescent="0.3">
      <c r="A2323" s="2"/>
    </row>
    <row r="2324" spans="1:1" x14ac:dyDescent="0.3">
      <c r="A2324" s="2"/>
    </row>
    <row r="2325" spans="1:1" x14ac:dyDescent="0.3">
      <c r="A2325" s="2"/>
    </row>
    <row r="2326" spans="1:1" x14ac:dyDescent="0.3">
      <c r="A2326" s="2"/>
    </row>
    <row r="2327" spans="1:1" x14ac:dyDescent="0.3">
      <c r="A2327" s="2"/>
    </row>
    <row r="2328" spans="1:1" x14ac:dyDescent="0.3">
      <c r="A2328" s="2"/>
    </row>
    <row r="2329" spans="1:1" x14ac:dyDescent="0.3">
      <c r="A2329" s="2"/>
    </row>
    <row r="2330" spans="1:1" x14ac:dyDescent="0.3">
      <c r="A2330" s="2"/>
    </row>
    <row r="2331" spans="1:1" x14ac:dyDescent="0.3">
      <c r="A2331" s="2"/>
    </row>
    <row r="2332" spans="1:1" x14ac:dyDescent="0.3">
      <c r="A2332" s="2"/>
    </row>
    <row r="2333" spans="1:1" x14ac:dyDescent="0.3">
      <c r="A2333" s="2"/>
    </row>
    <row r="2334" spans="1:1" x14ac:dyDescent="0.3">
      <c r="A2334" s="2"/>
    </row>
    <row r="2335" spans="1:1" x14ac:dyDescent="0.3">
      <c r="A2335" s="2"/>
    </row>
    <row r="2336" spans="1:1" x14ac:dyDescent="0.3">
      <c r="A2336" s="2"/>
    </row>
    <row r="2337" spans="1:1" x14ac:dyDescent="0.3">
      <c r="A2337" s="2"/>
    </row>
    <row r="2338" spans="1:1" x14ac:dyDescent="0.3">
      <c r="A2338" s="2"/>
    </row>
    <row r="2339" spans="1:1" x14ac:dyDescent="0.3">
      <c r="A2339" s="2"/>
    </row>
    <row r="2340" spans="1:1" x14ac:dyDescent="0.3">
      <c r="A2340" s="2"/>
    </row>
    <row r="2341" spans="1:1" x14ac:dyDescent="0.3">
      <c r="A2341" s="2"/>
    </row>
    <row r="2342" spans="1:1" x14ac:dyDescent="0.3">
      <c r="A2342" s="2"/>
    </row>
    <row r="2343" spans="1:1" x14ac:dyDescent="0.3">
      <c r="A2343" s="2"/>
    </row>
    <row r="2344" spans="1:1" x14ac:dyDescent="0.3">
      <c r="A2344" s="2"/>
    </row>
    <row r="2345" spans="1:1" x14ac:dyDescent="0.3">
      <c r="A2345" s="2"/>
    </row>
    <row r="2346" spans="1:1" x14ac:dyDescent="0.3">
      <c r="A2346" s="2"/>
    </row>
    <row r="2347" spans="1:1" x14ac:dyDescent="0.3">
      <c r="A2347" s="2"/>
    </row>
    <row r="2348" spans="1:1" x14ac:dyDescent="0.3">
      <c r="A2348" s="2"/>
    </row>
    <row r="2349" spans="1:1" x14ac:dyDescent="0.3">
      <c r="A2349" s="2"/>
    </row>
    <row r="2350" spans="1:1" x14ac:dyDescent="0.3">
      <c r="A2350" s="2"/>
    </row>
    <row r="2351" spans="1:1" x14ac:dyDescent="0.3">
      <c r="A2351" s="2"/>
    </row>
    <row r="2352" spans="1:1" x14ac:dyDescent="0.3">
      <c r="A2352" s="2"/>
    </row>
    <row r="2353" spans="1:1" x14ac:dyDescent="0.3">
      <c r="A2353" s="2"/>
    </row>
    <row r="2354" spans="1:1" x14ac:dyDescent="0.3">
      <c r="A2354" s="2"/>
    </row>
    <row r="2355" spans="1:1" x14ac:dyDescent="0.3">
      <c r="A2355" s="2"/>
    </row>
    <row r="2356" spans="1:1" x14ac:dyDescent="0.3">
      <c r="A2356" s="2"/>
    </row>
    <row r="2357" spans="1:1" x14ac:dyDescent="0.3">
      <c r="A2357" s="2"/>
    </row>
    <row r="2358" spans="1:1" x14ac:dyDescent="0.3">
      <c r="A2358" s="2"/>
    </row>
    <row r="2359" spans="1:1" x14ac:dyDescent="0.3">
      <c r="A2359" s="2"/>
    </row>
    <row r="2360" spans="1:1" x14ac:dyDescent="0.3">
      <c r="A2360" s="2"/>
    </row>
    <row r="2361" spans="1:1" x14ac:dyDescent="0.3">
      <c r="A2361" s="2"/>
    </row>
    <row r="2362" spans="1:1" x14ac:dyDescent="0.3">
      <c r="A2362" s="2"/>
    </row>
    <row r="2363" spans="1:1" x14ac:dyDescent="0.3">
      <c r="A2363" s="2"/>
    </row>
    <row r="2364" spans="1:1" x14ac:dyDescent="0.3">
      <c r="A2364" s="2"/>
    </row>
    <row r="2365" spans="1:1" x14ac:dyDescent="0.3">
      <c r="A2365" s="2"/>
    </row>
    <row r="2366" spans="1:1" x14ac:dyDescent="0.3">
      <c r="A2366" s="2"/>
    </row>
    <row r="2367" spans="1:1" x14ac:dyDescent="0.3">
      <c r="A2367" s="2"/>
    </row>
    <row r="2368" spans="1:1" x14ac:dyDescent="0.3">
      <c r="A2368" s="2"/>
    </row>
    <row r="2369" spans="1:1" x14ac:dyDescent="0.3">
      <c r="A2369" s="2"/>
    </row>
    <row r="2370" spans="1:1" x14ac:dyDescent="0.3">
      <c r="A2370" s="2"/>
    </row>
    <row r="2371" spans="1:1" x14ac:dyDescent="0.3">
      <c r="A2371" s="2"/>
    </row>
    <row r="2372" spans="1:1" x14ac:dyDescent="0.3">
      <c r="A2372" s="2"/>
    </row>
    <row r="2373" spans="1:1" x14ac:dyDescent="0.3">
      <c r="A2373" s="2"/>
    </row>
    <row r="2374" spans="1:1" x14ac:dyDescent="0.3">
      <c r="A2374" s="2"/>
    </row>
    <row r="2375" spans="1:1" x14ac:dyDescent="0.3">
      <c r="A2375" s="2"/>
    </row>
    <row r="2376" spans="1:1" x14ac:dyDescent="0.3">
      <c r="A2376" s="2"/>
    </row>
    <row r="2377" spans="1:1" x14ac:dyDescent="0.3">
      <c r="A2377" s="2"/>
    </row>
    <row r="2378" spans="1:1" x14ac:dyDescent="0.3">
      <c r="A2378" s="2"/>
    </row>
    <row r="2379" spans="1:1" x14ac:dyDescent="0.3">
      <c r="A2379" s="2"/>
    </row>
    <row r="2380" spans="1:1" x14ac:dyDescent="0.3">
      <c r="A2380" s="2"/>
    </row>
    <row r="2381" spans="1:1" x14ac:dyDescent="0.3">
      <c r="A2381" s="2"/>
    </row>
    <row r="2382" spans="1:1" x14ac:dyDescent="0.3">
      <c r="A2382" s="2"/>
    </row>
    <row r="2383" spans="1:1" x14ac:dyDescent="0.3">
      <c r="A2383" s="2"/>
    </row>
    <row r="2384" spans="1:1" x14ac:dyDescent="0.3">
      <c r="A2384" s="2"/>
    </row>
    <row r="2385" spans="1:1" x14ac:dyDescent="0.3">
      <c r="A2385" s="2"/>
    </row>
    <row r="2386" spans="1:1" x14ac:dyDescent="0.3">
      <c r="A2386" s="2"/>
    </row>
    <row r="2387" spans="1:1" x14ac:dyDescent="0.3">
      <c r="A2387" s="2"/>
    </row>
    <row r="2388" spans="1:1" x14ac:dyDescent="0.3">
      <c r="A2388" s="2"/>
    </row>
    <row r="2389" spans="1:1" x14ac:dyDescent="0.3">
      <c r="A2389" s="2"/>
    </row>
    <row r="2390" spans="1:1" x14ac:dyDescent="0.3">
      <c r="A2390" s="2"/>
    </row>
    <row r="2391" spans="1:1" x14ac:dyDescent="0.3">
      <c r="A2391" s="2"/>
    </row>
    <row r="2392" spans="1:1" x14ac:dyDescent="0.3">
      <c r="A2392" s="2"/>
    </row>
    <row r="2393" spans="1:1" x14ac:dyDescent="0.3">
      <c r="A2393" s="2"/>
    </row>
    <row r="2394" spans="1:1" x14ac:dyDescent="0.3">
      <c r="A2394" s="2"/>
    </row>
    <row r="2395" spans="1:1" x14ac:dyDescent="0.3">
      <c r="A2395" s="2"/>
    </row>
    <row r="2396" spans="1:1" x14ac:dyDescent="0.3">
      <c r="A2396" s="2"/>
    </row>
    <row r="2397" spans="1:1" x14ac:dyDescent="0.3">
      <c r="A2397" s="2"/>
    </row>
    <row r="2398" spans="1:1" x14ac:dyDescent="0.3">
      <c r="A2398" s="2"/>
    </row>
    <row r="2399" spans="1:1" x14ac:dyDescent="0.3">
      <c r="A2399" s="2"/>
    </row>
    <row r="2400" spans="1:1" x14ac:dyDescent="0.3">
      <c r="A2400" s="2"/>
    </row>
    <row r="2401" spans="1:1" x14ac:dyDescent="0.3">
      <c r="A2401" s="2"/>
    </row>
    <row r="2402" spans="1:1" x14ac:dyDescent="0.3">
      <c r="A2402" s="2"/>
    </row>
    <row r="2403" spans="1:1" x14ac:dyDescent="0.3">
      <c r="A2403" s="2"/>
    </row>
    <row r="2404" spans="1:1" x14ac:dyDescent="0.3">
      <c r="A2404" s="2"/>
    </row>
    <row r="2405" spans="1:1" x14ac:dyDescent="0.3">
      <c r="A2405" s="2"/>
    </row>
    <row r="2406" spans="1:1" x14ac:dyDescent="0.3">
      <c r="A2406" s="2"/>
    </row>
    <row r="2407" spans="1:1" x14ac:dyDescent="0.3">
      <c r="A2407" s="2"/>
    </row>
    <row r="2408" spans="1:1" x14ac:dyDescent="0.3">
      <c r="A2408" s="2"/>
    </row>
    <row r="2409" spans="1:1" x14ac:dyDescent="0.3">
      <c r="A2409" s="2"/>
    </row>
    <row r="2410" spans="1:1" x14ac:dyDescent="0.3">
      <c r="A2410" s="2"/>
    </row>
    <row r="2411" spans="1:1" x14ac:dyDescent="0.3">
      <c r="A2411" s="2"/>
    </row>
    <row r="2412" spans="1:1" x14ac:dyDescent="0.3">
      <c r="A2412" s="2"/>
    </row>
    <row r="2413" spans="1:1" x14ac:dyDescent="0.3">
      <c r="A2413" s="2"/>
    </row>
    <row r="2414" spans="1:1" x14ac:dyDescent="0.3">
      <c r="A2414" s="2"/>
    </row>
    <row r="2415" spans="1:1" x14ac:dyDescent="0.3">
      <c r="A2415" s="2"/>
    </row>
    <row r="2416" spans="1:1" x14ac:dyDescent="0.3">
      <c r="A2416" s="2"/>
    </row>
    <row r="2417" spans="1:1" x14ac:dyDescent="0.3">
      <c r="A2417" s="2"/>
    </row>
    <row r="2418" spans="1:1" x14ac:dyDescent="0.3">
      <c r="A2418" s="2"/>
    </row>
    <row r="2419" spans="1:1" x14ac:dyDescent="0.3">
      <c r="A2419" s="2"/>
    </row>
    <row r="2420" spans="1:1" x14ac:dyDescent="0.3">
      <c r="A2420" s="2"/>
    </row>
    <row r="2421" spans="1:1" x14ac:dyDescent="0.3">
      <c r="A2421" s="2"/>
    </row>
    <row r="2422" spans="1:1" x14ac:dyDescent="0.3">
      <c r="A2422" s="2"/>
    </row>
    <row r="2423" spans="1:1" x14ac:dyDescent="0.3">
      <c r="A2423" s="2"/>
    </row>
    <row r="2424" spans="1:1" x14ac:dyDescent="0.3">
      <c r="A2424" s="2"/>
    </row>
    <row r="2425" spans="1:1" x14ac:dyDescent="0.3">
      <c r="A2425" s="2"/>
    </row>
    <row r="2426" spans="1:1" x14ac:dyDescent="0.3">
      <c r="A2426" s="2"/>
    </row>
    <row r="2427" spans="1:1" x14ac:dyDescent="0.3">
      <c r="A2427" s="2"/>
    </row>
    <row r="2428" spans="1:1" x14ac:dyDescent="0.3">
      <c r="A2428" s="2"/>
    </row>
    <row r="2429" spans="1:1" x14ac:dyDescent="0.3">
      <c r="A2429" s="2"/>
    </row>
    <row r="2430" spans="1:1" x14ac:dyDescent="0.3">
      <c r="A2430" s="2"/>
    </row>
    <row r="2431" spans="1:1" x14ac:dyDescent="0.3">
      <c r="A2431" s="2"/>
    </row>
    <row r="2432" spans="1:1" x14ac:dyDescent="0.3">
      <c r="A2432" s="2"/>
    </row>
    <row r="2433" spans="1:1" x14ac:dyDescent="0.3">
      <c r="A2433" s="2"/>
    </row>
    <row r="2434" spans="1:1" x14ac:dyDescent="0.3">
      <c r="A2434" s="2"/>
    </row>
    <row r="2435" spans="1:1" x14ac:dyDescent="0.3">
      <c r="A2435" s="2"/>
    </row>
    <row r="2436" spans="1:1" x14ac:dyDescent="0.3">
      <c r="A2436" s="2"/>
    </row>
    <row r="2437" spans="1:1" x14ac:dyDescent="0.3">
      <c r="A2437" s="2"/>
    </row>
    <row r="2438" spans="1:1" x14ac:dyDescent="0.3">
      <c r="A2438" s="2"/>
    </row>
    <row r="2439" spans="1:1" x14ac:dyDescent="0.3">
      <c r="A2439" s="2"/>
    </row>
    <row r="2440" spans="1:1" x14ac:dyDescent="0.3">
      <c r="A2440" s="2"/>
    </row>
    <row r="2441" spans="1:1" x14ac:dyDescent="0.3">
      <c r="A2441" s="2"/>
    </row>
    <row r="2442" spans="1:1" x14ac:dyDescent="0.3">
      <c r="A2442" s="2"/>
    </row>
    <row r="2443" spans="1:1" x14ac:dyDescent="0.3">
      <c r="A2443" s="2"/>
    </row>
    <row r="2444" spans="1:1" x14ac:dyDescent="0.3">
      <c r="A2444" s="2"/>
    </row>
    <row r="2445" spans="1:1" x14ac:dyDescent="0.3">
      <c r="A2445" s="2"/>
    </row>
    <row r="2446" spans="1:1" x14ac:dyDescent="0.3">
      <c r="A2446" s="2"/>
    </row>
    <row r="2447" spans="1:1" x14ac:dyDescent="0.3">
      <c r="A2447" s="2"/>
    </row>
    <row r="2448" spans="1:1" x14ac:dyDescent="0.3">
      <c r="A2448" s="2"/>
    </row>
    <row r="2449" spans="1:1" x14ac:dyDescent="0.3">
      <c r="A2449" s="2"/>
    </row>
    <row r="2450" spans="1:1" x14ac:dyDescent="0.3">
      <c r="A2450" s="2"/>
    </row>
    <row r="2451" spans="1:1" x14ac:dyDescent="0.3">
      <c r="A2451" s="2"/>
    </row>
    <row r="2452" spans="1:1" x14ac:dyDescent="0.3">
      <c r="A2452" s="2"/>
    </row>
    <row r="2453" spans="1:1" x14ac:dyDescent="0.3">
      <c r="A2453" s="2"/>
    </row>
    <row r="2454" spans="1:1" x14ac:dyDescent="0.3">
      <c r="A2454" s="2"/>
    </row>
    <row r="2455" spans="1:1" x14ac:dyDescent="0.3">
      <c r="A2455" s="2"/>
    </row>
    <row r="2456" spans="1:1" x14ac:dyDescent="0.3">
      <c r="A2456" s="2"/>
    </row>
    <row r="2457" spans="1:1" x14ac:dyDescent="0.3">
      <c r="A2457" s="2"/>
    </row>
    <row r="2458" spans="1:1" x14ac:dyDescent="0.3">
      <c r="A2458" s="2"/>
    </row>
    <row r="2459" spans="1:1" x14ac:dyDescent="0.3">
      <c r="A2459" s="2"/>
    </row>
    <row r="2460" spans="1:1" x14ac:dyDescent="0.3">
      <c r="A2460" s="2"/>
    </row>
    <row r="2461" spans="1:1" x14ac:dyDescent="0.3">
      <c r="A2461" s="2"/>
    </row>
    <row r="2462" spans="1:1" x14ac:dyDescent="0.3">
      <c r="A2462" s="2"/>
    </row>
    <row r="2463" spans="1:1" x14ac:dyDescent="0.3">
      <c r="A2463" s="2"/>
    </row>
    <row r="2464" spans="1:1" x14ac:dyDescent="0.3">
      <c r="A2464" s="2"/>
    </row>
    <row r="2465" spans="1:1" x14ac:dyDescent="0.3">
      <c r="A2465" s="2"/>
    </row>
    <row r="2466" spans="1:1" x14ac:dyDescent="0.3">
      <c r="A2466" s="2"/>
    </row>
    <row r="2467" spans="1:1" x14ac:dyDescent="0.3">
      <c r="A2467" s="2"/>
    </row>
    <row r="2468" spans="1:1" x14ac:dyDescent="0.3">
      <c r="A2468" s="2"/>
    </row>
    <row r="2469" spans="1:1" x14ac:dyDescent="0.3">
      <c r="A2469" s="2"/>
    </row>
    <row r="2470" spans="1:1" x14ac:dyDescent="0.3">
      <c r="A2470" s="2"/>
    </row>
    <row r="2471" spans="1:1" x14ac:dyDescent="0.3">
      <c r="A2471" s="2"/>
    </row>
    <row r="2472" spans="1:1" x14ac:dyDescent="0.3">
      <c r="A2472" s="2"/>
    </row>
    <row r="2473" spans="1:1" x14ac:dyDescent="0.3">
      <c r="A2473" s="2"/>
    </row>
    <row r="2474" spans="1:1" x14ac:dyDescent="0.3">
      <c r="A2474" s="2"/>
    </row>
    <row r="2475" spans="1:1" x14ac:dyDescent="0.3">
      <c r="A2475" s="2"/>
    </row>
    <row r="2476" spans="1:1" x14ac:dyDescent="0.3">
      <c r="A2476" s="2"/>
    </row>
    <row r="2477" spans="1:1" x14ac:dyDescent="0.3">
      <c r="A2477" s="2"/>
    </row>
    <row r="2478" spans="1:1" x14ac:dyDescent="0.3">
      <c r="A2478" s="2"/>
    </row>
    <row r="2479" spans="1:1" x14ac:dyDescent="0.3">
      <c r="A2479" s="2"/>
    </row>
    <row r="2480" spans="1:1" x14ac:dyDescent="0.3">
      <c r="A2480" s="2"/>
    </row>
    <row r="2481" spans="1:1" x14ac:dyDescent="0.3">
      <c r="A2481" s="2"/>
    </row>
    <row r="2482" spans="1:1" x14ac:dyDescent="0.3">
      <c r="A2482" s="2"/>
    </row>
    <row r="2483" spans="1:1" x14ac:dyDescent="0.3">
      <c r="A2483" s="2"/>
    </row>
    <row r="2484" spans="1:1" x14ac:dyDescent="0.3">
      <c r="A2484" s="2"/>
    </row>
    <row r="2485" spans="1:1" x14ac:dyDescent="0.3">
      <c r="A2485" s="2"/>
    </row>
    <row r="2486" spans="1:1" x14ac:dyDescent="0.3">
      <c r="A2486" s="2"/>
    </row>
    <row r="2487" spans="1:1" x14ac:dyDescent="0.3">
      <c r="A2487" s="2"/>
    </row>
    <row r="2488" spans="1:1" x14ac:dyDescent="0.3">
      <c r="A2488" s="2"/>
    </row>
    <row r="2489" spans="1:1" x14ac:dyDescent="0.3">
      <c r="A2489" s="2"/>
    </row>
    <row r="2490" spans="1:1" x14ac:dyDescent="0.3">
      <c r="A2490" s="2"/>
    </row>
    <row r="2491" spans="1:1" x14ac:dyDescent="0.3">
      <c r="A2491" s="2"/>
    </row>
    <row r="2492" spans="1:1" x14ac:dyDescent="0.3">
      <c r="A2492" s="2"/>
    </row>
    <row r="2493" spans="1:1" x14ac:dyDescent="0.3">
      <c r="A2493" s="2"/>
    </row>
    <row r="2494" spans="1:1" x14ac:dyDescent="0.3">
      <c r="A2494" s="2"/>
    </row>
    <row r="2495" spans="1:1" x14ac:dyDescent="0.3">
      <c r="A2495" s="2"/>
    </row>
    <row r="2496" spans="1:1" x14ac:dyDescent="0.3">
      <c r="A2496" s="2"/>
    </row>
    <row r="2497" spans="1:1" x14ac:dyDescent="0.3">
      <c r="A2497" s="2"/>
    </row>
    <row r="2498" spans="1:1" x14ac:dyDescent="0.3">
      <c r="A2498" s="2"/>
    </row>
    <row r="2499" spans="1:1" x14ac:dyDescent="0.3">
      <c r="A2499" s="2"/>
    </row>
    <row r="2500" spans="1:1" x14ac:dyDescent="0.3">
      <c r="A2500" s="2"/>
    </row>
    <row r="2501" spans="1:1" x14ac:dyDescent="0.3">
      <c r="A2501" s="2"/>
    </row>
    <row r="2502" spans="1:1" x14ac:dyDescent="0.3">
      <c r="A2502" s="2"/>
    </row>
    <row r="2503" spans="1:1" x14ac:dyDescent="0.3">
      <c r="A2503" s="2"/>
    </row>
    <row r="2504" spans="1:1" x14ac:dyDescent="0.3">
      <c r="A2504" s="2"/>
    </row>
    <row r="2505" spans="1:1" x14ac:dyDescent="0.3">
      <c r="A2505" s="2"/>
    </row>
    <row r="2506" spans="1:1" x14ac:dyDescent="0.3">
      <c r="A2506" s="2"/>
    </row>
    <row r="2507" spans="1:1" x14ac:dyDescent="0.3">
      <c r="A2507" s="2"/>
    </row>
    <row r="2508" spans="1:1" x14ac:dyDescent="0.3">
      <c r="A2508" s="2"/>
    </row>
    <row r="2509" spans="1:1" x14ac:dyDescent="0.3">
      <c r="A2509" s="2"/>
    </row>
    <row r="2510" spans="1:1" x14ac:dyDescent="0.3">
      <c r="A2510" s="2"/>
    </row>
    <row r="2511" spans="1:1" x14ac:dyDescent="0.3">
      <c r="A2511" s="2"/>
    </row>
    <row r="2512" spans="1:1" x14ac:dyDescent="0.3">
      <c r="A2512" s="2"/>
    </row>
    <row r="2513" spans="1:1" x14ac:dyDescent="0.3">
      <c r="A2513" s="2"/>
    </row>
    <row r="2514" spans="1:1" x14ac:dyDescent="0.3">
      <c r="A2514" s="2"/>
    </row>
    <row r="2515" spans="1:1" x14ac:dyDescent="0.3">
      <c r="A2515" s="2"/>
    </row>
    <row r="2516" spans="1:1" x14ac:dyDescent="0.3">
      <c r="A2516" s="2"/>
    </row>
    <row r="2517" spans="1:1" x14ac:dyDescent="0.3">
      <c r="A2517" s="2"/>
    </row>
    <row r="2518" spans="1:1" x14ac:dyDescent="0.3">
      <c r="A2518" s="2"/>
    </row>
    <row r="2519" spans="1:1" x14ac:dyDescent="0.3">
      <c r="A2519" s="2"/>
    </row>
    <row r="2520" spans="1:1" x14ac:dyDescent="0.3">
      <c r="A2520" s="2"/>
    </row>
    <row r="2521" spans="1:1" x14ac:dyDescent="0.3">
      <c r="A2521" s="2"/>
    </row>
    <row r="2522" spans="1:1" x14ac:dyDescent="0.3">
      <c r="A2522" s="2"/>
    </row>
    <row r="2523" spans="1:1" x14ac:dyDescent="0.3">
      <c r="A2523" s="2"/>
    </row>
    <row r="2524" spans="1:1" x14ac:dyDescent="0.3">
      <c r="A2524" s="2"/>
    </row>
    <row r="2525" spans="1:1" x14ac:dyDescent="0.3">
      <c r="A2525" s="2"/>
    </row>
    <row r="2526" spans="1:1" x14ac:dyDescent="0.3">
      <c r="A2526" s="2"/>
    </row>
    <row r="2527" spans="1:1" x14ac:dyDescent="0.3">
      <c r="A2527" s="2"/>
    </row>
    <row r="2528" spans="1:1" x14ac:dyDescent="0.3">
      <c r="A2528" s="2"/>
    </row>
    <row r="2529" spans="1:1" x14ac:dyDescent="0.3">
      <c r="A2529" s="2"/>
    </row>
    <row r="2530" spans="1:1" x14ac:dyDescent="0.3">
      <c r="A2530" s="2"/>
    </row>
    <row r="2531" spans="1:1" x14ac:dyDescent="0.3">
      <c r="A2531" s="2"/>
    </row>
    <row r="2532" spans="1:1" x14ac:dyDescent="0.3">
      <c r="A2532" s="2"/>
    </row>
    <row r="2533" spans="1:1" x14ac:dyDescent="0.3">
      <c r="A2533" s="2"/>
    </row>
    <row r="2534" spans="1:1" x14ac:dyDescent="0.3">
      <c r="A2534" s="2"/>
    </row>
    <row r="2535" spans="1:1" x14ac:dyDescent="0.3">
      <c r="A2535" s="2"/>
    </row>
    <row r="2536" spans="1:1" x14ac:dyDescent="0.3">
      <c r="A2536" s="2"/>
    </row>
    <row r="2537" spans="1:1" x14ac:dyDescent="0.3">
      <c r="A2537" s="2"/>
    </row>
    <row r="2538" spans="1:1" x14ac:dyDescent="0.3">
      <c r="A2538" s="2"/>
    </row>
    <row r="2539" spans="1:1" x14ac:dyDescent="0.3">
      <c r="A2539" s="2"/>
    </row>
    <row r="2540" spans="1:1" x14ac:dyDescent="0.3">
      <c r="A2540" s="2"/>
    </row>
    <row r="2541" spans="1:1" x14ac:dyDescent="0.3">
      <c r="A2541" s="2"/>
    </row>
    <row r="2542" spans="1:1" x14ac:dyDescent="0.3">
      <c r="A2542" s="2"/>
    </row>
    <row r="2543" spans="1:1" x14ac:dyDescent="0.3">
      <c r="A2543" s="2"/>
    </row>
    <row r="2544" spans="1:1" x14ac:dyDescent="0.3">
      <c r="A2544" s="2"/>
    </row>
    <row r="2545" spans="1:1" x14ac:dyDescent="0.3">
      <c r="A2545" s="2"/>
    </row>
    <row r="2546" spans="1:1" x14ac:dyDescent="0.3">
      <c r="A2546" s="2"/>
    </row>
    <row r="2547" spans="1:1" x14ac:dyDescent="0.3">
      <c r="A2547" s="2"/>
    </row>
    <row r="2548" spans="1:1" x14ac:dyDescent="0.3">
      <c r="A2548" s="2"/>
    </row>
    <row r="2549" spans="1:1" x14ac:dyDescent="0.3">
      <c r="A2549" s="2"/>
    </row>
    <row r="2550" spans="1:1" x14ac:dyDescent="0.3">
      <c r="A2550" s="2"/>
    </row>
    <row r="2551" spans="1:1" x14ac:dyDescent="0.3">
      <c r="A2551" s="2"/>
    </row>
    <row r="2552" spans="1:1" x14ac:dyDescent="0.3">
      <c r="A2552" s="2"/>
    </row>
    <row r="2553" spans="1:1" x14ac:dyDescent="0.3">
      <c r="A2553" s="2"/>
    </row>
    <row r="2554" spans="1:1" x14ac:dyDescent="0.3">
      <c r="A2554" s="2"/>
    </row>
    <row r="2555" spans="1:1" x14ac:dyDescent="0.3">
      <c r="A2555" s="2"/>
    </row>
    <row r="2556" spans="1:1" x14ac:dyDescent="0.3">
      <c r="A2556" s="2"/>
    </row>
    <row r="2557" spans="1:1" x14ac:dyDescent="0.3">
      <c r="A2557" s="2"/>
    </row>
    <row r="2558" spans="1:1" x14ac:dyDescent="0.3">
      <c r="A2558" s="2"/>
    </row>
    <row r="2559" spans="1:1" x14ac:dyDescent="0.3">
      <c r="A2559" s="2"/>
    </row>
    <row r="2560" spans="1:1" x14ac:dyDescent="0.3">
      <c r="A2560" s="2"/>
    </row>
    <row r="2561" spans="1:1" x14ac:dyDescent="0.3">
      <c r="A2561" s="2"/>
    </row>
    <row r="2562" spans="1:1" x14ac:dyDescent="0.3">
      <c r="A2562" s="2"/>
    </row>
    <row r="2563" spans="1:1" x14ac:dyDescent="0.3">
      <c r="A2563" s="2"/>
    </row>
    <row r="2564" spans="1:1" x14ac:dyDescent="0.3">
      <c r="A2564" s="2"/>
    </row>
    <row r="2565" spans="1:1" x14ac:dyDescent="0.3">
      <c r="A2565" s="2"/>
    </row>
    <row r="2566" spans="1:1" x14ac:dyDescent="0.3">
      <c r="A2566" s="2"/>
    </row>
    <row r="2567" spans="1:1" x14ac:dyDescent="0.3">
      <c r="A2567" s="2"/>
    </row>
    <row r="2568" spans="1:1" x14ac:dyDescent="0.3">
      <c r="A2568" s="2"/>
    </row>
    <row r="2569" spans="1:1" x14ac:dyDescent="0.3">
      <c r="A2569" s="2"/>
    </row>
    <row r="2570" spans="1:1" x14ac:dyDescent="0.3">
      <c r="A2570" s="2"/>
    </row>
    <row r="2571" spans="1:1" x14ac:dyDescent="0.3">
      <c r="A2571" s="2"/>
    </row>
    <row r="2572" spans="1:1" x14ac:dyDescent="0.3">
      <c r="A2572" s="2"/>
    </row>
    <row r="2573" spans="1:1" x14ac:dyDescent="0.3">
      <c r="A2573" s="2"/>
    </row>
    <row r="2574" spans="1:1" x14ac:dyDescent="0.3">
      <c r="A2574" s="2"/>
    </row>
    <row r="2575" spans="1:1" x14ac:dyDescent="0.3">
      <c r="A2575" s="2"/>
    </row>
    <row r="2576" spans="1:1" x14ac:dyDescent="0.3">
      <c r="A2576" s="2"/>
    </row>
    <row r="2577" spans="1:1" x14ac:dyDescent="0.3">
      <c r="A2577" s="2"/>
    </row>
    <row r="2578" spans="1:1" x14ac:dyDescent="0.3">
      <c r="A2578" s="2"/>
    </row>
    <row r="2579" spans="1:1" x14ac:dyDescent="0.3">
      <c r="A2579" s="2"/>
    </row>
    <row r="2580" spans="1:1" x14ac:dyDescent="0.3">
      <c r="A2580" s="2"/>
    </row>
    <row r="2581" spans="1:1" x14ac:dyDescent="0.3">
      <c r="A2581" s="2"/>
    </row>
    <row r="2582" spans="1:1" x14ac:dyDescent="0.3">
      <c r="A2582" s="2"/>
    </row>
    <row r="2583" spans="1:1" x14ac:dyDescent="0.3">
      <c r="A2583" s="2"/>
    </row>
    <row r="2584" spans="1:1" x14ac:dyDescent="0.3">
      <c r="A2584" s="2"/>
    </row>
    <row r="2585" spans="1:1" x14ac:dyDescent="0.3">
      <c r="A2585" s="2"/>
    </row>
    <row r="2586" spans="1:1" x14ac:dyDescent="0.3">
      <c r="A2586" s="2"/>
    </row>
    <row r="2587" spans="1:1" x14ac:dyDescent="0.3">
      <c r="A2587" s="2"/>
    </row>
    <row r="2588" spans="1:1" x14ac:dyDescent="0.3">
      <c r="A2588" s="2"/>
    </row>
    <row r="2589" spans="1:1" x14ac:dyDescent="0.3">
      <c r="A2589" s="2"/>
    </row>
    <row r="2590" spans="1:1" x14ac:dyDescent="0.3">
      <c r="A2590" s="2"/>
    </row>
    <row r="2591" spans="1:1" x14ac:dyDescent="0.3">
      <c r="A2591" s="2"/>
    </row>
    <row r="2592" spans="1:1" x14ac:dyDescent="0.3">
      <c r="A2592" s="2"/>
    </row>
    <row r="2593" spans="1:1" x14ac:dyDescent="0.3">
      <c r="A2593" s="2"/>
    </row>
    <row r="2594" spans="1:1" x14ac:dyDescent="0.3">
      <c r="A2594" s="2"/>
    </row>
    <row r="2595" spans="1:1" x14ac:dyDescent="0.3">
      <c r="A2595" s="2"/>
    </row>
    <row r="2596" spans="1:1" x14ac:dyDescent="0.3">
      <c r="A2596" s="2"/>
    </row>
    <row r="2597" spans="1:1" x14ac:dyDescent="0.3">
      <c r="A2597" s="2"/>
    </row>
    <row r="2598" spans="1:1" x14ac:dyDescent="0.3">
      <c r="A2598" s="2"/>
    </row>
    <row r="2599" spans="1:1" x14ac:dyDescent="0.3">
      <c r="A2599" s="2"/>
    </row>
    <row r="2600" spans="1:1" x14ac:dyDescent="0.3">
      <c r="A2600" s="2"/>
    </row>
    <row r="2601" spans="1:1" x14ac:dyDescent="0.3">
      <c r="A2601" s="2"/>
    </row>
    <row r="2602" spans="1:1" x14ac:dyDescent="0.3">
      <c r="A2602" s="2"/>
    </row>
    <row r="2603" spans="1:1" x14ac:dyDescent="0.3">
      <c r="A2603" s="2"/>
    </row>
    <row r="2604" spans="1:1" x14ac:dyDescent="0.3">
      <c r="A2604" s="2"/>
    </row>
    <row r="2605" spans="1:1" x14ac:dyDescent="0.3">
      <c r="A2605" s="2"/>
    </row>
    <row r="2606" spans="1:1" x14ac:dyDescent="0.3">
      <c r="A2606" s="2"/>
    </row>
    <row r="2607" spans="1:1" x14ac:dyDescent="0.3">
      <c r="A2607" s="2"/>
    </row>
    <row r="2608" spans="1:1" x14ac:dyDescent="0.3">
      <c r="A2608" s="2"/>
    </row>
    <row r="2609" spans="1:1" x14ac:dyDescent="0.3">
      <c r="A2609" s="2"/>
    </row>
    <row r="2610" spans="1:1" x14ac:dyDescent="0.3">
      <c r="A2610" s="2"/>
    </row>
    <row r="2611" spans="1:1" x14ac:dyDescent="0.3">
      <c r="A2611" s="2"/>
    </row>
    <row r="2612" spans="1:1" x14ac:dyDescent="0.3">
      <c r="A2612" s="2"/>
    </row>
    <row r="2613" spans="1:1" x14ac:dyDescent="0.3">
      <c r="A2613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Q215"/>
  <sheetViews>
    <sheetView topLeftCell="A199" workbookViewId="0">
      <selection activeCell="G227" sqref="G227"/>
    </sheetView>
  </sheetViews>
  <sheetFormatPr defaultRowHeight="14.4" x14ac:dyDescent="0.3"/>
  <cols>
    <col min="2" max="2" width="12.109375" bestFit="1" customWidth="1"/>
    <col min="3" max="17" width="11.88671875" bestFit="1" customWidth="1"/>
  </cols>
  <sheetData>
    <row r="5" spans="2:17" x14ac:dyDescent="0.3">
      <c r="C5" t="s">
        <v>4</v>
      </c>
      <c r="D5" t="s">
        <v>1</v>
      </c>
      <c r="E5" t="s">
        <v>147</v>
      </c>
      <c r="F5" t="s">
        <v>148</v>
      </c>
      <c r="G5" t="s">
        <v>15</v>
      </c>
      <c r="H5" t="s">
        <v>149</v>
      </c>
      <c r="I5" t="s">
        <v>158</v>
      </c>
      <c r="J5" t="s">
        <v>150</v>
      </c>
      <c r="K5" t="s">
        <v>71</v>
      </c>
      <c r="L5" t="s">
        <v>161</v>
      </c>
      <c r="M5" t="s">
        <v>12</v>
      </c>
      <c r="N5" t="s">
        <v>89</v>
      </c>
      <c r="O5" t="s">
        <v>9</v>
      </c>
      <c r="P5" t="s">
        <v>173</v>
      </c>
      <c r="Q5" t="s">
        <v>153</v>
      </c>
    </row>
    <row r="6" spans="2:17" x14ac:dyDescent="0.3">
      <c r="B6" s="2" cm="1">
        <f t="array" ref="B6:B206">_xll.FDS(C5,"JULIAN(P_PRICE(0,-200D).dates)")</f>
        <v>45335</v>
      </c>
      <c r="C6" cm="1">
        <f t="array" ref="C6:C206">_xll.FDS(C5,"P_PRICE(0,-200D)")</f>
        <v>40.06</v>
      </c>
      <c r="D6" cm="1">
        <f t="array" ref="D6:D206">_xll.FDS(D5,"P_PRICE(0,-200D)")</f>
        <v>494.08</v>
      </c>
      <c r="E6" cm="1">
        <f t="array" ref="E6:E206">_xll.FDS(E5,"P_PRICE(0,-200D)")</f>
        <v>184.53</v>
      </c>
      <c r="F6" cm="1">
        <f t="array" ref="F6:F206">_xll.FDS(F5,"P_PRICE(0,-200D)")</f>
        <v>28.24</v>
      </c>
      <c r="G6" cm="1">
        <f t="array" ref="G6:G206">_xll.FDS(G5,"P_PRICE(0,-200D)")</f>
        <v>428.55</v>
      </c>
      <c r="H6" cm="1">
        <f t="array" ref="H6:H206">_xll.FDS(H5,"P_PRICE(0,-200D)")</f>
        <v>21.99</v>
      </c>
      <c r="I6" cm="1">
        <f t="array" ref="I6:I206">_xll.FDS(I5,"P_PRICE(0,-200D)")</f>
        <v>72.650000000000006</v>
      </c>
      <c r="J6" cm="1">
        <f t="array" ref="J6:J206">_xll.FDS(J5,"P_PRICE(0,-200D)")</f>
        <v>92.35</v>
      </c>
      <c r="K6" cm="1">
        <f t="array" ref="K6:K206">_xll.FDS(K5,"P_PRICE(0,-200D)")</f>
        <v>62.66</v>
      </c>
      <c r="L6" cm="1">
        <f t="array" ref="L6:L206">_xll.FDS(L5,"P_PRICE(0,-200D)")</f>
        <v>54.93</v>
      </c>
      <c r="M6" cm="1">
        <f t="array" ref="M6:M206">_xll.FDS(M5,"P_PRICE(0,-200D)")</f>
        <v>66.739999999999995</v>
      </c>
      <c r="N6" cm="1">
        <f t="array" ref="N6:N206">_xll.FDS(N5,"P_PRICE(0,-200D)")</f>
        <v>135.93</v>
      </c>
      <c r="O6" cm="1">
        <f t="array" ref="O6:O206">_xll.FDS(O5,"P_PRICE(0,-200D)")</f>
        <v>49.97</v>
      </c>
      <c r="P6" cm="1">
        <f t="array" ref="P6:P206">_xll.FDS(P5,"P_PRICE(0,-200D)")</f>
        <v>194.61</v>
      </c>
      <c r="Q6" cm="1">
        <f t="array" ref="Q6:Q206">_xll.FDS(Q5,"P_PRICE(0,-200D)")</f>
        <v>22.2</v>
      </c>
    </row>
    <row r="7" spans="2:17" x14ac:dyDescent="0.3">
      <c r="B7" s="2">
        <v>45334</v>
      </c>
      <c r="C7">
        <v>40.81</v>
      </c>
      <c r="D7">
        <v>500.98</v>
      </c>
      <c r="E7">
        <v>187.11</v>
      </c>
      <c r="F7">
        <v>28.02</v>
      </c>
      <c r="G7">
        <v>435.34</v>
      </c>
      <c r="H7">
        <v>22.05</v>
      </c>
      <c r="I7">
        <v>72.11</v>
      </c>
      <c r="J7">
        <v>93.96</v>
      </c>
      <c r="K7">
        <v>63.9</v>
      </c>
      <c r="L7">
        <v>55.98</v>
      </c>
      <c r="M7">
        <v>66.97</v>
      </c>
      <c r="N7">
        <v>138</v>
      </c>
      <c r="O7">
        <v>50.28</v>
      </c>
      <c r="P7">
        <v>202.96</v>
      </c>
      <c r="Q7">
        <v>22.72</v>
      </c>
    </row>
    <row r="8" spans="2:17" x14ac:dyDescent="0.3">
      <c r="B8" s="2">
        <v>45331</v>
      </c>
      <c r="C8">
        <v>40.630000000000003</v>
      </c>
      <c r="D8">
        <v>501.2</v>
      </c>
      <c r="E8">
        <v>187.6</v>
      </c>
      <c r="F8">
        <v>27.99</v>
      </c>
      <c r="G8">
        <v>437.05</v>
      </c>
      <c r="H8">
        <v>22.14</v>
      </c>
      <c r="I8">
        <v>71.67</v>
      </c>
      <c r="J8">
        <v>93.85</v>
      </c>
      <c r="K8">
        <v>63.85</v>
      </c>
      <c r="L8">
        <v>55.79</v>
      </c>
      <c r="M8">
        <v>66.63</v>
      </c>
      <c r="N8">
        <v>137.9</v>
      </c>
      <c r="O8">
        <v>50.72</v>
      </c>
      <c r="P8">
        <v>199.34</v>
      </c>
      <c r="Q8">
        <v>22.36</v>
      </c>
    </row>
    <row r="9" spans="2:17" x14ac:dyDescent="0.3">
      <c r="B9" s="2">
        <v>45330</v>
      </c>
      <c r="C9">
        <v>40.47</v>
      </c>
      <c r="D9">
        <v>498.32</v>
      </c>
      <c r="E9">
        <v>188.33</v>
      </c>
      <c r="F9">
        <v>28.01</v>
      </c>
      <c r="G9">
        <v>432.79</v>
      </c>
      <c r="H9">
        <v>22.06</v>
      </c>
      <c r="I9">
        <v>71.52</v>
      </c>
      <c r="J9">
        <v>94.04</v>
      </c>
      <c r="K9">
        <v>63.63</v>
      </c>
      <c r="L9">
        <v>55.52</v>
      </c>
      <c r="M9">
        <v>66.39</v>
      </c>
      <c r="N9">
        <v>137.22999999999999</v>
      </c>
      <c r="O9">
        <v>50.5</v>
      </c>
      <c r="P9">
        <v>196.15</v>
      </c>
      <c r="Q9">
        <v>22.1</v>
      </c>
    </row>
    <row r="10" spans="2:17" x14ac:dyDescent="0.3">
      <c r="B10" s="2">
        <v>45329</v>
      </c>
      <c r="C10">
        <v>40.68</v>
      </c>
      <c r="D10">
        <v>498.1</v>
      </c>
      <c r="E10">
        <v>188.5</v>
      </c>
      <c r="F10">
        <v>27.98</v>
      </c>
      <c r="G10">
        <v>431.99</v>
      </c>
      <c r="H10">
        <v>21.85</v>
      </c>
      <c r="I10">
        <v>69.42</v>
      </c>
      <c r="J10">
        <v>94.59</v>
      </c>
      <c r="K10">
        <v>63.63</v>
      </c>
      <c r="L10">
        <v>55.68</v>
      </c>
      <c r="M10">
        <v>66.56</v>
      </c>
      <c r="N10">
        <v>137.15</v>
      </c>
      <c r="O10">
        <v>50.89</v>
      </c>
      <c r="P10">
        <v>193.22</v>
      </c>
      <c r="Q10">
        <v>22.62</v>
      </c>
    </row>
    <row r="11" spans="2:17" x14ac:dyDescent="0.3">
      <c r="B11" s="2">
        <v>45328</v>
      </c>
      <c r="C11">
        <v>40.71</v>
      </c>
      <c r="D11">
        <v>493.98</v>
      </c>
      <c r="E11">
        <v>188.55</v>
      </c>
      <c r="F11">
        <v>28.01</v>
      </c>
      <c r="G11">
        <v>427.59</v>
      </c>
      <c r="H11">
        <v>21.77</v>
      </c>
      <c r="I11">
        <v>68.81</v>
      </c>
      <c r="J11">
        <v>95.05</v>
      </c>
      <c r="K11">
        <v>63.84</v>
      </c>
      <c r="L11">
        <v>55.36</v>
      </c>
      <c r="M11">
        <v>66.180000000000007</v>
      </c>
      <c r="N11">
        <v>136.37</v>
      </c>
      <c r="O11">
        <v>50.78</v>
      </c>
      <c r="P11">
        <v>193.67</v>
      </c>
      <c r="Q11">
        <v>23.13</v>
      </c>
    </row>
    <row r="12" spans="2:17" x14ac:dyDescent="0.3">
      <c r="B12" s="2">
        <v>45327</v>
      </c>
      <c r="C12">
        <v>39.729999999999997</v>
      </c>
      <c r="D12">
        <v>492.55</v>
      </c>
      <c r="E12">
        <v>187.57</v>
      </c>
      <c r="F12">
        <v>28.09</v>
      </c>
      <c r="G12">
        <v>428.45</v>
      </c>
      <c r="H12">
        <v>21.71</v>
      </c>
      <c r="I12">
        <v>68.180000000000007</v>
      </c>
      <c r="J12">
        <v>94.13</v>
      </c>
      <c r="K12">
        <v>63.33</v>
      </c>
      <c r="L12">
        <v>54.69</v>
      </c>
      <c r="M12">
        <v>66.19</v>
      </c>
      <c r="N12">
        <v>135.84</v>
      </c>
      <c r="O12">
        <v>50.11</v>
      </c>
      <c r="P12">
        <v>191.94</v>
      </c>
      <c r="Q12">
        <v>21.88</v>
      </c>
    </row>
    <row r="13" spans="2:17" x14ac:dyDescent="0.3">
      <c r="B13" s="2">
        <v>45324</v>
      </c>
      <c r="C13">
        <v>39.630000000000003</v>
      </c>
      <c r="D13">
        <v>494.35</v>
      </c>
      <c r="E13">
        <v>188.61</v>
      </c>
      <c r="F13">
        <v>27.94</v>
      </c>
      <c r="G13">
        <v>429.01</v>
      </c>
      <c r="H13">
        <v>21.7</v>
      </c>
      <c r="I13">
        <v>67.510000000000005</v>
      </c>
      <c r="J13">
        <v>96.07</v>
      </c>
      <c r="K13">
        <v>63.7</v>
      </c>
      <c r="L13">
        <v>54.8</v>
      </c>
      <c r="M13">
        <v>66.510000000000005</v>
      </c>
      <c r="N13">
        <v>136.44999999999999</v>
      </c>
      <c r="O13">
        <v>50.375</v>
      </c>
      <c r="P13">
        <v>194.41</v>
      </c>
      <c r="Q13">
        <v>21.41</v>
      </c>
    </row>
    <row r="14" spans="2:17" x14ac:dyDescent="0.3">
      <c r="B14" s="2">
        <v>45323</v>
      </c>
      <c r="C14">
        <v>39.909999999999997</v>
      </c>
      <c r="D14">
        <v>489.2</v>
      </c>
      <c r="E14">
        <v>190.41</v>
      </c>
      <c r="F14">
        <v>27.69</v>
      </c>
      <c r="G14">
        <v>421.88</v>
      </c>
      <c r="H14">
        <v>21.69</v>
      </c>
      <c r="I14">
        <v>69.069999999999993</v>
      </c>
      <c r="J14">
        <v>98.24</v>
      </c>
      <c r="K14">
        <v>64.319999999999993</v>
      </c>
      <c r="L14">
        <v>54.68</v>
      </c>
      <c r="M14">
        <v>66.92</v>
      </c>
      <c r="N14">
        <v>135.75</v>
      </c>
      <c r="O14">
        <v>50.23</v>
      </c>
      <c r="P14">
        <v>195.44</v>
      </c>
      <c r="Q14">
        <v>21.86</v>
      </c>
    </row>
    <row r="15" spans="2:17" x14ac:dyDescent="0.3">
      <c r="B15" s="2">
        <v>45322</v>
      </c>
      <c r="C15">
        <v>39.64</v>
      </c>
      <c r="D15">
        <v>482.88</v>
      </c>
      <c r="E15">
        <v>188.45</v>
      </c>
      <c r="F15">
        <v>27.83</v>
      </c>
      <c r="G15">
        <v>416.97</v>
      </c>
      <c r="H15">
        <v>21.63</v>
      </c>
      <c r="I15">
        <v>70.92</v>
      </c>
      <c r="J15">
        <v>96.66</v>
      </c>
      <c r="K15">
        <v>63.69</v>
      </c>
      <c r="L15">
        <v>54.06</v>
      </c>
      <c r="M15">
        <v>66.209999999999994</v>
      </c>
      <c r="N15">
        <v>134.19999999999999</v>
      </c>
      <c r="O15">
        <v>49.89</v>
      </c>
      <c r="P15">
        <v>192.88</v>
      </c>
      <c r="Q15">
        <v>21.76</v>
      </c>
    </row>
    <row r="16" spans="2:17" x14ac:dyDescent="0.3">
      <c r="B16" s="2">
        <v>45321</v>
      </c>
      <c r="C16">
        <v>39.79</v>
      </c>
      <c r="D16">
        <v>490.89</v>
      </c>
      <c r="E16">
        <v>188.59</v>
      </c>
      <c r="F16">
        <v>27.76</v>
      </c>
      <c r="G16">
        <v>425.3</v>
      </c>
      <c r="H16">
        <v>21.67</v>
      </c>
      <c r="I16">
        <v>72.81</v>
      </c>
      <c r="J16">
        <v>95.72</v>
      </c>
      <c r="K16">
        <v>64.17</v>
      </c>
      <c r="L16">
        <v>54.38</v>
      </c>
      <c r="M16">
        <v>65.930000000000007</v>
      </c>
      <c r="N16">
        <v>135.99</v>
      </c>
      <c r="O16">
        <v>49.52</v>
      </c>
      <c r="P16">
        <v>197.71</v>
      </c>
      <c r="Q16">
        <v>21.93</v>
      </c>
    </row>
    <row r="17" spans="2:17" x14ac:dyDescent="0.3">
      <c r="B17" s="2">
        <v>45320</v>
      </c>
      <c r="C17">
        <v>40.17</v>
      </c>
      <c r="D17">
        <v>491.27</v>
      </c>
      <c r="E17">
        <v>188.33</v>
      </c>
      <c r="F17">
        <v>27.78</v>
      </c>
      <c r="G17">
        <v>428.15</v>
      </c>
      <c r="H17">
        <v>21.35</v>
      </c>
      <c r="I17">
        <v>72.05</v>
      </c>
      <c r="J17">
        <v>94.86</v>
      </c>
      <c r="K17">
        <v>64.14</v>
      </c>
      <c r="L17">
        <v>54.68</v>
      </c>
      <c r="M17">
        <v>66.17</v>
      </c>
      <c r="N17">
        <v>136.11000000000001</v>
      </c>
      <c r="O17">
        <v>49.98</v>
      </c>
      <c r="P17">
        <v>199.41</v>
      </c>
      <c r="Q17">
        <v>22.29</v>
      </c>
    </row>
    <row r="18" spans="2:17" x14ac:dyDescent="0.3">
      <c r="B18" s="2">
        <v>45317</v>
      </c>
      <c r="C18">
        <v>40.159999999999997</v>
      </c>
      <c r="D18">
        <v>487.41</v>
      </c>
      <c r="E18">
        <v>187.01</v>
      </c>
      <c r="F18">
        <v>27.78</v>
      </c>
      <c r="G18">
        <v>423.81</v>
      </c>
      <c r="H18">
        <v>21.45</v>
      </c>
      <c r="I18">
        <v>73.099999999999994</v>
      </c>
      <c r="J18">
        <v>93.78</v>
      </c>
      <c r="K18">
        <v>63.93</v>
      </c>
      <c r="L18">
        <v>54.27</v>
      </c>
      <c r="M18">
        <v>65.39</v>
      </c>
      <c r="N18">
        <v>135.07</v>
      </c>
      <c r="O18">
        <v>49.19</v>
      </c>
      <c r="P18">
        <v>195.98</v>
      </c>
      <c r="Q18">
        <v>22.6</v>
      </c>
    </row>
    <row r="19" spans="2:17" x14ac:dyDescent="0.3">
      <c r="B19" s="2">
        <v>45316</v>
      </c>
      <c r="C19">
        <v>40.15</v>
      </c>
      <c r="D19">
        <v>488.03</v>
      </c>
      <c r="E19">
        <v>187.14</v>
      </c>
      <c r="F19">
        <v>27.78</v>
      </c>
      <c r="G19">
        <v>426.35</v>
      </c>
      <c r="H19">
        <v>21.4</v>
      </c>
      <c r="I19">
        <v>72.23</v>
      </c>
      <c r="J19">
        <v>93.96</v>
      </c>
      <c r="K19">
        <v>63.36</v>
      </c>
      <c r="L19">
        <v>54.06</v>
      </c>
      <c r="M19">
        <v>65.92</v>
      </c>
      <c r="N19">
        <v>134.94999999999999</v>
      </c>
      <c r="O19">
        <v>49.11</v>
      </c>
      <c r="P19">
        <v>195.97</v>
      </c>
      <c r="Q19">
        <v>22.75</v>
      </c>
    </row>
    <row r="20" spans="2:17" x14ac:dyDescent="0.3">
      <c r="B20" s="2">
        <v>45315</v>
      </c>
      <c r="C20">
        <v>40.049999999999997</v>
      </c>
      <c r="D20">
        <v>485.39</v>
      </c>
      <c r="E20">
        <v>186.4</v>
      </c>
      <c r="F20">
        <v>27.7</v>
      </c>
      <c r="G20">
        <v>425.83</v>
      </c>
      <c r="H20">
        <v>21.5</v>
      </c>
      <c r="I20">
        <v>70.540000000000006</v>
      </c>
      <c r="J20">
        <v>93.35</v>
      </c>
      <c r="K20">
        <v>63.07</v>
      </c>
      <c r="L20">
        <v>54.04</v>
      </c>
      <c r="M20">
        <v>66.17</v>
      </c>
      <c r="N20">
        <v>134.41999999999999</v>
      </c>
      <c r="O20">
        <v>49.2</v>
      </c>
      <c r="P20">
        <v>194.36</v>
      </c>
      <c r="Q20">
        <v>22.77</v>
      </c>
    </row>
    <row r="21" spans="2:17" x14ac:dyDescent="0.3">
      <c r="B21" s="2">
        <v>45314</v>
      </c>
      <c r="C21">
        <v>39.54</v>
      </c>
      <c r="D21">
        <v>484.86</v>
      </c>
      <c r="E21">
        <v>187.95</v>
      </c>
      <c r="F21">
        <v>27.78</v>
      </c>
      <c r="G21">
        <v>423.48</v>
      </c>
      <c r="H21">
        <v>21.34</v>
      </c>
      <c r="I21">
        <v>69.66</v>
      </c>
      <c r="J21">
        <v>93.9</v>
      </c>
      <c r="K21">
        <v>62.45</v>
      </c>
      <c r="L21">
        <v>53.74</v>
      </c>
      <c r="M21">
        <v>66.09</v>
      </c>
      <c r="N21">
        <v>134.11000000000001</v>
      </c>
      <c r="O21">
        <v>48.68</v>
      </c>
      <c r="P21">
        <v>195.97</v>
      </c>
      <c r="Q21">
        <v>22.11</v>
      </c>
    </row>
    <row r="22" spans="2:17" x14ac:dyDescent="0.3">
      <c r="B22" s="2">
        <v>45313</v>
      </c>
      <c r="C22">
        <v>39.32</v>
      </c>
      <c r="D22">
        <v>483.45</v>
      </c>
      <c r="E22">
        <v>187.22</v>
      </c>
      <c r="F22">
        <v>27.71</v>
      </c>
      <c r="G22">
        <v>421.73</v>
      </c>
      <c r="H22">
        <v>21.1</v>
      </c>
      <c r="I22">
        <v>69.69</v>
      </c>
      <c r="J22">
        <v>94.65</v>
      </c>
      <c r="K22">
        <v>62.6</v>
      </c>
      <c r="L22">
        <v>53.74</v>
      </c>
      <c r="M22">
        <v>66.680000000000007</v>
      </c>
      <c r="N22">
        <v>133.94</v>
      </c>
      <c r="O22">
        <v>49.77</v>
      </c>
      <c r="P22">
        <v>196.54</v>
      </c>
      <c r="Q22">
        <v>21.14</v>
      </c>
    </row>
    <row r="23" spans="2:17" x14ac:dyDescent="0.3">
      <c r="B23" s="2">
        <v>45310</v>
      </c>
      <c r="C23">
        <v>39.630000000000003</v>
      </c>
      <c r="D23">
        <v>482.43</v>
      </c>
      <c r="E23">
        <v>187.93</v>
      </c>
      <c r="F23">
        <v>27.7</v>
      </c>
      <c r="G23">
        <v>421.18</v>
      </c>
      <c r="H23">
        <v>21.01</v>
      </c>
      <c r="I23">
        <v>68.819999999999993</v>
      </c>
      <c r="J23">
        <v>94.09</v>
      </c>
      <c r="K23">
        <v>62.49</v>
      </c>
      <c r="L23">
        <v>53.95</v>
      </c>
      <c r="M23">
        <v>65.900000000000006</v>
      </c>
      <c r="N23">
        <v>133.63</v>
      </c>
      <c r="O23">
        <v>49.59</v>
      </c>
      <c r="P23">
        <v>192.43</v>
      </c>
      <c r="Q23">
        <v>21.68</v>
      </c>
    </row>
    <row r="24" spans="2:17" x14ac:dyDescent="0.3">
      <c r="B24" s="2">
        <v>45309</v>
      </c>
      <c r="C24">
        <v>39.270000000000003</v>
      </c>
      <c r="D24">
        <v>476.49</v>
      </c>
      <c r="E24">
        <v>187.37</v>
      </c>
      <c r="F24">
        <v>27.74</v>
      </c>
      <c r="G24">
        <v>412.99</v>
      </c>
      <c r="H24">
        <v>20.85</v>
      </c>
      <c r="I24">
        <v>69.06</v>
      </c>
      <c r="J24">
        <v>93.79</v>
      </c>
      <c r="K24">
        <v>62.47</v>
      </c>
      <c r="L24">
        <v>53.29</v>
      </c>
      <c r="M24">
        <v>65.73</v>
      </c>
      <c r="N24">
        <v>132.25</v>
      </c>
      <c r="O24">
        <v>49.08</v>
      </c>
      <c r="P24">
        <v>190.6</v>
      </c>
      <c r="Q24">
        <v>21.53</v>
      </c>
    </row>
    <row r="25" spans="2:17" x14ac:dyDescent="0.3">
      <c r="B25" s="2">
        <v>45308</v>
      </c>
      <c r="C25">
        <v>39.04</v>
      </c>
      <c r="D25">
        <v>472.29</v>
      </c>
      <c r="E25">
        <v>185.84</v>
      </c>
      <c r="F25">
        <v>27.71</v>
      </c>
      <c r="G25">
        <v>407.21</v>
      </c>
      <c r="H25">
        <v>20.61</v>
      </c>
      <c r="I25">
        <v>67.94</v>
      </c>
      <c r="J25">
        <v>94.67</v>
      </c>
      <c r="K25">
        <v>61.92</v>
      </c>
      <c r="L25">
        <v>52.7</v>
      </c>
      <c r="M25">
        <v>65.12</v>
      </c>
      <c r="N25">
        <v>131.15</v>
      </c>
      <c r="O25">
        <v>48.83</v>
      </c>
      <c r="P25">
        <v>189.48</v>
      </c>
      <c r="Q25">
        <v>21.45</v>
      </c>
    </row>
    <row r="26" spans="2:17" x14ac:dyDescent="0.3">
      <c r="B26" s="2">
        <v>45307</v>
      </c>
      <c r="C26">
        <v>39.57</v>
      </c>
      <c r="D26">
        <v>474.93</v>
      </c>
      <c r="E26">
        <v>187.91</v>
      </c>
      <c r="F26">
        <v>27.69</v>
      </c>
      <c r="G26">
        <v>409.52</v>
      </c>
      <c r="H26">
        <v>20.76</v>
      </c>
      <c r="I26">
        <v>67.25</v>
      </c>
      <c r="J26">
        <v>94.82</v>
      </c>
      <c r="K26">
        <v>62.41</v>
      </c>
      <c r="L26">
        <v>53.34</v>
      </c>
      <c r="M26">
        <v>65.94</v>
      </c>
      <c r="N26">
        <v>132.01</v>
      </c>
      <c r="O26">
        <v>49.4</v>
      </c>
      <c r="P26">
        <v>190.84</v>
      </c>
      <c r="Q26">
        <v>22.02</v>
      </c>
    </row>
    <row r="27" spans="2:17" x14ac:dyDescent="0.3">
      <c r="B27" s="2">
        <v>45303</v>
      </c>
      <c r="C27">
        <v>40.409999999999997</v>
      </c>
      <c r="D27">
        <v>476.68</v>
      </c>
      <c r="E27">
        <v>189.71</v>
      </c>
      <c r="F27">
        <v>27.45</v>
      </c>
      <c r="G27">
        <v>409.56</v>
      </c>
      <c r="H27">
        <v>20.61</v>
      </c>
      <c r="I27">
        <v>68.02</v>
      </c>
      <c r="J27">
        <v>96.52</v>
      </c>
      <c r="K27">
        <v>63.62</v>
      </c>
      <c r="L27">
        <v>54.55</v>
      </c>
      <c r="M27">
        <v>66.430000000000007</v>
      </c>
      <c r="N27">
        <v>132.93</v>
      </c>
      <c r="O27">
        <v>49.96</v>
      </c>
      <c r="P27">
        <v>193.23</v>
      </c>
      <c r="Q27">
        <v>22.73</v>
      </c>
    </row>
    <row r="28" spans="2:17" x14ac:dyDescent="0.3">
      <c r="B28" s="2">
        <v>45302</v>
      </c>
      <c r="C28">
        <v>40.22</v>
      </c>
      <c r="D28">
        <v>476.35</v>
      </c>
      <c r="E28">
        <v>187.87</v>
      </c>
      <c r="F28">
        <v>27.42</v>
      </c>
      <c r="G28">
        <v>409.35</v>
      </c>
      <c r="H28">
        <v>20.72</v>
      </c>
      <c r="I28">
        <v>67.650000000000006</v>
      </c>
      <c r="J28">
        <v>96.71</v>
      </c>
      <c r="K28">
        <v>63.44</v>
      </c>
      <c r="L28">
        <v>54.24</v>
      </c>
      <c r="M28">
        <v>65.8</v>
      </c>
      <c r="N28">
        <v>132.82</v>
      </c>
      <c r="O28">
        <v>49.19</v>
      </c>
      <c r="P28">
        <v>193.55</v>
      </c>
      <c r="Q28">
        <v>22.83</v>
      </c>
    </row>
    <row r="29" spans="2:17" x14ac:dyDescent="0.3">
      <c r="B29" s="2">
        <v>45301</v>
      </c>
      <c r="C29">
        <v>40.049999999999997</v>
      </c>
      <c r="D29">
        <v>476.56</v>
      </c>
      <c r="E29">
        <v>187.5</v>
      </c>
      <c r="F29">
        <v>27.4</v>
      </c>
      <c r="G29">
        <v>408.5</v>
      </c>
      <c r="H29">
        <v>20.61</v>
      </c>
      <c r="I29">
        <v>66.56</v>
      </c>
      <c r="J29">
        <v>96.17</v>
      </c>
      <c r="K29">
        <v>63.72</v>
      </c>
      <c r="L29">
        <v>54.12</v>
      </c>
      <c r="M29">
        <v>65.22</v>
      </c>
      <c r="N29">
        <v>132.83000000000001</v>
      </c>
      <c r="O29">
        <v>49.15</v>
      </c>
      <c r="P29">
        <v>195.08</v>
      </c>
      <c r="Q29">
        <v>22.49</v>
      </c>
    </row>
    <row r="30" spans="2:17" x14ac:dyDescent="0.3">
      <c r="B30" s="2">
        <v>45300</v>
      </c>
      <c r="C30">
        <v>40.090000000000003</v>
      </c>
      <c r="D30">
        <v>473.88</v>
      </c>
      <c r="E30">
        <v>187.93</v>
      </c>
      <c r="F30">
        <v>27.45</v>
      </c>
      <c r="G30">
        <v>405.75</v>
      </c>
      <c r="H30">
        <v>20.65</v>
      </c>
      <c r="I30">
        <v>67.39</v>
      </c>
      <c r="J30">
        <v>96.62</v>
      </c>
      <c r="K30">
        <v>63.45</v>
      </c>
      <c r="L30">
        <v>54.23</v>
      </c>
      <c r="M30">
        <v>64.069999999999993</v>
      </c>
      <c r="N30">
        <v>132.06</v>
      </c>
      <c r="O30">
        <v>48.85</v>
      </c>
      <c r="P30">
        <v>194.97</v>
      </c>
      <c r="Q30">
        <v>22.48</v>
      </c>
    </row>
    <row r="31" spans="2:17" x14ac:dyDescent="0.3">
      <c r="B31" s="2">
        <v>45299</v>
      </c>
      <c r="C31">
        <v>40.56</v>
      </c>
      <c r="D31">
        <v>474.6</v>
      </c>
      <c r="E31">
        <v>187.87</v>
      </c>
      <c r="F31">
        <v>27.36</v>
      </c>
      <c r="G31">
        <v>404.95</v>
      </c>
      <c r="H31">
        <v>20.51</v>
      </c>
      <c r="I31">
        <v>66.400000000000006</v>
      </c>
      <c r="J31">
        <v>97.24</v>
      </c>
      <c r="K31">
        <v>64.09</v>
      </c>
      <c r="L31">
        <v>54.99</v>
      </c>
      <c r="M31">
        <v>64.459999999999994</v>
      </c>
      <c r="N31">
        <v>132.59</v>
      </c>
      <c r="O31">
        <v>49.09</v>
      </c>
      <c r="P31">
        <v>196.73</v>
      </c>
      <c r="Q31">
        <v>22.94</v>
      </c>
    </row>
    <row r="32" spans="2:17" x14ac:dyDescent="0.3">
      <c r="B32" s="2">
        <v>45296</v>
      </c>
      <c r="C32">
        <v>40.49</v>
      </c>
      <c r="D32">
        <v>467.92</v>
      </c>
      <c r="E32">
        <v>189.35</v>
      </c>
      <c r="F32">
        <v>27.41</v>
      </c>
      <c r="G32">
        <v>396.75</v>
      </c>
      <c r="H32">
        <v>20.58</v>
      </c>
      <c r="I32">
        <v>69.03</v>
      </c>
      <c r="J32">
        <v>96.29</v>
      </c>
      <c r="K32">
        <v>63.37</v>
      </c>
      <c r="L32">
        <v>54.54</v>
      </c>
      <c r="M32">
        <v>63.53</v>
      </c>
      <c r="N32">
        <v>130.86000000000001</v>
      </c>
      <c r="O32">
        <v>49.09</v>
      </c>
      <c r="P32">
        <v>193.25</v>
      </c>
      <c r="Q32">
        <v>23.23</v>
      </c>
    </row>
    <row r="33" spans="2:17" x14ac:dyDescent="0.3">
      <c r="B33" s="2">
        <v>45295</v>
      </c>
      <c r="C33">
        <v>40.43</v>
      </c>
      <c r="D33">
        <v>467.28</v>
      </c>
      <c r="E33">
        <v>189.32</v>
      </c>
      <c r="F33">
        <v>27.41</v>
      </c>
      <c r="G33">
        <v>396.28</v>
      </c>
      <c r="H33">
        <v>20.72</v>
      </c>
      <c r="I33">
        <v>67.569999999999993</v>
      </c>
      <c r="J33">
        <v>97.22</v>
      </c>
      <c r="K33">
        <v>63.49</v>
      </c>
      <c r="L33">
        <v>54.34</v>
      </c>
      <c r="M33">
        <v>63.06</v>
      </c>
      <c r="N33">
        <v>130.69999999999999</v>
      </c>
      <c r="O33">
        <v>49.01</v>
      </c>
      <c r="P33">
        <v>193.82</v>
      </c>
      <c r="Q33">
        <v>23.36</v>
      </c>
    </row>
    <row r="34" spans="2:17" x14ac:dyDescent="0.3">
      <c r="B34" s="2">
        <v>45294</v>
      </c>
      <c r="C34">
        <v>40.5</v>
      </c>
      <c r="D34">
        <v>468.79</v>
      </c>
      <c r="E34">
        <v>189.13</v>
      </c>
      <c r="F34">
        <v>27.41</v>
      </c>
      <c r="G34">
        <v>398.33</v>
      </c>
      <c r="H34">
        <v>20.59</v>
      </c>
      <c r="I34">
        <v>68.19</v>
      </c>
      <c r="J34">
        <v>98.72</v>
      </c>
      <c r="K34">
        <v>63.13</v>
      </c>
      <c r="L34">
        <v>54.3</v>
      </c>
      <c r="M34">
        <v>63.21</v>
      </c>
      <c r="N34">
        <v>130.85</v>
      </c>
      <c r="O34">
        <v>48.59</v>
      </c>
      <c r="P34">
        <v>194.2</v>
      </c>
      <c r="Q34">
        <v>23.67</v>
      </c>
    </row>
    <row r="35" spans="2:17" x14ac:dyDescent="0.3">
      <c r="B35" s="2">
        <v>45293</v>
      </c>
      <c r="C35">
        <v>40.619999999999997</v>
      </c>
      <c r="D35">
        <v>472.65</v>
      </c>
      <c r="E35">
        <v>190.72</v>
      </c>
      <c r="F35">
        <v>27.32</v>
      </c>
      <c r="G35">
        <v>402.59</v>
      </c>
      <c r="H35">
        <v>20.69</v>
      </c>
      <c r="I35">
        <v>65.77</v>
      </c>
      <c r="J35">
        <v>98.31</v>
      </c>
      <c r="K35">
        <v>63.67</v>
      </c>
      <c r="L35">
        <v>54.92</v>
      </c>
      <c r="M35">
        <v>63.56</v>
      </c>
      <c r="N35">
        <v>131.91</v>
      </c>
      <c r="O35">
        <v>48.67</v>
      </c>
      <c r="P35">
        <v>199.52</v>
      </c>
      <c r="Q35">
        <v>23.24</v>
      </c>
    </row>
    <row r="36" spans="2:17" x14ac:dyDescent="0.3">
      <c r="B36" s="2">
        <v>45289</v>
      </c>
      <c r="C36">
        <v>41.1</v>
      </c>
      <c r="D36">
        <v>475.31</v>
      </c>
      <c r="E36">
        <v>191.17</v>
      </c>
      <c r="F36">
        <v>27.09</v>
      </c>
      <c r="G36">
        <v>409.52</v>
      </c>
      <c r="H36">
        <v>20.74</v>
      </c>
      <c r="I36">
        <v>66.650000000000006</v>
      </c>
      <c r="J36">
        <v>98.88</v>
      </c>
      <c r="K36">
        <v>64.48</v>
      </c>
      <c r="L36">
        <v>55.41</v>
      </c>
      <c r="M36">
        <v>64.14</v>
      </c>
      <c r="N36">
        <v>133.02000000000001</v>
      </c>
      <c r="O36">
        <v>48.81</v>
      </c>
      <c r="P36">
        <v>200.71</v>
      </c>
      <c r="Q36">
        <v>24.03</v>
      </c>
    </row>
    <row r="37" spans="2:17" x14ac:dyDescent="0.3">
      <c r="B37" s="2">
        <v>45288</v>
      </c>
      <c r="C37">
        <v>40.99</v>
      </c>
      <c r="D37">
        <v>476.69</v>
      </c>
      <c r="E37">
        <v>191.47</v>
      </c>
      <c r="F37">
        <v>27.04</v>
      </c>
      <c r="G37">
        <v>411.3</v>
      </c>
      <c r="H37">
        <v>21.05</v>
      </c>
      <c r="I37">
        <v>67.180000000000007</v>
      </c>
      <c r="J37">
        <v>99.78</v>
      </c>
      <c r="K37">
        <v>64.42</v>
      </c>
      <c r="L37">
        <v>55.5</v>
      </c>
      <c r="M37">
        <v>64.040000000000006</v>
      </c>
      <c r="N37">
        <v>133.28</v>
      </c>
      <c r="O37">
        <v>49.02</v>
      </c>
      <c r="P37">
        <v>204.04</v>
      </c>
      <c r="Q37">
        <v>23.88</v>
      </c>
    </row>
    <row r="38" spans="2:17" x14ac:dyDescent="0.3">
      <c r="B38" s="2">
        <v>45287</v>
      </c>
      <c r="C38">
        <v>40.74</v>
      </c>
      <c r="D38">
        <v>476.51</v>
      </c>
      <c r="E38">
        <v>192.59</v>
      </c>
      <c r="F38">
        <v>26.95</v>
      </c>
      <c r="G38">
        <v>411.5</v>
      </c>
      <c r="H38">
        <v>21</v>
      </c>
      <c r="I38">
        <v>68.92</v>
      </c>
      <c r="J38">
        <v>100.51</v>
      </c>
      <c r="K38">
        <v>64.86</v>
      </c>
      <c r="L38">
        <v>55.35</v>
      </c>
      <c r="M38">
        <v>63.66</v>
      </c>
      <c r="N38">
        <v>133.36000000000001</v>
      </c>
      <c r="O38">
        <v>48.84</v>
      </c>
      <c r="P38">
        <v>204.82</v>
      </c>
      <c r="Q38">
        <v>23.25</v>
      </c>
    </row>
    <row r="39" spans="2:17" x14ac:dyDescent="0.3">
      <c r="B39" s="2">
        <v>45286</v>
      </c>
      <c r="C39">
        <v>40.520000000000003</v>
      </c>
      <c r="D39">
        <v>475.65</v>
      </c>
      <c r="E39">
        <v>191.72</v>
      </c>
      <c r="F39">
        <v>27.09</v>
      </c>
      <c r="G39">
        <v>410.88</v>
      </c>
      <c r="H39">
        <v>20.98</v>
      </c>
      <c r="I39">
        <v>70.209999999999994</v>
      </c>
      <c r="J39">
        <v>98.76</v>
      </c>
      <c r="K39">
        <v>64.5</v>
      </c>
      <c r="L39">
        <v>54.93</v>
      </c>
      <c r="M39">
        <v>63.31</v>
      </c>
      <c r="N39">
        <v>132.97999999999999</v>
      </c>
      <c r="O39">
        <v>48.53</v>
      </c>
      <c r="P39">
        <v>204.1</v>
      </c>
      <c r="Q39">
        <v>23.22</v>
      </c>
    </row>
    <row r="40" spans="2:17" x14ac:dyDescent="0.3">
      <c r="B40" s="2">
        <v>45282</v>
      </c>
      <c r="C40">
        <v>40.26</v>
      </c>
      <c r="D40">
        <v>473.65</v>
      </c>
      <c r="E40">
        <v>190.27</v>
      </c>
      <c r="F40">
        <v>27.15</v>
      </c>
      <c r="G40">
        <v>408.38</v>
      </c>
      <c r="H40">
        <v>20.89</v>
      </c>
      <c r="I40">
        <v>68.69</v>
      </c>
      <c r="J40">
        <v>98.474999999999994</v>
      </c>
      <c r="K40">
        <v>64.099999999999994</v>
      </c>
      <c r="L40">
        <v>54.45</v>
      </c>
      <c r="M40">
        <v>63.33</v>
      </c>
      <c r="N40">
        <v>132.43</v>
      </c>
      <c r="O40">
        <v>48.36</v>
      </c>
      <c r="P40">
        <v>201.48</v>
      </c>
      <c r="Q40">
        <v>23.05</v>
      </c>
    </row>
    <row r="41" spans="2:17" x14ac:dyDescent="0.3">
      <c r="B41" s="2">
        <v>45281</v>
      </c>
      <c r="C41">
        <v>40.4</v>
      </c>
      <c r="D41">
        <v>472.7</v>
      </c>
      <c r="E41">
        <v>189.43</v>
      </c>
      <c r="F41">
        <v>27.16</v>
      </c>
      <c r="G41">
        <v>407.77</v>
      </c>
      <c r="H41">
        <v>20.79</v>
      </c>
      <c r="I41">
        <v>69.03</v>
      </c>
      <c r="J41">
        <v>98.93</v>
      </c>
      <c r="K41">
        <v>64.06</v>
      </c>
      <c r="L41">
        <v>54.31</v>
      </c>
      <c r="M41">
        <v>63.13</v>
      </c>
      <c r="N41">
        <v>132.16</v>
      </c>
      <c r="O41">
        <v>48.16</v>
      </c>
      <c r="P41">
        <v>199.62</v>
      </c>
      <c r="Q41">
        <v>23.71</v>
      </c>
    </row>
    <row r="42" spans="2:17" x14ac:dyDescent="0.3">
      <c r="B42" s="2">
        <v>45280</v>
      </c>
      <c r="C42">
        <v>39.630000000000003</v>
      </c>
      <c r="D42">
        <v>468.26</v>
      </c>
      <c r="E42">
        <v>188.1</v>
      </c>
      <c r="F42">
        <v>27.34</v>
      </c>
      <c r="G42">
        <v>403.08</v>
      </c>
      <c r="H42">
        <v>20.82</v>
      </c>
      <c r="I42">
        <v>68.790000000000006</v>
      </c>
      <c r="J42">
        <v>99.56</v>
      </c>
      <c r="K42">
        <v>63.12</v>
      </c>
      <c r="L42">
        <v>53.42</v>
      </c>
      <c r="M42">
        <v>62.05</v>
      </c>
      <c r="N42">
        <v>130.63</v>
      </c>
      <c r="O42">
        <v>47.4</v>
      </c>
      <c r="P42">
        <v>196.28</v>
      </c>
      <c r="Q42">
        <v>22.91</v>
      </c>
    </row>
    <row r="43" spans="2:17" x14ac:dyDescent="0.3">
      <c r="B43" s="2">
        <v>45279</v>
      </c>
      <c r="C43">
        <v>40.479999999999997</v>
      </c>
      <c r="D43">
        <v>474.84</v>
      </c>
      <c r="E43">
        <v>189.13</v>
      </c>
      <c r="F43">
        <v>27.22</v>
      </c>
      <c r="G43">
        <v>409.16</v>
      </c>
      <c r="H43">
        <v>21.07</v>
      </c>
      <c r="I43">
        <v>69.36</v>
      </c>
      <c r="J43">
        <v>98.89</v>
      </c>
      <c r="K43">
        <v>63.87</v>
      </c>
      <c r="L43">
        <v>54.89</v>
      </c>
      <c r="M43">
        <v>63.24</v>
      </c>
      <c r="N43">
        <v>133.47999999999999</v>
      </c>
      <c r="O43">
        <v>48.72</v>
      </c>
      <c r="P43">
        <v>200.93</v>
      </c>
      <c r="Q43">
        <v>24.2</v>
      </c>
    </row>
    <row r="44" spans="2:17" x14ac:dyDescent="0.3">
      <c r="B44" s="2">
        <v>45278</v>
      </c>
      <c r="C44">
        <v>40.200000000000003</v>
      </c>
      <c r="D44">
        <v>471.97</v>
      </c>
      <c r="E44">
        <v>187.85</v>
      </c>
      <c r="F44">
        <v>27.34</v>
      </c>
      <c r="G44">
        <v>407.08</v>
      </c>
      <c r="H44">
        <v>21.02</v>
      </c>
      <c r="I44">
        <v>68.09</v>
      </c>
      <c r="J44">
        <v>98.36</v>
      </c>
      <c r="K44">
        <v>63.21</v>
      </c>
      <c r="L44">
        <v>54.52</v>
      </c>
      <c r="M44">
        <v>63.05</v>
      </c>
      <c r="N44">
        <v>132.56</v>
      </c>
      <c r="O44">
        <v>48.454999999999998</v>
      </c>
      <c r="P44">
        <v>197.11</v>
      </c>
      <c r="Q44">
        <v>23.88</v>
      </c>
    </row>
    <row r="45" spans="2:17" x14ac:dyDescent="0.3">
      <c r="B45" s="2">
        <v>45275</v>
      </c>
      <c r="C45">
        <v>41.07</v>
      </c>
      <c r="D45">
        <v>469.33</v>
      </c>
      <c r="E45">
        <v>187</v>
      </c>
      <c r="F45">
        <v>29.09</v>
      </c>
      <c r="G45">
        <v>405.34</v>
      </c>
      <c r="H45">
        <v>21.96</v>
      </c>
      <c r="I45">
        <v>67.150000000000006</v>
      </c>
      <c r="J45">
        <v>99.15</v>
      </c>
      <c r="K45">
        <v>63.48</v>
      </c>
      <c r="L45">
        <v>54.37</v>
      </c>
      <c r="M45">
        <v>63.17</v>
      </c>
      <c r="N45">
        <v>131.94999999999999</v>
      </c>
      <c r="O45">
        <v>48.3</v>
      </c>
      <c r="P45">
        <v>197.04</v>
      </c>
      <c r="Q45">
        <v>24.13</v>
      </c>
    </row>
    <row r="46" spans="2:17" x14ac:dyDescent="0.3">
      <c r="B46" s="2">
        <v>45274</v>
      </c>
      <c r="C46">
        <v>41.31</v>
      </c>
      <c r="D46">
        <v>472.01</v>
      </c>
      <c r="E46">
        <v>188.73</v>
      </c>
      <c r="F46">
        <v>28.9</v>
      </c>
      <c r="G46">
        <v>403.39</v>
      </c>
      <c r="H46">
        <v>21.9</v>
      </c>
      <c r="I46">
        <v>67.16</v>
      </c>
      <c r="J46">
        <v>99.04</v>
      </c>
      <c r="K46">
        <v>64.19</v>
      </c>
      <c r="L46">
        <v>54.69</v>
      </c>
      <c r="M46">
        <v>63.72</v>
      </c>
      <c r="N46">
        <v>132.36000000000001</v>
      </c>
      <c r="O46">
        <v>48.35</v>
      </c>
      <c r="P46">
        <v>198.71</v>
      </c>
      <c r="Q46">
        <v>24.18</v>
      </c>
    </row>
    <row r="47" spans="2:17" x14ac:dyDescent="0.3">
      <c r="B47" s="2">
        <v>45273</v>
      </c>
      <c r="C47">
        <v>40.770000000000003</v>
      </c>
      <c r="D47">
        <v>470.5</v>
      </c>
      <c r="E47">
        <v>187.63</v>
      </c>
      <c r="F47">
        <v>29.17</v>
      </c>
      <c r="G47">
        <v>403.74</v>
      </c>
      <c r="H47">
        <v>21.72</v>
      </c>
      <c r="I47">
        <v>65.33</v>
      </c>
      <c r="J47">
        <v>96.84</v>
      </c>
      <c r="K47">
        <v>63.46</v>
      </c>
      <c r="L47">
        <v>53.93</v>
      </c>
      <c r="M47">
        <v>64.010000000000005</v>
      </c>
      <c r="N47">
        <v>131.66999999999999</v>
      </c>
      <c r="O47">
        <v>47.96</v>
      </c>
      <c r="P47">
        <v>193.33</v>
      </c>
      <c r="Q47">
        <v>23.87</v>
      </c>
    </row>
    <row r="48" spans="2:17" x14ac:dyDescent="0.3">
      <c r="B48" s="2">
        <v>45272</v>
      </c>
      <c r="C48">
        <v>40.39</v>
      </c>
      <c r="D48">
        <v>464.1</v>
      </c>
      <c r="E48">
        <v>183.49</v>
      </c>
      <c r="F48">
        <v>29.42</v>
      </c>
      <c r="G48">
        <v>398.67</v>
      </c>
      <c r="H48">
        <v>21.85</v>
      </c>
      <c r="I48">
        <v>64.25</v>
      </c>
      <c r="J48">
        <v>94.62</v>
      </c>
      <c r="K48">
        <v>62.58</v>
      </c>
      <c r="L48">
        <v>53.14</v>
      </c>
      <c r="M48">
        <v>63.05</v>
      </c>
      <c r="N48">
        <v>129.75</v>
      </c>
      <c r="O48">
        <v>47.38</v>
      </c>
      <c r="P48">
        <v>187</v>
      </c>
      <c r="Q48">
        <v>23.95</v>
      </c>
    </row>
    <row r="49" spans="2:17" x14ac:dyDescent="0.3">
      <c r="B49" s="2">
        <v>45271</v>
      </c>
      <c r="C49">
        <v>40.39</v>
      </c>
      <c r="D49">
        <v>461.99</v>
      </c>
      <c r="E49">
        <v>183.59</v>
      </c>
      <c r="F49">
        <v>29.5</v>
      </c>
      <c r="G49">
        <v>395.52</v>
      </c>
      <c r="H49">
        <v>21.71</v>
      </c>
      <c r="I49">
        <v>66.8</v>
      </c>
      <c r="J49">
        <v>94.34</v>
      </c>
      <c r="K49">
        <v>62.47</v>
      </c>
      <c r="L49">
        <v>53.21</v>
      </c>
      <c r="M49">
        <v>63.14</v>
      </c>
      <c r="N49">
        <v>129.41</v>
      </c>
      <c r="O49">
        <v>47.56</v>
      </c>
      <c r="P49">
        <v>187.19</v>
      </c>
      <c r="Q49">
        <v>23.79</v>
      </c>
    </row>
    <row r="50" spans="2:17" x14ac:dyDescent="0.3">
      <c r="B50" s="2">
        <v>45268</v>
      </c>
      <c r="C50">
        <v>40.21</v>
      </c>
      <c r="D50">
        <v>460.2</v>
      </c>
      <c r="E50">
        <v>185.64</v>
      </c>
      <c r="F50">
        <v>29.46</v>
      </c>
      <c r="G50">
        <v>392.17</v>
      </c>
      <c r="H50">
        <v>21.82</v>
      </c>
      <c r="I50">
        <v>66.53</v>
      </c>
      <c r="J50">
        <v>94.54</v>
      </c>
      <c r="K50">
        <v>62.38</v>
      </c>
      <c r="L50">
        <v>52.99</v>
      </c>
      <c r="M50">
        <v>62.78</v>
      </c>
      <c r="N50">
        <v>128.91999999999999</v>
      </c>
      <c r="O50">
        <v>47.31</v>
      </c>
      <c r="P50">
        <v>186.8</v>
      </c>
      <c r="Q50">
        <v>23.7</v>
      </c>
    </row>
    <row r="51" spans="2:17" x14ac:dyDescent="0.3">
      <c r="B51" s="2">
        <v>45267</v>
      </c>
      <c r="C51">
        <v>40.409999999999997</v>
      </c>
      <c r="D51">
        <v>458.23</v>
      </c>
      <c r="E51">
        <v>188.15</v>
      </c>
      <c r="F51">
        <v>29.35</v>
      </c>
      <c r="G51">
        <v>390.43</v>
      </c>
      <c r="H51">
        <v>21.68</v>
      </c>
      <c r="I51">
        <v>65.11</v>
      </c>
      <c r="J51">
        <v>95.32</v>
      </c>
      <c r="K51">
        <v>62.04</v>
      </c>
      <c r="L51">
        <v>53.01</v>
      </c>
      <c r="M51">
        <v>63.15</v>
      </c>
      <c r="N51">
        <v>128.46</v>
      </c>
      <c r="O51">
        <v>47.46</v>
      </c>
      <c r="P51">
        <v>185.39</v>
      </c>
      <c r="Q51">
        <v>24.03</v>
      </c>
    </row>
    <row r="52" spans="2:17" x14ac:dyDescent="0.3">
      <c r="B52" s="2">
        <v>45266</v>
      </c>
      <c r="C52">
        <v>40.25</v>
      </c>
      <c r="D52">
        <v>454.76</v>
      </c>
      <c r="E52">
        <v>187.84</v>
      </c>
      <c r="F52">
        <v>29.51</v>
      </c>
      <c r="G52">
        <v>385.05</v>
      </c>
      <c r="H52">
        <v>21.55</v>
      </c>
      <c r="I52">
        <v>64.760000000000005</v>
      </c>
      <c r="J52">
        <v>95.87</v>
      </c>
      <c r="K52">
        <v>61.82</v>
      </c>
      <c r="L52">
        <v>52.72</v>
      </c>
      <c r="M52">
        <v>62.67</v>
      </c>
      <c r="N52">
        <v>127.54</v>
      </c>
      <c r="O52">
        <v>47.34</v>
      </c>
      <c r="P52">
        <v>184.06</v>
      </c>
      <c r="Q52">
        <v>23.95</v>
      </c>
    </row>
    <row r="53" spans="2:17" x14ac:dyDescent="0.3">
      <c r="B53" s="2">
        <v>45265</v>
      </c>
      <c r="C53">
        <v>40.299999999999997</v>
      </c>
      <c r="D53">
        <v>456.6</v>
      </c>
      <c r="E53">
        <v>187.15</v>
      </c>
      <c r="F53">
        <v>29.44</v>
      </c>
      <c r="G53">
        <v>387.29</v>
      </c>
      <c r="H53">
        <v>22.01</v>
      </c>
      <c r="I53">
        <v>67.58</v>
      </c>
      <c r="J53">
        <v>94.61</v>
      </c>
      <c r="K53">
        <v>61.81</v>
      </c>
      <c r="L53">
        <v>52.78</v>
      </c>
      <c r="M53">
        <v>62.02</v>
      </c>
      <c r="N53">
        <v>127.84</v>
      </c>
      <c r="O53">
        <v>47.27</v>
      </c>
      <c r="P53">
        <v>184.39</v>
      </c>
      <c r="Q53">
        <v>23.94</v>
      </c>
    </row>
    <row r="54" spans="2:17" x14ac:dyDescent="0.3">
      <c r="B54" s="2">
        <v>45264</v>
      </c>
      <c r="C54">
        <v>40.44</v>
      </c>
      <c r="D54">
        <v>456.69</v>
      </c>
      <c r="E54">
        <v>187.86</v>
      </c>
      <c r="F54">
        <v>29.33</v>
      </c>
      <c r="G54">
        <v>386.32</v>
      </c>
      <c r="H54">
        <v>21.98</v>
      </c>
      <c r="I54">
        <v>68.47</v>
      </c>
      <c r="J54">
        <v>92.614999999999995</v>
      </c>
      <c r="K54">
        <v>61.87</v>
      </c>
      <c r="L54">
        <v>52.88</v>
      </c>
      <c r="M54">
        <v>62.25</v>
      </c>
      <c r="N54">
        <v>128.04</v>
      </c>
      <c r="O54">
        <v>46.84</v>
      </c>
      <c r="P54">
        <v>186.89</v>
      </c>
      <c r="Q54">
        <v>24.31</v>
      </c>
    </row>
    <row r="55" spans="2:17" x14ac:dyDescent="0.3">
      <c r="B55" s="2">
        <v>45261</v>
      </c>
      <c r="C55">
        <v>40.799999999999997</v>
      </c>
      <c r="D55">
        <v>459.1</v>
      </c>
      <c r="E55">
        <v>192.01</v>
      </c>
      <c r="F55">
        <v>29.2</v>
      </c>
      <c r="G55">
        <v>389.94</v>
      </c>
      <c r="H55">
        <v>22.02</v>
      </c>
      <c r="I55">
        <v>69.239999999999995</v>
      </c>
      <c r="J55">
        <v>92.99</v>
      </c>
      <c r="K55">
        <v>62.21</v>
      </c>
      <c r="L55">
        <v>53.35</v>
      </c>
      <c r="M55">
        <v>63.21</v>
      </c>
      <c r="N55">
        <v>128.76</v>
      </c>
      <c r="O55">
        <v>46.4</v>
      </c>
      <c r="P55">
        <v>184.91</v>
      </c>
      <c r="Q55">
        <v>24.89</v>
      </c>
    </row>
    <row r="56" spans="2:17" x14ac:dyDescent="0.3">
      <c r="B56" s="2">
        <v>45260</v>
      </c>
      <c r="C56">
        <v>40.630000000000003</v>
      </c>
      <c r="D56">
        <v>456.4</v>
      </c>
      <c r="E56">
        <v>188.75</v>
      </c>
      <c r="F56">
        <v>29.29</v>
      </c>
      <c r="G56">
        <v>388.83</v>
      </c>
      <c r="H56">
        <v>22.28</v>
      </c>
      <c r="I56">
        <v>70.14</v>
      </c>
      <c r="J56">
        <v>91.56</v>
      </c>
      <c r="K56">
        <v>61.62</v>
      </c>
      <c r="L56">
        <v>52.88</v>
      </c>
      <c r="M56">
        <v>62.61</v>
      </c>
      <c r="N56">
        <v>127.78</v>
      </c>
      <c r="O56">
        <v>46.02</v>
      </c>
      <c r="P56">
        <v>179.66</v>
      </c>
      <c r="Q56">
        <v>25.16</v>
      </c>
    </row>
    <row r="57" spans="2:17" x14ac:dyDescent="0.3">
      <c r="B57" s="2">
        <v>45259</v>
      </c>
      <c r="C57">
        <v>40.51</v>
      </c>
      <c r="D57">
        <v>454.61</v>
      </c>
      <c r="E57">
        <v>189.54</v>
      </c>
      <c r="F57">
        <v>29.08</v>
      </c>
      <c r="G57">
        <v>389.81</v>
      </c>
      <c r="H57">
        <v>22.08</v>
      </c>
      <c r="I57">
        <v>72.52</v>
      </c>
      <c r="J57">
        <v>92.63</v>
      </c>
      <c r="K57">
        <v>61.76</v>
      </c>
      <c r="L57">
        <v>52.84</v>
      </c>
      <c r="M57">
        <v>62.49</v>
      </c>
      <c r="N57">
        <v>127.43</v>
      </c>
      <c r="O57">
        <v>45.63</v>
      </c>
      <c r="P57">
        <v>178.98</v>
      </c>
      <c r="Q57">
        <v>25.06</v>
      </c>
    </row>
    <row r="58" spans="2:17" x14ac:dyDescent="0.3">
      <c r="B58" s="2">
        <v>45258</v>
      </c>
      <c r="C58">
        <v>40.74</v>
      </c>
      <c r="D58">
        <v>454.93</v>
      </c>
      <c r="E58">
        <v>189.26</v>
      </c>
      <c r="F58">
        <v>29.05</v>
      </c>
      <c r="G58">
        <v>390.19</v>
      </c>
      <c r="H58">
        <v>21.94</v>
      </c>
      <c r="I58">
        <v>71.260000000000005</v>
      </c>
      <c r="J58">
        <v>91.48</v>
      </c>
      <c r="K58">
        <v>61.48</v>
      </c>
      <c r="L58">
        <v>52.91</v>
      </c>
      <c r="M58">
        <v>62.55</v>
      </c>
      <c r="N58">
        <v>127.41</v>
      </c>
      <c r="O58">
        <v>45.49</v>
      </c>
      <c r="P58">
        <v>178.04</v>
      </c>
      <c r="Q58">
        <v>25.71</v>
      </c>
    </row>
    <row r="59" spans="2:17" x14ac:dyDescent="0.3">
      <c r="B59" s="2">
        <v>45257</v>
      </c>
      <c r="C59">
        <v>40.409999999999997</v>
      </c>
      <c r="D59">
        <v>454.48</v>
      </c>
      <c r="E59">
        <v>186.77</v>
      </c>
      <c r="F59">
        <v>29.15</v>
      </c>
      <c r="G59">
        <v>389.17</v>
      </c>
      <c r="H59">
        <v>21.59</v>
      </c>
      <c r="I59">
        <v>69.959999999999994</v>
      </c>
      <c r="J59">
        <v>91.3</v>
      </c>
      <c r="K59">
        <v>61.48</v>
      </c>
      <c r="L59">
        <v>52.33</v>
      </c>
      <c r="M59">
        <v>62.56</v>
      </c>
      <c r="N59">
        <v>127.31</v>
      </c>
      <c r="O59">
        <v>45.09</v>
      </c>
      <c r="P59">
        <v>178.73</v>
      </c>
      <c r="Q59">
        <v>26.02</v>
      </c>
    </row>
    <row r="60" spans="2:17" x14ac:dyDescent="0.3">
      <c r="B60" s="2">
        <v>45254</v>
      </c>
      <c r="C60">
        <v>40.6</v>
      </c>
      <c r="D60">
        <v>455.3</v>
      </c>
      <c r="E60">
        <v>185.52</v>
      </c>
      <c r="F60">
        <v>29.21</v>
      </c>
      <c r="G60">
        <v>389.51</v>
      </c>
      <c r="H60">
        <v>21.74</v>
      </c>
      <c r="I60">
        <v>70.819999999999993</v>
      </c>
      <c r="J60">
        <v>89.8</v>
      </c>
      <c r="K60">
        <v>61.67</v>
      </c>
      <c r="L60">
        <v>52.38</v>
      </c>
      <c r="M60">
        <v>62.61</v>
      </c>
      <c r="N60">
        <v>127.52</v>
      </c>
      <c r="O60">
        <v>45.19</v>
      </c>
      <c r="P60">
        <v>179.33</v>
      </c>
      <c r="Q60">
        <v>26.36</v>
      </c>
    </row>
    <row r="61" spans="2:17" x14ac:dyDescent="0.3">
      <c r="B61" s="2">
        <v>45252</v>
      </c>
      <c r="C61">
        <v>40.47</v>
      </c>
      <c r="D61">
        <v>455.02</v>
      </c>
      <c r="E61">
        <v>184.56</v>
      </c>
      <c r="F61">
        <v>29.34</v>
      </c>
      <c r="G61">
        <v>390.06</v>
      </c>
      <c r="H61">
        <v>22.07</v>
      </c>
      <c r="I61">
        <v>71.61</v>
      </c>
      <c r="J61">
        <v>90.87</v>
      </c>
      <c r="K61">
        <v>61.02</v>
      </c>
      <c r="L61">
        <v>52.45</v>
      </c>
      <c r="M61">
        <v>62.49</v>
      </c>
      <c r="N61">
        <v>127.23</v>
      </c>
      <c r="O61">
        <v>45.21</v>
      </c>
      <c r="P61">
        <v>178.13</v>
      </c>
      <c r="Q61">
        <v>26.29</v>
      </c>
    </row>
    <row r="62" spans="2:17" x14ac:dyDescent="0.3">
      <c r="B62" s="2">
        <v>45251</v>
      </c>
      <c r="C62">
        <v>40.58</v>
      </c>
      <c r="D62">
        <v>453.27</v>
      </c>
      <c r="E62">
        <v>185.35</v>
      </c>
      <c r="F62">
        <v>29.24</v>
      </c>
      <c r="G62">
        <v>388.47</v>
      </c>
      <c r="H62">
        <v>22.18</v>
      </c>
      <c r="I62">
        <v>72.53</v>
      </c>
      <c r="J62">
        <v>90.55</v>
      </c>
      <c r="K62">
        <v>60.92</v>
      </c>
      <c r="L62">
        <v>52.57</v>
      </c>
      <c r="M62">
        <v>62.1</v>
      </c>
      <c r="N62">
        <v>126.8</v>
      </c>
      <c r="O62">
        <v>45.06</v>
      </c>
      <c r="P62">
        <v>177.02</v>
      </c>
      <c r="Q62">
        <v>26.16</v>
      </c>
    </row>
    <row r="63" spans="2:17" x14ac:dyDescent="0.3">
      <c r="B63" s="2">
        <v>45250</v>
      </c>
      <c r="C63">
        <v>40.82</v>
      </c>
      <c r="D63">
        <v>454.26</v>
      </c>
      <c r="E63">
        <v>183.37</v>
      </c>
      <c r="F63">
        <v>29.21</v>
      </c>
      <c r="G63">
        <v>390.74</v>
      </c>
      <c r="H63">
        <v>22.14</v>
      </c>
      <c r="I63">
        <v>72.3</v>
      </c>
      <c r="J63">
        <v>90.59</v>
      </c>
      <c r="K63">
        <v>61.18</v>
      </c>
      <c r="L63">
        <v>52.76</v>
      </c>
      <c r="M63">
        <v>62.36</v>
      </c>
      <c r="N63">
        <v>127.07</v>
      </c>
      <c r="O63">
        <v>45.05</v>
      </c>
      <c r="P63">
        <v>179.33</v>
      </c>
      <c r="Q63">
        <v>26.69</v>
      </c>
    </row>
    <row r="64" spans="2:17" x14ac:dyDescent="0.3">
      <c r="B64" s="2">
        <v>45247</v>
      </c>
      <c r="C64">
        <v>40.39</v>
      </c>
      <c r="D64">
        <v>450.79</v>
      </c>
      <c r="E64">
        <v>183.67</v>
      </c>
      <c r="F64">
        <v>29.3</v>
      </c>
      <c r="G64">
        <v>386.04</v>
      </c>
      <c r="H64">
        <v>22.08</v>
      </c>
      <c r="I64">
        <v>70.75</v>
      </c>
      <c r="J64">
        <v>90.04</v>
      </c>
      <c r="K64">
        <v>60.9</v>
      </c>
      <c r="L64">
        <v>52.31</v>
      </c>
      <c r="M64">
        <v>62.35</v>
      </c>
      <c r="N64">
        <v>126.3</v>
      </c>
      <c r="O64">
        <v>45.045000000000002</v>
      </c>
      <c r="P64">
        <v>178.29</v>
      </c>
      <c r="Q64">
        <v>26.12</v>
      </c>
    </row>
    <row r="65" spans="2:17" x14ac:dyDescent="0.3">
      <c r="B65" s="2">
        <v>45246</v>
      </c>
      <c r="C65">
        <v>40.229999999999997</v>
      </c>
      <c r="D65">
        <v>450.23</v>
      </c>
      <c r="E65">
        <v>183.69</v>
      </c>
      <c r="F65">
        <v>29.46</v>
      </c>
      <c r="G65">
        <v>385.95</v>
      </c>
      <c r="H65">
        <v>22.12</v>
      </c>
      <c r="I65">
        <v>68.05</v>
      </c>
      <c r="J65">
        <v>89.62</v>
      </c>
      <c r="K65">
        <v>60.07</v>
      </c>
      <c r="L65">
        <v>52.24</v>
      </c>
      <c r="M65">
        <v>61.39</v>
      </c>
      <c r="N65">
        <v>125.66</v>
      </c>
      <c r="O65">
        <v>44.98</v>
      </c>
      <c r="P65">
        <v>175.88</v>
      </c>
      <c r="Q65">
        <v>26.1</v>
      </c>
    </row>
    <row r="66" spans="2:17" x14ac:dyDescent="0.3">
      <c r="B66" s="2">
        <v>45245</v>
      </c>
      <c r="C66">
        <v>40.65</v>
      </c>
      <c r="D66">
        <v>449.68</v>
      </c>
      <c r="E66">
        <v>181.64</v>
      </c>
      <c r="F66">
        <v>29.44</v>
      </c>
      <c r="G66">
        <v>385.62</v>
      </c>
      <c r="H66">
        <v>22.29</v>
      </c>
      <c r="I66">
        <v>71.34</v>
      </c>
      <c r="J66">
        <v>88.52</v>
      </c>
      <c r="K66">
        <v>60.2</v>
      </c>
      <c r="L66">
        <v>52.18</v>
      </c>
      <c r="M66">
        <v>61.18</v>
      </c>
      <c r="N66">
        <v>125.66</v>
      </c>
      <c r="O66">
        <v>44.94</v>
      </c>
      <c r="P66">
        <v>178.77</v>
      </c>
      <c r="Q66">
        <v>27.21</v>
      </c>
    </row>
    <row r="67" spans="2:17" x14ac:dyDescent="0.3">
      <c r="B67" s="2">
        <v>45244</v>
      </c>
      <c r="C67">
        <v>40.369999999999997</v>
      </c>
      <c r="D67">
        <v>448.73</v>
      </c>
      <c r="E67">
        <v>182.12</v>
      </c>
      <c r="F67">
        <v>29.33</v>
      </c>
      <c r="G67">
        <v>385.33</v>
      </c>
      <c r="H67">
        <v>22.25</v>
      </c>
      <c r="I67">
        <v>72.69</v>
      </c>
      <c r="J67">
        <v>89.78</v>
      </c>
      <c r="K67">
        <v>60.21</v>
      </c>
      <c r="L67">
        <v>51.98</v>
      </c>
      <c r="M67">
        <v>61.64</v>
      </c>
      <c r="N67">
        <v>125.46</v>
      </c>
      <c r="O67">
        <v>45.08</v>
      </c>
      <c r="P67">
        <v>178.46</v>
      </c>
      <c r="Q67">
        <v>26.58</v>
      </c>
    </row>
    <row r="68" spans="2:17" x14ac:dyDescent="0.3">
      <c r="B68" s="2">
        <v>45243</v>
      </c>
      <c r="C68">
        <v>39.450000000000003</v>
      </c>
      <c r="D68">
        <v>440.19</v>
      </c>
      <c r="E68">
        <v>180.51</v>
      </c>
      <c r="F68">
        <v>29.8</v>
      </c>
      <c r="G68">
        <v>377.21</v>
      </c>
      <c r="H68">
        <v>22.36</v>
      </c>
      <c r="I68">
        <v>72.92</v>
      </c>
      <c r="J68">
        <v>87.79</v>
      </c>
      <c r="K68">
        <v>58.48</v>
      </c>
      <c r="L68">
        <v>50.64</v>
      </c>
      <c r="M68">
        <v>60.44</v>
      </c>
      <c r="N68">
        <v>122.88</v>
      </c>
      <c r="O68">
        <v>44.42</v>
      </c>
      <c r="P68">
        <v>169.17</v>
      </c>
      <c r="Q68">
        <v>26.02</v>
      </c>
    </row>
    <row r="69" spans="2:17" x14ac:dyDescent="0.3">
      <c r="B69" s="2">
        <v>45240</v>
      </c>
      <c r="C69">
        <v>39.380000000000003</v>
      </c>
      <c r="D69">
        <v>440.61</v>
      </c>
      <c r="E69">
        <v>179.51</v>
      </c>
      <c r="F69">
        <v>29.84</v>
      </c>
      <c r="G69">
        <v>378.39</v>
      </c>
      <c r="H69">
        <v>22.04</v>
      </c>
      <c r="I69">
        <v>71.790000000000006</v>
      </c>
      <c r="J69">
        <v>87.99</v>
      </c>
      <c r="K69">
        <v>58.33</v>
      </c>
      <c r="L69">
        <v>50.84</v>
      </c>
      <c r="M69">
        <v>60.47</v>
      </c>
      <c r="N69">
        <v>122.84</v>
      </c>
      <c r="O69">
        <v>44.49</v>
      </c>
      <c r="P69">
        <v>169.11</v>
      </c>
      <c r="Q69">
        <v>25.68</v>
      </c>
    </row>
    <row r="70" spans="2:17" x14ac:dyDescent="0.3">
      <c r="B70" s="2">
        <v>45239</v>
      </c>
      <c r="C70">
        <v>39.11</v>
      </c>
      <c r="D70">
        <v>433.84</v>
      </c>
      <c r="E70">
        <v>181.49</v>
      </c>
      <c r="F70">
        <v>29.86</v>
      </c>
      <c r="G70">
        <v>370.07</v>
      </c>
      <c r="H70">
        <v>22.13</v>
      </c>
      <c r="I70">
        <v>70.25</v>
      </c>
      <c r="J70">
        <v>87.5</v>
      </c>
      <c r="K70">
        <v>58.06</v>
      </c>
      <c r="L70">
        <v>50.32</v>
      </c>
      <c r="M70">
        <v>59.89</v>
      </c>
      <c r="N70">
        <v>121.31</v>
      </c>
      <c r="O70">
        <v>44.04</v>
      </c>
      <c r="P70">
        <v>167.24</v>
      </c>
      <c r="Q70">
        <v>25.76</v>
      </c>
    </row>
    <row r="71" spans="2:17" x14ac:dyDescent="0.3">
      <c r="B71" s="2">
        <v>45238</v>
      </c>
      <c r="C71">
        <v>39.46</v>
      </c>
      <c r="D71">
        <v>437.25</v>
      </c>
      <c r="E71">
        <v>180.77</v>
      </c>
      <c r="F71">
        <v>29.73</v>
      </c>
      <c r="G71">
        <v>372.94</v>
      </c>
      <c r="H71">
        <v>22.26</v>
      </c>
      <c r="I71">
        <v>70.19</v>
      </c>
      <c r="J71">
        <v>89.56</v>
      </c>
      <c r="K71">
        <v>58.07</v>
      </c>
      <c r="L71">
        <v>50.69</v>
      </c>
      <c r="M71">
        <v>59.64</v>
      </c>
      <c r="N71">
        <v>122.02</v>
      </c>
      <c r="O71">
        <v>44.33</v>
      </c>
      <c r="P71">
        <v>169.87</v>
      </c>
      <c r="Q71">
        <v>26.12</v>
      </c>
    </row>
    <row r="72" spans="2:17" x14ac:dyDescent="0.3">
      <c r="B72" s="2">
        <v>45237</v>
      </c>
      <c r="C72">
        <v>39.64</v>
      </c>
      <c r="D72">
        <v>436.93</v>
      </c>
      <c r="E72">
        <v>182.59</v>
      </c>
      <c r="F72">
        <v>29.74</v>
      </c>
      <c r="G72">
        <v>372.7</v>
      </c>
      <c r="H72">
        <v>22.16</v>
      </c>
      <c r="I72">
        <v>71.8</v>
      </c>
      <c r="J72">
        <v>88.06</v>
      </c>
      <c r="K72">
        <v>57.79</v>
      </c>
      <c r="L72">
        <v>51.02</v>
      </c>
      <c r="M72">
        <v>60.64</v>
      </c>
      <c r="N72">
        <v>121.99</v>
      </c>
      <c r="O72">
        <v>44.21</v>
      </c>
      <c r="P72">
        <v>171.7</v>
      </c>
      <c r="Q72">
        <v>26.31</v>
      </c>
    </row>
    <row r="73" spans="2:17" x14ac:dyDescent="0.3">
      <c r="B73" s="2">
        <v>45236</v>
      </c>
      <c r="C73">
        <v>39.630000000000003</v>
      </c>
      <c r="D73">
        <v>435.69</v>
      </c>
      <c r="E73">
        <v>183.35</v>
      </c>
      <c r="F73">
        <v>29.64</v>
      </c>
      <c r="G73">
        <v>369.21</v>
      </c>
      <c r="H73">
        <v>22.46</v>
      </c>
      <c r="I73">
        <v>74.91</v>
      </c>
      <c r="J73">
        <v>86.78</v>
      </c>
      <c r="K73">
        <v>58.05</v>
      </c>
      <c r="L73">
        <v>51.16</v>
      </c>
      <c r="M73">
        <v>61.2</v>
      </c>
      <c r="N73">
        <v>121.89</v>
      </c>
      <c r="O73">
        <v>44.19</v>
      </c>
      <c r="P73">
        <v>172.31</v>
      </c>
      <c r="Q73">
        <v>26.43</v>
      </c>
    </row>
    <row r="74" spans="2:17" x14ac:dyDescent="0.3">
      <c r="B74" s="2">
        <v>45233</v>
      </c>
      <c r="C74">
        <v>39.51</v>
      </c>
      <c r="D74">
        <v>434.69</v>
      </c>
      <c r="E74">
        <v>184.79</v>
      </c>
      <c r="F74">
        <v>29.61</v>
      </c>
      <c r="G74">
        <v>367.71</v>
      </c>
      <c r="H74">
        <v>22.4</v>
      </c>
      <c r="I74">
        <v>74.849999999999994</v>
      </c>
      <c r="J74">
        <v>87.63</v>
      </c>
      <c r="K74">
        <v>58.24</v>
      </c>
      <c r="L74">
        <v>50.68</v>
      </c>
      <c r="M74">
        <v>62</v>
      </c>
      <c r="N74">
        <v>121.93</v>
      </c>
      <c r="O74">
        <v>44.15</v>
      </c>
      <c r="P74">
        <v>174.49</v>
      </c>
      <c r="Q74">
        <v>26.35</v>
      </c>
    </row>
    <row r="75" spans="2:17" x14ac:dyDescent="0.3">
      <c r="B75" s="2">
        <v>45232</v>
      </c>
      <c r="C75">
        <v>38.799999999999997</v>
      </c>
      <c r="D75">
        <v>430.76</v>
      </c>
      <c r="E75">
        <v>184.12</v>
      </c>
      <c r="F75">
        <v>29.89</v>
      </c>
      <c r="G75">
        <v>363.44</v>
      </c>
      <c r="H75">
        <v>22.24</v>
      </c>
      <c r="I75">
        <v>76.180000000000007</v>
      </c>
      <c r="J75">
        <v>87.04</v>
      </c>
      <c r="K75">
        <v>57.76</v>
      </c>
      <c r="L75">
        <v>49.89</v>
      </c>
      <c r="M75">
        <v>60.95</v>
      </c>
      <c r="N75">
        <v>120.72</v>
      </c>
      <c r="O75">
        <v>43.83</v>
      </c>
      <c r="P75">
        <v>169.87</v>
      </c>
      <c r="Q75">
        <v>25.75</v>
      </c>
    </row>
    <row r="76" spans="2:17" x14ac:dyDescent="0.3">
      <c r="B76" s="2">
        <v>45231</v>
      </c>
      <c r="C76">
        <v>38.21</v>
      </c>
      <c r="D76">
        <v>422.66</v>
      </c>
      <c r="E76">
        <v>183.51</v>
      </c>
      <c r="F76">
        <v>30.04</v>
      </c>
      <c r="G76">
        <v>356.96</v>
      </c>
      <c r="H76">
        <v>21.98</v>
      </c>
      <c r="I76">
        <v>74.75</v>
      </c>
      <c r="J76">
        <v>85.1</v>
      </c>
      <c r="K76">
        <v>56.52</v>
      </c>
      <c r="L76">
        <v>48.87</v>
      </c>
      <c r="M76">
        <v>59.97</v>
      </c>
      <c r="N76">
        <v>118.32</v>
      </c>
      <c r="O76">
        <v>43.4</v>
      </c>
      <c r="P76">
        <v>165.46</v>
      </c>
      <c r="Q76">
        <v>25.48</v>
      </c>
    </row>
    <row r="77" spans="2:17" x14ac:dyDescent="0.3">
      <c r="B77" s="2">
        <v>45230</v>
      </c>
      <c r="C77">
        <v>37.94</v>
      </c>
      <c r="D77">
        <v>418.2</v>
      </c>
      <c r="E77">
        <v>184.09</v>
      </c>
      <c r="F77">
        <v>30.03</v>
      </c>
      <c r="G77">
        <v>350.87</v>
      </c>
      <c r="H77">
        <v>22.01</v>
      </c>
      <c r="I77">
        <v>75.02</v>
      </c>
      <c r="J77">
        <v>83.58</v>
      </c>
      <c r="K77">
        <v>56.14</v>
      </c>
      <c r="L77">
        <v>48.21</v>
      </c>
      <c r="M77">
        <v>58.96</v>
      </c>
      <c r="N77">
        <v>117.11</v>
      </c>
      <c r="O77">
        <v>43.24</v>
      </c>
      <c r="P77">
        <v>164.52</v>
      </c>
      <c r="Q77">
        <v>25.52</v>
      </c>
    </row>
    <row r="78" spans="2:17" x14ac:dyDescent="0.3">
      <c r="B78" s="2">
        <v>45229</v>
      </c>
      <c r="C78">
        <v>38.119999999999997</v>
      </c>
      <c r="D78">
        <v>415.59</v>
      </c>
      <c r="E78">
        <v>185.1</v>
      </c>
      <c r="F78">
        <v>29.85</v>
      </c>
      <c r="G78">
        <v>349.2</v>
      </c>
      <c r="H78">
        <v>21.9</v>
      </c>
      <c r="I78">
        <v>76.05</v>
      </c>
      <c r="J78">
        <v>83.99</v>
      </c>
      <c r="K78">
        <v>56.04</v>
      </c>
      <c r="L78">
        <v>48.37</v>
      </c>
      <c r="M78">
        <v>58.25</v>
      </c>
      <c r="N78">
        <v>116.43</v>
      </c>
      <c r="O78">
        <v>43.33</v>
      </c>
      <c r="P78">
        <v>163.11000000000001</v>
      </c>
      <c r="Q78">
        <v>25.94</v>
      </c>
    </row>
    <row r="79" spans="2:17" x14ac:dyDescent="0.3">
      <c r="B79" s="2">
        <v>45226</v>
      </c>
      <c r="C79">
        <v>37.78</v>
      </c>
      <c r="D79">
        <v>410.68</v>
      </c>
      <c r="E79">
        <v>186.15</v>
      </c>
      <c r="F79">
        <v>29.97</v>
      </c>
      <c r="G79">
        <v>345.31</v>
      </c>
      <c r="H79">
        <v>22.05</v>
      </c>
      <c r="I79">
        <v>78.36</v>
      </c>
      <c r="J79">
        <v>84.37</v>
      </c>
      <c r="K79">
        <v>55.18</v>
      </c>
      <c r="L79">
        <v>47.86</v>
      </c>
      <c r="M79">
        <v>57.82</v>
      </c>
      <c r="N79">
        <v>115.01</v>
      </c>
      <c r="O79">
        <v>42.96</v>
      </c>
      <c r="P79">
        <v>162.21</v>
      </c>
      <c r="Q79">
        <v>25.67</v>
      </c>
    </row>
    <row r="80" spans="2:17" x14ac:dyDescent="0.3">
      <c r="B80" s="2">
        <v>45225</v>
      </c>
      <c r="C80">
        <v>37.74</v>
      </c>
      <c r="D80">
        <v>412.55</v>
      </c>
      <c r="E80">
        <v>184.01</v>
      </c>
      <c r="F80">
        <v>30.01</v>
      </c>
      <c r="G80">
        <v>343.66</v>
      </c>
      <c r="H80">
        <v>21.85</v>
      </c>
      <c r="I80">
        <v>76.89</v>
      </c>
      <c r="J80">
        <v>84.73</v>
      </c>
      <c r="K80">
        <v>55.57</v>
      </c>
      <c r="L80">
        <v>48.02</v>
      </c>
      <c r="M80">
        <v>57.34</v>
      </c>
      <c r="N80">
        <v>115.58</v>
      </c>
      <c r="O80">
        <v>42.73</v>
      </c>
      <c r="P80">
        <v>164.14</v>
      </c>
      <c r="Q80">
        <v>25.58</v>
      </c>
    </row>
    <row r="81" spans="2:17" x14ac:dyDescent="0.3">
      <c r="B81" s="2">
        <v>45224</v>
      </c>
      <c r="C81">
        <v>37.880000000000003</v>
      </c>
      <c r="D81">
        <v>417.55</v>
      </c>
      <c r="E81">
        <v>183.72</v>
      </c>
      <c r="F81">
        <v>29.94</v>
      </c>
      <c r="G81">
        <v>350.34</v>
      </c>
      <c r="H81">
        <v>21.81</v>
      </c>
      <c r="I81">
        <v>78.459999999999994</v>
      </c>
      <c r="J81">
        <v>83.45</v>
      </c>
      <c r="K81">
        <v>55.81</v>
      </c>
      <c r="L81">
        <v>48.41</v>
      </c>
      <c r="M81">
        <v>58.13</v>
      </c>
      <c r="N81">
        <v>116.77</v>
      </c>
      <c r="O81">
        <v>43.25</v>
      </c>
      <c r="P81">
        <v>163.72</v>
      </c>
      <c r="Q81">
        <v>25.53</v>
      </c>
    </row>
    <row r="82" spans="2:17" x14ac:dyDescent="0.3">
      <c r="B82" s="2">
        <v>45223</v>
      </c>
      <c r="C82">
        <v>38.29</v>
      </c>
      <c r="D82">
        <v>423.63</v>
      </c>
      <c r="E82">
        <v>182.95</v>
      </c>
      <c r="F82">
        <v>29.86</v>
      </c>
      <c r="G82">
        <v>359.13</v>
      </c>
      <c r="H82">
        <v>21.91</v>
      </c>
      <c r="I82">
        <v>76.930000000000007</v>
      </c>
      <c r="J82">
        <v>85.35</v>
      </c>
      <c r="K82">
        <v>56.31</v>
      </c>
      <c r="L82">
        <v>49</v>
      </c>
      <c r="M82">
        <v>58.36</v>
      </c>
      <c r="N82">
        <v>118.3</v>
      </c>
      <c r="O82">
        <v>43.75</v>
      </c>
      <c r="P82">
        <v>166.47</v>
      </c>
      <c r="Q82">
        <v>26.06</v>
      </c>
    </row>
    <row r="83" spans="2:17" x14ac:dyDescent="0.3">
      <c r="B83" s="2">
        <v>45222</v>
      </c>
      <c r="C83">
        <v>37.82</v>
      </c>
      <c r="D83">
        <v>420.46</v>
      </c>
      <c r="E83">
        <v>182.97</v>
      </c>
      <c r="F83">
        <v>29.69</v>
      </c>
      <c r="G83">
        <v>355.67</v>
      </c>
      <c r="H83">
        <v>21.93</v>
      </c>
      <c r="I83">
        <v>78.89</v>
      </c>
      <c r="J83">
        <v>84.24</v>
      </c>
      <c r="K83">
        <v>56.1</v>
      </c>
      <c r="L83">
        <v>48.66</v>
      </c>
      <c r="M83">
        <v>57.99</v>
      </c>
      <c r="N83">
        <v>117.5</v>
      </c>
      <c r="O83">
        <v>43.62</v>
      </c>
      <c r="P83">
        <v>165.03</v>
      </c>
      <c r="Q83">
        <v>25.25</v>
      </c>
    </row>
    <row r="84" spans="2:17" x14ac:dyDescent="0.3">
      <c r="B84" s="2">
        <v>45219</v>
      </c>
      <c r="C84">
        <v>37.9</v>
      </c>
      <c r="D84">
        <v>421.19</v>
      </c>
      <c r="E84">
        <v>183.59</v>
      </c>
      <c r="F84">
        <v>29.84</v>
      </c>
      <c r="G84">
        <v>354.6</v>
      </c>
      <c r="H84">
        <v>21.92</v>
      </c>
      <c r="I84">
        <v>80.7</v>
      </c>
      <c r="J84">
        <v>83.24</v>
      </c>
      <c r="K84">
        <v>55.98</v>
      </c>
      <c r="L84">
        <v>48.81</v>
      </c>
      <c r="M84">
        <v>58.13</v>
      </c>
      <c r="N84">
        <v>117.65</v>
      </c>
      <c r="O84">
        <v>43.98</v>
      </c>
      <c r="P84">
        <v>166.44</v>
      </c>
      <c r="Q84">
        <v>25.03</v>
      </c>
    </row>
    <row r="85" spans="2:17" x14ac:dyDescent="0.3">
      <c r="B85" s="2">
        <v>45218</v>
      </c>
      <c r="C85">
        <v>38.36</v>
      </c>
      <c r="D85">
        <v>426.43</v>
      </c>
      <c r="E85">
        <v>183.09</v>
      </c>
      <c r="F85">
        <v>29.83</v>
      </c>
      <c r="G85">
        <v>359.97</v>
      </c>
      <c r="H85">
        <v>21.97</v>
      </c>
      <c r="I85">
        <v>81.680000000000007</v>
      </c>
      <c r="J85">
        <v>82.77</v>
      </c>
      <c r="K85">
        <v>56.52</v>
      </c>
      <c r="L85">
        <v>49.32</v>
      </c>
      <c r="M85">
        <v>58.52</v>
      </c>
      <c r="N85">
        <v>118.98</v>
      </c>
      <c r="O85">
        <v>44.33</v>
      </c>
      <c r="P85">
        <v>168.62</v>
      </c>
      <c r="Q85">
        <v>25.56</v>
      </c>
    </row>
    <row r="86" spans="2:17" x14ac:dyDescent="0.3">
      <c r="B86" s="2">
        <v>45217</v>
      </c>
      <c r="C86">
        <v>38.5</v>
      </c>
      <c r="D86">
        <v>430.21</v>
      </c>
      <c r="E86">
        <v>180.87</v>
      </c>
      <c r="F86">
        <v>29.92</v>
      </c>
      <c r="G86">
        <v>363.37</v>
      </c>
      <c r="H86">
        <v>21.92</v>
      </c>
      <c r="I86">
        <v>79.84</v>
      </c>
      <c r="J86">
        <v>84.5</v>
      </c>
      <c r="K86">
        <v>56.99</v>
      </c>
      <c r="L86">
        <v>49.42</v>
      </c>
      <c r="M86">
        <v>58.95</v>
      </c>
      <c r="N86">
        <v>120.06</v>
      </c>
      <c r="O86">
        <v>44.22</v>
      </c>
      <c r="P86">
        <v>171.35</v>
      </c>
      <c r="Q86">
        <v>26.01</v>
      </c>
    </row>
    <row r="87" spans="2:17" x14ac:dyDescent="0.3">
      <c r="B87" s="2">
        <v>45216</v>
      </c>
      <c r="C87">
        <v>39.14</v>
      </c>
      <c r="D87">
        <v>436.02</v>
      </c>
      <c r="E87">
        <v>178.29</v>
      </c>
      <c r="F87">
        <v>29.81</v>
      </c>
      <c r="G87">
        <v>368.2</v>
      </c>
      <c r="H87">
        <v>21.86</v>
      </c>
      <c r="I87">
        <v>78.8</v>
      </c>
      <c r="J87">
        <v>85.25</v>
      </c>
      <c r="K87">
        <v>58.06</v>
      </c>
      <c r="L87">
        <v>50.13</v>
      </c>
      <c r="M87">
        <v>59.89</v>
      </c>
      <c r="N87">
        <v>121.84</v>
      </c>
      <c r="O87">
        <v>44.77</v>
      </c>
      <c r="P87">
        <v>174.95</v>
      </c>
      <c r="Q87">
        <v>26.45</v>
      </c>
    </row>
    <row r="88" spans="2:17" x14ac:dyDescent="0.3">
      <c r="B88" s="2">
        <v>45215</v>
      </c>
      <c r="C88">
        <v>39.31</v>
      </c>
      <c r="D88">
        <v>436.04</v>
      </c>
      <c r="E88">
        <v>177.96</v>
      </c>
      <c r="F88">
        <v>29.8</v>
      </c>
      <c r="G88">
        <v>369.41</v>
      </c>
      <c r="H88">
        <v>21.73</v>
      </c>
      <c r="I88">
        <v>78.39</v>
      </c>
      <c r="J88">
        <v>86.2</v>
      </c>
      <c r="K88">
        <v>58.12</v>
      </c>
      <c r="L88">
        <v>50.17</v>
      </c>
      <c r="M88">
        <v>59.77</v>
      </c>
      <c r="N88">
        <v>121.85</v>
      </c>
      <c r="O88">
        <v>44.76</v>
      </c>
      <c r="P88">
        <v>173.02</v>
      </c>
      <c r="Q88">
        <v>26.65</v>
      </c>
    </row>
    <row r="89" spans="2:17" x14ac:dyDescent="0.3">
      <c r="B89" s="2">
        <v>45212</v>
      </c>
      <c r="C89">
        <v>39.03</v>
      </c>
      <c r="D89">
        <v>431.5</v>
      </c>
      <c r="E89">
        <v>178.83</v>
      </c>
      <c r="F89">
        <v>29.93</v>
      </c>
      <c r="G89">
        <v>365.28</v>
      </c>
      <c r="H89">
        <v>21.71</v>
      </c>
      <c r="I89">
        <v>78.989999999999995</v>
      </c>
      <c r="J89">
        <v>87.61</v>
      </c>
      <c r="K89">
        <v>57.59</v>
      </c>
      <c r="L89">
        <v>49.67</v>
      </c>
      <c r="M89">
        <v>59.58</v>
      </c>
      <c r="N89">
        <v>120.68</v>
      </c>
      <c r="O89">
        <v>44.46</v>
      </c>
      <c r="P89">
        <v>170.27</v>
      </c>
      <c r="Q89">
        <v>26.48</v>
      </c>
    </row>
    <row r="90" spans="2:17" x14ac:dyDescent="0.3">
      <c r="B90" s="2">
        <v>45211</v>
      </c>
      <c r="C90">
        <v>39.18</v>
      </c>
      <c r="D90">
        <v>433.66</v>
      </c>
      <c r="E90">
        <v>173.26</v>
      </c>
      <c r="F90">
        <v>29.91</v>
      </c>
      <c r="G90">
        <v>369.93</v>
      </c>
      <c r="H90">
        <v>21.61</v>
      </c>
      <c r="I90">
        <v>75.42</v>
      </c>
      <c r="J90">
        <v>86.07</v>
      </c>
      <c r="K90">
        <v>58.12</v>
      </c>
      <c r="L90">
        <v>49.86</v>
      </c>
      <c r="M90">
        <v>60.33</v>
      </c>
      <c r="N90">
        <v>121.38</v>
      </c>
      <c r="O90">
        <v>44.32</v>
      </c>
      <c r="P90">
        <v>171.7</v>
      </c>
      <c r="Q90">
        <v>26.68</v>
      </c>
    </row>
    <row r="91" spans="2:17" x14ac:dyDescent="0.3">
      <c r="B91" s="2">
        <v>45210</v>
      </c>
      <c r="C91">
        <v>39.6</v>
      </c>
      <c r="D91">
        <v>436.32</v>
      </c>
      <c r="E91">
        <v>173.79</v>
      </c>
      <c r="F91">
        <v>29.66</v>
      </c>
      <c r="G91">
        <v>371.22</v>
      </c>
      <c r="H91">
        <v>21.41</v>
      </c>
      <c r="I91">
        <v>75.67</v>
      </c>
      <c r="J91">
        <v>88.47</v>
      </c>
      <c r="K91">
        <v>58.79</v>
      </c>
      <c r="L91">
        <v>50.27</v>
      </c>
      <c r="M91">
        <v>60.18</v>
      </c>
      <c r="N91">
        <v>122.32</v>
      </c>
      <c r="O91">
        <v>44.68</v>
      </c>
      <c r="P91">
        <v>175.67</v>
      </c>
      <c r="Q91">
        <v>27.15</v>
      </c>
    </row>
    <row r="92" spans="2:17" x14ac:dyDescent="0.3">
      <c r="B92" s="2">
        <v>45209</v>
      </c>
      <c r="C92">
        <v>39.479999999999997</v>
      </c>
      <c r="D92">
        <v>434.54</v>
      </c>
      <c r="E92">
        <v>172.53</v>
      </c>
      <c r="F92">
        <v>29.66</v>
      </c>
      <c r="G92">
        <v>368.59</v>
      </c>
      <c r="H92">
        <v>21.55</v>
      </c>
      <c r="I92">
        <v>76.709999999999994</v>
      </c>
      <c r="J92">
        <v>86.66</v>
      </c>
      <c r="K92">
        <v>58.4</v>
      </c>
      <c r="L92">
        <v>49.98</v>
      </c>
      <c r="M92">
        <v>60.33</v>
      </c>
      <c r="N92">
        <v>121.78</v>
      </c>
      <c r="O92">
        <v>44.59</v>
      </c>
      <c r="P92">
        <v>175.97</v>
      </c>
      <c r="Q92">
        <v>26.89</v>
      </c>
    </row>
    <row r="93" spans="2:17" x14ac:dyDescent="0.3">
      <c r="B93" s="2">
        <v>45208</v>
      </c>
      <c r="C93">
        <v>38.86</v>
      </c>
      <c r="D93">
        <v>432.29</v>
      </c>
      <c r="E93">
        <v>172.82</v>
      </c>
      <c r="F93">
        <v>29.73</v>
      </c>
      <c r="G93">
        <v>366.56</v>
      </c>
      <c r="H93">
        <v>21.57</v>
      </c>
      <c r="I93">
        <v>77.13</v>
      </c>
      <c r="J93">
        <v>86.78</v>
      </c>
      <c r="K93">
        <v>57.5</v>
      </c>
      <c r="L93">
        <v>49.37</v>
      </c>
      <c r="M93">
        <v>59.55</v>
      </c>
      <c r="N93">
        <v>120.79</v>
      </c>
      <c r="O93">
        <v>44.09</v>
      </c>
      <c r="P93">
        <v>174</v>
      </c>
      <c r="Q93">
        <v>26.22</v>
      </c>
    </row>
    <row r="94" spans="2:17" x14ac:dyDescent="0.3">
      <c r="B94" s="2">
        <v>45205</v>
      </c>
      <c r="C94">
        <v>39.1</v>
      </c>
      <c r="D94">
        <v>429.54</v>
      </c>
      <c r="E94">
        <v>169.7</v>
      </c>
      <c r="F94">
        <v>29.74</v>
      </c>
      <c r="G94">
        <v>364.7</v>
      </c>
      <c r="H94">
        <v>21.58</v>
      </c>
      <c r="I94">
        <v>74.16</v>
      </c>
      <c r="J94">
        <v>84.79</v>
      </c>
      <c r="K94">
        <v>57.68</v>
      </c>
      <c r="L94">
        <v>49.68</v>
      </c>
      <c r="M94">
        <v>59.38</v>
      </c>
      <c r="N94">
        <v>120.25</v>
      </c>
      <c r="O94">
        <v>44.58</v>
      </c>
      <c r="P94">
        <v>173</v>
      </c>
      <c r="Q94">
        <v>26.23</v>
      </c>
    </row>
    <row r="95" spans="2:17" x14ac:dyDescent="0.3">
      <c r="B95" s="2">
        <v>45204</v>
      </c>
      <c r="C95">
        <v>38.57</v>
      </c>
      <c r="D95">
        <v>424.5</v>
      </c>
      <c r="E95">
        <v>168.83</v>
      </c>
      <c r="F95">
        <v>29.8</v>
      </c>
      <c r="G95">
        <v>358.69</v>
      </c>
      <c r="H95">
        <v>21.44</v>
      </c>
      <c r="I95">
        <v>73.989999999999995</v>
      </c>
      <c r="J95">
        <v>85.83</v>
      </c>
      <c r="K95">
        <v>56.94</v>
      </c>
      <c r="L95">
        <v>49.15</v>
      </c>
      <c r="M95">
        <v>59.23</v>
      </c>
      <c r="N95">
        <v>118.88</v>
      </c>
      <c r="O95">
        <v>44.16</v>
      </c>
      <c r="P95">
        <v>171.35</v>
      </c>
      <c r="Q95">
        <v>25.69</v>
      </c>
    </row>
    <row r="96" spans="2:17" x14ac:dyDescent="0.3">
      <c r="B96" s="2">
        <v>45203</v>
      </c>
      <c r="C96">
        <v>38.409999999999997</v>
      </c>
      <c r="D96">
        <v>424.66</v>
      </c>
      <c r="E96">
        <v>169.14</v>
      </c>
      <c r="F96">
        <v>29.9</v>
      </c>
      <c r="G96">
        <v>359.75</v>
      </c>
      <c r="H96">
        <v>21.32</v>
      </c>
      <c r="I96">
        <v>75.59</v>
      </c>
      <c r="J96">
        <v>86.26</v>
      </c>
      <c r="K96">
        <v>56.61</v>
      </c>
      <c r="L96">
        <v>48.99</v>
      </c>
      <c r="M96">
        <v>58.09</v>
      </c>
      <c r="N96">
        <v>118.63</v>
      </c>
      <c r="O96">
        <v>43.87</v>
      </c>
      <c r="P96">
        <v>171.22</v>
      </c>
      <c r="Q96">
        <v>25.53</v>
      </c>
    </row>
    <row r="97" spans="2:17" x14ac:dyDescent="0.3">
      <c r="B97" s="2">
        <v>45202</v>
      </c>
      <c r="C97">
        <v>38.57</v>
      </c>
      <c r="D97">
        <v>421.59</v>
      </c>
      <c r="E97">
        <v>169.16</v>
      </c>
      <c r="F97">
        <v>29.99</v>
      </c>
      <c r="G97">
        <v>354.92</v>
      </c>
      <c r="H97">
        <v>21.37</v>
      </c>
      <c r="I97">
        <v>79.930000000000007</v>
      </c>
      <c r="J97">
        <v>85.06</v>
      </c>
      <c r="K97">
        <v>56.33</v>
      </c>
      <c r="L97">
        <v>49.06</v>
      </c>
      <c r="M97">
        <v>58.73</v>
      </c>
      <c r="N97">
        <v>117.94</v>
      </c>
      <c r="O97">
        <v>43.95</v>
      </c>
      <c r="P97">
        <v>171.14</v>
      </c>
      <c r="Q97">
        <v>25.75</v>
      </c>
    </row>
    <row r="98" spans="2:17" x14ac:dyDescent="0.3">
      <c r="B98" s="2">
        <v>45201</v>
      </c>
      <c r="C98">
        <v>39.07</v>
      </c>
      <c r="D98">
        <v>427.31</v>
      </c>
      <c r="E98">
        <v>169.65</v>
      </c>
      <c r="F98">
        <v>29.96</v>
      </c>
      <c r="G98">
        <v>361.26</v>
      </c>
      <c r="H98">
        <v>21.58</v>
      </c>
      <c r="I98">
        <v>79.39</v>
      </c>
      <c r="J98">
        <v>86.93</v>
      </c>
      <c r="K98">
        <v>56.94</v>
      </c>
      <c r="L98">
        <v>49.59</v>
      </c>
      <c r="M98">
        <v>59.77</v>
      </c>
      <c r="N98">
        <v>119.51</v>
      </c>
      <c r="O98">
        <v>44.21</v>
      </c>
      <c r="P98">
        <v>174.07</v>
      </c>
      <c r="Q98">
        <v>26.37</v>
      </c>
    </row>
    <row r="99" spans="2:17" x14ac:dyDescent="0.3">
      <c r="B99" s="2">
        <v>45198</v>
      </c>
      <c r="C99">
        <v>39.21</v>
      </c>
      <c r="D99">
        <v>427.48</v>
      </c>
      <c r="E99">
        <v>171.45</v>
      </c>
      <c r="F99">
        <v>29.73</v>
      </c>
      <c r="G99">
        <v>358.27</v>
      </c>
      <c r="H99">
        <v>21.41</v>
      </c>
      <c r="I99">
        <v>80.86</v>
      </c>
      <c r="J99">
        <v>88.69</v>
      </c>
      <c r="K99">
        <v>57.93</v>
      </c>
      <c r="L99">
        <v>49.83</v>
      </c>
      <c r="M99">
        <v>60.29</v>
      </c>
      <c r="N99">
        <v>120.17</v>
      </c>
      <c r="O99">
        <v>44.22</v>
      </c>
      <c r="P99">
        <v>176.74</v>
      </c>
      <c r="Q99">
        <v>26.53</v>
      </c>
    </row>
    <row r="100" spans="2:17" x14ac:dyDescent="0.3">
      <c r="B100" s="2">
        <v>45197</v>
      </c>
      <c r="C100">
        <v>39.17</v>
      </c>
      <c r="D100">
        <v>428.52</v>
      </c>
      <c r="E100">
        <v>173.23</v>
      </c>
      <c r="F100">
        <v>29.71</v>
      </c>
      <c r="G100">
        <v>358.01</v>
      </c>
      <c r="H100">
        <v>21.8</v>
      </c>
      <c r="I100">
        <v>81.569999999999993</v>
      </c>
      <c r="J100">
        <v>88.68</v>
      </c>
      <c r="K100">
        <v>57.85</v>
      </c>
      <c r="L100">
        <v>49.93</v>
      </c>
      <c r="M100">
        <v>61.15</v>
      </c>
      <c r="N100">
        <v>120.52</v>
      </c>
      <c r="O100">
        <v>44.25</v>
      </c>
      <c r="P100">
        <v>177.58</v>
      </c>
      <c r="Q100">
        <v>26.26</v>
      </c>
    </row>
    <row r="101" spans="2:17" x14ac:dyDescent="0.3">
      <c r="B101" s="2">
        <v>45196</v>
      </c>
      <c r="C101">
        <v>39.090000000000003</v>
      </c>
      <c r="D101">
        <v>426.05</v>
      </c>
      <c r="E101">
        <v>174.1</v>
      </c>
      <c r="F101">
        <v>29.87</v>
      </c>
      <c r="G101">
        <v>355.04</v>
      </c>
      <c r="H101">
        <v>21.61</v>
      </c>
      <c r="I101">
        <v>82.9</v>
      </c>
      <c r="J101">
        <v>88.41</v>
      </c>
      <c r="K101">
        <v>57.29</v>
      </c>
      <c r="L101">
        <v>49.7</v>
      </c>
      <c r="M101">
        <v>61.03</v>
      </c>
      <c r="N101">
        <v>119.58</v>
      </c>
      <c r="O101">
        <v>44.59</v>
      </c>
      <c r="P101">
        <v>175.99</v>
      </c>
      <c r="Q101">
        <v>26.41</v>
      </c>
    </row>
    <row r="102" spans="2:17" x14ac:dyDescent="0.3">
      <c r="B102" s="2">
        <v>45195</v>
      </c>
      <c r="C102">
        <v>39.04</v>
      </c>
      <c r="D102">
        <v>425.88</v>
      </c>
      <c r="E102">
        <v>176.28</v>
      </c>
      <c r="F102">
        <v>29.73</v>
      </c>
      <c r="G102">
        <v>354.21</v>
      </c>
      <c r="H102">
        <v>21.67</v>
      </c>
      <c r="I102">
        <v>80.88</v>
      </c>
      <c r="J102">
        <v>88.87</v>
      </c>
      <c r="K102">
        <v>57.54</v>
      </c>
      <c r="L102">
        <v>49.68</v>
      </c>
      <c r="M102">
        <v>60.77</v>
      </c>
      <c r="N102">
        <v>119.67</v>
      </c>
      <c r="O102">
        <v>44.32</v>
      </c>
      <c r="P102">
        <v>174.36</v>
      </c>
      <c r="Q102">
        <v>26.35</v>
      </c>
    </row>
    <row r="103" spans="2:17" x14ac:dyDescent="0.3">
      <c r="B103" s="2">
        <v>45194</v>
      </c>
      <c r="C103">
        <v>39.5</v>
      </c>
      <c r="D103">
        <v>432.23</v>
      </c>
      <c r="E103">
        <v>177.7</v>
      </c>
      <c r="F103">
        <v>29.64</v>
      </c>
      <c r="G103">
        <v>359.61</v>
      </c>
      <c r="H103">
        <v>21.75</v>
      </c>
      <c r="I103">
        <v>80.39</v>
      </c>
      <c r="J103">
        <v>89.18</v>
      </c>
      <c r="K103">
        <v>58.27</v>
      </c>
      <c r="L103">
        <v>50.41</v>
      </c>
      <c r="M103">
        <v>61.72</v>
      </c>
      <c r="N103">
        <v>121.39</v>
      </c>
      <c r="O103">
        <v>44.63</v>
      </c>
      <c r="P103">
        <v>177.46</v>
      </c>
      <c r="Q103">
        <v>26.72</v>
      </c>
    </row>
    <row r="104" spans="2:17" x14ac:dyDescent="0.3">
      <c r="B104" s="2">
        <v>45191</v>
      </c>
      <c r="C104">
        <v>39.65</v>
      </c>
      <c r="D104">
        <v>430.42</v>
      </c>
      <c r="E104">
        <v>178.62</v>
      </c>
      <c r="F104">
        <v>29.53</v>
      </c>
      <c r="G104">
        <v>357.91</v>
      </c>
      <c r="H104">
        <v>21.86</v>
      </c>
      <c r="I104">
        <v>80.63</v>
      </c>
      <c r="J104">
        <v>91.43</v>
      </c>
      <c r="K104">
        <v>58.67</v>
      </c>
      <c r="L104">
        <v>50.41</v>
      </c>
      <c r="M104">
        <v>61.8</v>
      </c>
      <c r="N104">
        <v>121.17</v>
      </c>
      <c r="O104">
        <v>44.48</v>
      </c>
      <c r="P104">
        <v>176.67</v>
      </c>
      <c r="Q104">
        <v>27.14</v>
      </c>
    </row>
    <row r="105" spans="2:17" x14ac:dyDescent="0.3">
      <c r="B105" s="2">
        <v>45190</v>
      </c>
      <c r="C105">
        <v>39.19</v>
      </c>
      <c r="D105">
        <v>431.39</v>
      </c>
      <c r="E105">
        <v>178.05</v>
      </c>
      <c r="F105">
        <v>29.46</v>
      </c>
      <c r="G105">
        <v>357.86</v>
      </c>
      <c r="H105">
        <v>21.9</v>
      </c>
      <c r="I105">
        <v>80.41</v>
      </c>
      <c r="J105">
        <v>90.7</v>
      </c>
      <c r="K105">
        <v>58.8</v>
      </c>
      <c r="L105">
        <v>50.25</v>
      </c>
      <c r="M105">
        <v>61.63</v>
      </c>
      <c r="N105">
        <v>121.36</v>
      </c>
      <c r="O105">
        <v>44.45</v>
      </c>
      <c r="P105">
        <v>177.07</v>
      </c>
      <c r="Q105">
        <v>26.21</v>
      </c>
    </row>
    <row r="106" spans="2:17" x14ac:dyDescent="0.3">
      <c r="B106" s="2">
        <v>45189</v>
      </c>
      <c r="C106">
        <v>39.83</v>
      </c>
      <c r="D106">
        <v>438.64</v>
      </c>
      <c r="E106">
        <v>179.35</v>
      </c>
      <c r="F106">
        <v>29.44</v>
      </c>
      <c r="G106">
        <v>364.54</v>
      </c>
      <c r="H106">
        <v>22.21</v>
      </c>
      <c r="I106">
        <v>80.14</v>
      </c>
      <c r="J106">
        <v>93.09</v>
      </c>
      <c r="K106">
        <v>59.66</v>
      </c>
      <c r="L106">
        <v>51.07</v>
      </c>
      <c r="M106">
        <v>62.6</v>
      </c>
      <c r="N106">
        <v>123.43</v>
      </c>
      <c r="O106">
        <v>44.88</v>
      </c>
      <c r="P106">
        <v>179.86</v>
      </c>
      <c r="Q106">
        <v>26.79</v>
      </c>
    </row>
    <row r="107" spans="2:17" x14ac:dyDescent="0.3">
      <c r="B107" s="2">
        <v>45188</v>
      </c>
      <c r="C107">
        <v>39.950000000000003</v>
      </c>
      <c r="D107">
        <v>442.71</v>
      </c>
      <c r="E107">
        <v>179.22</v>
      </c>
      <c r="F107">
        <v>29.39</v>
      </c>
      <c r="G107">
        <v>369.87</v>
      </c>
      <c r="H107">
        <v>22.27</v>
      </c>
      <c r="I107">
        <v>81.5</v>
      </c>
      <c r="J107">
        <v>92.8</v>
      </c>
      <c r="K107">
        <v>59.55</v>
      </c>
      <c r="L107">
        <v>51.19</v>
      </c>
      <c r="M107">
        <v>63.45</v>
      </c>
      <c r="N107">
        <v>124.34</v>
      </c>
      <c r="O107">
        <v>45</v>
      </c>
      <c r="P107">
        <v>181.68</v>
      </c>
      <c r="Q107">
        <v>26.98</v>
      </c>
    </row>
    <row r="108" spans="2:17" x14ac:dyDescent="0.3">
      <c r="B108" s="2">
        <v>45187</v>
      </c>
      <c r="C108">
        <v>40.15</v>
      </c>
      <c r="D108">
        <v>443.63</v>
      </c>
      <c r="E108">
        <v>179.39</v>
      </c>
      <c r="F108">
        <v>29.37</v>
      </c>
      <c r="G108">
        <v>370.66</v>
      </c>
      <c r="H108">
        <v>22.18</v>
      </c>
      <c r="I108">
        <v>81.45</v>
      </c>
      <c r="J108">
        <v>93.49</v>
      </c>
      <c r="K108">
        <v>59.51</v>
      </c>
      <c r="L108">
        <v>51.47</v>
      </c>
      <c r="M108">
        <v>63.14</v>
      </c>
      <c r="N108">
        <v>124.52</v>
      </c>
      <c r="O108">
        <v>45.17</v>
      </c>
      <c r="P108">
        <v>182.39</v>
      </c>
      <c r="Q108">
        <v>27.05</v>
      </c>
    </row>
    <row r="109" spans="2:17" x14ac:dyDescent="0.3">
      <c r="B109" s="2">
        <v>45184</v>
      </c>
      <c r="C109">
        <v>40.54</v>
      </c>
      <c r="D109">
        <v>443.37</v>
      </c>
      <c r="E109">
        <v>178.34</v>
      </c>
      <c r="F109">
        <v>29.42</v>
      </c>
      <c r="G109">
        <v>370.81</v>
      </c>
      <c r="H109">
        <v>22.34</v>
      </c>
      <c r="I109">
        <v>81.290000000000006</v>
      </c>
      <c r="J109">
        <v>92.96</v>
      </c>
      <c r="K109">
        <v>60.19</v>
      </c>
      <c r="L109">
        <v>51.5</v>
      </c>
      <c r="M109">
        <v>62.99</v>
      </c>
      <c r="N109">
        <v>124.62</v>
      </c>
      <c r="O109">
        <v>45.12</v>
      </c>
      <c r="P109">
        <v>183.61</v>
      </c>
      <c r="Q109">
        <v>27.18</v>
      </c>
    </row>
    <row r="110" spans="2:17" x14ac:dyDescent="0.3">
      <c r="B110" s="2">
        <v>45183</v>
      </c>
      <c r="C110">
        <v>40.75</v>
      </c>
      <c r="D110">
        <v>450.36</v>
      </c>
      <c r="E110">
        <v>177.17</v>
      </c>
      <c r="F110">
        <v>29.44</v>
      </c>
      <c r="G110">
        <v>377.27</v>
      </c>
      <c r="H110">
        <v>22.21</v>
      </c>
      <c r="I110">
        <v>81.12</v>
      </c>
      <c r="J110">
        <v>93.53</v>
      </c>
      <c r="K110">
        <v>60.28</v>
      </c>
      <c r="L110">
        <v>51.72</v>
      </c>
      <c r="M110">
        <v>63.34</v>
      </c>
      <c r="N110">
        <v>125.72</v>
      </c>
      <c r="O110">
        <v>45.244999999999997</v>
      </c>
      <c r="P110">
        <v>185.55</v>
      </c>
      <c r="Q110">
        <v>27.3</v>
      </c>
    </row>
    <row r="111" spans="2:17" x14ac:dyDescent="0.3">
      <c r="B111" s="2">
        <v>45182</v>
      </c>
      <c r="C111">
        <v>40.51</v>
      </c>
      <c r="D111">
        <v>446.51</v>
      </c>
      <c r="E111">
        <v>177.08</v>
      </c>
      <c r="F111">
        <v>29.26</v>
      </c>
      <c r="G111">
        <v>374.21</v>
      </c>
      <c r="H111">
        <v>22.11</v>
      </c>
      <c r="I111">
        <v>79.680000000000007</v>
      </c>
      <c r="J111">
        <v>94.21</v>
      </c>
      <c r="K111">
        <v>59.57</v>
      </c>
      <c r="L111">
        <v>51.32</v>
      </c>
      <c r="M111">
        <v>62.28</v>
      </c>
      <c r="N111">
        <v>124.52</v>
      </c>
      <c r="O111">
        <v>45.11</v>
      </c>
      <c r="P111">
        <v>182.97</v>
      </c>
      <c r="Q111">
        <v>27.07</v>
      </c>
    </row>
    <row r="112" spans="2:17" x14ac:dyDescent="0.3">
      <c r="B112" s="2">
        <v>45181</v>
      </c>
      <c r="C112">
        <v>40.549999999999997</v>
      </c>
      <c r="D112">
        <v>445.99</v>
      </c>
      <c r="E112">
        <v>177.49</v>
      </c>
      <c r="F112">
        <v>29.24</v>
      </c>
      <c r="G112">
        <v>372.79</v>
      </c>
      <c r="H112">
        <v>22.04</v>
      </c>
      <c r="I112">
        <v>79.7</v>
      </c>
      <c r="J112">
        <v>94.23</v>
      </c>
      <c r="K112">
        <v>59.82</v>
      </c>
      <c r="L112">
        <v>51.24</v>
      </c>
      <c r="M112">
        <v>62.31</v>
      </c>
      <c r="N112">
        <v>124.48</v>
      </c>
      <c r="O112">
        <v>45.06</v>
      </c>
      <c r="P112">
        <v>184.18</v>
      </c>
      <c r="Q112">
        <v>27.3</v>
      </c>
    </row>
    <row r="113" spans="2:17" x14ac:dyDescent="0.3">
      <c r="B113" s="2">
        <v>45180</v>
      </c>
      <c r="C113">
        <v>40.659999999999997</v>
      </c>
      <c r="D113">
        <v>448.45</v>
      </c>
      <c r="E113">
        <v>178.41</v>
      </c>
      <c r="F113">
        <v>29.19</v>
      </c>
      <c r="G113">
        <v>376.97</v>
      </c>
      <c r="H113">
        <v>22.01</v>
      </c>
      <c r="I113">
        <v>78.37</v>
      </c>
      <c r="J113">
        <v>93.69</v>
      </c>
      <c r="K113">
        <v>60.21</v>
      </c>
      <c r="L113">
        <v>51.49</v>
      </c>
      <c r="M113">
        <v>62.32</v>
      </c>
      <c r="N113">
        <v>125.09</v>
      </c>
      <c r="O113">
        <v>45.46</v>
      </c>
      <c r="P113">
        <v>184.36</v>
      </c>
      <c r="Q113">
        <v>27.24</v>
      </c>
    </row>
    <row r="114" spans="2:17" x14ac:dyDescent="0.3">
      <c r="B114" s="2">
        <v>45177</v>
      </c>
      <c r="C114">
        <v>40.200000000000003</v>
      </c>
      <c r="D114">
        <v>445.52</v>
      </c>
      <c r="E114">
        <v>178.08</v>
      </c>
      <c r="F114">
        <v>29.33</v>
      </c>
      <c r="G114">
        <v>372.58</v>
      </c>
      <c r="H114">
        <v>21.85</v>
      </c>
      <c r="I114">
        <v>78.3</v>
      </c>
      <c r="J114">
        <v>94.37</v>
      </c>
      <c r="K114">
        <v>59.59</v>
      </c>
      <c r="L114">
        <v>50.95</v>
      </c>
      <c r="M114">
        <v>61.61</v>
      </c>
      <c r="N114">
        <v>124.12</v>
      </c>
      <c r="O114">
        <v>45.02</v>
      </c>
      <c r="P114">
        <v>183.92</v>
      </c>
      <c r="Q114">
        <v>26.88</v>
      </c>
    </row>
    <row r="115" spans="2:17" x14ac:dyDescent="0.3">
      <c r="B115" s="2">
        <v>45176</v>
      </c>
      <c r="C115">
        <v>40.119999999999997</v>
      </c>
      <c r="D115">
        <v>444.85</v>
      </c>
      <c r="E115">
        <v>178.02</v>
      </c>
      <c r="F115">
        <v>29.3</v>
      </c>
      <c r="G115">
        <v>372.06</v>
      </c>
      <c r="H115">
        <v>21.9</v>
      </c>
      <c r="I115">
        <v>77.95</v>
      </c>
      <c r="J115">
        <v>94.01</v>
      </c>
      <c r="K115">
        <v>59.5</v>
      </c>
      <c r="L115">
        <v>50.74</v>
      </c>
      <c r="M115">
        <v>62.23</v>
      </c>
      <c r="N115">
        <v>124.09</v>
      </c>
      <c r="O115">
        <v>44.55</v>
      </c>
      <c r="P115">
        <v>184.33</v>
      </c>
      <c r="Q115">
        <v>26.92</v>
      </c>
    </row>
    <row r="116" spans="2:17" x14ac:dyDescent="0.3">
      <c r="B116" s="2">
        <v>45175</v>
      </c>
      <c r="C116">
        <v>40.54</v>
      </c>
      <c r="D116">
        <v>446.22</v>
      </c>
      <c r="E116">
        <v>177.83</v>
      </c>
      <c r="F116">
        <v>29.23</v>
      </c>
      <c r="G116">
        <v>374.74</v>
      </c>
      <c r="H116">
        <v>21.94</v>
      </c>
      <c r="I116">
        <v>78.52</v>
      </c>
      <c r="J116">
        <v>93.75</v>
      </c>
      <c r="K116">
        <v>59.76</v>
      </c>
      <c r="L116">
        <v>50.98</v>
      </c>
      <c r="M116">
        <v>62.23</v>
      </c>
      <c r="N116">
        <v>124.45</v>
      </c>
      <c r="O116">
        <v>44.17</v>
      </c>
      <c r="P116">
        <v>186.13</v>
      </c>
      <c r="Q116">
        <v>27.71</v>
      </c>
    </row>
    <row r="117" spans="2:17" x14ac:dyDescent="0.3">
      <c r="B117" s="2">
        <v>45174</v>
      </c>
      <c r="C117">
        <v>40.729999999999997</v>
      </c>
      <c r="D117">
        <v>449.24</v>
      </c>
      <c r="E117">
        <v>178.64</v>
      </c>
      <c r="F117">
        <v>29.22</v>
      </c>
      <c r="G117">
        <v>378.07</v>
      </c>
      <c r="H117">
        <v>21.92</v>
      </c>
      <c r="I117">
        <v>77.760000000000005</v>
      </c>
      <c r="J117">
        <v>93.52</v>
      </c>
      <c r="K117">
        <v>59.98</v>
      </c>
      <c r="L117">
        <v>51.36</v>
      </c>
      <c r="M117">
        <v>62.07</v>
      </c>
      <c r="N117">
        <v>125.21</v>
      </c>
      <c r="O117">
        <v>44.35</v>
      </c>
      <c r="P117">
        <v>186.83</v>
      </c>
      <c r="Q117">
        <v>27.63</v>
      </c>
    </row>
    <row r="118" spans="2:17" x14ac:dyDescent="0.3">
      <c r="B118" s="2">
        <v>45170</v>
      </c>
      <c r="C118">
        <v>40.97</v>
      </c>
      <c r="D118">
        <v>451.19</v>
      </c>
      <c r="E118">
        <v>180.11</v>
      </c>
      <c r="F118">
        <v>29.07</v>
      </c>
      <c r="G118">
        <v>377.59</v>
      </c>
      <c r="H118">
        <v>21.78</v>
      </c>
      <c r="I118">
        <v>76.92</v>
      </c>
      <c r="J118">
        <v>94.85</v>
      </c>
      <c r="K118">
        <v>60.71</v>
      </c>
      <c r="L118">
        <v>51.64</v>
      </c>
      <c r="M118">
        <v>62.04</v>
      </c>
      <c r="N118">
        <v>125.91</v>
      </c>
      <c r="O118">
        <v>44.24</v>
      </c>
      <c r="P118">
        <v>190.85</v>
      </c>
      <c r="Q118">
        <v>28.04</v>
      </c>
    </row>
    <row r="119" spans="2:17" x14ac:dyDescent="0.3">
      <c r="B119" s="2">
        <v>45169</v>
      </c>
      <c r="C119">
        <v>40.53</v>
      </c>
      <c r="D119">
        <v>450.35</v>
      </c>
      <c r="E119">
        <v>180.02</v>
      </c>
      <c r="F119">
        <v>28.89</v>
      </c>
      <c r="G119">
        <v>377.99</v>
      </c>
      <c r="H119">
        <v>21.74</v>
      </c>
      <c r="I119">
        <v>75.06</v>
      </c>
      <c r="J119">
        <v>96.64</v>
      </c>
      <c r="K119">
        <v>60.92</v>
      </c>
      <c r="L119">
        <v>51.27</v>
      </c>
      <c r="M119">
        <v>61.64</v>
      </c>
      <c r="N119">
        <v>125.7</v>
      </c>
      <c r="O119">
        <v>43.97</v>
      </c>
      <c r="P119">
        <v>188.61</v>
      </c>
      <c r="Q119">
        <v>27.4</v>
      </c>
    </row>
    <row r="120" spans="2:17" x14ac:dyDescent="0.3">
      <c r="B120" s="2">
        <v>45168</v>
      </c>
      <c r="C120">
        <v>41.02</v>
      </c>
      <c r="D120">
        <v>451.01</v>
      </c>
      <c r="E120">
        <v>180.32</v>
      </c>
      <c r="F120">
        <v>28.75</v>
      </c>
      <c r="G120">
        <v>376.86</v>
      </c>
      <c r="H120">
        <v>21.85</v>
      </c>
      <c r="I120">
        <v>73.66</v>
      </c>
      <c r="J120">
        <v>96.21</v>
      </c>
      <c r="K120">
        <v>61.47</v>
      </c>
      <c r="L120">
        <v>51.93</v>
      </c>
      <c r="M120">
        <v>60.99</v>
      </c>
      <c r="N120">
        <v>125.89</v>
      </c>
      <c r="O120">
        <v>44.13</v>
      </c>
      <c r="P120">
        <v>188.94</v>
      </c>
      <c r="Q120">
        <v>27.76</v>
      </c>
    </row>
    <row r="121" spans="2:17" x14ac:dyDescent="0.3">
      <c r="B121" s="2">
        <v>45167</v>
      </c>
      <c r="C121">
        <v>41.17</v>
      </c>
      <c r="D121">
        <v>449.16</v>
      </c>
      <c r="E121">
        <v>179.87</v>
      </c>
      <c r="F121">
        <v>28.8</v>
      </c>
      <c r="G121">
        <v>374.77</v>
      </c>
      <c r="H121">
        <v>21.8</v>
      </c>
      <c r="I121">
        <v>73.319999999999993</v>
      </c>
      <c r="J121">
        <v>96.31</v>
      </c>
      <c r="K121">
        <v>61.5</v>
      </c>
      <c r="L121">
        <v>52.11</v>
      </c>
      <c r="M121">
        <v>61.1</v>
      </c>
      <c r="N121">
        <v>125.4</v>
      </c>
      <c r="O121">
        <v>44.19</v>
      </c>
      <c r="P121">
        <v>188.23</v>
      </c>
      <c r="Q121">
        <v>27.95</v>
      </c>
    </row>
    <row r="122" spans="2:17" x14ac:dyDescent="0.3">
      <c r="B122" s="2">
        <v>45166</v>
      </c>
      <c r="C122">
        <v>40.630000000000003</v>
      </c>
      <c r="D122">
        <v>442.76</v>
      </c>
      <c r="E122">
        <v>178.13</v>
      </c>
      <c r="F122">
        <v>28.96</v>
      </c>
      <c r="G122">
        <v>366.76</v>
      </c>
      <c r="H122">
        <v>21.83</v>
      </c>
      <c r="I122">
        <v>72.41</v>
      </c>
      <c r="J122">
        <v>95.32</v>
      </c>
      <c r="K122">
        <v>60.64</v>
      </c>
      <c r="L122">
        <v>51.67</v>
      </c>
      <c r="M122">
        <v>60.68</v>
      </c>
      <c r="N122">
        <v>123.64</v>
      </c>
      <c r="O122">
        <v>43.88</v>
      </c>
      <c r="P122">
        <v>185.64</v>
      </c>
      <c r="Q122">
        <v>27.41</v>
      </c>
    </row>
    <row r="123" spans="2:17" x14ac:dyDescent="0.3">
      <c r="B123" s="2">
        <v>45163</v>
      </c>
      <c r="C123">
        <v>40.229999999999997</v>
      </c>
      <c r="D123">
        <v>439.97</v>
      </c>
      <c r="E123">
        <v>177.62</v>
      </c>
      <c r="F123">
        <v>29.01</v>
      </c>
      <c r="G123">
        <v>364.02</v>
      </c>
      <c r="H123">
        <v>21.62</v>
      </c>
      <c r="I123">
        <v>72.45</v>
      </c>
      <c r="J123">
        <v>95.22</v>
      </c>
      <c r="K123">
        <v>60.01</v>
      </c>
      <c r="L123">
        <v>51.37</v>
      </c>
      <c r="M123">
        <v>59.97</v>
      </c>
      <c r="N123">
        <v>122.7</v>
      </c>
      <c r="O123">
        <v>43.76</v>
      </c>
      <c r="P123">
        <v>184</v>
      </c>
      <c r="Q123">
        <v>26.77</v>
      </c>
    </row>
    <row r="124" spans="2:17" x14ac:dyDescent="0.3">
      <c r="B124" s="2">
        <v>45162</v>
      </c>
      <c r="C124">
        <v>40.26</v>
      </c>
      <c r="D124">
        <v>436.89</v>
      </c>
      <c r="E124">
        <v>177.85</v>
      </c>
      <c r="F124">
        <v>28.97</v>
      </c>
      <c r="G124">
        <v>361.22</v>
      </c>
      <c r="H124">
        <v>21.56</v>
      </c>
      <c r="I124">
        <v>71.41</v>
      </c>
      <c r="J124">
        <v>94.91</v>
      </c>
      <c r="K124">
        <v>59.58</v>
      </c>
      <c r="L124">
        <v>51.3</v>
      </c>
      <c r="M124">
        <v>59.66</v>
      </c>
      <c r="N124">
        <v>121.87</v>
      </c>
      <c r="O124">
        <v>43.77</v>
      </c>
      <c r="P124">
        <v>183.22</v>
      </c>
      <c r="Q124">
        <v>26.82</v>
      </c>
    </row>
    <row r="125" spans="2:17" x14ac:dyDescent="0.3">
      <c r="B125" s="2">
        <v>45161</v>
      </c>
      <c r="C125">
        <v>40.43</v>
      </c>
      <c r="D125">
        <v>443.03</v>
      </c>
      <c r="E125">
        <v>177.89</v>
      </c>
      <c r="F125">
        <v>28.74</v>
      </c>
      <c r="G125">
        <v>369.11</v>
      </c>
      <c r="H125">
        <v>21.38</v>
      </c>
      <c r="I125">
        <v>71.36</v>
      </c>
      <c r="J125">
        <v>95.54</v>
      </c>
      <c r="K125">
        <v>60.42</v>
      </c>
      <c r="L125">
        <v>51.6</v>
      </c>
      <c r="M125">
        <v>60.45</v>
      </c>
      <c r="N125">
        <v>123.51</v>
      </c>
      <c r="O125">
        <v>44.19</v>
      </c>
      <c r="P125">
        <v>185.79</v>
      </c>
      <c r="Q125">
        <v>26.7</v>
      </c>
    </row>
    <row r="126" spans="2:17" x14ac:dyDescent="0.3">
      <c r="B126" s="2">
        <v>45160</v>
      </c>
      <c r="C126">
        <v>39.840000000000003</v>
      </c>
      <c r="D126">
        <v>438.15</v>
      </c>
      <c r="E126">
        <v>176.1</v>
      </c>
      <c r="F126">
        <v>28.84</v>
      </c>
      <c r="G126">
        <v>363.38</v>
      </c>
      <c r="H126">
        <v>21.16</v>
      </c>
      <c r="I126">
        <v>72.28</v>
      </c>
      <c r="J126">
        <v>93.23</v>
      </c>
      <c r="K126">
        <v>59.92</v>
      </c>
      <c r="L126">
        <v>50.77</v>
      </c>
      <c r="M126">
        <v>59.66</v>
      </c>
      <c r="N126">
        <v>122.21</v>
      </c>
      <c r="O126">
        <v>43.51</v>
      </c>
      <c r="P126">
        <v>183.83</v>
      </c>
      <c r="Q126">
        <v>26.14</v>
      </c>
    </row>
    <row r="127" spans="2:17" x14ac:dyDescent="0.3">
      <c r="B127" s="2">
        <v>45159</v>
      </c>
      <c r="C127">
        <v>39.909999999999997</v>
      </c>
      <c r="D127">
        <v>439.34</v>
      </c>
      <c r="E127">
        <v>175.81</v>
      </c>
      <c r="F127">
        <v>28.74</v>
      </c>
      <c r="G127">
        <v>363.9</v>
      </c>
      <c r="H127">
        <v>21.29</v>
      </c>
      <c r="I127">
        <v>72.58</v>
      </c>
      <c r="J127">
        <v>92.52</v>
      </c>
      <c r="K127">
        <v>60.14</v>
      </c>
      <c r="L127">
        <v>50.86</v>
      </c>
      <c r="M127">
        <v>59.37</v>
      </c>
      <c r="N127">
        <v>122.57</v>
      </c>
      <c r="O127">
        <v>43.6</v>
      </c>
      <c r="P127">
        <v>184.38</v>
      </c>
      <c r="Q127">
        <v>26.15</v>
      </c>
    </row>
    <row r="128" spans="2:17" x14ac:dyDescent="0.3">
      <c r="B128" s="2">
        <v>45156</v>
      </c>
      <c r="C128">
        <v>39.82</v>
      </c>
      <c r="D128">
        <v>436.5</v>
      </c>
      <c r="E128">
        <v>175.33</v>
      </c>
      <c r="F128">
        <v>28.77</v>
      </c>
      <c r="G128">
        <v>358.13</v>
      </c>
      <c r="H128">
        <v>21.35</v>
      </c>
      <c r="I128">
        <v>72.790000000000006</v>
      </c>
      <c r="J128">
        <v>93.77</v>
      </c>
      <c r="K128">
        <v>59.8</v>
      </c>
      <c r="L128">
        <v>50.66</v>
      </c>
      <c r="M128">
        <v>59.32</v>
      </c>
      <c r="N128">
        <v>121.82</v>
      </c>
      <c r="O128">
        <v>43.33</v>
      </c>
      <c r="P128">
        <v>184.65</v>
      </c>
      <c r="Q128">
        <v>26.19</v>
      </c>
    </row>
    <row r="129" spans="2:17" x14ac:dyDescent="0.3">
      <c r="B129" s="2">
        <v>45155</v>
      </c>
      <c r="C129">
        <v>40.07</v>
      </c>
      <c r="D129">
        <v>436.29</v>
      </c>
      <c r="E129">
        <v>175.3</v>
      </c>
      <c r="F129">
        <v>28.75</v>
      </c>
      <c r="G129">
        <v>358.58</v>
      </c>
      <c r="H129">
        <v>21.18</v>
      </c>
      <c r="I129">
        <v>71.98</v>
      </c>
      <c r="J129">
        <v>93.44</v>
      </c>
      <c r="K129">
        <v>59.9</v>
      </c>
      <c r="L129">
        <v>50.64</v>
      </c>
      <c r="M129">
        <v>59.17</v>
      </c>
      <c r="N129">
        <v>121.85</v>
      </c>
      <c r="O129">
        <v>43.2</v>
      </c>
      <c r="P129">
        <v>183.65</v>
      </c>
      <c r="Q129">
        <v>26.85</v>
      </c>
    </row>
    <row r="130" spans="2:17" x14ac:dyDescent="0.3">
      <c r="B130" s="2">
        <v>45154</v>
      </c>
      <c r="C130">
        <v>39.94</v>
      </c>
      <c r="D130">
        <v>439.64</v>
      </c>
      <c r="E130">
        <v>175.57</v>
      </c>
      <c r="F130">
        <v>28.76</v>
      </c>
      <c r="G130">
        <v>362.54</v>
      </c>
      <c r="H130">
        <v>21.19</v>
      </c>
      <c r="I130">
        <v>71.37</v>
      </c>
      <c r="J130">
        <v>93.84</v>
      </c>
      <c r="K130">
        <v>60.42</v>
      </c>
      <c r="L130">
        <v>50.65</v>
      </c>
      <c r="M130">
        <v>59.42</v>
      </c>
      <c r="N130">
        <v>122.7</v>
      </c>
      <c r="O130">
        <v>43.36</v>
      </c>
      <c r="P130">
        <v>185.84</v>
      </c>
      <c r="Q130">
        <v>26.65</v>
      </c>
    </row>
    <row r="131" spans="2:17" x14ac:dyDescent="0.3">
      <c r="B131" s="2">
        <v>45153</v>
      </c>
      <c r="C131">
        <v>40.21</v>
      </c>
      <c r="D131">
        <v>442.89</v>
      </c>
      <c r="E131">
        <v>176.59</v>
      </c>
      <c r="F131">
        <v>28.68</v>
      </c>
      <c r="G131">
        <v>366.42</v>
      </c>
      <c r="H131">
        <v>21.08</v>
      </c>
      <c r="I131">
        <v>72.62</v>
      </c>
      <c r="J131">
        <v>94.58</v>
      </c>
      <c r="K131">
        <v>60.79</v>
      </c>
      <c r="L131">
        <v>50.93</v>
      </c>
      <c r="M131">
        <v>60.17</v>
      </c>
      <c r="N131">
        <v>123.68</v>
      </c>
      <c r="O131">
        <v>43.23</v>
      </c>
      <c r="P131">
        <v>188.14</v>
      </c>
      <c r="Q131">
        <v>27.21</v>
      </c>
    </row>
    <row r="132" spans="2:17" x14ac:dyDescent="0.3">
      <c r="B132" s="2">
        <v>45152</v>
      </c>
      <c r="C132">
        <v>40.64</v>
      </c>
      <c r="D132">
        <v>448.11</v>
      </c>
      <c r="E132">
        <v>177.06</v>
      </c>
      <c r="F132">
        <v>28.67</v>
      </c>
      <c r="G132">
        <v>370.35</v>
      </c>
      <c r="H132">
        <v>21.25</v>
      </c>
      <c r="I132">
        <v>73.81</v>
      </c>
      <c r="J132">
        <v>95.16</v>
      </c>
      <c r="K132">
        <v>61.58</v>
      </c>
      <c r="L132">
        <v>51.4</v>
      </c>
      <c r="M132">
        <v>60.82</v>
      </c>
      <c r="N132">
        <v>125.17</v>
      </c>
      <c r="O132">
        <v>43.47</v>
      </c>
      <c r="P132">
        <v>190.66</v>
      </c>
      <c r="Q132">
        <v>27.66</v>
      </c>
    </row>
    <row r="133" spans="2:17" x14ac:dyDescent="0.3">
      <c r="B133" s="2">
        <v>45149</v>
      </c>
      <c r="C133">
        <v>40.83</v>
      </c>
      <c r="D133">
        <v>445.65</v>
      </c>
      <c r="E133">
        <v>177.6</v>
      </c>
      <c r="F133">
        <v>28.57</v>
      </c>
      <c r="G133">
        <v>366.24</v>
      </c>
      <c r="H133">
        <v>21.41</v>
      </c>
      <c r="I133">
        <v>74.25</v>
      </c>
      <c r="J133">
        <v>95.37</v>
      </c>
      <c r="K133">
        <v>61.7</v>
      </c>
      <c r="L133">
        <v>51.58</v>
      </c>
      <c r="M133">
        <v>61.37</v>
      </c>
      <c r="N133">
        <v>124.87</v>
      </c>
      <c r="O133">
        <v>43.62</v>
      </c>
      <c r="P133">
        <v>190.99</v>
      </c>
      <c r="Q133">
        <v>27.92</v>
      </c>
    </row>
    <row r="134" spans="2:17" x14ac:dyDescent="0.3">
      <c r="B134" s="2">
        <v>45148</v>
      </c>
      <c r="C134">
        <v>41.43</v>
      </c>
      <c r="D134">
        <v>445.91</v>
      </c>
      <c r="E134">
        <v>177.6</v>
      </c>
      <c r="F134">
        <v>28.51</v>
      </c>
      <c r="G134">
        <v>368.59</v>
      </c>
      <c r="H134">
        <v>21.41</v>
      </c>
      <c r="I134">
        <v>74.2</v>
      </c>
      <c r="J134">
        <v>95.59</v>
      </c>
      <c r="K134">
        <v>62.23</v>
      </c>
      <c r="L134">
        <v>52.05</v>
      </c>
      <c r="M134">
        <v>61.47</v>
      </c>
      <c r="N134">
        <v>125.17</v>
      </c>
      <c r="O134">
        <v>43.87</v>
      </c>
      <c r="P134">
        <v>190.72</v>
      </c>
      <c r="Q134">
        <v>28.83</v>
      </c>
    </row>
    <row r="135" spans="2:17" x14ac:dyDescent="0.3">
      <c r="B135" s="2">
        <v>45147</v>
      </c>
      <c r="C135">
        <v>41.35</v>
      </c>
      <c r="D135">
        <v>445.75</v>
      </c>
      <c r="E135">
        <v>177.79</v>
      </c>
      <c r="F135">
        <v>28.46</v>
      </c>
      <c r="G135">
        <v>367.91</v>
      </c>
      <c r="H135">
        <v>21.39</v>
      </c>
      <c r="I135">
        <v>75.099999999999994</v>
      </c>
      <c r="J135">
        <v>97.19</v>
      </c>
      <c r="K135">
        <v>61.99</v>
      </c>
      <c r="L135">
        <v>52.12</v>
      </c>
      <c r="M135">
        <v>61.21</v>
      </c>
      <c r="N135">
        <v>125.01</v>
      </c>
      <c r="O135">
        <v>43.94</v>
      </c>
      <c r="P135">
        <v>191.57</v>
      </c>
      <c r="Q135">
        <v>28.6</v>
      </c>
    </row>
    <row r="136" spans="2:17" x14ac:dyDescent="0.3">
      <c r="B136" s="2">
        <v>45146</v>
      </c>
      <c r="C136">
        <v>41.28</v>
      </c>
      <c r="D136">
        <v>448.75</v>
      </c>
      <c r="E136">
        <v>178.64</v>
      </c>
      <c r="F136">
        <v>28.44</v>
      </c>
      <c r="G136">
        <v>372</v>
      </c>
      <c r="H136">
        <v>21.43</v>
      </c>
      <c r="I136">
        <v>74.06</v>
      </c>
      <c r="J136">
        <v>96.69</v>
      </c>
      <c r="K136">
        <v>61.85</v>
      </c>
      <c r="L136">
        <v>51.94</v>
      </c>
      <c r="M136">
        <v>61.75</v>
      </c>
      <c r="N136">
        <v>125.65</v>
      </c>
      <c r="O136">
        <v>43.93</v>
      </c>
      <c r="P136">
        <v>193.08</v>
      </c>
      <c r="Q136">
        <v>28.48</v>
      </c>
    </row>
    <row r="137" spans="2:17" x14ac:dyDescent="0.3">
      <c r="B137" s="2">
        <v>45145</v>
      </c>
      <c r="C137">
        <v>41.71</v>
      </c>
      <c r="D137">
        <v>450.71</v>
      </c>
      <c r="E137">
        <v>179.78</v>
      </c>
      <c r="F137">
        <v>28.31</v>
      </c>
      <c r="G137">
        <v>375.19</v>
      </c>
      <c r="H137">
        <v>21.59</v>
      </c>
      <c r="I137">
        <v>73.819999999999993</v>
      </c>
      <c r="J137">
        <v>95.58</v>
      </c>
      <c r="K137">
        <v>62.18</v>
      </c>
      <c r="L137">
        <v>52.53</v>
      </c>
      <c r="M137">
        <v>62.3</v>
      </c>
      <c r="N137">
        <v>126.29</v>
      </c>
      <c r="O137">
        <v>44.19</v>
      </c>
      <c r="P137">
        <v>194.3</v>
      </c>
      <c r="Q137">
        <v>29.02</v>
      </c>
    </row>
    <row r="138" spans="2:17" x14ac:dyDescent="0.3">
      <c r="B138" s="2">
        <v>45142</v>
      </c>
      <c r="C138">
        <v>41.78</v>
      </c>
      <c r="D138">
        <v>446.81</v>
      </c>
      <c r="E138">
        <v>180.19</v>
      </c>
      <c r="F138">
        <v>28.29</v>
      </c>
      <c r="G138">
        <v>372.04</v>
      </c>
      <c r="H138">
        <v>21.64</v>
      </c>
      <c r="I138">
        <v>73.790000000000006</v>
      </c>
      <c r="J138">
        <v>96.53</v>
      </c>
      <c r="K138">
        <v>61.59</v>
      </c>
      <c r="L138">
        <v>52.41</v>
      </c>
      <c r="M138">
        <v>61.78</v>
      </c>
      <c r="N138">
        <v>125.22</v>
      </c>
      <c r="O138">
        <v>44.03</v>
      </c>
      <c r="P138">
        <v>194.17</v>
      </c>
      <c r="Q138">
        <v>29.13</v>
      </c>
    </row>
    <row r="139" spans="2:17" x14ac:dyDescent="0.3">
      <c r="B139" s="2">
        <v>45141</v>
      </c>
      <c r="C139">
        <v>41.73</v>
      </c>
      <c r="D139">
        <v>448.84</v>
      </c>
      <c r="E139">
        <v>179.54</v>
      </c>
      <c r="F139">
        <v>28.43</v>
      </c>
      <c r="G139">
        <v>373.79</v>
      </c>
      <c r="H139">
        <v>21.62</v>
      </c>
      <c r="I139">
        <v>73.14</v>
      </c>
      <c r="J139">
        <v>94.85</v>
      </c>
      <c r="K139">
        <v>61.48</v>
      </c>
      <c r="L139">
        <v>52.25</v>
      </c>
      <c r="M139">
        <v>61.19</v>
      </c>
      <c r="N139">
        <v>125.52</v>
      </c>
      <c r="O139">
        <v>43.6</v>
      </c>
      <c r="P139">
        <v>194.56</v>
      </c>
      <c r="Q139">
        <v>29.55</v>
      </c>
    </row>
    <row r="140" spans="2:17" x14ac:dyDescent="0.3">
      <c r="B140" s="2">
        <v>45140</v>
      </c>
      <c r="C140">
        <v>41.55</v>
      </c>
      <c r="D140">
        <v>450.13</v>
      </c>
      <c r="E140">
        <v>179.6</v>
      </c>
      <c r="F140">
        <v>28.45</v>
      </c>
      <c r="G140">
        <v>374.39</v>
      </c>
      <c r="H140">
        <v>21.79</v>
      </c>
      <c r="I140">
        <v>71.48</v>
      </c>
      <c r="J140">
        <v>97.09</v>
      </c>
      <c r="K140">
        <v>61.65</v>
      </c>
      <c r="L140">
        <v>52.5</v>
      </c>
      <c r="M140">
        <v>61.49</v>
      </c>
      <c r="N140">
        <v>125.9</v>
      </c>
      <c r="O140">
        <v>43.71</v>
      </c>
      <c r="P140">
        <v>195.11</v>
      </c>
      <c r="Q140">
        <v>28.77</v>
      </c>
    </row>
    <row r="141" spans="2:17" x14ac:dyDescent="0.3">
      <c r="B141" s="2">
        <v>45139</v>
      </c>
      <c r="C141">
        <v>42.47</v>
      </c>
      <c r="D141">
        <v>456.48</v>
      </c>
      <c r="E141">
        <v>180.46</v>
      </c>
      <c r="F141">
        <v>28.35</v>
      </c>
      <c r="G141">
        <v>382.79</v>
      </c>
      <c r="H141">
        <v>21.96</v>
      </c>
      <c r="I141">
        <v>72.959999999999994</v>
      </c>
      <c r="J141">
        <v>98.14</v>
      </c>
      <c r="K141">
        <v>62.79</v>
      </c>
      <c r="L141">
        <v>53.65</v>
      </c>
      <c r="M141">
        <v>62.67</v>
      </c>
      <c r="N141">
        <v>127.91</v>
      </c>
      <c r="O141">
        <v>44.48</v>
      </c>
      <c r="P141">
        <v>197.8</v>
      </c>
      <c r="Q141">
        <v>29.68</v>
      </c>
    </row>
    <row r="142" spans="2:17" x14ac:dyDescent="0.3">
      <c r="B142" s="2">
        <v>45138</v>
      </c>
      <c r="C142">
        <v>43.07</v>
      </c>
      <c r="D142">
        <v>457.79</v>
      </c>
      <c r="E142">
        <v>182.35</v>
      </c>
      <c r="F142">
        <v>28.22</v>
      </c>
      <c r="G142">
        <v>383.68</v>
      </c>
      <c r="H142">
        <v>21.93</v>
      </c>
      <c r="I142">
        <v>73.17</v>
      </c>
      <c r="J142">
        <v>100.05</v>
      </c>
      <c r="K142">
        <v>63.49</v>
      </c>
      <c r="L142">
        <v>54.06</v>
      </c>
      <c r="M142">
        <v>63.42</v>
      </c>
      <c r="N142">
        <v>128.54</v>
      </c>
      <c r="O142">
        <v>44.76</v>
      </c>
      <c r="P142">
        <v>198.71</v>
      </c>
      <c r="Q142">
        <v>30.42</v>
      </c>
    </row>
    <row r="143" spans="2:17" x14ac:dyDescent="0.3">
      <c r="B143" s="2">
        <v>45135</v>
      </c>
      <c r="C143">
        <v>43.02</v>
      </c>
      <c r="D143">
        <v>456.92</v>
      </c>
      <c r="E143">
        <v>181.86</v>
      </c>
      <c r="F143">
        <v>28.17</v>
      </c>
      <c r="G143">
        <v>383.48</v>
      </c>
      <c r="H143">
        <v>21.99</v>
      </c>
      <c r="I143">
        <v>72.09</v>
      </c>
      <c r="J143">
        <v>99.81</v>
      </c>
      <c r="K143">
        <v>63.51</v>
      </c>
      <c r="L143">
        <v>54.19</v>
      </c>
      <c r="M143">
        <v>63.7</v>
      </c>
      <c r="N143">
        <v>128.44</v>
      </c>
      <c r="O143">
        <v>44.5</v>
      </c>
      <c r="P143">
        <v>196.43</v>
      </c>
      <c r="Q143">
        <v>30.08</v>
      </c>
    </row>
    <row r="144" spans="2:17" x14ac:dyDescent="0.3">
      <c r="B144" s="2">
        <v>45134</v>
      </c>
      <c r="C144">
        <v>42</v>
      </c>
      <c r="D144">
        <v>452.49</v>
      </c>
      <c r="E144">
        <v>180.42</v>
      </c>
      <c r="F144">
        <v>28.21</v>
      </c>
      <c r="G144">
        <v>376.62</v>
      </c>
      <c r="H144">
        <v>22.11</v>
      </c>
      <c r="I144">
        <v>71.430000000000007</v>
      </c>
      <c r="J144">
        <v>99.3</v>
      </c>
      <c r="K144">
        <v>62.97</v>
      </c>
      <c r="L144">
        <v>53.58</v>
      </c>
      <c r="M144">
        <v>63.34</v>
      </c>
      <c r="N144">
        <v>127.22</v>
      </c>
      <c r="O144">
        <v>44.23</v>
      </c>
      <c r="P144">
        <v>193.92</v>
      </c>
      <c r="Q144">
        <v>28.5</v>
      </c>
    </row>
    <row r="145" spans="2:17" x14ac:dyDescent="0.3">
      <c r="B145" s="2">
        <v>45133</v>
      </c>
      <c r="C145">
        <v>42.47</v>
      </c>
      <c r="D145">
        <v>455.51</v>
      </c>
      <c r="E145">
        <v>183.3</v>
      </c>
      <c r="F145">
        <v>27.95</v>
      </c>
      <c r="G145">
        <v>377.52</v>
      </c>
      <c r="H145">
        <v>22.31</v>
      </c>
      <c r="I145">
        <v>70.66</v>
      </c>
      <c r="J145">
        <v>101.27</v>
      </c>
      <c r="K145">
        <v>63.34</v>
      </c>
      <c r="L145">
        <v>54.23</v>
      </c>
      <c r="M145">
        <v>62.83</v>
      </c>
      <c r="N145">
        <v>128.01</v>
      </c>
      <c r="O145">
        <v>44.68</v>
      </c>
      <c r="P145">
        <v>196.46</v>
      </c>
      <c r="Q145">
        <v>28.97</v>
      </c>
    </row>
    <row r="146" spans="2:17" x14ac:dyDescent="0.3">
      <c r="B146" s="2">
        <v>45132</v>
      </c>
      <c r="C146">
        <v>42.21</v>
      </c>
      <c r="D146">
        <v>455.44</v>
      </c>
      <c r="E146">
        <v>182.41</v>
      </c>
      <c r="F146">
        <v>28.03</v>
      </c>
      <c r="G146">
        <v>378.78</v>
      </c>
      <c r="H146">
        <v>22.36</v>
      </c>
      <c r="I146">
        <v>71.16</v>
      </c>
      <c r="J146">
        <v>101.17</v>
      </c>
      <c r="K146">
        <v>63.22</v>
      </c>
      <c r="L146">
        <v>54.07</v>
      </c>
      <c r="M146">
        <v>62.58</v>
      </c>
      <c r="N146">
        <v>127.92</v>
      </c>
      <c r="O146">
        <v>44.51</v>
      </c>
      <c r="P146">
        <v>194.92</v>
      </c>
      <c r="Q146">
        <v>28.56</v>
      </c>
    </row>
    <row r="147" spans="2:17" x14ac:dyDescent="0.3">
      <c r="B147" s="2">
        <v>45131</v>
      </c>
      <c r="C147">
        <v>41.89</v>
      </c>
      <c r="D147">
        <v>454.2</v>
      </c>
      <c r="E147">
        <v>181.4</v>
      </c>
      <c r="F147">
        <v>28.06</v>
      </c>
      <c r="G147">
        <v>376.23</v>
      </c>
      <c r="H147">
        <v>22.35</v>
      </c>
      <c r="I147">
        <v>70.69</v>
      </c>
      <c r="J147">
        <v>101.36</v>
      </c>
      <c r="K147">
        <v>63.1</v>
      </c>
      <c r="L147">
        <v>53.75</v>
      </c>
      <c r="M147">
        <v>62.5</v>
      </c>
      <c r="N147">
        <v>127.59</v>
      </c>
      <c r="O147">
        <v>44.53</v>
      </c>
      <c r="P147">
        <v>194.94</v>
      </c>
      <c r="Q147">
        <v>28.21</v>
      </c>
    </row>
    <row r="148" spans="2:17" x14ac:dyDescent="0.3">
      <c r="B148" s="2">
        <v>45128</v>
      </c>
      <c r="C148">
        <v>41.34</v>
      </c>
      <c r="D148">
        <v>452.18</v>
      </c>
      <c r="E148">
        <v>182.18</v>
      </c>
      <c r="F148">
        <v>27.96</v>
      </c>
      <c r="G148">
        <v>375.63</v>
      </c>
      <c r="H148">
        <v>22.01</v>
      </c>
      <c r="I148">
        <v>68.989999999999995</v>
      </c>
      <c r="J148">
        <v>101.73</v>
      </c>
      <c r="K148">
        <v>63.42</v>
      </c>
      <c r="L148">
        <v>53.21</v>
      </c>
      <c r="M148">
        <v>62.41</v>
      </c>
      <c r="N148">
        <v>127.4</v>
      </c>
      <c r="O148">
        <v>44.36</v>
      </c>
      <c r="P148">
        <v>194.46</v>
      </c>
      <c r="Q148">
        <v>27.62</v>
      </c>
    </row>
    <row r="149" spans="2:17" x14ac:dyDescent="0.3">
      <c r="B149" s="2">
        <v>45127</v>
      </c>
      <c r="C149">
        <v>41.36</v>
      </c>
      <c r="D149">
        <v>452.18</v>
      </c>
      <c r="E149">
        <v>182.74</v>
      </c>
      <c r="F149">
        <v>27.88</v>
      </c>
      <c r="G149">
        <v>376.76</v>
      </c>
      <c r="H149">
        <v>22.05</v>
      </c>
      <c r="I149">
        <v>68.05</v>
      </c>
      <c r="J149">
        <v>101.7</v>
      </c>
      <c r="K149">
        <v>63.2</v>
      </c>
      <c r="L149">
        <v>53.28</v>
      </c>
      <c r="M149">
        <v>62.48</v>
      </c>
      <c r="N149">
        <v>127.33</v>
      </c>
      <c r="O149">
        <v>44.55</v>
      </c>
      <c r="P149">
        <v>195.08</v>
      </c>
      <c r="Q149">
        <v>27.6</v>
      </c>
    </row>
    <row r="150" spans="2:17" x14ac:dyDescent="0.3">
      <c r="B150" s="2">
        <v>45126</v>
      </c>
      <c r="C150">
        <v>41.62</v>
      </c>
      <c r="D150">
        <v>455.2</v>
      </c>
      <c r="E150">
        <v>183.67</v>
      </c>
      <c r="F150">
        <v>27.72</v>
      </c>
      <c r="G150">
        <v>385.65</v>
      </c>
      <c r="H150">
        <v>22</v>
      </c>
      <c r="I150">
        <v>67.69</v>
      </c>
      <c r="J150">
        <v>102.95</v>
      </c>
      <c r="K150">
        <v>63.44</v>
      </c>
      <c r="L150">
        <v>53.67</v>
      </c>
      <c r="M150">
        <v>63.32</v>
      </c>
      <c r="N150">
        <v>128.1</v>
      </c>
      <c r="O150">
        <v>44.65</v>
      </c>
      <c r="P150">
        <v>196.8</v>
      </c>
      <c r="Q150">
        <v>27.7</v>
      </c>
    </row>
    <row r="151" spans="2:17" x14ac:dyDescent="0.3">
      <c r="B151" s="2">
        <v>45125</v>
      </c>
      <c r="C151">
        <v>41.68</v>
      </c>
      <c r="D151">
        <v>454.19</v>
      </c>
      <c r="E151">
        <v>183.64</v>
      </c>
      <c r="F151">
        <v>27.61</v>
      </c>
      <c r="G151">
        <v>385.74</v>
      </c>
      <c r="H151">
        <v>21.74</v>
      </c>
      <c r="I151">
        <v>67.959999999999994</v>
      </c>
      <c r="J151">
        <v>101.8</v>
      </c>
      <c r="K151">
        <v>63.45</v>
      </c>
      <c r="L151">
        <v>53.88</v>
      </c>
      <c r="M151">
        <v>63.31</v>
      </c>
      <c r="N151">
        <v>127.93</v>
      </c>
      <c r="O151">
        <v>44.53</v>
      </c>
      <c r="P151">
        <v>195.97</v>
      </c>
      <c r="Q151">
        <v>27.52</v>
      </c>
    </row>
    <row r="152" spans="2:17" x14ac:dyDescent="0.3">
      <c r="B152" s="2">
        <v>45124</v>
      </c>
      <c r="C152">
        <v>41.98</v>
      </c>
      <c r="D152">
        <v>450.84</v>
      </c>
      <c r="E152">
        <v>181.56</v>
      </c>
      <c r="F152">
        <v>27.59</v>
      </c>
      <c r="G152">
        <v>382.61</v>
      </c>
      <c r="H152">
        <v>21.44</v>
      </c>
      <c r="I152">
        <v>66.58</v>
      </c>
      <c r="J152">
        <v>101.34</v>
      </c>
      <c r="K152">
        <v>63.08</v>
      </c>
      <c r="L152">
        <v>53.95</v>
      </c>
      <c r="M152">
        <v>62.45</v>
      </c>
      <c r="N152">
        <v>126.92</v>
      </c>
      <c r="O152">
        <v>44.56</v>
      </c>
      <c r="P152">
        <v>193.58</v>
      </c>
      <c r="Q152">
        <v>28.15</v>
      </c>
    </row>
    <row r="153" spans="2:17" x14ac:dyDescent="0.3">
      <c r="B153" s="2">
        <v>45121</v>
      </c>
      <c r="C153">
        <v>41.93</v>
      </c>
      <c r="D153">
        <v>449.28</v>
      </c>
      <c r="E153">
        <v>181.43</v>
      </c>
      <c r="F153">
        <v>27.62</v>
      </c>
      <c r="G153">
        <v>379.07</v>
      </c>
      <c r="H153">
        <v>21.59</v>
      </c>
      <c r="I153">
        <v>67.47</v>
      </c>
      <c r="J153">
        <v>101.29</v>
      </c>
      <c r="K153">
        <v>63.17</v>
      </c>
      <c r="L153">
        <v>53.69</v>
      </c>
      <c r="M153">
        <v>62.42</v>
      </c>
      <c r="N153">
        <v>126.64</v>
      </c>
      <c r="O153">
        <v>44.26</v>
      </c>
      <c r="P153">
        <v>191.53</v>
      </c>
      <c r="Q153">
        <v>28.29</v>
      </c>
    </row>
    <row r="154" spans="2:17" x14ac:dyDescent="0.3">
      <c r="B154" s="2">
        <v>45120</v>
      </c>
      <c r="C154">
        <v>42.19</v>
      </c>
      <c r="D154">
        <v>449.56</v>
      </c>
      <c r="E154">
        <v>182.01</v>
      </c>
      <c r="F154">
        <v>27.57</v>
      </c>
      <c r="G154">
        <v>379.15</v>
      </c>
      <c r="H154">
        <v>21.35</v>
      </c>
      <c r="I154">
        <v>69.09</v>
      </c>
      <c r="J154">
        <v>101.89</v>
      </c>
      <c r="K154">
        <v>63.47</v>
      </c>
      <c r="L154">
        <v>53.77</v>
      </c>
      <c r="M154">
        <v>63.18</v>
      </c>
      <c r="N154">
        <v>126.98</v>
      </c>
      <c r="O154">
        <v>44.17</v>
      </c>
      <c r="P154">
        <v>193.42</v>
      </c>
      <c r="Q154">
        <v>28.8</v>
      </c>
    </row>
    <row r="155" spans="2:17" x14ac:dyDescent="0.3">
      <c r="B155" s="2">
        <v>45119</v>
      </c>
      <c r="C155">
        <v>41.73</v>
      </c>
      <c r="D155">
        <v>446.02</v>
      </c>
      <c r="E155">
        <v>181.88</v>
      </c>
      <c r="F155">
        <v>27.76</v>
      </c>
      <c r="G155">
        <v>372.82</v>
      </c>
      <c r="H155">
        <v>21.21</v>
      </c>
      <c r="I155">
        <v>67.87</v>
      </c>
      <c r="J155">
        <v>100.83</v>
      </c>
      <c r="K155">
        <v>62.49</v>
      </c>
      <c r="L155">
        <v>53.26</v>
      </c>
      <c r="M155">
        <v>62.25</v>
      </c>
      <c r="N155">
        <v>125.53</v>
      </c>
      <c r="O155">
        <v>44.26</v>
      </c>
      <c r="P155">
        <v>191.87</v>
      </c>
      <c r="Q155">
        <v>28.16</v>
      </c>
    </row>
    <row r="156" spans="2:17" x14ac:dyDescent="0.3">
      <c r="B156" s="2">
        <v>45118</v>
      </c>
      <c r="C156">
        <v>40.950000000000003</v>
      </c>
      <c r="D156">
        <v>442.46</v>
      </c>
      <c r="E156">
        <v>179.45</v>
      </c>
      <c r="F156">
        <v>28.09</v>
      </c>
      <c r="G156">
        <v>368.17</v>
      </c>
      <c r="H156">
        <v>21.39</v>
      </c>
      <c r="I156">
        <v>67.03</v>
      </c>
      <c r="J156">
        <v>99.72</v>
      </c>
      <c r="K156">
        <v>61.04</v>
      </c>
      <c r="L156">
        <v>52.31</v>
      </c>
      <c r="M156">
        <v>61.82</v>
      </c>
      <c r="N156">
        <v>124.18</v>
      </c>
      <c r="O156">
        <v>43.97</v>
      </c>
      <c r="P156">
        <v>189.8</v>
      </c>
      <c r="Q156">
        <v>27.34</v>
      </c>
    </row>
    <row r="157" spans="2:17" x14ac:dyDescent="0.3">
      <c r="B157" s="2">
        <v>45117</v>
      </c>
      <c r="C157">
        <v>40.590000000000003</v>
      </c>
      <c r="D157">
        <v>439.66</v>
      </c>
      <c r="E157">
        <v>178.78</v>
      </c>
      <c r="F157">
        <v>28.16</v>
      </c>
      <c r="G157">
        <v>366.36</v>
      </c>
      <c r="H157">
        <v>21.18</v>
      </c>
      <c r="I157">
        <v>65.540000000000006</v>
      </c>
      <c r="J157">
        <v>99.21</v>
      </c>
      <c r="K157">
        <v>60.39</v>
      </c>
      <c r="L157">
        <v>51.69</v>
      </c>
      <c r="M157">
        <v>61.55</v>
      </c>
      <c r="N157">
        <v>123.25</v>
      </c>
      <c r="O157">
        <v>43.66</v>
      </c>
      <c r="P157">
        <v>187.87</v>
      </c>
      <c r="Q157">
        <v>27.16</v>
      </c>
    </row>
    <row r="158" spans="2:17" x14ac:dyDescent="0.3">
      <c r="B158" s="2">
        <v>45114</v>
      </c>
      <c r="C158">
        <v>40.58</v>
      </c>
      <c r="D158">
        <v>438.55</v>
      </c>
      <c r="E158">
        <v>178.64</v>
      </c>
      <c r="F158">
        <v>28.23</v>
      </c>
      <c r="G158">
        <v>366.24</v>
      </c>
      <c r="H158">
        <v>21.16</v>
      </c>
      <c r="I158">
        <v>65.849999999999994</v>
      </c>
      <c r="J158">
        <v>99.08</v>
      </c>
      <c r="K158">
        <v>60.03</v>
      </c>
      <c r="L158">
        <v>51.72</v>
      </c>
      <c r="M158">
        <v>61.64</v>
      </c>
      <c r="N158">
        <v>122.87</v>
      </c>
      <c r="O158">
        <v>43.6</v>
      </c>
      <c r="P158">
        <v>184.71</v>
      </c>
      <c r="Q158">
        <v>27.18</v>
      </c>
    </row>
    <row r="159" spans="2:17" x14ac:dyDescent="0.3">
      <c r="B159" s="2">
        <v>45113</v>
      </c>
      <c r="C159">
        <v>40.1</v>
      </c>
      <c r="D159">
        <v>439.66</v>
      </c>
      <c r="E159">
        <v>177.31</v>
      </c>
      <c r="F159">
        <v>28.47</v>
      </c>
      <c r="G159">
        <v>367.46</v>
      </c>
      <c r="H159">
        <v>21.22</v>
      </c>
      <c r="I159">
        <v>64.44</v>
      </c>
      <c r="J159">
        <v>99.68</v>
      </c>
      <c r="K159">
        <v>59.64</v>
      </c>
      <c r="L159">
        <v>51.33</v>
      </c>
      <c r="M159">
        <v>60.77</v>
      </c>
      <c r="N159">
        <v>122.77</v>
      </c>
      <c r="O159">
        <v>43.58</v>
      </c>
      <c r="P159">
        <v>182.78</v>
      </c>
      <c r="Q159">
        <v>26.6</v>
      </c>
    </row>
    <row r="160" spans="2:17" x14ac:dyDescent="0.3">
      <c r="B160" s="2">
        <v>45112</v>
      </c>
      <c r="C160">
        <v>40.880000000000003</v>
      </c>
      <c r="D160">
        <v>443.13</v>
      </c>
      <c r="E160">
        <v>177.84</v>
      </c>
      <c r="F160">
        <v>28.54</v>
      </c>
      <c r="G160">
        <v>370.28</v>
      </c>
      <c r="H160">
        <v>21.24</v>
      </c>
      <c r="I160">
        <v>64.63</v>
      </c>
      <c r="J160">
        <v>101.11</v>
      </c>
      <c r="K160">
        <v>60.72</v>
      </c>
      <c r="L160">
        <v>52.27</v>
      </c>
      <c r="M160">
        <v>61.58</v>
      </c>
      <c r="N160">
        <v>124.16</v>
      </c>
      <c r="O160">
        <v>43.77</v>
      </c>
      <c r="P160">
        <v>185.78</v>
      </c>
      <c r="Q160">
        <v>27.39</v>
      </c>
    </row>
    <row r="161" spans="2:17" x14ac:dyDescent="0.3">
      <c r="B161" s="2">
        <v>45110</v>
      </c>
      <c r="C161">
        <v>41.08</v>
      </c>
      <c r="D161">
        <v>443.79</v>
      </c>
      <c r="E161">
        <v>178.47</v>
      </c>
      <c r="F161">
        <v>28.41</v>
      </c>
      <c r="G161">
        <v>370.29</v>
      </c>
      <c r="H161">
        <v>21.31</v>
      </c>
      <c r="I161">
        <v>63.39</v>
      </c>
      <c r="J161">
        <v>102.08</v>
      </c>
      <c r="K161">
        <v>61.52</v>
      </c>
      <c r="L161">
        <v>52.53</v>
      </c>
      <c r="M161">
        <v>62.09</v>
      </c>
      <c r="N161">
        <v>124.8</v>
      </c>
      <c r="O161">
        <v>43.79</v>
      </c>
      <c r="P161">
        <v>187.65</v>
      </c>
      <c r="Q161">
        <v>27.71</v>
      </c>
    </row>
    <row r="162" spans="2:17" x14ac:dyDescent="0.3">
      <c r="B162" s="2">
        <v>45107</v>
      </c>
      <c r="C162">
        <v>40.68</v>
      </c>
      <c r="D162">
        <v>443.28</v>
      </c>
      <c r="E162">
        <v>178.27</v>
      </c>
      <c r="F162">
        <v>28.38</v>
      </c>
      <c r="G162">
        <v>369.42</v>
      </c>
      <c r="H162">
        <v>21.07</v>
      </c>
      <c r="I162">
        <v>63.55</v>
      </c>
      <c r="J162">
        <v>102.94</v>
      </c>
      <c r="K162">
        <v>61.7</v>
      </c>
      <c r="L162">
        <v>51.98</v>
      </c>
      <c r="M162">
        <v>61.9</v>
      </c>
      <c r="N162">
        <v>124.52</v>
      </c>
      <c r="O162">
        <v>43.7</v>
      </c>
      <c r="P162">
        <v>187.27</v>
      </c>
      <c r="Q162">
        <v>27.19</v>
      </c>
    </row>
    <row r="163" spans="2:17" x14ac:dyDescent="0.3">
      <c r="B163" s="2">
        <v>45106</v>
      </c>
      <c r="C163">
        <v>40.33</v>
      </c>
      <c r="D163">
        <v>438.11</v>
      </c>
      <c r="E163">
        <v>177.09</v>
      </c>
      <c r="F163">
        <v>28.5</v>
      </c>
      <c r="G163">
        <v>363.81</v>
      </c>
      <c r="H163">
        <v>20.93</v>
      </c>
      <c r="I163">
        <v>62.96</v>
      </c>
      <c r="J163">
        <v>101.74</v>
      </c>
      <c r="K163">
        <v>60.75</v>
      </c>
      <c r="L163">
        <v>51.68</v>
      </c>
      <c r="M163">
        <v>61.51</v>
      </c>
      <c r="N163">
        <v>123.18</v>
      </c>
      <c r="O163">
        <v>43.34</v>
      </c>
      <c r="P163">
        <v>186.38</v>
      </c>
      <c r="Q163">
        <v>26.94</v>
      </c>
    </row>
    <row r="164" spans="2:17" x14ac:dyDescent="0.3">
      <c r="B164" s="2">
        <v>45105</v>
      </c>
      <c r="C164">
        <v>40.5</v>
      </c>
      <c r="D164">
        <v>436.39</v>
      </c>
      <c r="E164">
        <v>177.28</v>
      </c>
      <c r="F164">
        <v>28.38</v>
      </c>
      <c r="G164">
        <v>364.54</v>
      </c>
      <c r="H164">
        <v>21.05</v>
      </c>
      <c r="I164">
        <v>62.52</v>
      </c>
      <c r="J164">
        <v>103.61</v>
      </c>
      <c r="K164">
        <v>60.84</v>
      </c>
      <c r="L164">
        <v>51.77</v>
      </c>
      <c r="M164">
        <v>61.82</v>
      </c>
      <c r="N164">
        <v>122.82</v>
      </c>
      <c r="O164">
        <v>43.35</v>
      </c>
      <c r="P164">
        <v>184.26</v>
      </c>
      <c r="Q164">
        <v>27.37</v>
      </c>
    </row>
    <row r="165" spans="2:17" x14ac:dyDescent="0.3">
      <c r="B165" s="2">
        <v>45104</v>
      </c>
      <c r="C165">
        <v>40.659999999999997</v>
      </c>
      <c r="D165">
        <v>436.17</v>
      </c>
      <c r="E165">
        <v>177.69</v>
      </c>
      <c r="F165">
        <v>28.25</v>
      </c>
      <c r="G165">
        <v>363.83</v>
      </c>
      <c r="H165">
        <v>21.29</v>
      </c>
      <c r="I165">
        <v>61.3</v>
      </c>
      <c r="J165">
        <v>103.17</v>
      </c>
      <c r="K165">
        <v>60.89</v>
      </c>
      <c r="L165">
        <v>52.05</v>
      </c>
      <c r="M165">
        <v>61.14</v>
      </c>
      <c r="N165">
        <v>122.8</v>
      </c>
      <c r="O165">
        <v>43.02</v>
      </c>
      <c r="P165">
        <v>183.36</v>
      </c>
      <c r="Q165">
        <v>27.6</v>
      </c>
    </row>
    <row r="166" spans="2:17" x14ac:dyDescent="0.3">
      <c r="B166" s="2">
        <v>45103</v>
      </c>
      <c r="C166">
        <v>40.28</v>
      </c>
      <c r="D166">
        <v>431.44</v>
      </c>
      <c r="E166">
        <v>178.51</v>
      </c>
      <c r="F166">
        <v>28.32</v>
      </c>
      <c r="G166">
        <v>357.68</v>
      </c>
      <c r="H166">
        <v>21.51</v>
      </c>
      <c r="I166">
        <v>62.73</v>
      </c>
      <c r="J166">
        <v>103.44</v>
      </c>
      <c r="K166">
        <v>60.28</v>
      </c>
      <c r="L166">
        <v>51.77</v>
      </c>
      <c r="M166">
        <v>60.91</v>
      </c>
      <c r="N166">
        <v>121.54</v>
      </c>
      <c r="O166">
        <v>42.77</v>
      </c>
      <c r="P166">
        <v>180.75</v>
      </c>
      <c r="Q166">
        <v>27.01</v>
      </c>
    </row>
    <row r="167" spans="2:17" x14ac:dyDescent="0.3">
      <c r="B167" s="2">
        <v>45100</v>
      </c>
      <c r="C167">
        <v>40.15</v>
      </c>
      <c r="D167">
        <v>433.21</v>
      </c>
      <c r="E167">
        <v>178.2</v>
      </c>
      <c r="F167">
        <v>28.35</v>
      </c>
      <c r="G167">
        <v>362.54</v>
      </c>
      <c r="H167">
        <v>21.53</v>
      </c>
      <c r="I167">
        <v>62.42</v>
      </c>
      <c r="J167">
        <v>103.33</v>
      </c>
      <c r="K167">
        <v>60.2</v>
      </c>
      <c r="L167">
        <v>51.57</v>
      </c>
      <c r="M167">
        <v>60.91</v>
      </c>
      <c r="N167">
        <v>121.79</v>
      </c>
      <c r="O167">
        <v>42.58</v>
      </c>
      <c r="P167">
        <v>180.57</v>
      </c>
      <c r="Q167">
        <v>26.87</v>
      </c>
    </row>
    <row r="168" spans="2:17" x14ac:dyDescent="0.3">
      <c r="B168" s="2">
        <v>45099</v>
      </c>
      <c r="C168">
        <v>40.72</v>
      </c>
      <c r="D168">
        <v>436.51</v>
      </c>
      <c r="E168">
        <v>177.71</v>
      </c>
      <c r="F168">
        <v>28.2</v>
      </c>
      <c r="G168">
        <v>366.17</v>
      </c>
      <c r="H168">
        <v>21.95</v>
      </c>
      <c r="I168">
        <v>62.52</v>
      </c>
      <c r="J168">
        <v>102.31</v>
      </c>
      <c r="K168">
        <v>60.94</v>
      </c>
      <c r="L168">
        <v>52.19</v>
      </c>
      <c r="M168">
        <v>62.45</v>
      </c>
      <c r="N168">
        <v>122.89</v>
      </c>
      <c r="O168">
        <v>42.96</v>
      </c>
      <c r="P168">
        <v>183.33</v>
      </c>
      <c r="Q168">
        <v>27.44</v>
      </c>
    </row>
    <row r="169" spans="2:17" x14ac:dyDescent="0.3">
      <c r="B169" s="2">
        <v>45098</v>
      </c>
      <c r="C169">
        <v>40.9</v>
      </c>
      <c r="D169">
        <v>434.94</v>
      </c>
      <c r="E169">
        <v>179.49</v>
      </c>
      <c r="F169">
        <v>28.1</v>
      </c>
      <c r="G169">
        <v>361.9</v>
      </c>
      <c r="H169">
        <v>22.13</v>
      </c>
      <c r="I169">
        <v>65.040000000000006</v>
      </c>
      <c r="J169">
        <v>103.56</v>
      </c>
      <c r="K169">
        <v>61.18</v>
      </c>
      <c r="L169">
        <v>52.37</v>
      </c>
      <c r="M169">
        <v>62.97</v>
      </c>
      <c r="N169">
        <v>122.91</v>
      </c>
      <c r="O169">
        <v>43.075000000000003</v>
      </c>
      <c r="P169">
        <v>184.7</v>
      </c>
      <c r="Q169">
        <v>27.5</v>
      </c>
    </row>
    <row r="170" spans="2:17" x14ac:dyDescent="0.3">
      <c r="B170" s="2">
        <v>45097</v>
      </c>
      <c r="C170">
        <v>40.97</v>
      </c>
      <c r="D170">
        <v>437.18</v>
      </c>
      <c r="E170">
        <v>179.75</v>
      </c>
      <c r="F170">
        <v>28.23</v>
      </c>
      <c r="G170">
        <v>366.9</v>
      </c>
      <c r="H170">
        <v>21.9</v>
      </c>
      <c r="I170">
        <v>63.92</v>
      </c>
      <c r="J170">
        <v>103.31</v>
      </c>
      <c r="K170">
        <v>61.3</v>
      </c>
      <c r="L170">
        <v>52.44</v>
      </c>
      <c r="M170">
        <v>62.23</v>
      </c>
      <c r="N170">
        <v>123.24</v>
      </c>
      <c r="O170">
        <v>43.01</v>
      </c>
      <c r="P170">
        <v>185.13</v>
      </c>
      <c r="Q170">
        <v>27.67</v>
      </c>
    </row>
    <row r="171" spans="2:17" x14ac:dyDescent="0.3">
      <c r="B171" s="2">
        <v>45093</v>
      </c>
      <c r="C171">
        <v>41.94</v>
      </c>
      <c r="D171">
        <v>439.46</v>
      </c>
      <c r="E171">
        <v>181.63</v>
      </c>
      <c r="F171">
        <v>28.15</v>
      </c>
      <c r="G171">
        <v>367.93</v>
      </c>
      <c r="H171">
        <v>21.99</v>
      </c>
      <c r="I171">
        <v>64.349999999999994</v>
      </c>
      <c r="J171">
        <v>102.6</v>
      </c>
      <c r="K171">
        <v>63.28</v>
      </c>
      <c r="L171">
        <v>53.01</v>
      </c>
      <c r="M171">
        <v>63.1</v>
      </c>
      <c r="N171">
        <v>124.29</v>
      </c>
      <c r="O171">
        <v>43.13</v>
      </c>
      <c r="P171">
        <v>185.94</v>
      </c>
      <c r="Q171">
        <v>28.91</v>
      </c>
    </row>
    <row r="172" spans="2:17" x14ac:dyDescent="0.3">
      <c r="B172" s="2">
        <v>45092</v>
      </c>
      <c r="C172">
        <v>42.09</v>
      </c>
      <c r="D172">
        <v>442.6</v>
      </c>
      <c r="E172">
        <v>181.91</v>
      </c>
      <c r="F172">
        <v>28.1</v>
      </c>
      <c r="G172">
        <v>370.26</v>
      </c>
      <c r="H172">
        <v>21.7</v>
      </c>
      <c r="I172">
        <v>63.41</v>
      </c>
      <c r="J172">
        <v>103</v>
      </c>
      <c r="K172">
        <v>63.33</v>
      </c>
      <c r="L172">
        <v>53.24</v>
      </c>
      <c r="M172">
        <v>63.71</v>
      </c>
      <c r="N172">
        <v>124.7</v>
      </c>
      <c r="O172">
        <v>43.01</v>
      </c>
      <c r="P172">
        <v>187.44</v>
      </c>
      <c r="Q172">
        <v>29.08</v>
      </c>
    </row>
    <row r="173" spans="2:17" x14ac:dyDescent="0.3">
      <c r="B173" s="2">
        <v>45091</v>
      </c>
      <c r="C173">
        <v>41.69</v>
      </c>
      <c r="D173">
        <v>437.18</v>
      </c>
      <c r="E173">
        <v>180.64</v>
      </c>
      <c r="F173">
        <v>28.26</v>
      </c>
      <c r="G173">
        <v>365.9</v>
      </c>
      <c r="H173">
        <v>21.33</v>
      </c>
      <c r="I173">
        <v>61.83</v>
      </c>
      <c r="J173">
        <v>102.02</v>
      </c>
      <c r="K173">
        <v>62.48</v>
      </c>
      <c r="L173">
        <v>53</v>
      </c>
      <c r="M173">
        <v>63.8</v>
      </c>
      <c r="N173">
        <v>123.18</v>
      </c>
      <c r="O173">
        <v>42.78</v>
      </c>
      <c r="P173">
        <v>185.91</v>
      </c>
      <c r="Q173">
        <v>28.45</v>
      </c>
    </row>
    <row r="174" spans="2:17" x14ac:dyDescent="0.3">
      <c r="B174" s="2">
        <v>45090</v>
      </c>
      <c r="C174">
        <v>41.3</v>
      </c>
      <c r="D174">
        <v>436.66</v>
      </c>
      <c r="E174">
        <v>180.54</v>
      </c>
      <c r="F174">
        <v>28.4</v>
      </c>
      <c r="G174">
        <v>363.26</v>
      </c>
      <c r="H174">
        <v>21.3</v>
      </c>
      <c r="I174">
        <v>62.14</v>
      </c>
      <c r="J174">
        <v>101.21</v>
      </c>
      <c r="K174">
        <v>62.26</v>
      </c>
      <c r="L174">
        <v>52.78</v>
      </c>
      <c r="M174">
        <v>63.51</v>
      </c>
      <c r="N174">
        <v>122.95</v>
      </c>
      <c r="O174">
        <v>42.64</v>
      </c>
      <c r="P174">
        <v>187.93</v>
      </c>
      <c r="Q174">
        <v>28.07</v>
      </c>
    </row>
    <row r="175" spans="2:17" x14ac:dyDescent="0.3">
      <c r="B175" s="2">
        <v>45089</v>
      </c>
      <c r="C175">
        <v>40.96</v>
      </c>
      <c r="D175">
        <v>433.8</v>
      </c>
      <c r="E175">
        <v>181.88</v>
      </c>
      <c r="F175">
        <v>28.49</v>
      </c>
      <c r="G175">
        <v>360.49</v>
      </c>
      <c r="H175">
        <v>21.24</v>
      </c>
      <c r="I175">
        <v>60.24</v>
      </c>
      <c r="J175">
        <v>102.22</v>
      </c>
      <c r="K175">
        <v>61.78</v>
      </c>
      <c r="L175">
        <v>52.35</v>
      </c>
      <c r="M175">
        <v>62.61</v>
      </c>
      <c r="N175">
        <v>122.03</v>
      </c>
      <c r="O175">
        <v>42.28</v>
      </c>
      <c r="P175">
        <v>185.8</v>
      </c>
      <c r="Q175">
        <v>27.75</v>
      </c>
    </row>
    <row r="176" spans="2:17" x14ac:dyDescent="0.3">
      <c r="B176" s="2">
        <v>45086</v>
      </c>
      <c r="C176">
        <v>40.86</v>
      </c>
      <c r="D176">
        <v>429.9</v>
      </c>
      <c r="E176">
        <v>182.04</v>
      </c>
      <c r="F176">
        <v>28.48</v>
      </c>
      <c r="G176">
        <v>354.5</v>
      </c>
      <c r="H176">
        <v>21.19</v>
      </c>
      <c r="I176">
        <v>62.93</v>
      </c>
      <c r="J176">
        <v>101.92</v>
      </c>
      <c r="K176">
        <v>61.51</v>
      </c>
      <c r="L176">
        <v>52.19</v>
      </c>
      <c r="M176">
        <v>62.22</v>
      </c>
      <c r="N176">
        <v>121.09</v>
      </c>
      <c r="O176">
        <v>42.11</v>
      </c>
      <c r="P176">
        <v>185.03</v>
      </c>
      <c r="Q176">
        <v>27.82</v>
      </c>
    </row>
    <row r="177" spans="2:17" x14ac:dyDescent="0.3">
      <c r="B177" s="2">
        <v>45085</v>
      </c>
      <c r="C177">
        <v>40.75</v>
      </c>
      <c r="D177">
        <v>429.13</v>
      </c>
      <c r="E177">
        <v>182.53</v>
      </c>
      <c r="F177">
        <v>28.39</v>
      </c>
      <c r="G177">
        <v>353.15</v>
      </c>
      <c r="H177">
        <v>21.24</v>
      </c>
      <c r="I177">
        <v>63.46</v>
      </c>
      <c r="J177">
        <v>102.06</v>
      </c>
      <c r="K177">
        <v>61.88</v>
      </c>
      <c r="L177">
        <v>51.85</v>
      </c>
      <c r="M177">
        <v>61.52</v>
      </c>
      <c r="N177">
        <v>120.95</v>
      </c>
      <c r="O177">
        <v>42.23</v>
      </c>
      <c r="P177">
        <v>186.54</v>
      </c>
      <c r="Q177">
        <v>27.79</v>
      </c>
    </row>
    <row r="178" spans="2:17" x14ac:dyDescent="0.3">
      <c r="B178" s="2">
        <v>45084</v>
      </c>
      <c r="C178">
        <v>40.53</v>
      </c>
      <c r="D178">
        <v>426.55</v>
      </c>
      <c r="E178">
        <v>180.15</v>
      </c>
      <c r="F178">
        <v>28.62</v>
      </c>
      <c r="G178">
        <v>348.82</v>
      </c>
      <c r="H178">
        <v>20.89</v>
      </c>
      <c r="I178">
        <v>64.709999999999994</v>
      </c>
      <c r="J178">
        <v>100.88</v>
      </c>
      <c r="K178">
        <v>61.17</v>
      </c>
      <c r="L178">
        <v>51.53</v>
      </c>
      <c r="M178">
        <v>61</v>
      </c>
      <c r="N178">
        <v>120.16</v>
      </c>
      <c r="O178">
        <v>42.33</v>
      </c>
      <c r="P178">
        <v>187.24</v>
      </c>
      <c r="Q178">
        <v>27.5</v>
      </c>
    </row>
    <row r="179" spans="2:17" x14ac:dyDescent="0.3">
      <c r="B179" s="2">
        <v>45083</v>
      </c>
      <c r="C179">
        <v>40.619999999999997</v>
      </c>
      <c r="D179">
        <v>428.03</v>
      </c>
      <c r="E179">
        <v>182.34</v>
      </c>
      <c r="F179">
        <v>28.61</v>
      </c>
      <c r="G179">
        <v>354.84</v>
      </c>
      <c r="H179">
        <v>21.02</v>
      </c>
      <c r="I179">
        <v>63.79</v>
      </c>
      <c r="J179">
        <v>102.4</v>
      </c>
      <c r="K179">
        <v>61.44</v>
      </c>
      <c r="L179">
        <v>51.98</v>
      </c>
      <c r="M179">
        <v>63.04</v>
      </c>
      <c r="N179">
        <v>121.98</v>
      </c>
      <c r="O179">
        <v>42.26</v>
      </c>
      <c r="P179">
        <v>184.31</v>
      </c>
      <c r="Q179">
        <v>27.99</v>
      </c>
    </row>
    <row r="180" spans="2:17" x14ac:dyDescent="0.3">
      <c r="B180" s="2">
        <v>45082</v>
      </c>
      <c r="C180">
        <v>40.31</v>
      </c>
      <c r="D180">
        <v>427.1</v>
      </c>
      <c r="E180">
        <v>182.14</v>
      </c>
      <c r="F180">
        <v>28.52</v>
      </c>
      <c r="G180">
        <v>354.9</v>
      </c>
      <c r="H180">
        <v>20.85</v>
      </c>
      <c r="I180">
        <v>64.03</v>
      </c>
      <c r="J180">
        <v>101.8</v>
      </c>
      <c r="K180">
        <v>61.21</v>
      </c>
      <c r="L180">
        <v>51.64</v>
      </c>
      <c r="M180">
        <v>61.78</v>
      </c>
      <c r="N180">
        <v>121.46</v>
      </c>
      <c r="O180">
        <v>42.16</v>
      </c>
      <c r="P180">
        <v>179.58</v>
      </c>
      <c r="Q180">
        <v>27.39</v>
      </c>
    </row>
    <row r="181" spans="2:17" x14ac:dyDescent="0.3">
      <c r="B181" s="2">
        <v>45079</v>
      </c>
      <c r="C181">
        <v>40.35</v>
      </c>
      <c r="D181">
        <v>427.92</v>
      </c>
      <c r="E181">
        <v>181.05</v>
      </c>
      <c r="F181">
        <v>28.57</v>
      </c>
      <c r="G181">
        <v>354.65</v>
      </c>
      <c r="H181">
        <v>20.88</v>
      </c>
      <c r="I181">
        <v>64.150000000000006</v>
      </c>
      <c r="J181">
        <v>101.99</v>
      </c>
      <c r="K181">
        <v>61.65</v>
      </c>
      <c r="L181">
        <v>51.63</v>
      </c>
      <c r="M181">
        <v>62</v>
      </c>
      <c r="N181">
        <v>121.83</v>
      </c>
      <c r="O181">
        <v>42.28</v>
      </c>
      <c r="P181">
        <v>182.02</v>
      </c>
      <c r="Q181">
        <v>27.43</v>
      </c>
    </row>
    <row r="182" spans="2:17" x14ac:dyDescent="0.3">
      <c r="B182" s="2">
        <v>45078</v>
      </c>
      <c r="C182">
        <v>39.72</v>
      </c>
      <c r="D182">
        <v>421.82</v>
      </c>
      <c r="E182">
        <v>183.76</v>
      </c>
      <c r="F182">
        <v>28.27</v>
      </c>
      <c r="G182">
        <v>352.01</v>
      </c>
      <c r="H182">
        <v>20.76</v>
      </c>
      <c r="I182">
        <v>62.55</v>
      </c>
      <c r="J182">
        <v>103.12</v>
      </c>
      <c r="K182">
        <v>60.93</v>
      </c>
      <c r="L182">
        <v>50.96</v>
      </c>
      <c r="M182">
        <v>60.83</v>
      </c>
      <c r="N182">
        <v>120.03</v>
      </c>
      <c r="O182">
        <v>42.125</v>
      </c>
      <c r="P182">
        <v>175.65</v>
      </c>
      <c r="Q182">
        <v>26.63</v>
      </c>
    </row>
    <row r="183" spans="2:17" x14ac:dyDescent="0.3">
      <c r="B183" s="2">
        <v>45077</v>
      </c>
      <c r="C183">
        <v>39.049999999999997</v>
      </c>
      <c r="D183">
        <v>417.85</v>
      </c>
      <c r="E183">
        <v>182.32</v>
      </c>
      <c r="F183">
        <v>28.61</v>
      </c>
      <c r="G183">
        <v>347.99</v>
      </c>
      <c r="H183">
        <v>20.46</v>
      </c>
      <c r="I183">
        <v>60.63</v>
      </c>
      <c r="J183">
        <v>102.99</v>
      </c>
      <c r="K183">
        <v>60.22</v>
      </c>
      <c r="L183">
        <v>50.33</v>
      </c>
      <c r="M183">
        <v>59.34</v>
      </c>
      <c r="N183">
        <v>118.6</v>
      </c>
      <c r="O183">
        <v>41.7</v>
      </c>
      <c r="P183">
        <v>173.77</v>
      </c>
      <c r="Q183">
        <v>25.97</v>
      </c>
    </row>
    <row r="184" spans="2:17" x14ac:dyDescent="0.3">
      <c r="B184" s="2">
        <v>45076</v>
      </c>
      <c r="C184">
        <v>39.33</v>
      </c>
      <c r="D184">
        <v>420.18</v>
      </c>
      <c r="E184">
        <v>182.04</v>
      </c>
      <c r="F184">
        <v>28.56</v>
      </c>
      <c r="G184">
        <v>349.98</v>
      </c>
      <c r="H184">
        <v>20.440000000000001</v>
      </c>
      <c r="I184">
        <v>62.3</v>
      </c>
      <c r="J184">
        <v>102.1</v>
      </c>
      <c r="K184">
        <v>60.87</v>
      </c>
      <c r="L184">
        <v>50.89</v>
      </c>
      <c r="M184">
        <v>59.86</v>
      </c>
      <c r="N184">
        <v>119.52</v>
      </c>
      <c r="O184">
        <v>41.81</v>
      </c>
      <c r="P184">
        <v>175.5</v>
      </c>
      <c r="Q184">
        <v>26.04</v>
      </c>
    </row>
    <row r="185" spans="2:17" x14ac:dyDescent="0.3">
      <c r="B185" s="2">
        <v>45072</v>
      </c>
      <c r="C185">
        <v>39.85</v>
      </c>
      <c r="D185">
        <v>420.02</v>
      </c>
      <c r="E185">
        <v>180.92</v>
      </c>
      <c r="F185">
        <v>28.59</v>
      </c>
      <c r="G185">
        <v>348.4</v>
      </c>
      <c r="H185">
        <v>20.57</v>
      </c>
      <c r="I185">
        <v>64.8</v>
      </c>
      <c r="J185">
        <v>101.09</v>
      </c>
      <c r="K185">
        <v>61.51</v>
      </c>
      <c r="L185">
        <v>51.19</v>
      </c>
      <c r="M185">
        <v>60.25</v>
      </c>
      <c r="N185">
        <v>119.91</v>
      </c>
      <c r="O185">
        <v>42.02</v>
      </c>
      <c r="P185">
        <v>176.15</v>
      </c>
      <c r="Q185">
        <v>26.83</v>
      </c>
    </row>
    <row r="186" spans="2:17" x14ac:dyDescent="0.3">
      <c r="B186" s="2">
        <v>45071</v>
      </c>
      <c r="C186">
        <v>39.200000000000003</v>
      </c>
      <c r="D186">
        <v>414.65</v>
      </c>
      <c r="E186">
        <v>180.2</v>
      </c>
      <c r="F186">
        <v>28.6</v>
      </c>
      <c r="G186">
        <v>339.72</v>
      </c>
      <c r="H186">
        <v>20.399999999999999</v>
      </c>
      <c r="I186">
        <v>64.09</v>
      </c>
      <c r="J186">
        <v>100.28</v>
      </c>
      <c r="K186">
        <v>60.84</v>
      </c>
      <c r="L186">
        <v>50.32</v>
      </c>
      <c r="M186">
        <v>60.05</v>
      </c>
      <c r="N186">
        <v>118.41</v>
      </c>
      <c r="O186">
        <v>41.41</v>
      </c>
      <c r="P186">
        <v>174.17</v>
      </c>
      <c r="Q186">
        <v>26.39</v>
      </c>
    </row>
    <row r="187" spans="2:17" x14ac:dyDescent="0.3">
      <c r="B187" s="2">
        <v>45070</v>
      </c>
      <c r="C187">
        <v>39.270000000000003</v>
      </c>
      <c r="D187">
        <v>411.09</v>
      </c>
      <c r="E187">
        <v>181.95</v>
      </c>
      <c r="F187">
        <v>28.47</v>
      </c>
      <c r="G187">
        <v>331.65</v>
      </c>
      <c r="H187">
        <v>20.63</v>
      </c>
      <c r="I187">
        <v>65.66</v>
      </c>
      <c r="J187">
        <v>100.53</v>
      </c>
      <c r="K187">
        <v>61</v>
      </c>
      <c r="L187">
        <v>50.05</v>
      </c>
      <c r="M187">
        <v>59.71</v>
      </c>
      <c r="N187">
        <v>117.91</v>
      </c>
      <c r="O187">
        <v>41.19</v>
      </c>
      <c r="P187">
        <v>175.54</v>
      </c>
      <c r="Q187">
        <v>26.94</v>
      </c>
    </row>
    <row r="188" spans="2:17" x14ac:dyDescent="0.3">
      <c r="B188" s="2">
        <v>45069</v>
      </c>
      <c r="C188">
        <v>39.549999999999997</v>
      </c>
      <c r="D188">
        <v>414.09</v>
      </c>
      <c r="E188">
        <v>183.43</v>
      </c>
      <c r="F188">
        <v>28.37</v>
      </c>
      <c r="G188">
        <v>333.36</v>
      </c>
      <c r="H188">
        <v>20.74</v>
      </c>
      <c r="I188">
        <v>64.87</v>
      </c>
      <c r="J188">
        <v>101.03</v>
      </c>
      <c r="K188">
        <v>61.97</v>
      </c>
      <c r="L188">
        <v>50.14</v>
      </c>
      <c r="M188">
        <v>60.35</v>
      </c>
      <c r="N188">
        <v>119.03</v>
      </c>
      <c r="O188">
        <v>41.13</v>
      </c>
      <c r="P188">
        <v>177.42</v>
      </c>
      <c r="Q188">
        <v>27.49</v>
      </c>
    </row>
    <row r="189" spans="2:17" x14ac:dyDescent="0.3">
      <c r="B189" s="2">
        <v>45068</v>
      </c>
      <c r="C189">
        <v>40.15</v>
      </c>
      <c r="D189">
        <v>418.79</v>
      </c>
      <c r="E189">
        <v>183.21</v>
      </c>
      <c r="F189">
        <v>28.29</v>
      </c>
      <c r="G189">
        <v>337.64</v>
      </c>
      <c r="H189">
        <v>20.76</v>
      </c>
      <c r="I189">
        <v>63.91</v>
      </c>
      <c r="J189">
        <v>100.74</v>
      </c>
      <c r="K189">
        <v>62.89</v>
      </c>
      <c r="L189">
        <v>50.61</v>
      </c>
      <c r="M189">
        <v>61.23</v>
      </c>
      <c r="N189">
        <v>120.47</v>
      </c>
      <c r="O189">
        <v>41.26</v>
      </c>
      <c r="P189">
        <v>178.26</v>
      </c>
      <c r="Q189">
        <v>28.35</v>
      </c>
    </row>
    <row r="190" spans="2:17" x14ac:dyDescent="0.3">
      <c r="B190" s="2">
        <v>45065</v>
      </c>
      <c r="C190">
        <v>39.89</v>
      </c>
      <c r="D190">
        <v>418.62</v>
      </c>
      <c r="E190">
        <v>183.64</v>
      </c>
      <c r="F190">
        <v>28.27</v>
      </c>
      <c r="G190">
        <v>336.51</v>
      </c>
      <c r="H190">
        <v>20.78</v>
      </c>
      <c r="I190">
        <v>63.9</v>
      </c>
      <c r="J190">
        <v>101.1</v>
      </c>
      <c r="K190">
        <v>62.97</v>
      </c>
      <c r="L190">
        <v>50.38</v>
      </c>
      <c r="M190">
        <v>60.96</v>
      </c>
      <c r="N190">
        <v>120.39</v>
      </c>
      <c r="O190">
        <v>40.880000000000003</v>
      </c>
      <c r="P190">
        <v>176.11</v>
      </c>
      <c r="Q190">
        <v>27.9</v>
      </c>
    </row>
    <row r="191" spans="2:17" x14ac:dyDescent="0.3">
      <c r="B191" s="2">
        <v>45064</v>
      </c>
      <c r="C191">
        <v>39.909999999999997</v>
      </c>
      <c r="D191">
        <v>419.23</v>
      </c>
      <c r="E191">
        <v>181.84</v>
      </c>
      <c r="F191">
        <v>28.35</v>
      </c>
      <c r="G191">
        <v>337.27</v>
      </c>
      <c r="H191">
        <v>20.7</v>
      </c>
      <c r="I191">
        <v>64.040000000000006</v>
      </c>
      <c r="J191">
        <v>101.82</v>
      </c>
      <c r="K191">
        <v>62.51</v>
      </c>
      <c r="L191">
        <v>50.26</v>
      </c>
      <c r="M191">
        <v>60.86</v>
      </c>
      <c r="N191">
        <v>120.33</v>
      </c>
      <c r="O191">
        <v>40.93</v>
      </c>
      <c r="P191">
        <v>177.19</v>
      </c>
      <c r="Q191">
        <v>28.05</v>
      </c>
    </row>
    <row r="192" spans="2:17" x14ac:dyDescent="0.3">
      <c r="B192" s="2">
        <v>45063</v>
      </c>
      <c r="C192">
        <v>40.159999999999997</v>
      </c>
      <c r="D192">
        <v>415.23</v>
      </c>
      <c r="E192">
        <v>184.23</v>
      </c>
      <c r="F192">
        <v>28.14</v>
      </c>
      <c r="G192">
        <v>331.12</v>
      </c>
      <c r="H192">
        <v>20.78</v>
      </c>
      <c r="I192">
        <v>64.599999999999994</v>
      </c>
      <c r="J192">
        <v>102.58</v>
      </c>
      <c r="K192">
        <v>62.63</v>
      </c>
      <c r="L192">
        <v>50.22</v>
      </c>
      <c r="M192">
        <v>60.85</v>
      </c>
      <c r="N192">
        <v>119.56</v>
      </c>
      <c r="O192">
        <v>41.23</v>
      </c>
      <c r="P192">
        <v>176.12</v>
      </c>
      <c r="Q192">
        <v>28.44</v>
      </c>
    </row>
    <row r="193" spans="2:17" x14ac:dyDescent="0.3">
      <c r="B193" s="2">
        <v>45062</v>
      </c>
      <c r="C193">
        <v>40.020000000000003</v>
      </c>
      <c r="D193">
        <v>410.25</v>
      </c>
      <c r="E193">
        <v>184.87</v>
      </c>
      <c r="F193">
        <v>28.09</v>
      </c>
      <c r="G193">
        <v>327.16000000000003</v>
      </c>
      <c r="H193">
        <v>20.94</v>
      </c>
      <c r="I193">
        <v>62.54</v>
      </c>
      <c r="J193">
        <v>102.88</v>
      </c>
      <c r="K193">
        <v>62.36</v>
      </c>
      <c r="L193">
        <v>49.7</v>
      </c>
      <c r="M193">
        <v>60.44</v>
      </c>
      <c r="N193">
        <v>118.43</v>
      </c>
      <c r="O193">
        <v>41.29</v>
      </c>
      <c r="P193">
        <v>172.28</v>
      </c>
      <c r="Q193">
        <v>28.74</v>
      </c>
    </row>
    <row r="194" spans="2:17" x14ac:dyDescent="0.3">
      <c r="B194" s="2">
        <v>45061</v>
      </c>
      <c r="C194">
        <v>40.299999999999997</v>
      </c>
      <c r="D194">
        <v>413.01</v>
      </c>
      <c r="E194">
        <v>187.21</v>
      </c>
      <c r="F194">
        <v>28.02</v>
      </c>
      <c r="G194">
        <v>326.79000000000002</v>
      </c>
      <c r="H194">
        <v>21.09</v>
      </c>
      <c r="I194">
        <v>62.99</v>
      </c>
      <c r="J194">
        <v>103.19</v>
      </c>
      <c r="K194">
        <v>63.02</v>
      </c>
      <c r="L194">
        <v>50.02</v>
      </c>
      <c r="M194">
        <v>60.56</v>
      </c>
      <c r="N194">
        <v>119.46</v>
      </c>
      <c r="O194">
        <v>41.66</v>
      </c>
      <c r="P194">
        <v>174.83</v>
      </c>
      <c r="Q194">
        <v>29.04</v>
      </c>
    </row>
    <row r="195" spans="2:17" x14ac:dyDescent="0.3">
      <c r="B195" s="2">
        <v>45058</v>
      </c>
      <c r="C195">
        <v>39.61</v>
      </c>
      <c r="D195">
        <v>411.59</v>
      </c>
      <c r="E195">
        <v>186.81</v>
      </c>
      <c r="F195">
        <v>28.1</v>
      </c>
      <c r="G195">
        <v>325.02999999999997</v>
      </c>
      <c r="H195">
        <v>20.83</v>
      </c>
      <c r="I195">
        <v>62.07</v>
      </c>
      <c r="J195">
        <v>104.27</v>
      </c>
      <c r="K195">
        <v>62.55</v>
      </c>
      <c r="L195">
        <v>49.57</v>
      </c>
      <c r="M195">
        <v>60.2</v>
      </c>
      <c r="N195">
        <v>118.75</v>
      </c>
      <c r="O195">
        <v>41.32</v>
      </c>
      <c r="P195">
        <v>172.72</v>
      </c>
      <c r="Q195">
        <v>27.79</v>
      </c>
    </row>
    <row r="196" spans="2:17" x14ac:dyDescent="0.3">
      <c r="B196" s="2">
        <v>45057</v>
      </c>
      <c r="C196">
        <v>40.06</v>
      </c>
      <c r="D196">
        <v>412.13</v>
      </c>
      <c r="E196">
        <v>187.13</v>
      </c>
      <c r="F196">
        <v>27.92</v>
      </c>
      <c r="G196">
        <v>326.2</v>
      </c>
      <c r="H196">
        <v>20.78</v>
      </c>
      <c r="I196">
        <v>63.25</v>
      </c>
      <c r="J196">
        <v>105.15</v>
      </c>
      <c r="K196">
        <v>62.72</v>
      </c>
      <c r="L196">
        <v>49.9</v>
      </c>
      <c r="M196">
        <v>59.91</v>
      </c>
      <c r="N196">
        <v>118.92</v>
      </c>
      <c r="O196">
        <v>41.46</v>
      </c>
      <c r="P196">
        <v>173.07</v>
      </c>
      <c r="Q196">
        <v>28.54</v>
      </c>
    </row>
    <row r="197" spans="2:17" x14ac:dyDescent="0.3">
      <c r="B197" s="2">
        <v>45056</v>
      </c>
      <c r="C197">
        <v>40.22</v>
      </c>
      <c r="D197">
        <v>412.85</v>
      </c>
      <c r="E197">
        <v>188.75</v>
      </c>
      <c r="F197">
        <v>27.74</v>
      </c>
      <c r="G197">
        <v>325.14</v>
      </c>
      <c r="H197">
        <v>21.03</v>
      </c>
      <c r="I197">
        <v>64.39</v>
      </c>
      <c r="J197">
        <v>104.05</v>
      </c>
      <c r="K197">
        <v>62.99</v>
      </c>
      <c r="L197">
        <v>50.33</v>
      </c>
      <c r="M197">
        <v>59.74</v>
      </c>
      <c r="N197">
        <v>119.2</v>
      </c>
      <c r="O197">
        <v>41.71</v>
      </c>
      <c r="P197">
        <v>174.41</v>
      </c>
      <c r="Q197">
        <v>28.24</v>
      </c>
    </row>
    <row r="198" spans="2:17" x14ac:dyDescent="0.3">
      <c r="B198" s="2">
        <v>45055</v>
      </c>
      <c r="C198">
        <v>40.21</v>
      </c>
      <c r="D198">
        <v>410.93</v>
      </c>
      <c r="E198">
        <v>189.02</v>
      </c>
      <c r="F198">
        <v>27.79</v>
      </c>
      <c r="G198">
        <v>321.64</v>
      </c>
      <c r="H198">
        <v>20.96</v>
      </c>
      <c r="I198">
        <v>64.87</v>
      </c>
      <c r="J198">
        <v>103.05</v>
      </c>
      <c r="K198">
        <v>63.07</v>
      </c>
      <c r="L198">
        <v>50.2</v>
      </c>
      <c r="M198">
        <v>60.04</v>
      </c>
      <c r="N198">
        <v>118.91</v>
      </c>
      <c r="O198">
        <v>41.47</v>
      </c>
      <c r="P198">
        <v>173.53</v>
      </c>
      <c r="Q198">
        <v>28.44</v>
      </c>
    </row>
    <row r="199" spans="2:17" x14ac:dyDescent="0.3">
      <c r="B199" s="2">
        <v>45054</v>
      </c>
      <c r="C199">
        <v>40.46</v>
      </c>
      <c r="D199">
        <v>412.74</v>
      </c>
      <c r="E199">
        <v>187.69</v>
      </c>
      <c r="F199">
        <v>27.7</v>
      </c>
      <c r="G199">
        <v>323.69</v>
      </c>
      <c r="H199">
        <v>20.91</v>
      </c>
      <c r="I199">
        <v>64.260000000000005</v>
      </c>
      <c r="J199">
        <v>103.42</v>
      </c>
      <c r="K199">
        <v>63.57</v>
      </c>
      <c r="L199">
        <v>50.32</v>
      </c>
      <c r="M199">
        <v>59.4</v>
      </c>
      <c r="N199">
        <v>119.4</v>
      </c>
      <c r="O199">
        <v>41.53</v>
      </c>
      <c r="P199">
        <v>174.05</v>
      </c>
      <c r="Q199">
        <v>28.89</v>
      </c>
    </row>
    <row r="200" spans="2:17" x14ac:dyDescent="0.3">
      <c r="B200" s="2">
        <v>45051</v>
      </c>
      <c r="C200">
        <v>40.450000000000003</v>
      </c>
      <c r="D200">
        <v>412.63</v>
      </c>
      <c r="E200">
        <v>187.46</v>
      </c>
      <c r="F200">
        <v>27.66</v>
      </c>
      <c r="G200">
        <v>322.89</v>
      </c>
      <c r="H200">
        <v>21.03</v>
      </c>
      <c r="I200">
        <v>63.03</v>
      </c>
      <c r="J200">
        <v>104.89</v>
      </c>
      <c r="K200">
        <v>63.56</v>
      </c>
      <c r="L200">
        <v>50.32</v>
      </c>
      <c r="M200">
        <v>59.53</v>
      </c>
      <c r="N200">
        <v>119.35</v>
      </c>
      <c r="O200">
        <v>41.4</v>
      </c>
      <c r="P200">
        <v>174.45</v>
      </c>
      <c r="Q200">
        <v>28.67</v>
      </c>
    </row>
    <row r="201" spans="2:17" x14ac:dyDescent="0.3">
      <c r="B201" s="2">
        <v>45050</v>
      </c>
      <c r="C201">
        <v>40.020000000000003</v>
      </c>
      <c r="D201">
        <v>405.13</v>
      </c>
      <c r="E201">
        <v>190.44</v>
      </c>
      <c r="F201">
        <v>27.7</v>
      </c>
      <c r="G201">
        <v>316.17</v>
      </c>
      <c r="H201">
        <v>20.7</v>
      </c>
      <c r="I201">
        <v>60.7</v>
      </c>
      <c r="J201">
        <v>105.24</v>
      </c>
      <c r="K201">
        <v>62.62</v>
      </c>
      <c r="L201">
        <v>49.67</v>
      </c>
      <c r="M201">
        <v>58.74</v>
      </c>
      <c r="N201">
        <v>117.29</v>
      </c>
      <c r="O201">
        <v>41.26</v>
      </c>
      <c r="P201">
        <v>170.4</v>
      </c>
      <c r="Q201">
        <v>28.3</v>
      </c>
    </row>
    <row r="202" spans="2:17" x14ac:dyDescent="0.3">
      <c r="B202" s="2">
        <v>45049</v>
      </c>
      <c r="C202">
        <v>39.68</v>
      </c>
      <c r="D202">
        <v>408.02</v>
      </c>
      <c r="E202">
        <v>189.11</v>
      </c>
      <c r="F202">
        <v>27.67</v>
      </c>
      <c r="G202">
        <v>317.29000000000002</v>
      </c>
      <c r="H202">
        <v>20.6</v>
      </c>
      <c r="I202">
        <v>60.31</v>
      </c>
      <c r="J202">
        <v>106.29</v>
      </c>
      <c r="K202">
        <v>62.94</v>
      </c>
      <c r="L202">
        <v>49.43</v>
      </c>
      <c r="M202">
        <v>58.63</v>
      </c>
      <c r="N202">
        <v>117.86</v>
      </c>
      <c r="O202">
        <v>40.92</v>
      </c>
      <c r="P202">
        <v>172.33</v>
      </c>
      <c r="Q202">
        <v>27.56</v>
      </c>
    </row>
    <row r="203" spans="2:17" x14ac:dyDescent="0.3">
      <c r="B203" s="2">
        <v>45048</v>
      </c>
      <c r="C203">
        <v>39.69</v>
      </c>
      <c r="D203">
        <v>410.84</v>
      </c>
      <c r="E203">
        <v>187.52</v>
      </c>
      <c r="F203">
        <v>27.82</v>
      </c>
      <c r="G203">
        <v>319.38</v>
      </c>
      <c r="H203">
        <v>20.54</v>
      </c>
      <c r="I203">
        <v>63.05</v>
      </c>
      <c r="J203">
        <v>105.7</v>
      </c>
      <c r="K203">
        <v>62.74</v>
      </c>
      <c r="L203">
        <v>49.45</v>
      </c>
      <c r="M203">
        <v>58.28</v>
      </c>
      <c r="N203">
        <v>118.37</v>
      </c>
      <c r="O203">
        <v>41.06</v>
      </c>
      <c r="P203">
        <v>171.7</v>
      </c>
      <c r="Q203">
        <v>27.69</v>
      </c>
    </row>
    <row r="204" spans="2:17" x14ac:dyDescent="0.3">
      <c r="B204" s="2">
        <v>45047</v>
      </c>
      <c r="C204">
        <v>40.11</v>
      </c>
      <c r="D204">
        <v>415.51</v>
      </c>
      <c r="E204">
        <v>183.97</v>
      </c>
      <c r="F204">
        <v>27.89</v>
      </c>
      <c r="G204">
        <v>322.19</v>
      </c>
      <c r="H204">
        <v>20.73</v>
      </c>
      <c r="I204">
        <v>66.55</v>
      </c>
      <c r="J204">
        <v>103.13</v>
      </c>
      <c r="K204">
        <v>63.48</v>
      </c>
      <c r="L204">
        <v>49.75</v>
      </c>
      <c r="M204">
        <v>58.77</v>
      </c>
      <c r="N204">
        <v>119.67</v>
      </c>
      <c r="O204">
        <v>41.12</v>
      </c>
      <c r="P204">
        <v>175.3</v>
      </c>
      <c r="Q204">
        <v>28.22</v>
      </c>
    </row>
    <row r="205" spans="2:17" x14ac:dyDescent="0.3">
      <c r="B205" s="2">
        <v>45044</v>
      </c>
      <c r="C205">
        <v>40.24</v>
      </c>
      <c r="D205">
        <v>415.93</v>
      </c>
      <c r="E205">
        <v>184.8</v>
      </c>
      <c r="F205">
        <v>27.75</v>
      </c>
      <c r="G205">
        <v>322.56</v>
      </c>
      <c r="H205">
        <v>20.95</v>
      </c>
      <c r="I205">
        <v>67.5</v>
      </c>
      <c r="J205">
        <v>106.46</v>
      </c>
      <c r="K205">
        <v>63.47</v>
      </c>
      <c r="L205">
        <v>49.9</v>
      </c>
      <c r="M205">
        <v>58.84</v>
      </c>
      <c r="N205">
        <v>119.79</v>
      </c>
      <c r="O205">
        <v>41.12</v>
      </c>
      <c r="P205">
        <v>175.2</v>
      </c>
      <c r="Q205">
        <v>28.33</v>
      </c>
    </row>
    <row r="206" spans="2:17" x14ac:dyDescent="0.3">
      <c r="B206" s="2">
        <v>45043</v>
      </c>
      <c r="C206">
        <v>40</v>
      </c>
      <c r="D206">
        <v>412.41</v>
      </c>
      <c r="E206">
        <v>184.75</v>
      </c>
      <c r="F206">
        <v>27.71</v>
      </c>
      <c r="G206">
        <v>320.35000000000002</v>
      </c>
      <c r="H206">
        <v>20.98</v>
      </c>
      <c r="I206">
        <v>65.81</v>
      </c>
      <c r="J206">
        <v>104.77</v>
      </c>
      <c r="K206">
        <v>63.38</v>
      </c>
      <c r="L206">
        <v>49.67</v>
      </c>
      <c r="M206">
        <v>59.31</v>
      </c>
      <c r="N206">
        <v>119.18</v>
      </c>
      <c r="O206">
        <v>40.75</v>
      </c>
      <c r="P206">
        <v>173.68</v>
      </c>
      <c r="Q206">
        <v>28.19</v>
      </c>
    </row>
    <row r="208" spans="2:17" x14ac:dyDescent="0.3">
      <c r="C208" t="str">
        <f>C5</f>
        <v>VWO</v>
      </c>
      <c r="D208" t="str">
        <f t="shared" ref="D208:Q209" si="0">D5</f>
        <v>SPY</v>
      </c>
      <c r="E208" t="str">
        <f t="shared" si="0"/>
        <v>GLD</v>
      </c>
      <c r="F208" t="str">
        <f t="shared" si="0"/>
        <v>UUP</v>
      </c>
      <c r="G208" t="str">
        <f t="shared" si="0"/>
        <v>QQQ</v>
      </c>
      <c r="H208" t="str">
        <f t="shared" si="0"/>
        <v>DBA</v>
      </c>
      <c r="I208" t="str">
        <f t="shared" si="0"/>
        <v>USO</v>
      </c>
      <c r="J208" t="str">
        <f t="shared" si="0"/>
        <v>TLT</v>
      </c>
      <c r="K208" t="str">
        <f t="shared" si="0"/>
        <v>VGK</v>
      </c>
      <c r="L208" t="str">
        <f t="shared" si="0"/>
        <v>EMXC</v>
      </c>
      <c r="M208" t="str">
        <f t="shared" si="0"/>
        <v>EWJ</v>
      </c>
      <c r="N208" t="str">
        <f t="shared" si="0"/>
        <v>URTH</v>
      </c>
      <c r="O208" t="str">
        <f t="shared" si="0"/>
        <v>INDA</v>
      </c>
      <c r="P208" t="str">
        <f t="shared" si="0"/>
        <v>IWM</v>
      </c>
      <c r="Q208" t="str">
        <f t="shared" si="0"/>
        <v>FXI</v>
      </c>
    </row>
    <row r="209" spans="2:17" x14ac:dyDescent="0.3">
      <c r="B209" t="s">
        <v>174</v>
      </c>
      <c r="C209" s="25">
        <f>C6</f>
        <v>40.06</v>
      </c>
      <c r="D209" s="25">
        <f t="shared" si="0"/>
        <v>494.08</v>
      </c>
      <c r="E209" s="25">
        <f t="shared" si="0"/>
        <v>184.53</v>
      </c>
      <c r="F209" s="25">
        <f t="shared" si="0"/>
        <v>28.24</v>
      </c>
      <c r="G209" s="25">
        <f t="shared" si="0"/>
        <v>428.55</v>
      </c>
      <c r="H209" s="25">
        <f t="shared" si="0"/>
        <v>21.99</v>
      </c>
      <c r="I209" s="25">
        <f t="shared" si="0"/>
        <v>72.650000000000006</v>
      </c>
      <c r="J209" s="25">
        <f t="shared" si="0"/>
        <v>92.35</v>
      </c>
      <c r="K209" s="25">
        <f t="shared" si="0"/>
        <v>62.66</v>
      </c>
      <c r="L209" s="25">
        <f t="shared" si="0"/>
        <v>54.93</v>
      </c>
      <c r="M209" s="25">
        <f t="shared" si="0"/>
        <v>66.739999999999995</v>
      </c>
      <c r="N209" s="25">
        <f t="shared" si="0"/>
        <v>135.93</v>
      </c>
      <c r="O209" s="25">
        <f t="shared" si="0"/>
        <v>49.97</v>
      </c>
      <c r="P209" s="25">
        <f t="shared" si="0"/>
        <v>194.61</v>
      </c>
      <c r="Q209" s="25">
        <f t="shared" si="0"/>
        <v>22.2</v>
      </c>
    </row>
    <row r="210" spans="2:17" x14ac:dyDescent="0.3">
      <c r="B210" t="s">
        <v>175</v>
      </c>
      <c r="C210" s="25">
        <f>AVERAGE(C6:C35)</f>
        <v>40.077666666666666</v>
      </c>
      <c r="D210" s="25">
        <f t="shared" ref="D210:Q210" si="1">AVERAGE(D6:D35)</f>
        <v>483.92633333333345</v>
      </c>
      <c r="E210" s="25">
        <f t="shared" si="1"/>
        <v>188.02500000000001</v>
      </c>
      <c r="F210" s="25">
        <f t="shared" si="1"/>
        <v>27.718666666666667</v>
      </c>
      <c r="G210" s="25">
        <f t="shared" si="1"/>
        <v>418.24100000000004</v>
      </c>
      <c r="H210" s="25">
        <f t="shared" si="1"/>
        <v>21.243666666666673</v>
      </c>
      <c r="I210" s="25">
        <f t="shared" si="1"/>
        <v>69.386333333333354</v>
      </c>
      <c r="J210" s="25">
        <f t="shared" si="1"/>
        <v>95.344333333333296</v>
      </c>
      <c r="K210" s="25">
        <f t="shared" si="1"/>
        <v>63.384666666666675</v>
      </c>
      <c r="L210" s="25">
        <f t="shared" si="1"/>
        <v>54.463666666666654</v>
      </c>
      <c r="M210" s="25">
        <f t="shared" si="1"/>
        <v>65.656000000000006</v>
      </c>
      <c r="N210" s="25">
        <f t="shared" si="1"/>
        <v>134.20000000000002</v>
      </c>
      <c r="O210" s="25">
        <f t="shared" si="1"/>
        <v>49.589833333333331</v>
      </c>
      <c r="P210" s="25">
        <f t="shared" si="1"/>
        <v>194.94199999999998</v>
      </c>
      <c r="Q210" s="25">
        <f t="shared" si="1"/>
        <v>22.376000000000001</v>
      </c>
    </row>
    <row r="211" spans="2:17" x14ac:dyDescent="0.3">
      <c r="B211" t="s">
        <v>176</v>
      </c>
      <c r="C211" s="25">
        <f>AVERAGE(C6:C65)</f>
        <v>40.306166666666662</v>
      </c>
      <c r="D211" s="25">
        <f t="shared" ref="D211:Q211" si="2">AVERAGE(D6:D65)</f>
        <v>473.43616666666668</v>
      </c>
      <c r="E211" s="25">
        <f t="shared" si="2"/>
        <v>187.86750000000009</v>
      </c>
      <c r="F211" s="25">
        <f t="shared" si="2"/>
        <v>28.177333333333333</v>
      </c>
      <c r="G211" s="25">
        <f t="shared" si="2"/>
        <v>407.54216666666667</v>
      </c>
      <c r="H211" s="25">
        <f t="shared" si="2"/>
        <v>21.434833333333334</v>
      </c>
      <c r="I211" s="25">
        <f t="shared" si="2"/>
        <v>69.013833333333366</v>
      </c>
      <c r="J211" s="25">
        <f t="shared" si="2"/>
        <v>95.180833333333325</v>
      </c>
      <c r="K211" s="25">
        <f t="shared" si="2"/>
        <v>62.976166666666671</v>
      </c>
      <c r="L211" s="25">
        <f t="shared" si="2"/>
        <v>53.99049999999999</v>
      </c>
      <c r="M211" s="25">
        <f t="shared" si="2"/>
        <v>64.271833333333333</v>
      </c>
      <c r="N211" s="25">
        <f t="shared" si="2"/>
        <v>131.91849999999999</v>
      </c>
      <c r="O211" s="25">
        <f t="shared" si="2"/>
        <v>48.315416666666671</v>
      </c>
      <c r="P211" s="25">
        <f t="shared" si="2"/>
        <v>191.94083333333325</v>
      </c>
      <c r="Q211" s="25">
        <f t="shared" si="2"/>
        <v>23.463666666666665</v>
      </c>
    </row>
    <row r="212" spans="2:17" x14ac:dyDescent="0.3">
      <c r="B212" t="s">
        <v>177</v>
      </c>
      <c r="C212" s="25">
        <f>AVERAGE(C6:C206)</f>
        <v>40.232935323383089</v>
      </c>
      <c r="D212" s="25">
        <f t="shared" ref="D212:Q212" si="3">AVERAGE(D6:D206)</f>
        <v>445.98796019900499</v>
      </c>
      <c r="E212" s="25">
        <f t="shared" si="3"/>
        <v>182.48467661691541</v>
      </c>
      <c r="F212" s="25">
        <f t="shared" si="3"/>
        <v>28.615572139303488</v>
      </c>
      <c r="G212" s="25">
        <f t="shared" si="3"/>
        <v>374.69124378109433</v>
      </c>
      <c r="H212" s="25">
        <f t="shared" si="3"/>
        <v>21.502288557213923</v>
      </c>
      <c r="I212" s="25">
        <f t="shared" si="3"/>
        <v>70.3889552238806</v>
      </c>
      <c r="J212" s="25">
        <f t="shared" si="3"/>
        <v>95.709751243781099</v>
      </c>
      <c r="K212" s="25">
        <f t="shared" si="3"/>
        <v>61.19800995024876</v>
      </c>
      <c r="L212" s="25">
        <f t="shared" si="3"/>
        <v>51.969203980099493</v>
      </c>
      <c r="M212" s="25">
        <f t="shared" si="3"/>
        <v>61.943830845771146</v>
      </c>
      <c r="N212" s="25">
        <f t="shared" si="3"/>
        <v>125.17218905472639</v>
      </c>
      <c r="O212" s="25">
        <f t="shared" si="3"/>
        <v>44.919502487562191</v>
      </c>
      <c r="P212" s="25">
        <f t="shared" si="3"/>
        <v>184.17552238805976</v>
      </c>
      <c r="Q212" s="25">
        <f t="shared" si="3"/>
        <v>26.151741293532325</v>
      </c>
    </row>
    <row r="213" spans="2:17" x14ac:dyDescent="0.3">
      <c r="B213" t="s">
        <v>178</v>
      </c>
      <c r="C213" s="25">
        <f>C209/C210</f>
        <v>0.99955918924089071</v>
      </c>
      <c r="D213" s="25">
        <f t="shared" ref="D213:Q213" si="4">D209/D210</f>
        <v>1.0209818436552669</v>
      </c>
      <c r="E213" s="25">
        <f t="shared" si="4"/>
        <v>0.98141204627044276</v>
      </c>
      <c r="F213" s="25">
        <f t="shared" si="4"/>
        <v>1.0188080234739525</v>
      </c>
      <c r="G213" s="25">
        <f t="shared" si="4"/>
        <v>1.0246484682276487</v>
      </c>
      <c r="H213" s="25">
        <f t="shared" si="4"/>
        <v>1.0351320393529049</v>
      </c>
      <c r="I213" s="25">
        <f t="shared" si="4"/>
        <v>1.0470361598585693</v>
      </c>
      <c r="J213" s="25">
        <f t="shared" si="4"/>
        <v>0.96859453279866337</v>
      </c>
      <c r="K213" s="25">
        <f t="shared" si="4"/>
        <v>0.98856716135342915</v>
      </c>
      <c r="L213" s="25">
        <f t="shared" si="4"/>
        <v>1.0085622831122891</v>
      </c>
      <c r="M213" s="25">
        <f t="shared" si="4"/>
        <v>1.0165102960887047</v>
      </c>
      <c r="N213" s="25">
        <f t="shared" si="4"/>
        <v>1.0128912071535021</v>
      </c>
      <c r="O213" s="25">
        <f t="shared" si="4"/>
        <v>1.0076662219070442</v>
      </c>
      <c r="P213" s="25">
        <f t="shared" si="4"/>
        <v>0.99829692934308689</v>
      </c>
      <c r="Q213" s="25">
        <f t="shared" si="4"/>
        <v>0.99213442974615651</v>
      </c>
    </row>
    <row r="214" spans="2:17" x14ac:dyDescent="0.3">
      <c r="B214" t="s">
        <v>179</v>
      </c>
      <c r="C214" s="25">
        <f t="shared" ref="C214:Q215" si="5">C210/C211</f>
        <v>0.99433089229522376</v>
      </c>
      <c r="D214" s="25">
        <f t="shared" si="5"/>
        <v>1.0221575101465634</v>
      </c>
      <c r="E214" s="25">
        <f t="shared" si="5"/>
        <v>1.0008383568206312</v>
      </c>
      <c r="F214" s="25">
        <f t="shared" si="5"/>
        <v>0.98372214072777175</v>
      </c>
      <c r="G214" s="25">
        <f t="shared" si="5"/>
        <v>1.0262520892521143</v>
      </c>
      <c r="H214" s="25">
        <f t="shared" si="5"/>
        <v>0.9910814950742175</v>
      </c>
      <c r="I214" s="25">
        <f t="shared" si="5"/>
        <v>1.0053974686234401</v>
      </c>
      <c r="J214" s="25">
        <f t="shared" si="5"/>
        <v>1.0017177828169184</v>
      </c>
      <c r="K214" s="25">
        <f t="shared" si="5"/>
        <v>1.0064865809022991</v>
      </c>
      <c r="L214" s="25">
        <f t="shared" si="5"/>
        <v>1.0087638874740308</v>
      </c>
      <c r="M214" s="25">
        <f t="shared" si="5"/>
        <v>1.0215361316906577</v>
      </c>
      <c r="N214" s="25">
        <f t="shared" si="5"/>
        <v>1.0172947691188121</v>
      </c>
      <c r="O214" s="25">
        <f t="shared" si="5"/>
        <v>1.0263770190674129</v>
      </c>
      <c r="P214" s="25">
        <f t="shared" si="5"/>
        <v>1.0156358947418695</v>
      </c>
      <c r="Q214" s="25">
        <f t="shared" si="5"/>
        <v>0.95364464207071942</v>
      </c>
    </row>
    <row r="215" spans="2:17" x14ac:dyDescent="0.3">
      <c r="B215" t="s">
        <v>180</v>
      </c>
      <c r="C215" s="25">
        <f t="shared" si="5"/>
        <v>1.0018201839536429</v>
      </c>
      <c r="D215" s="25">
        <f t="shared" si="5"/>
        <v>1.0615447252329726</v>
      </c>
      <c r="E215" s="25">
        <f t="shared" si="5"/>
        <v>1.0294973993590963</v>
      </c>
      <c r="F215" s="25">
        <f t="shared" si="5"/>
        <v>0.98468530337828775</v>
      </c>
      <c r="G215" s="25">
        <f t="shared" si="5"/>
        <v>1.0876746479423063</v>
      </c>
      <c r="H215" s="25">
        <f t="shared" si="5"/>
        <v>0.99686288165554549</v>
      </c>
      <c r="I215" s="25">
        <f t="shared" si="5"/>
        <v>0.98046395366753925</v>
      </c>
      <c r="J215" s="25">
        <f t="shared" si="5"/>
        <v>0.99447373017300422</v>
      </c>
      <c r="K215" s="25">
        <f t="shared" si="5"/>
        <v>1.0290557931191466</v>
      </c>
      <c r="L215" s="25">
        <f t="shared" si="5"/>
        <v>1.0388941116103012</v>
      </c>
      <c r="M215" s="25">
        <f t="shared" si="5"/>
        <v>1.0375824752162728</v>
      </c>
      <c r="N215" s="25">
        <f t="shared" si="5"/>
        <v>1.0538962448146054</v>
      </c>
      <c r="O215" s="25">
        <f t="shared" si="5"/>
        <v>1.0755999953482294</v>
      </c>
      <c r="P215" s="25">
        <f t="shared" si="5"/>
        <v>1.0421625569162871</v>
      </c>
      <c r="Q215" s="25">
        <f t="shared" si="5"/>
        <v>0.89721240369066912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7AA81-BC1C-4C1D-8F1B-81909148BAC0}">
  <dimension ref="A1:AC25"/>
  <sheetViews>
    <sheetView topLeftCell="J1" workbookViewId="0">
      <selection activeCell="U12" sqref="U12"/>
    </sheetView>
  </sheetViews>
  <sheetFormatPr defaultRowHeight="14.4" x14ac:dyDescent="0.3"/>
  <cols>
    <col min="1" max="1" width="10.5546875" customWidth="1"/>
  </cols>
  <sheetData>
    <row r="1" spans="1:22" x14ac:dyDescent="0.3">
      <c r="B1" t="s">
        <v>232</v>
      </c>
      <c r="C1" t="s">
        <v>235</v>
      </c>
      <c r="D1" t="s">
        <v>239</v>
      </c>
      <c r="E1" t="s">
        <v>243</v>
      </c>
      <c r="F1" t="s">
        <v>247</v>
      </c>
      <c r="G1" t="s">
        <v>251</v>
      </c>
      <c r="H1" t="s">
        <v>255</v>
      </c>
      <c r="I1" t="s">
        <v>259</v>
      </c>
      <c r="J1" t="s">
        <v>263</v>
      </c>
      <c r="K1" t="s">
        <v>267</v>
      </c>
      <c r="L1" t="s">
        <v>271</v>
      </c>
      <c r="M1" t="s">
        <v>275</v>
      </c>
      <c r="N1" t="s">
        <v>279</v>
      </c>
      <c r="O1" t="s">
        <v>9</v>
      </c>
      <c r="P1" t="s">
        <v>285</v>
      </c>
      <c r="Q1" t="s">
        <v>289</v>
      </c>
      <c r="R1" t="s">
        <v>291</v>
      </c>
      <c r="S1" t="s">
        <v>295</v>
      </c>
      <c r="T1" t="s">
        <v>299</v>
      </c>
      <c r="U1" t="s">
        <v>303</v>
      </c>
      <c r="V1" t="s">
        <v>307</v>
      </c>
    </row>
    <row r="2" spans="1:22" ht="25.5" customHeight="1" x14ac:dyDescent="0.3">
      <c r="A2" s="2" cm="1">
        <f t="array" ref="A2:A21">_xll.FDS(H1,"JULIAN(FMA_ROE(NTMA,-20AY,NOW,FY,""PORTAGG"",""MEANR"").dates)")</f>
        <v>38352</v>
      </c>
      <c r="B2" t="str" cm="1">
        <f t="array" ref="B2:B21">_xll.FDSB(B1,"FMA_ROE(NTMA,-20AY,NOW,FY,""PORTAGG"",""MEANR"")")</f>
        <v/>
      </c>
      <c r="C2" t="str" cm="1">
        <f t="array" ref="C2:C21">_xll.FDSB(C1,"FMA_ROE(NTMA,-20AY,NOW,FY,""PORTAGG"",""MEANR"")")</f>
        <v/>
      </c>
      <c r="D2" t="str" cm="1">
        <f t="array" ref="D2:D21">_xll.FDSB(D1,"FMA_ROE(NTMA,-20AY,NOW,FY,""PORTAGG"",""MEANR"")")</f>
        <v/>
      </c>
      <c r="E2" t="str" cm="1">
        <f t="array" ref="E2:E21">_xll.FDSB(E1,"FMA_ROE(NTMA,-20AY,NOW,FY,""PORTAGG"",""MEANR"")")</f>
        <v/>
      </c>
      <c r="F2" t="str" cm="1">
        <f t="array" ref="F2:F21">_xll.FDSB(F1,"FMA_ROE(NTMA,-20AY,NOW,FY,""PORTAGG"",""MEANR"")")</f>
        <v/>
      </c>
      <c r="G2" t="str" cm="1">
        <f t="array" ref="G2:G21">_xll.FDSB(G1,"FMA_ROE(NTMA,-20AY,NOW,FY,""PORTAGG"",""MEANR"")")</f>
        <v/>
      </c>
      <c r="H2" cm="1">
        <f t="array" ref="H2:H21">_xll.FDSB(H1,"FMA_ROE(NTMA,-20AY,NOW,FY,""PORTAGG"",""MEANR"")")</f>
        <v>13.376423559145399</v>
      </c>
      <c r="I2" cm="1">
        <f t="array" ref="I2:I21">_xll.FDSB(I1,"FMA_ROE(NTMA,-20AY,NOW,FY,""PORTAGG"",""MEANR"")")</f>
        <v>14.2091388164968</v>
      </c>
      <c r="J2" t="str" cm="1">
        <f t="array" ref="J2:J21">_xll.FDSB(J1,"FMA_ROE(NTMA,-20AY,NOW,FY,""PORTAGG"",""MEANR"")")</f>
        <v/>
      </c>
      <c r="K2" cm="1">
        <f t="array" ref="K2:K21">_xll.FDSB(K1,"FMA_ROE(NTMA,-20AY,NOW,FY,""PORTAGG"",""MEANR"")")</f>
        <v>15.9616854074036</v>
      </c>
      <c r="L2" cm="1">
        <f t="array" ref="L2:L21">_xll.FDSB(L1,"FMA_ROE(NTMA,-20AY,NOW,FY,""PORTAGG"",""MEANR"")")</f>
        <v>10.902459324937</v>
      </c>
      <c r="M2" cm="1">
        <f t="array" ref="M2:M21">_xll.FDSB(M1,"FMA_ROE(NTMA,-20AY,NOW,FY,""PORTAGG"",""MEANR"")")</f>
        <v>17.944307267730601</v>
      </c>
      <c r="N2" t="str" cm="1">
        <f t="array" ref="N2:N21">_xll.FDSB(N1,"FMA_ROE(NTMA,-20AY,NOW,FY,""PORTAGG"",""MEANR"")")</f>
        <v/>
      </c>
      <c r="O2" t="str" cm="1">
        <f t="array" ref="O2:O21">_xll.FDSB(O1,"FMA_ROE(NTMA,-20AY,NOW,FY,""PORTAGG"",""MEANR"")")</f>
        <v/>
      </c>
      <c r="P2" t="str" cm="1">
        <f t="array" ref="P2:P21">_xll.FDSB(P1,"FMA_ROE(NTMA,-20AY,NOW,FY,""PORTAGG"",""MEANR"")")</f>
        <v/>
      </c>
      <c r="Q2" t="str" cm="1">
        <f t="array" ref="Q2:Q21">_xll.FDSB(Q1,"FMA_ROE(NTMA,-20AY,NOW,FY,""PORTAGG"",""MEANR"")")</f>
        <v/>
      </c>
      <c r="R2" cm="1">
        <f t="array" ref="R2:R21">_xll.FDSB(R1,"FMA_ROE(NTMA,-20AY,NOW,FY,""PORTAGG"",""MEANR"")")</f>
        <v>19.477525307428301</v>
      </c>
      <c r="S2" t="str" cm="1">
        <f t="array" ref="S2:S21">_xll.FDSB(S1,"FMA_ROE(NTMA,-20AY,NOW,FY,""PORTAGG"",""MEANR"")")</f>
        <v/>
      </c>
      <c r="T2" t="str" cm="1">
        <f t="array" ref="T2:T21">_xll.FDSB(T1,"FMA_ROE(NTMA,-20AY,NOW,FY,""PORTAGG"",""MEANR"")")</f>
        <v/>
      </c>
      <c r="U2" t="str" cm="1">
        <f t="array" ref="U2:U21">_xll.FDSB(U1,"FMA_ROE(NTMA,-20AY,NOW,FY,""PORTAGG"",""MEANR"")")</f>
        <v/>
      </c>
      <c r="V2" t="str" cm="1">
        <f t="array" ref="V2:V21">_xll.FDSB(V1,"FMA_ROE(NTMA,-20AY,NOW,FY,""PORTAGG"",""MEANR"")")</f>
        <v/>
      </c>
    </row>
    <row r="3" spans="1:22" ht="25.5" customHeight="1" x14ac:dyDescent="0.3">
      <c r="A3" s="2">
        <v>38716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>
        <v>13.259100878288899</v>
      </c>
      <c r="I3">
        <v>14.098545713706599</v>
      </c>
      <c r="J3" s="77" t="str">
        <v/>
      </c>
      <c r="K3" s="77">
        <v>15.4849098528827</v>
      </c>
      <c r="L3">
        <v>15.133006841974501</v>
      </c>
      <c r="M3">
        <v>20.534892815675502</v>
      </c>
      <c r="N3" t="str">
        <v/>
      </c>
      <c r="O3" t="str">
        <v/>
      </c>
      <c r="P3" t="str">
        <v/>
      </c>
      <c r="Q3" t="str">
        <v/>
      </c>
      <c r="R3">
        <v>16.712932607338399</v>
      </c>
      <c r="S3" t="str">
        <v/>
      </c>
      <c r="T3" t="str">
        <v/>
      </c>
      <c r="U3" t="str">
        <v/>
      </c>
      <c r="V3" t="str">
        <v/>
      </c>
    </row>
    <row r="4" spans="1:22" ht="25.5" customHeight="1" x14ac:dyDescent="0.3">
      <c r="A4" s="2">
        <v>39080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>
        <v>13.534364209707901</v>
      </c>
      <c r="I4">
        <v>14.459071034744399</v>
      </c>
      <c r="J4" s="77" t="str">
        <v/>
      </c>
      <c r="K4" s="77">
        <v>13.8927001282369</v>
      </c>
      <c r="L4">
        <v>12.2637569805604</v>
      </c>
      <c r="M4">
        <v>23.396297970604699</v>
      </c>
      <c r="N4" t="str">
        <v/>
      </c>
      <c r="O4" t="str">
        <v/>
      </c>
      <c r="P4" t="str">
        <v/>
      </c>
      <c r="Q4" t="str">
        <v/>
      </c>
      <c r="R4">
        <v>14.8656028990892</v>
      </c>
      <c r="S4" t="str">
        <v/>
      </c>
      <c r="T4" t="str">
        <v/>
      </c>
      <c r="U4" t="str">
        <v/>
      </c>
      <c r="V4" t="str">
        <v/>
      </c>
    </row>
    <row r="5" spans="1:22" ht="25.5" customHeight="1" x14ac:dyDescent="0.3">
      <c r="A5" s="2">
        <v>39447</v>
      </c>
      <c r="B5" t="str">
        <v/>
      </c>
      <c r="C5">
        <v>14.177688160362401</v>
      </c>
      <c r="D5" t="str">
        <v/>
      </c>
      <c r="E5" t="str">
        <v/>
      </c>
      <c r="F5" t="str">
        <v/>
      </c>
      <c r="G5" t="str">
        <v/>
      </c>
      <c r="H5">
        <v>14.6672633006441</v>
      </c>
      <c r="I5">
        <v>16.480780564751502</v>
      </c>
      <c r="J5" s="77" t="str">
        <v/>
      </c>
      <c r="K5" s="77">
        <v>14.403966440200399</v>
      </c>
      <c r="L5">
        <v>16.921333713246799</v>
      </c>
      <c r="M5">
        <v>22.930941215949201</v>
      </c>
      <c r="N5" t="str">
        <v/>
      </c>
      <c r="O5" t="str">
        <v/>
      </c>
      <c r="P5" t="str">
        <v/>
      </c>
      <c r="Q5" t="str">
        <v/>
      </c>
      <c r="R5">
        <v>14.426607707669501</v>
      </c>
      <c r="S5" t="str">
        <v/>
      </c>
      <c r="T5" t="str">
        <v/>
      </c>
      <c r="U5" t="str">
        <v/>
      </c>
      <c r="V5" t="str">
        <v/>
      </c>
    </row>
    <row r="6" spans="1:22" ht="25.5" customHeight="1" x14ac:dyDescent="0.3">
      <c r="A6" s="2">
        <v>39813</v>
      </c>
      <c r="B6" t="str">
        <v/>
      </c>
      <c r="C6">
        <v>11.279880231549299</v>
      </c>
      <c r="D6" t="str">
        <v/>
      </c>
      <c r="E6" t="str">
        <v/>
      </c>
      <c r="F6" t="str">
        <v/>
      </c>
      <c r="G6" t="str">
        <v/>
      </c>
      <c r="H6">
        <v>11.789973955671799</v>
      </c>
      <c r="I6">
        <v>6.1959642113222397</v>
      </c>
      <c r="J6" s="77" t="str">
        <v/>
      </c>
      <c r="K6" s="77">
        <v>9.9245616460946504</v>
      </c>
      <c r="L6">
        <v>15.0739650750282</v>
      </c>
      <c r="M6">
        <v>18.525723394390699</v>
      </c>
      <c r="N6" t="str">
        <v/>
      </c>
      <c r="O6" t="str">
        <v/>
      </c>
      <c r="P6" t="str">
        <v/>
      </c>
      <c r="Q6" t="str">
        <v/>
      </c>
      <c r="R6">
        <v>11.056038571556501</v>
      </c>
      <c r="S6">
        <v>14.532366275604099</v>
      </c>
      <c r="T6" t="str">
        <v/>
      </c>
      <c r="U6" t="str">
        <v/>
      </c>
      <c r="V6" t="str">
        <v/>
      </c>
    </row>
    <row r="7" spans="1:22" ht="25.5" customHeight="1" x14ac:dyDescent="0.3">
      <c r="A7" s="2">
        <v>40178</v>
      </c>
      <c r="B7" t="str">
        <v/>
      </c>
      <c r="C7">
        <v>14.262888391324701</v>
      </c>
      <c r="D7" t="str">
        <v/>
      </c>
      <c r="E7" t="str">
        <v/>
      </c>
      <c r="F7" t="str">
        <v/>
      </c>
      <c r="G7">
        <v>21.648792493302199</v>
      </c>
      <c r="H7">
        <v>12.6973987236168</v>
      </c>
      <c r="I7">
        <v>11.6376050166428</v>
      </c>
      <c r="J7" s="77" t="str">
        <v/>
      </c>
      <c r="K7" s="77">
        <v>13.4147036931661</v>
      </c>
      <c r="L7">
        <v>15.0554926171621</v>
      </c>
      <c r="M7">
        <v>16.422923306743101</v>
      </c>
      <c r="N7" t="str">
        <v/>
      </c>
      <c r="O7" t="str">
        <v/>
      </c>
      <c r="P7" t="str">
        <v/>
      </c>
      <c r="Q7" t="str">
        <v/>
      </c>
      <c r="R7">
        <v>13.178996160463599</v>
      </c>
      <c r="S7">
        <v>15.083253112968899</v>
      </c>
      <c r="T7" t="str">
        <v/>
      </c>
      <c r="U7">
        <v>12.200767858252201</v>
      </c>
      <c r="V7" t="str">
        <v/>
      </c>
    </row>
    <row r="8" spans="1:22" ht="25.5" customHeight="1" x14ac:dyDescent="0.3">
      <c r="A8" s="2">
        <v>40543</v>
      </c>
      <c r="B8" t="str">
        <v/>
      </c>
      <c r="C8">
        <v>14.4661394368492</v>
      </c>
      <c r="D8">
        <v>18.927958558652598</v>
      </c>
      <c r="E8">
        <v>14.7602970828313</v>
      </c>
      <c r="F8">
        <v>12.913640938546299</v>
      </c>
      <c r="G8">
        <v>26.674075406926999</v>
      </c>
      <c r="H8">
        <v>14.629974764894</v>
      </c>
      <c r="I8">
        <v>14.2189185035578</v>
      </c>
      <c r="J8" s="77" t="str">
        <v/>
      </c>
      <c r="K8" s="77">
        <v>14.036452527090301</v>
      </c>
      <c r="L8">
        <v>15.561346162717401</v>
      </c>
      <c r="M8">
        <v>17.9081210683932</v>
      </c>
      <c r="N8" t="str">
        <v/>
      </c>
      <c r="O8" t="str">
        <v/>
      </c>
      <c r="P8" t="str">
        <v/>
      </c>
      <c r="Q8" t="str">
        <v/>
      </c>
      <c r="R8">
        <v>14.9486867959632</v>
      </c>
      <c r="S8">
        <v>15.867602614180599</v>
      </c>
      <c r="T8" t="str">
        <v/>
      </c>
      <c r="U8">
        <v>16.416291532494402</v>
      </c>
      <c r="V8" t="str">
        <v/>
      </c>
    </row>
    <row r="9" spans="1:22" ht="25.5" customHeight="1" x14ac:dyDescent="0.3">
      <c r="A9" s="2">
        <v>40907</v>
      </c>
      <c r="B9" t="str">
        <v/>
      </c>
      <c r="C9">
        <v>14.0754868016221</v>
      </c>
      <c r="D9">
        <v>18.073829290170899</v>
      </c>
      <c r="E9">
        <v>15.192977388624699</v>
      </c>
      <c r="F9">
        <v>11.6682069956937</v>
      </c>
      <c r="G9">
        <v>23.3940784657959</v>
      </c>
      <c r="H9">
        <v>13.8590428625605</v>
      </c>
      <c r="I9">
        <v>11.6486429529888</v>
      </c>
      <c r="J9" s="77" t="str">
        <v/>
      </c>
      <c r="K9" s="77">
        <v>12.893084510288601</v>
      </c>
      <c r="L9">
        <v>13.528023819453299</v>
      </c>
      <c r="M9">
        <v>18.715449271490101</v>
      </c>
      <c r="N9" t="str">
        <v/>
      </c>
      <c r="O9" t="str">
        <v/>
      </c>
      <c r="P9">
        <v>16.2489448712134</v>
      </c>
      <c r="Q9" t="str">
        <v/>
      </c>
      <c r="R9">
        <v>14.3192952203821</v>
      </c>
      <c r="S9">
        <v>14.476918586453699</v>
      </c>
      <c r="T9" t="str">
        <v/>
      </c>
      <c r="U9">
        <v>16.394053839445998</v>
      </c>
      <c r="V9" t="str">
        <v/>
      </c>
    </row>
    <row r="10" spans="1:22" ht="25.5" customHeight="1" x14ac:dyDescent="0.3">
      <c r="A10" s="2">
        <v>41274</v>
      </c>
      <c r="B10" t="str">
        <v/>
      </c>
      <c r="C10">
        <v>12.495289018718699</v>
      </c>
      <c r="D10">
        <v>16.8092892463225</v>
      </c>
      <c r="E10">
        <v>13.700399154582</v>
      </c>
      <c r="F10">
        <v>9.8809529735516293</v>
      </c>
      <c r="G10">
        <v>19.944208300320302</v>
      </c>
      <c r="H10">
        <v>13.233271148596501</v>
      </c>
      <c r="I10">
        <v>11.5182166875632</v>
      </c>
      <c r="J10" s="77" t="str">
        <v/>
      </c>
      <c r="K10" s="77">
        <v>12.474524979665899</v>
      </c>
      <c r="L10">
        <v>11.6623907171401</v>
      </c>
      <c r="M10">
        <v>17.1811698307319</v>
      </c>
      <c r="N10">
        <v>5.1805957088284504</v>
      </c>
      <c r="O10">
        <v>15.6108197056138</v>
      </c>
      <c r="P10">
        <v>14.784483651174799</v>
      </c>
      <c r="Q10" t="str">
        <v/>
      </c>
      <c r="R10">
        <v>15.3579090829836</v>
      </c>
      <c r="S10">
        <v>15.0590425800443</v>
      </c>
      <c r="T10" t="str">
        <v/>
      </c>
      <c r="U10">
        <v>15.4303491131499</v>
      </c>
      <c r="V10" t="str">
        <v/>
      </c>
    </row>
    <row r="11" spans="1:22" ht="25.5" customHeight="1" x14ac:dyDescent="0.3">
      <c r="A11" s="2">
        <v>41639</v>
      </c>
      <c r="B11" t="str">
        <v/>
      </c>
      <c r="C11">
        <v>10.8480668279512</v>
      </c>
      <c r="D11">
        <v>19.102074070579199</v>
      </c>
      <c r="E11">
        <v>13.6976116734629</v>
      </c>
      <c r="F11">
        <v>9.3281966268783805</v>
      </c>
      <c r="G11">
        <v>14.2295976118279</v>
      </c>
      <c r="H11">
        <v>13.0689929250701</v>
      </c>
      <c r="I11">
        <v>11.787759787352099</v>
      </c>
      <c r="J11" s="77" t="str">
        <v/>
      </c>
      <c r="K11" s="77">
        <v>11.4149566191569</v>
      </c>
      <c r="L11">
        <v>12.921670812908999</v>
      </c>
      <c r="M11">
        <v>15.817722548700599</v>
      </c>
      <c r="N11">
        <v>5.0292458068804899</v>
      </c>
      <c r="O11">
        <v>16.096259795639099</v>
      </c>
      <c r="P11">
        <v>14.7477410048543</v>
      </c>
      <c r="Q11" t="str">
        <v/>
      </c>
      <c r="R11">
        <v>14.4834347566328</v>
      </c>
      <c r="S11">
        <v>13.652489797672899</v>
      </c>
      <c r="T11" t="str">
        <v/>
      </c>
      <c r="U11">
        <v>15.275931782209399</v>
      </c>
      <c r="V11" t="str">
        <v/>
      </c>
    </row>
    <row r="12" spans="1:22" ht="25.5" customHeight="1" x14ac:dyDescent="0.3">
      <c r="A12" s="2">
        <v>42004</v>
      </c>
      <c r="B12" t="str">
        <v/>
      </c>
      <c r="C12">
        <v>9.3775833969926392</v>
      </c>
      <c r="D12">
        <v>18.408675050742801</v>
      </c>
      <c r="E12">
        <v>14.219614502703299</v>
      </c>
      <c r="F12">
        <v>9.0840041673954701</v>
      </c>
      <c r="G12">
        <v>12.7121203643147</v>
      </c>
      <c r="H12">
        <v>12.0884430441681</v>
      </c>
      <c r="I12">
        <v>13.127345554295999</v>
      </c>
      <c r="J12" s="77" t="str">
        <v/>
      </c>
      <c r="K12" s="77">
        <v>9.7704768239650406</v>
      </c>
      <c r="L12">
        <v>10.900243591811501</v>
      </c>
      <c r="M12">
        <v>15.0179384562795</v>
      </c>
      <c r="N12">
        <v>6.2845117866267204</v>
      </c>
      <c r="O12">
        <v>15.761277143555301</v>
      </c>
      <c r="P12">
        <v>13.8220324417748</v>
      </c>
      <c r="Q12">
        <v>16.7779984816015</v>
      </c>
      <c r="R12">
        <v>13.1977119976914</v>
      </c>
      <c r="S12">
        <v>12.866544620472</v>
      </c>
      <c r="T12">
        <v>11.0777984350957</v>
      </c>
      <c r="U12">
        <v>10.940366671467601</v>
      </c>
      <c r="V12" t="str">
        <v/>
      </c>
    </row>
    <row r="13" spans="1:22" ht="25.5" customHeight="1" x14ac:dyDescent="0.3">
      <c r="A13" s="2">
        <v>42369</v>
      </c>
      <c r="B13" t="str">
        <v/>
      </c>
      <c r="C13">
        <v>9.5706099133347493</v>
      </c>
      <c r="D13">
        <v>15.6625909554988</v>
      </c>
      <c r="E13">
        <v>13.3322794237975</v>
      </c>
      <c r="F13">
        <v>8.1959389953538402</v>
      </c>
      <c r="G13">
        <v>8.83035011509517</v>
      </c>
      <c r="H13">
        <v>10.6772868053956</v>
      </c>
      <c r="I13">
        <v>12.3828245738855</v>
      </c>
      <c r="J13" s="77" t="str">
        <v/>
      </c>
      <c r="K13" s="77">
        <v>8.8327668312628393</v>
      </c>
      <c r="L13">
        <v>10.634536034874101</v>
      </c>
      <c r="M13">
        <v>14.1296467541483</v>
      </c>
      <c r="N13">
        <v>5.4713363591772302</v>
      </c>
      <c r="O13">
        <v>15.905542104715799</v>
      </c>
      <c r="P13">
        <v>12.264088939939899</v>
      </c>
      <c r="Q13">
        <v>14.881445814290799</v>
      </c>
      <c r="R13">
        <v>12.826134737344599</v>
      </c>
      <c r="S13">
        <v>12.7726870869254</v>
      </c>
      <c r="T13">
        <v>12.304687111449301</v>
      </c>
      <c r="U13">
        <v>8.5756546844961008</v>
      </c>
      <c r="V13">
        <v>12.9007124779981</v>
      </c>
    </row>
    <row r="14" spans="1:22" ht="25.5" customHeight="1" x14ac:dyDescent="0.3">
      <c r="A14" s="2">
        <v>42734</v>
      </c>
      <c r="B14">
        <v>12.035710983290601</v>
      </c>
      <c r="C14">
        <v>8.6838665045544303</v>
      </c>
      <c r="D14">
        <v>15.054606398618001</v>
      </c>
      <c r="E14">
        <v>12.7182053290138</v>
      </c>
      <c r="F14">
        <v>8.8199252772021701</v>
      </c>
      <c r="G14">
        <v>12.5824807721625</v>
      </c>
      <c r="H14">
        <v>9.6001106335987991</v>
      </c>
      <c r="I14">
        <v>11.792466047279699</v>
      </c>
      <c r="J14" s="77">
        <v>12.236196707276701</v>
      </c>
      <c r="K14" s="77">
        <v>9.34985338936219</v>
      </c>
      <c r="L14">
        <v>11.2231596394428</v>
      </c>
      <c r="M14">
        <v>12.9857675631351</v>
      </c>
      <c r="N14">
        <v>4.5660179779951697</v>
      </c>
      <c r="O14">
        <v>15.693091658434399</v>
      </c>
      <c r="P14">
        <v>12.007707790005</v>
      </c>
      <c r="Q14">
        <v>12.143590871822299</v>
      </c>
      <c r="R14">
        <v>12.444505756756399</v>
      </c>
      <c r="S14">
        <v>12.845810717910901</v>
      </c>
      <c r="T14">
        <v>11.0383578639711</v>
      </c>
      <c r="U14">
        <v>13.499140434935599</v>
      </c>
      <c r="V14">
        <v>11.3294751772354</v>
      </c>
    </row>
    <row r="15" spans="1:22" ht="25.5" customHeight="1" x14ac:dyDescent="0.3">
      <c r="A15" s="2">
        <v>43098</v>
      </c>
      <c r="B15">
        <v>13.228058716685799</v>
      </c>
      <c r="C15">
        <v>9.3839204677486396</v>
      </c>
      <c r="D15">
        <v>15.7733994434049</v>
      </c>
      <c r="E15">
        <v>12.3434443766015</v>
      </c>
      <c r="F15">
        <v>10.583812917928499</v>
      </c>
      <c r="G15">
        <v>12.146198718530099</v>
      </c>
      <c r="H15">
        <v>9.8176605925737395</v>
      </c>
      <c r="I15">
        <v>12.5855614416921</v>
      </c>
      <c r="J15" s="77">
        <v>12.6640790394995</v>
      </c>
      <c r="K15" s="77">
        <v>11.1969769851489</v>
      </c>
      <c r="L15">
        <v>13.1487202255739</v>
      </c>
      <c r="M15">
        <v>13.347190311170101</v>
      </c>
      <c r="N15">
        <v>3.9464603441932802</v>
      </c>
      <c r="O15">
        <v>15.3154529754558</v>
      </c>
      <c r="P15">
        <v>13.3821124977803</v>
      </c>
      <c r="Q15">
        <v>12.130655327255299</v>
      </c>
      <c r="R15">
        <v>12.4919200136172</v>
      </c>
      <c r="S15">
        <v>15.205127173103399</v>
      </c>
      <c r="T15">
        <v>12.0257898837902</v>
      </c>
      <c r="U15">
        <v>12.1231419211942</v>
      </c>
      <c r="V15">
        <v>11.9967853551854</v>
      </c>
    </row>
    <row r="16" spans="1:22" ht="25.5" customHeight="1" x14ac:dyDescent="0.3">
      <c r="A16" s="2">
        <v>43465</v>
      </c>
      <c r="B16">
        <v>12.9587909941324</v>
      </c>
      <c r="C16">
        <v>11.2778516938703</v>
      </c>
      <c r="D16">
        <v>15.5352440090718</v>
      </c>
      <c r="E16">
        <v>11.7069295115669</v>
      </c>
      <c r="F16">
        <v>10.265799986894701</v>
      </c>
      <c r="G16">
        <v>10.922533007189999</v>
      </c>
      <c r="H16">
        <v>9.62847705365634</v>
      </c>
      <c r="I16">
        <v>11.512583795260401</v>
      </c>
      <c r="J16" s="77">
        <v>12.897214341888199</v>
      </c>
      <c r="K16" s="77">
        <v>9.7866294798228992</v>
      </c>
      <c r="L16">
        <v>15.197535127506599</v>
      </c>
      <c r="M16">
        <v>14.109787252230101</v>
      </c>
      <c r="N16">
        <v>4.2472666068859901</v>
      </c>
      <c r="O16">
        <v>14.612205045971701</v>
      </c>
      <c r="P16">
        <v>13.2137488528733</v>
      </c>
      <c r="Q16">
        <v>12.394741210409901</v>
      </c>
      <c r="R16">
        <v>12.5523899281401</v>
      </c>
      <c r="S16">
        <v>14.7086929252537</v>
      </c>
      <c r="T16">
        <v>10.390754425831799</v>
      </c>
      <c r="U16">
        <v>15.109726785561501</v>
      </c>
      <c r="V16">
        <v>12.170109651106801</v>
      </c>
    </row>
    <row r="17" spans="1:29" ht="25.5" customHeight="1" x14ac:dyDescent="0.3">
      <c r="A17" s="2">
        <v>43830</v>
      </c>
      <c r="B17">
        <v>13.4756717156392</v>
      </c>
      <c r="C17">
        <v>9.8359095445121696</v>
      </c>
      <c r="D17">
        <v>14.430010326605601</v>
      </c>
      <c r="E17">
        <v>12.053931828905901</v>
      </c>
      <c r="F17">
        <v>9.4389843194853</v>
      </c>
      <c r="G17">
        <v>11.9146021102361</v>
      </c>
      <c r="H17">
        <v>9.3328071547593403</v>
      </c>
      <c r="I17">
        <v>10.898313482389399</v>
      </c>
      <c r="J17" s="77">
        <v>12.0869262436821</v>
      </c>
      <c r="K17" s="77">
        <v>7.6764812398294504</v>
      </c>
      <c r="L17">
        <v>14.523025635774401</v>
      </c>
      <c r="M17">
        <v>13.618522645445299</v>
      </c>
      <c r="N17">
        <v>5.8100215417249998</v>
      </c>
      <c r="O17">
        <v>14.5354845941958</v>
      </c>
      <c r="P17">
        <v>12.8853123189466</v>
      </c>
      <c r="Q17">
        <v>11.644637815588201</v>
      </c>
      <c r="R17">
        <v>10.9395949228139</v>
      </c>
      <c r="S17">
        <v>14.8395465769289</v>
      </c>
      <c r="T17">
        <v>8.1284551585419198</v>
      </c>
      <c r="U17">
        <v>15.480793943374101</v>
      </c>
      <c r="V17">
        <v>11.230555981468701</v>
      </c>
    </row>
    <row r="18" spans="1:29" ht="25.5" customHeight="1" x14ac:dyDescent="0.3">
      <c r="A18" s="2">
        <v>44196</v>
      </c>
      <c r="B18">
        <v>12.9923016394021</v>
      </c>
      <c r="C18">
        <v>8.7546394285479305</v>
      </c>
      <c r="D18">
        <v>11.4814604290421</v>
      </c>
      <c r="E18">
        <v>8.9157572982520694</v>
      </c>
      <c r="F18">
        <v>7.2076865078890302</v>
      </c>
      <c r="G18">
        <v>12.086026376396999</v>
      </c>
      <c r="H18">
        <v>10.615395226220899</v>
      </c>
      <c r="I18">
        <v>11.620910867592601</v>
      </c>
      <c r="J18" s="77">
        <v>11.7827107614497</v>
      </c>
      <c r="K18" s="77">
        <v>8.3077031339017502</v>
      </c>
      <c r="L18">
        <v>16.600407780565199</v>
      </c>
      <c r="M18">
        <v>16.711537192718801</v>
      </c>
      <c r="N18">
        <v>5.3671121826145196</v>
      </c>
      <c r="O18">
        <v>12.8423838581616</v>
      </c>
      <c r="P18">
        <v>12.3572005897253</v>
      </c>
      <c r="Q18">
        <v>11.2380998666164</v>
      </c>
      <c r="R18">
        <v>8.3884975001135604</v>
      </c>
      <c r="S18">
        <v>12.8830287056985</v>
      </c>
      <c r="T18">
        <v>6.7620176250090998</v>
      </c>
      <c r="U18">
        <v>17.088911201056401</v>
      </c>
      <c r="V18">
        <v>10.146987054615</v>
      </c>
    </row>
    <row r="19" spans="1:29" ht="25.5" customHeight="1" x14ac:dyDescent="0.3">
      <c r="A19" s="2">
        <v>44561</v>
      </c>
      <c r="B19">
        <v>13.7666448363476</v>
      </c>
      <c r="C19">
        <v>10.603891183835101</v>
      </c>
      <c r="D19">
        <v>13.6928560240483</v>
      </c>
      <c r="E19">
        <v>9.5994541019286803</v>
      </c>
      <c r="F19">
        <v>10.1460102201106</v>
      </c>
      <c r="G19">
        <v>15.0555655388878</v>
      </c>
      <c r="H19">
        <v>9.4736311465114298</v>
      </c>
      <c r="I19">
        <v>14.724411980088</v>
      </c>
      <c r="J19" s="77">
        <v>13.6871625425579</v>
      </c>
      <c r="K19" s="77">
        <v>10.145877621050801</v>
      </c>
      <c r="L19">
        <v>20.358518612779601</v>
      </c>
      <c r="M19">
        <v>16.932589581546001</v>
      </c>
      <c r="N19">
        <v>8.8257668466653296</v>
      </c>
      <c r="O19">
        <v>15.161283532760899</v>
      </c>
      <c r="P19">
        <v>11.973806653633099</v>
      </c>
      <c r="Q19">
        <v>12.7317850147387</v>
      </c>
      <c r="R19">
        <v>9.9474702711992204</v>
      </c>
      <c r="S19">
        <v>18.572493536168601</v>
      </c>
      <c r="T19">
        <v>11.2349425542518</v>
      </c>
      <c r="U19">
        <v>18.384490602079399</v>
      </c>
      <c r="V19">
        <v>12.799787801291201</v>
      </c>
    </row>
    <row r="20" spans="1:29" ht="25.5" customHeight="1" x14ac:dyDescent="0.3">
      <c r="A20" s="2">
        <v>44925</v>
      </c>
      <c r="B20">
        <v>13.371191955749</v>
      </c>
      <c r="C20">
        <v>12.7874449833902</v>
      </c>
      <c r="D20">
        <v>15.6524440836665</v>
      </c>
      <c r="E20">
        <v>10.673124635346801</v>
      </c>
      <c r="F20">
        <v>10.9641857238333</v>
      </c>
      <c r="G20">
        <v>13.6225814185959</v>
      </c>
      <c r="H20">
        <v>10.1683466984571</v>
      </c>
      <c r="I20">
        <v>12.940792083987301</v>
      </c>
      <c r="J20" s="77">
        <v>13.3394699375391</v>
      </c>
      <c r="K20" s="77">
        <v>7.5097938664904698</v>
      </c>
      <c r="L20">
        <v>19.409523908352099</v>
      </c>
      <c r="M20">
        <v>16.8118349535848</v>
      </c>
      <c r="N20">
        <v>11.0341923380188</v>
      </c>
      <c r="O20">
        <v>14.9254916699691</v>
      </c>
      <c r="P20">
        <v>11.550394049399699</v>
      </c>
      <c r="Q20">
        <v>13.290131357764499</v>
      </c>
      <c r="R20">
        <v>10.1243577085674</v>
      </c>
      <c r="S20">
        <v>24.1409632075388</v>
      </c>
      <c r="T20">
        <v>12.9338493780006</v>
      </c>
      <c r="U20">
        <v>14.733462255063101</v>
      </c>
      <c r="V20">
        <v>13.7729696546777</v>
      </c>
    </row>
    <row r="21" spans="1:29" ht="25.5" customHeight="1" x14ac:dyDescent="0.3">
      <c r="A21" s="2">
        <v>45289</v>
      </c>
      <c r="B21">
        <v>12.0461204621416</v>
      </c>
      <c r="C21">
        <v>13.805506634060601</v>
      </c>
      <c r="D21">
        <v>14.0315214518572</v>
      </c>
      <c r="E21">
        <v>11.9407094450334</v>
      </c>
      <c r="F21">
        <v>12.394579327579899</v>
      </c>
      <c r="G21">
        <v>12.932447367368299</v>
      </c>
      <c r="H21">
        <v>9.5572838314107695</v>
      </c>
      <c r="I21">
        <v>11.9152161134332</v>
      </c>
      <c r="J21" s="77">
        <v>13.699010099052099</v>
      </c>
      <c r="K21" s="77">
        <v>8.9018523713911009</v>
      </c>
      <c r="L21">
        <v>18.6294532976694</v>
      </c>
      <c r="M21">
        <v>14.5722752976358</v>
      </c>
      <c r="N21">
        <v>13.1253657894167</v>
      </c>
      <c r="O21">
        <v>16.0763665032879</v>
      </c>
      <c r="P21">
        <v>11.562351585169701</v>
      </c>
      <c r="Q21">
        <v>12.1192289718939</v>
      </c>
      <c r="R21">
        <v>9.3493955236852209</v>
      </c>
      <c r="S21">
        <v>25.929266033517202</v>
      </c>
      <c r="T21">
        <v>13.225118228357401</v>
      </c>
      <c r="U21">
        <v>10.7481226516778</v>
      </c>
      <c r="V21">
        <v>11.7570018859186</v>
      </c>
    </row>
    <row r="23" spans="1:29" x14ac:dyDescent="0.3">
      <c r="A23" t="s">
        <v>311</v>
      </c>
      <c r="B23" s="78">
        <f t="shared" ref="B23:V23" si="0">MIN(_xlfn.ANCHORARRAY(B2))</f>
        <v>12.035710983290601</v>
      </c>
      <c r="C23" s="78">
        <f t="shared" si="0"/>
        <v>8.6838665045544303</v>
      </c>
      <c r="D23" s="78">
        <f t="shared" si="0"/>
        <v>11.4814604290421</v>
      </c>
      <c r="E23" s="78">
        <f t="shared" si="0"/>
        <v>8.9157572982520694</v>
      </c>
      <c r="F23" s="78">
        <f t="shared" si="0"/>
        <v>7.2076865078890302</v>
      </c>
      <c r="G23" s="78">
        <f t="shared" si="0"/>
        <v>8.83035011509517</v>
      </c>
      <c r="H23" s="78">
        <f t="shared" si="0"/>
        <v>9.3328071547593403</v>
      </c>
      <c r="I23" s="78">
        <f t="shared" si="0"/>
        <v>6.1959642113222397</v>
      </c>
      <c r="J23" s="78">
        <f t="shared" si="0"/>
        <v>11.7827107614497</v>
      </c>
      <c r="K23" s="78">
        <f t="shared" si="0"/>
        <v>7.5097938664904698</v>
      </c>
      <c r="L23" s="78">
        <f t="shared" si="0"/>
        <v>10.634536034874101</v>
      </c>
      <c r="M23" s="78">
        <f t="shared" si="0"/>
        <v>12.9857675631351</v>
      </c>
      <c r="N23" s="78">
        <f t="shared" si="0"/>
        <v>3.9464603441932802</v>
      </c>
      <c r="O23" s="78">
        <f t="shared" si="0"/>
        <v>12.8423838581616</v>
      </c>
      <c r="P23" s="78">
        <f t="shared" si="0"/>
        <v>11.550394049399699</v>
      </c>
      <c r="Q23" s="78">
        <f t="shared" si="0"/>
        <v>11.2380998666164</v>
      </c>
      <c r="R23" s="78">
        <f t="shared" si="0"/>
        <v>8.3884975001135604</v>
      </c>
      <c r="S23" s="78">
        <f t="shared" si="0"/>
        <v>12.7726870869254</v>
      </c>
      <c r="T23" s="78">
        <f t="shared" si="0"/>
        <v>6.7620176250090998</v>
      </c>
      <c r="U23" s="78">
        <f t="shared" si="0"/>
        <v>8.5756546844961008</v>
      </c>
      <c r="V23" s="78">
        <f t="shared" si="0"/>
        <v>10.146987054615</v>
      </c>
      <c r="W23" s="78"/>
      <c r="X23" s="78"/>
      <c r="Y23" s="78"/>
      <c r="Z23" s="78"/>
      <c r="AA23" s="78"/>
      <c r="AB23" s="78"/>
      <c r="AC23" s="78"/>
    </row>
    <row r="24" spans="1:29" x14ac:dyDescent="0.3">
      <c r="A24" t="s">
        <v>51</v>
      </c>
      <c r="B24" s="78">
        <f t="shared" ref="B24:V24" si="1">MEDIAN(_xlfn.ANCHORARRAY(B2))</f>
        <v>13.110180178043951</v>
      </c>
      <c r="C24" s="78">
        <f t="shared" si="1"/>
        <v>11.2778516938703</v>
      </c>
      <c r="D24" s="78">
        <f t="shared" si="1"/>
        <v>15.657517519582651</v>
      </c>
      <c r="E24" s="78">
        <f t="shared" si="1"/>
        <v>12.530824852807651</v>
      </c>
      <c r="F24" s="78">
        <f t="shared" si="1"/>
        <v>10.013481596831115</v>
      </c>
      <c r="G24" s="78">
        <f t="shared" si="1"/>
        <v>12.932447367368299</v>
      </c>
      <c r="H24" s="78">
        <f t="shared" si="1"/>
        <v>11.93920849991995</v>
      </c>
      <c r="I24" s="78">
        <f t="shared" si="1"/>
        <v>12.14902034365935</v>
      </c>
      <c r="J24" s="78">
        <f t="shared" si="1"/>
        <v>12.78064669069385</v>
      </c>
      <c r="K24" s="78">
        <f t="shared" si="1"/>
        <v>10.671427303099851</v>
      </c>
      <c r="L24" s="78">
        <f t="shared" si="1"/>
        <v>14.78925912646825</v>
      </c>
      <c r="M24" s="78">
        <f t="shared" si="1"/>
        <v>16.7616860731518</v>
      </c>
      <c r="N24" s="78">
        <f t="shared" si="1"/>
        <v>5.4192242708958744</v>
      </c>
      <c r="O24" s="78">
        <f t="shared" si="1"/>
        <v>15.463136340534799</v>
      </c>
      <c r="P24" s="78">
        <f t="shared" si="1"/>
        <v>12.8853123189466</v>
      </c>
      <c r="Q24" s="78">
        <f t="shared" si="1"/>
        <v>12.269166041116101</v>
      </c>
      <c r="R24" s="78">
        <f t="shared" si="1"/>
        <v>13.0025654489041</v>
      </c>
      <c r="S24" s="78">
        <f t="shared" si="1"/>
        <v>14.7741197510913</v>
      </c>
      <c r="T24" s="78">
        <f t="shared" si="1"/>
        <v>11.15637049467375</v>
      </c>
      <c r="U24" s="78">
        <f t="shared" si="1"/>
        <v>15.109726785561501</v>
      </c>
      <c r="V24" s="78">
        <f t="shared" si="1"/>
        <v>11.9967853551854</v>
      </c>
      <c r="W24" s="78"/>
      <c r="X24" s="78"/>
      <c r="Y24" s="78"/>
      <c r="Z24" s="78"/>
      <c r="AA24" s="78"/>
      <c r="AB24" s="78"/>
      <c r="AC24" s="78"/>
    </row>
    <row r="25" spans="1:29" x14ac:dyDescent="0.3">
      <c r="A25" t="s">
        <v>312</v>
      </c>
      <c r="B25" s="78">
        <f t="shared" ref="B25:V25" si="2">B21</f>
        <v>12.0461204621416</v>
      </c>
      <c r="C25" s="78">
        <f t="shared" si="2"/>
        <v>13.805506634060601</v>
      </c>
      <c r="D25" s="78">
        <f t="shared" si="2"/>
        <v>14.0315214518572</v>
      </c>
      <c r="E25" s="78">
        <f t="shared" si="2"/>
        <v>11.9407094450334</v>
      </c>
      <c r="F25" s="78">
        <f t="shared" si="2"/>
        <v>12.394579327579899</v>
      </c>
      <c r="G25" s="78">
        <f t="shared" si="2"/>
        <v>12.932447367368299</v>
      </c>
      <c r="H25" s="78">
        <f t="shared" si="2"/>
        <v>9.5572838314107695</v>
      </c>
      <c r="I25" s="78">
        <f t="shared" si="2"/>
        <v>11.9152161134332</v>
      </c>
      <c r="J25" s="78">
        <f t="shared" si="2"/>
        <v>13.699010099052099</v>
      </c>
      <c r="K25" s="78">
        <f t="shared" si="2"/>
        <v>8.9018523713911009</v>
      </c>
      <c r="L25" s="78">
        <f t="shared" si="2"/>
        <v>18.6294532976694</v>
      </c>
      <c r="M25" s="78">
        <f t="shared" si="2"/>
        <v>14.5722752976358</v>
      </c>
      <c r="N25" s="78">
        <f t="shared" si="2"/>
        <v>13.1253657894167</v>
      </c>
      <c r="O25" s="78">
        <f t="shared" si="2"/>
        <v>16.0763665032879</v>
      </c>
      <c r="P25" s="78">
        <f t="shared" si="2"/>
        <v>11.562351585169701</v>
      </c>
      <c r="Q25" s="78">
        <f t="shared" si="2"/>
        <v>12.1192289718939</v>
      </c>
      <c r="R25" s="78">
        <f t="shared" si="2"/>
        <v>9.3493955236852209</v>
      </c>
      <c r="S25" s="78">
        <f t="shared" si="2"/>
        <v>25.929266033517202</v>
      </c>
      <c r="T25" s="78">
        <f t="shared" si="2"/>
        <v>13.225118228357401</v>
      </c>
      <c r="U25" s="78">
        <f t="shared" si="2"/>
        <v>10.7481226516778</v>
      </c>
      <c r="V25" s="78">
        <f t="shared" si="2"/>
        <v>11.7570018859186</v>
      </c>
      <c r="W25" s="78"/>
      <c r="X25" s="78"/>
      <c r="Y25" s="78"/>
      <c r="Z25" s="78"/>
      <c r="AA25" s="78"/>
      <c r="AB25" s="78"/>
      <c r="AC25" s="7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80AB4-DEB5-4749-8316-46024619E8D3}">
  <dimension ref="A1:X79"/>
  <sheetViews>
    <sheetView workbookViewId="0">
      <selection activeCell="A3" sqref="A3"/>
    </sheetView>
  </sheetViews>
  <sheetFormatPr defaultRowHeight="14.4" x14ac:dyDescent="0.3"/>
  <cols>
    <col min="2" max="2" width="12.109375" bestFit="1" customWidth="1"/>
    <col min="3" max="3" width="15.88671875" customWidth="1"/>
    <col min="4" max="4" width="53" bestFit="1" customWidth="1"/>
    <col min="5" max="5" width="26.44140625" customWidth="1"/>
    <col min="6" max="6" width="12.109375" customWidth="1"/>
    <col min="7" max="7" width="15.109375" customWidth="1"/>
    <col min="8" max="8" width="18.5546875" customWidth="1"/>
    <col min="9" max="9" width="17.44140625" customWidth="1"/>
    <col min="10" max="10" width="17" customWidth="1"/>
    <col min="11" max="11" width="32.5546875" customWidth="1"/>
    <col min="12" max="12" width="35" customWidth="1"/>
    <col min="13" max="13" width="20.88671875" customWidth="1"/>
    <col min="14" max="14" width="8.6640625" style="79"/>
    <col min="20" max="21" width="11.44140625" customWidth="1"/>
  </cols>
  <sheetData>
    <row r="1" spans="1:24" x14ac:dyDescent="0.3">
      <c r="S1" s="5">
        <f>[2]Assumption!E42</f>
        <v>0.5</v>
      </c>
      <c r="T1" s="5">
        <f>[2]Assumption!E43</f>
        <v>0.25</v>
      </c>
      <c r="U1" s="5">
        <f>[2]Assumption!E44</f>
        <v>0.25</v>
      </c>
    </row>
    <row r="2" spans="1:24" x14ac:dyDescent="0.3">
      <c r="A2" t="s">
        <v>0</v>
      </c>
      <c r="B2" s="80" t="s">
        <v>313</v>
      </c>
      <c r="C2" s="80" t="s">
        <v>314</v>
      </c>
      <c r="D2" s="80" t="s">
        <v>315</v>
      </c>
      <c r="E2" s="80" t="s">
        <v>316</v>
      </c>
      <c r="G2" s="80" t="s">
        <v>317</v>
      </c>
      <c r="H2" s="80" t="s">
        <v>318</v>
      </c>
      <c r="I2" s="80" t="s">
        <v>319</v>
      </c>
      <c r="L2" s="80" t="s">
        <v>320</v>
      </c>
      <c r="S2" s="5" t="s">
        <v>321</v>
      </c>
      <c r="T2" s="5" t="s">
        <v>322</v>
      </c>
      <c r="U2" t="s">
        <v>323</v>
      </c>
      <c r="V2" s="24"/>
      <c r="X2" t="s">
        <v>324</v>
      </c>
    </row>
    <row r="3" spans="1:24" x14ac:dyDescent="0.3">
      <c r="A3" t="s">
        <v>232</v>
      </c>
      <c r="B3" t="s">
        <v>325</v>
      </c>
      <c r="C3" t="s">
        <v>326</v>
      </c>
      <c r="D3" s="81" t="str" cm="1">
        <f t="array" ref="D3">_xll.FDSB(C3,"FG_YIELD_NAME")</f>
        <v>Treasury - China Benchmark Bond 10Y</v>
      </c>
      <c r="E3" s="81" cm="1">
        <f t="array" ref="E3">IFERROR(_xll.FDS(C3,"FG_YIELD(0,,,,""YTM"")"),$E$26)</f>
        <v>2.4449000000000001</v>
      </c>
      <c r="G3" s="81" cm="1">
        <f t="array" ref="G3">_xll.FDSB(C3,"PCTCHG(FG_YIELD(0,,,,""YTM""),FG_YIELD(-1AM,,,,""YTM""))")</f>
        <v>-3.8236072000000001</v>
      </c>
      <c r="H3" s="81" cm="1">
        <f t="array" ref="H3">_xll.FDSB(C3,"PCTCHG(FG_YIELD(0,,,,""YTM""),FG_YIELD(-3AM,,,,""YTM""))")</f>
        <v>-8.2898820000000004</v>
      </c>
      <c r="I3" s="81"/>
      <c r="J3" s="81" t="s">
        <v>366</v>
      </c>
      <c r="K3" s="81" t="str" cm="1">
        <f t="array" ref="K3">_xll.FDSB(J3,"PROPER_NAME(0,,,""SECURITY"",""NAME"")")</f>
        <v>China Loan Prime Rate (LPR) - 1 Year</v>
      </c>
      <c r="L3" s="81" cm="1">
        <f t="array" ref="L3">_xll.FDSB(J3,"FG_YIELD(NOW,,,0)")</f>
        <v>3.45</v>
      </c>
      <c r="M3" s="82" cm="1">
        <f t="array" ref="M3">_xll.FDSB(J3,"(SUBARRAY(NOT_NA(NO_REPEAT_F(FG_YIELD(now,-10AY,D))),0,1)-SUBARRAY(NOT_NA(NO_REPEAT_F(FG_YIELD(now,-10AY,D))),1,1))*100")</f>
        <v>-9.9999999999999591</v>
      </c>
      <c r="N3" s="83">
        <f t="shared" ref="N3:N23" si="0">M3*-1</f>
        <v>9.9999999999999591</v>
      </c>
      <c r="S3">
        <f t="shared" ref="S3:S14" si="1">IF(M3&gt; 0, 0, 1)</f>
        <v>1</v>
      </c>
      <c r="T3">
        <f>IF(G3&lt;0, 1, 0)</f>
        <v>1</v>
      </c>
      <c r="U3">
        <f>IF(H3&lt;0, 1, 0)</f>
        <v>1</v>
      </c>
      <c r="V3" s="25">
        <f>SUMPRODUCT($S$1:$U$1,S3:U3)</f>
        <v>1</v>
      </c>
      <c r="X3">
        <f t="shared" ref="X3:X23" si="2">_xlfn.PERCENTRANK.EXC($V$3:$V$23,V3)*100</f>
        <v>81.8</v>
      </c>
    </row>
    <row r="4" spans="1:24" x14ac:dyDescent="0.3">
      <c r="A4" t="s">
        <v>235</v>
      </c>
      <c r="B4" t="s">
        <v>327</v>
      </c>
      <c r="C4" t="s">
        <v>328</v>
      </c>
      <c r="D4" s="81" t="str" cm="1">
        <f t="array" ref="D4">_xll.FDSB(C4,"FG_YIELD_NAME")</f>
        <v>Treasury - Chile Inflation-Indexed (TIPS) Bond 10Y</v>
      </c>
      <c r="E4" s="81" cm="1">
        <f t="array" ref="E4">IFERROR(_xll.FDS(C4,"FG_YIELD(0,,,,""YTM"")"),$E$26)</f>
        <v>2.3009455000000001</v>
      </c>
      <c r="G4" s="81" cm="1">
        <f t="array" ref="G4">_xll.FDSB(C4,"PCTCHG(FG_YIELD(0,,,,""YTM""),FG_YIELD(-1AM,,,,""YTM""))")</f>
        <v>-10.866184000000001</v>
      </c>
      <c r="H4" s="81" cm="1">
        <f t="array" ref="H4">_xll.FDSB(C4,"PCTCHG(FG_YIELD(0,,,,""YTM""),FG_YIELD(-3AM,,,,""YTM""))")</f>
        <v>-20.817242</v>
      </c>
      <c r="I4" s="81"/>
      <c r="J4" s="81" t="s">
        <v>367</v>
      </c>
      <c r="K4" s="81" t="str" cm="1">
        <f t="array" ref="K4">_xll.FDSB(J4,"PROPER_NAME(0,,,""SECURITY"",""NAME"")")</f>
        <v>Chile Monetary Policy Rate</v>
      </c>
      <c r="L4" s="81" cm="1">
        <f t="array" ref="L4">_xll.FDSB(J4,"FG_YIELD(NOW,,,0)")</f>
        <v>7.25</v>
      </c>
      <c r="M4" s="82" cm="1">
        <f t="array" ref="M4">_xll.FDSB(J4,"(SUBARRAY(NOT_NA(NO_REPEAT_F(FG_YIELD(now,-10AY,D))),0,1)-SUBARRAY(NOT_NA(NO_REPEAT_F(FG_YIELD(now,-10AY,D))),1,1))*100")</f>
        <v>-100</v>
      </c>
      <c r="N4" s="83">
        <f t="shared" si="0"/>
        <v>100</v>
      </c>
      <c r="S4">
        <f t="shared" si="1"/>
        <v>1</v>
      </c>
      <c r="T4">
        <f t="shared" ref="T4:U23" si="3">IF(G4&lt;0, 1, 0)</f>
        <v>1</v>
      </c>
      <c r="U4">
        <f t="shared" si="3"/>
        <v>1</v>
      </c>
      <c r="V4" s="25">
        <f t="shared" ref="V4:V23" si="4">SUMPRODUCT($S$1:$U$1,S4:U4)</f>
        <v>1</v>
      </c>
      <c r="X4">
        <f t="shared" si="2"/>
        <v>81.8</v>
      </c>
    </row>
    <row r="5" spans="1:24" x14ac:dyDescent="0.3">
      <c r="A5" t="s">
        <v>239</v>
      </c>
      <c r="B5" t="s">
        <v>329</v>
      </c>
      <c r="C5" t="s">
        <v>330</v>
      </c>
      <c r="D5" s="81" t="str" cm="1">
        <f t="array" ref="D5">_xll.FDSB(C5,"FG_YIELD_NAME")</f>
        <v>Treasury - Indonesia Benchmark Bond 10Y</v>
      </c>
      <c r="E5" s="81" cm="1">
        <f t="array" ref="E5">IFERROR(_xll.FDS(C5,"FG_YIELD(0,,,,""YTM"")"),$E$26)</f>
        <v>6.6256620000000002</v>
      </c>
      <c r="G5" s="81" cm="1">
        <f t="array" ref="G5">_xll.FDSB(C5,"PCTCHG(FG_YIELD(0,,,,""YTM""),FG_YIELD(-1AM,,,,""YTM""))")</f>
        <v>-0.19331366</v>
      </c>
      <c r="H5" s="81" cm="1">
        <f t="array" ref="H5">_xll.FDSB(C5,"PCTCHG(FG_YIELD(0,,,,""YTM""),FG_YIELD(-3AM,,,,""YTM""))")</f>
        <v>-2.1781193999999999</v>
      </c>
      <c r="I5" s="81"/>
      <c r="J5" s="81" t="s">
        <v>368</v>
      </c>
      <c r="K5" s="81" t="str" cm="1">
        <f t="array" ref="K5">_xll.FDSB(J5,"PROPER_NAME(0,,,""SECURITY"",""NAME"")")</f>
        <v>Indonesia BI (Reverse) Repo Rate - 7 Day</v>
      </c>
      <c r="L5" s="81" cm="1">
        <f t="array" ref="L5">_xll.FDSB(J5,"FG_YIELD(NOW,,,0)")</f>
        <v>6</v>
      </c>
      <c r="M5" s="82" cm="1">
        <f t="array" ref="M5">_xll.FDSB(J5,"(SUBARRAY(NOT_NA(NO_REPEAT_F(FG_YIELD(now,-10AY,D))),0,1)-SUBARRAY(NOT_NA(NO_REPEAT_F(FG_YIELD(now,-10AY,D))),1,1))*100")</f>
        <v>25</v>
      </c>
      <c r="N5" s="83">
        <f t="shared" si="0"/>
        <v>-25</v>
      </c>
      <c r="S5">
        <f t="shared" si="1"/>
        <v>0</v>
      </c>
      <c r="T5">
        <f t="shared" si="3"/>
        <v>1</v>
      </c>
      <c r="U5">
        <f t="shared" si="3"/>
        <v>1</v>
      </c>
      <c r="V5" s="25">
        <f t="shared" si="4"/>
        <v>0.5</v>
      </c>
      <c r="X5">
        <f t="shared" si="2"/>
        <v>54.500000000000007</v>
      </c>
    </row>
    <row r="6" spans="1:24" x14ac:dyDescent="0.3">
      <c r="A6" t="s">
        <v>243</v>
      </c>
      <c r="B6" t="s">
        <v>331</v>
      </c>
      <c r="C6" t="s">
        <v>332</v>
      </c>
      <c r="D6" s="81" t="str" cm="1">
        <f t="array" ref="D6">_xll.FDSB(C6,"FG_YIELD_NAME")</f>
        <v>Philippines Benchmark Bond - 10 Year</v>
      </c>
      <c r="E6" s="81" cm="1">
        <f t="array" ref="E6">IFERROR(_xll.FDS(C6,"FG_YIELD(0,,,,""YTM"")"),$E$26)</f>
        <v>6.1835019999999998</v>
      </c>
      <c r="G6" s="81" cm="1">
        <f t="array" ref="G6">_xll.FDSB(C6,"PCTCHG(FG_YIELD(0,,,,""YTM""),FG_YIELD(-1AM,,,,""YTM""))")</f>
        <v>-5.0522959999999999E-2</v>
      </c>
      <c r="H6" s="81" cm="1">
        <f t="array" ref="H6">_xll.FDSB(C6,"PCTCHG(FG_YIELD(0,,,,""YTM""),FG_YIELD(-3AM,,,,""YTM""))")</f>
        <v>-5.5449032999999996</v>
      </c>
      <c r="I6" s="81"/>
      <c r="J6" s="81" t="s">
        <v>369</v>
      </c>
      <c r="K6" s="81" t="str" cm="1">
        <f t="array" ref="K6">_xll.FDSB(J6,"PROPER_NAME(0,,,""SECURITY"",""NAME"")")</f>
        <v>Philippines Reverse Repo Rate - Overnight</v>
      </c>
      <c r="L6" s="81" cm="1">
        <f t="array" ref="L6">_xll.FDSB(J6,"FG_YIELD(NOW,,,0)")</f>
        <v>6.5</v>
      </c>
      <c r="M6" s="82" cm="1">
        <f t="array" ref="M6">_xll.FDSB(J6,"(SUBARRAY(NOT_NA(NO_REPEAT_F(FG_YIELD(now,-10AY,D))),0,1)-SUBARRAY(NOT_NA(NO_REPEAT_F(FG_YIELD(now,-10AY,D))),1,1))*100")</f>
        <v>25</v>
      </c>
      <c r="N6" s="83">
        <f t="shared" si="0"/>
        <v>-25</v>
      </c>
      <c r="S6">
        <f t="shared" si="1"/>
        <v>0</v>
      </c>
      <c r="T6">
        <f t="shared" si="3"/>
        <v>1</v>
      </c>
      <c r="U6">
        <f t="shared" si="3"/>
        <v>1</v>
      </c>
      <c r="V6" s="25">
        <f t="shared" si="4"/>
        <v>0.5</v>
      </c>
      <c r="X6">
        <f t="shared" si="2"/>
        <v>54.500000000000007</v>
      </c>
    </row>
    <row r="7" spans="1:24" x14ac:dyDescent="0.3">
      <c r="A7" t="s">
        <v>247</v>
      </c>
      <c r="B7" t="s">
        <v>333</v>
      </c>
      <c r="C7" t="s">
        <v>334</v>
      </c>
      <c r="D7" s="81" t="str" cm="1">
        <f t="array" ref="D7">_xll.FDSB(C7,"FG_YIELD_NAME")</f>
        <v>Treasury - Poland Benchmark Bond 10Y</v>
      </c>
      <c r="E7" s="81" cm="1">
        <f t="array" ref="E7">IFERROR(_xll.FDS(C7,"FG_YIELD(0,,,,""YTM"")"),$E$26)</f>
        <v>5.4668000000000001</v>
      </c>
      <c r="G7" s="81" cm="1">
        <f t="array" ref="G7">_xll.FDSB(C7,"PCTCHG(FG_YIELD(0,,,,""YTM""),FG_YIELD(-1AM,,,,""YTM""))")</f>
        <v>7.9605823000000004</v>
      </c>
      <c r="H7" s="81" cm="1">
        <f t="array" ref="H7">_xll.FDSB(C7,"PCTCHG(FG_YIELD(0,,,,""YTM""),FG_YIELD(-3AM,,,,""YTM""))")</f>
        <v>-3.9496737</v>
      </c>
      <c r="I7" s="81"/>
      <c r="J7" s="81" t="s">
        <v>370</v>
      </c>
      <c r="K7" s="81" t="str" cm="1">
        <f t="array" ref="K7">_xll.FDSB(J7,"PROPER_NAME(0,,,""SECURITY"",""NAME"")")</f>
        <v>Poland Reference Rate - 7 Day</v>
      </c>
      <c r="L7" s="81" cm="1">
        <f t="array" ref="L7">_xll.FDSB(J7,"FG_YIELD(NOW,,,0)")</f>
        <v>5.75</v>
      </c>
      <c r="M7" s="82" cm="1">
        <f t="array" ref="M7">_xll.FDSB(J7,"(SUBARRAY(NOT_NA(NO_REPEAT_F(FG_YIELD(now,-10AY,D))),0,1)-SUBARRAY(NOT_NA(NO_REPEAT_F(FG_YIELD(now,-10AY,D))),1,1))*100")</f>
        <v>-25</v>
      </c>
      <c r="N7" s="83">
        <f t="shared" si="0"/>
        <v>25</v>
      </c>
      <c r="S7">
        <f t="shared" si="1"/>
        <v>1</v>
      </c>
      <c r="T7">
        <f t="shared" si="3"/>
        <v>0</v>
      </c>
      <c r="U7">
        <f t="shared" si="3"/>
        <v>1</v>
      </c>
      <c r="V7" s="25">
        <f t="shared" si="4"/>
        <v>0.75</v>
      </c>
      <c r="X7">
        <f t="shared" si="2"/>
        <v>68.100000000000009</v>
      </c>
    </row>
    <row r="8" spans="1:24" x14ac:dyDescent="0.3">
      <c r="A8" t="s">
        <v>251</v>
      </c>
      <c r="B8" t="s">
        <v>335</v>
      </c>
      <c r="C8" t="s">
        <v>336</v>
      </c>
      <c r="D8" s="81" t="str" cm="1">
        <f t="array" ref="D8">_xll.FDSB(C8,"FG_YIELD_NAME")</f>
        <v>Treasury - Peru Benchmark Bond 10Y</v>
      </c>
      <c r="E8" s="81" cm="1">
        <f t="array" ref="E8">IFERROR(_xll.FDS(C8,"FG_YIELD(0,,,,""YTM"")"),$E$26)</f>
        <v>6.7309049999999999</v>
      </c>
      <c r="G8" s="81" cm="1">
        <f t="array" ref="G8">_xll.FDSB(C8,"PCTCHG(FG_YIELD(0,,,,""YTM""),FG_YIELD(-1AM,,,,""YTM""))")</f>
        <v>4.1748523999999998</v>
      </c>
      <c r="H8" s="81" cm="1">
        <f t="array" ref="H8">_xll.FDSB(C8,"PCTCHG(FG_YIELD(0,,,,""YTM""),FG_YIELD(-3AM,,,,""YTM""))")</f>
        <v>-5.2570777</v>
      </c>
      <c r="I8" s="81"/>
      <c r="J8" s="81" t="s">
        <v>371</v>
      </c>
      <c r="K8" s="81" t="str" cm="1">
        <f t="array" ref="K8">_xll.FDSB(J8,"PROPER_NAME(0,,,""SECURITY"",""NAME"")")</f>
        <v>Peru Policy Rate</v>
      </c>
      <c r="L8" s="81" cm="1">
        <f t="array" ref="L8">_xll.FDSB(J8,"FG_YIELD(NOW,,,0)")</f>
        <v>6.25</v>
      </c>
      <c r="M8" s="82" cm="1">
        <f t="array" ref="M8">_xll.FDSB(J8,"(SUBARRAY(NOT_NA(NO_REPEAT_F(FG_YIELD(now,-10AY,D))),0,1)-SUBARRAY(NOT_NA(NO_REPEAT_F(FG_YIELD(now,-10AY,D))),1,1))*100")</f>
        <v>-25</v>
      </c>
      <c r="N8" s="83">
        <f t="shared" si="0"/>
        <v>25</v>
      </c>
      <c r="S8">
        <f t="shared" si="1"/>
        <v>1</v>
      </c>
      <c r="T8">
        <f t="shared" si="3"/>
        <v>0</v>
      </c>
      <c r="U8">
        <f t="shared" si="3"/>
        <v>1</v>
      </c>
      <c r="V8" s="25">
        <f t="shared" si="4"/>
        <v>0.75</v>
      </c>
      <c r="X8">
        <f t="shared" si="2"/>
        <v>68.100000000000009</v>
      </c>
    </row>
    <row r="9" spans="1:24" x14ac:dyDescent="0.3">
      <c r="A9" t="s">
        <v>255</v>
      </c>
      <c r="B9" t="s">
        <v>337</v>
      </c>
      <c r="C9" t="s">
        <v>338</v>
      </c>
      <c r="D9" s="81" t="str" cm="1">
        <f t="array" ref="D9">_xll.FDSB(C9,"FG_YIELD_NAME")</f>
        <v>Treasury - Malaysia Benchmark Bond 10Y</v>
      </c>
      <c r="E9" s="81" cm="1">
        <f t="array" ref="E9">IFERROR(_xll.FDS(C9,"FG_YIELD(0,,,,""YTM"")"),$E$26)</f>
        <v>3.8068659999999999</v>
      </c>
      <c r="G9" s="81" cm="1">
        <f t="array" ref="G9">_xll.FDSB(C9,"PCTCHG(FG_YIELD(0,,,,""YTM""),FG_YIELD(-1AM,,,,""YTM""))")</f>
        <v>4.8602135000000001E-3</v>
      </c>
      <c r="H9" s="81" cm="1">
        <f t="array" ref="H9">_xll.FDSB(C9,"PCTCHG(FG_YIELD(0,,,,""YTM""),FG_YIELD(-3AM,,,,""YTM""))")</f>
        <v>-2.1127372000000002</v>
      </c>
      <c r="I9" s="81"/>
      <c r="J9" s="81" t="s">
        <v>372</v>
      </c>
      <c r="K9" s="81" t="str" cm="1">
        <f t="array" ref="K9">_xll.FDSB(J9,"PROPER_NAME(0,,,""SECURITY"",""NAME"")")</f>
        <v>Malaysia Policy Rate - Overnight</v>
      </c>
      <c r="L9" s="81" cm="1">
        <f t="array" ref="L9">_xll.FDSB(J9,"FG_YIELD(NOW,,,0)")</f>
        <v>3</v>
      </c>
      <c r="M9" s="82" cm="1">
        <f t="array" ref="M9">_xll.FDSB(J9,"(SUBARRAY(NOT_NA(NO_REPEAT_F(FG_YIELD(now,-10AY,D))),0,1)-SUBARRAY(NOT_NA(NO_REPEAT_F(FG_YIELD(now,-10AY,D))),1,1))*100")</f>
        <v>25</v>
      </c>
      <c r="N9" s="83">
        <f t="shared" si="0"/>
        <v>-25</v>
      </c>
      <c r="S9">
        <f t="shared" si="1"/>
        <v>0</v>
      </c>
      <c r="T9">
        <f t="shared" si="3"/>
        <v>0</v>
      </c>
      <c r="U9">
        <f t="shared" si="3"/>
        <v>1</v>
      </c>
      <c r="V9" s="25">
        <f t="shared" si="4"/>
        <v>0.25</v>
      </c>
      <c r="X9">
        <f t="shared" si="2"/>
        <v>18.099999999999998</v>
      </c>
    </row>
    <row r="10" spans="1:24" x14ac:dyDescent="0.3">
      <c r="A10" t="s">
        <v>259</v>
      </c>
      <c r="B10" t="s">
        <v>339</v>
      </c>
      <c r="C10" t="s">
        <v>340</v>
      </c>
      <c r="D10" s="81" t="str" cm="1">
        <f t="array" ref="D10">_xll.FDSB(C10,"FG_YIELD_NAME")</f>
        <v>"Taiwan, China Benchmark Bond - 10 Year"</v>
      </c>
      <c r="E10" s="81" cm="1">
        <f t="array" ref="E10">IFERROR(_xll.FDS(C10,"FG_YIELD(0,,,,""YTM"")"),$E$26)</f>
        <v>4.1153000000000004</v>
      </c>
      <c r="G10" s="81" t="str" cm="1">
        <f t="array" ref="G10">_xll.FDSB(C10,"PCTCHG(FG_YIELD(0,,,,""YTM""),FG_YIELD(-1AM,,,,""YTM""))")</f>
        <v/>
      </c>
      <c r="H10" s="81" t="str" cm="1">
        <f t="array" ref="H10">_xll.FDSB(C10,"PCTCHG(FG_YIELD(0,,,,""YTM""),FG_YIELD(-3AM,,,,""YTM""))")</f>
        <v/>
      </c>
      <c r="I10" s="81"/>
      <c r="J10" s="81" t="s">
        <v>373</v>
      </c>
      <c r="K10" s="81" t="str" cm="1">
        <f t="array" ref="K10">_xll.FDSB(J10,"PROPER_NAME(0,,,""SECURITY"",""NAME"")")</f>
        <v>Taiwan China Discount Rate</v>
      </c>
      <c r="L10" s="81" cm="1">
        <f t="array" ref="L10">_xll.FDSB(J10,"FG_YIELD(NOW,,,0)")</f>
        <v>1.875</v>
      </c>
      <c r="M10" s="82" cm="1">
        <f t="array" ref="M10">_xll.FDSB(J10,"(SUBARRAY(NOT_NA(NO_REPEAT_F(FG_YIELD(now,-10AY,D))),0,1)-SUBARRAY(NOT_NA(NO_REPEAT_F(FG_YIELD(now,-10AY,D))),1,1))*100")</f>
        <v>12.5</v>
      </c>
      <c r="N10" s="83">
        <f t="shared" si="0"/>
        <v>-12.5</v>
      </c>
      <c r="S10">
        <f t="shared" si="1"/>
        <v>0</v>
      </c>
      <c r="T10">
        <f t="shared" si="3"/>
        <v>0</v>
      </c>
      <c r="U10">
        <f t="shared" si="3"/>
        <v>0</v>
      </c>
      <c r="V10" s="25">
        <f t="shared" si="4"/>
        <v>0</v>
      </c>
      <c r="X10">
        <f t="shared" si="2"/>
        <v>4.5</v>
      </c>
    </row>
    <row r="11" spans="1:24" x14ac:dyDescent="0.3">
      <c r="A11" t="s">
        <v>263</v>
      </c>
      <c r="B11" t="s">
        <v>341</v>
      </c>
      <c r="C11" t="s">
        <v>342</v>
      </c>
      <c r="D11" s="81" t="str" cm="1">
        <f t="array" ref="D11">_xll.FDSB(C11,"FG_YIELD_NAME")</f>
        <v>Treasury - Mexico Benchmark Bond 10Y</v>
      </c>
      <c r="E11" s="81" cm="1">
        <f t="array" ref="E11">IFERROR(_xll.FDS(C11,"FG_YIELD(0,,,,""YTM"")"),$E$26)</f>
        <v>9.3171999999999997</v>
      </c>
      <c r="G11" s="81" cm="1">
        <f t="array" ref="G11">_xll.FDSB(C11,"PCTCHG(FG_YIELD(0,,,,""YTM""),FG_YIELD(-1AM,,,,""YTM""))")</f>
        <v>3.3854427</v>
      </c>
      <c r="H11" s="81" cm="1">
        <f t="array" ref="H11">_xll.FDSB(C11,"PCTCHG(FG_YIELD(0,,,,""YTM""),FG_YIELD(-3AM,,,,""YTM""))")</f>
        <v>-3.6085314999999998</v>
      </c>
      <c r="I11" s="81"/>
      <c r="J11" s="81" t="s">
        <v>374</v>
      </c>
      <c r="K11" s="81" t="str" cm="1">
        <f t="array" ref="K11">_xll.FDSB(J11,"PROPER_NAME(0,,,""SECURITY"",""NAME"")")</f>
        <v>Mexico Target Rate - Overnight</v>
      </c>
      <c r="L11" s="81" cm="1">
        <f t="array" ref="L11">_xll.FDSB(J11,"FG_YIELD(NOW,,,0)")</f>
        <v>11.25</v>
      </c>
      <c r="M11" s="82" cm="1">
        <f t="array" ref="M11">_xll.FDSB(J11,"(SUBARRAY(NOT_NA(NO_REPEAT_F(FG_YIELD(now,-10AY,D))),0,1)-SUBARRAY(NOT_NA(NO_REPEAT_F(FG_YIELD(now,-10AY,D))),1,1))*100")</f>
        <v>25</v>
      </c>
      <c r="N11" s="83">
        <f t="shared" si="0"/>
        <v>-25</v>
      </c>
      <c r="S11">
        <f t="shared" si="1"/>
        <v>0</v>
      </c>
      <c r="T11">
        <f t="shared" si="3"/>
        <v>0</v>
      </c>
      <c r="U11">
        <f t="shared" si="3"/>
        <v>1</v>
      </c>
      <c r="V11" s="25">
        <f t="shared" si="4"/>
        <v>0.25</v>
      </c>
      <c r="X11">
        <f t="shared" si="2"/>
        <v>18.099999999999998</v>
      </c>
    </row>
    <row r="12" spans="1:24" x14ac:dyDescent="0.3">
      <c r="A12" t="s">
        <v>267</v>
      </c>
      <c r="B12" t="s">
        <v>343</v>
      </c>
      <c r="C12" t="s">
        <v>344</v>
      </c>
      <c r="D12" s="81" t="str" cm="1">
        <f t="array" ref="D12">_xll.FDSB(C12,"FG_YIELD_NAME")</f>
        <v>South Korea Benchmark Bond - 10 Year</v>
      </c>
      <c r="E12" s="81" cm="1">
        <f t="array" ref="E12">IFERROR(_xll.FDS(C12,"FG_YIELD(0,,,,""YTM"")"),$E$26)</f>
        <v>3.4447999999999999</v>
      </c>
      <c r="G12" s="81" cm="1">
        <f t="array" ref="G12">_xll.FDSB(C12,"PCTCHG(FG_YIELD(0,,,,""YTM""),FG_YIELD(-1AM,,,,""YTM""))")</f>
        <v>4.1480192999999996</v>
      </c>
      <c r="H12" s="81" cm="1">
        <f t="array" ref="H12">_xll.FDSB(C12,"PCTCHG(FG_YIELD(0,,,,""YTM""),FG_YIELD(-3AM,,,,""YTM""))")</f>
        <v>-14.026161999999999</v>
      </c>
      <c r="I12" s="81"/>
      <c r="J12" s="81" t="s">
        <v>375</v>
      </c>
      <c r="K12" s="81" t="str" cm="1">
        <f t="array" ref="K12">_xll.FDSB(J12,"PROPER_NAME(0,,,""SECURITY"",""NAME"")")</f>
        <v>South Korea Base Rate</v>
      </c>
      <c r="L12" s="81" cm="1">
        <f t="array" ref="L12">_xll.FDSB(J12,"FG_YIELD(NOW,,,0)")</f>
        <v>3.5</v>
      </c>
      <c r="M12" s="82" cm="1">
        <f t="array" ref="M12">_xll.FDSB(J12,"(SUBARRAY(NOT_NA(NO_REPEAT_F(FG_YIELD(now,-10AY,D))),0,1)-SUBARRAY(NOT_NA(NO_REPEAT_F(FG_YIELD(now,-10AY,D))),1,1))*100")</f>
        <v>25</v>
      </c>
      <c r="N12" s="83">
        <f t="shared" si="0"/>
        <v>-25</v>
      </c>
      <c r="S12">
        <f t="shared" si="1"/>
        <v>0</v>
      </c>
      <c r="T12">
        <f t="shared" si="3"/>
        <v>0</v>
      </c>
      <c r="U12">
        <f t="shared" si="3"/>
        <v>1</v>
      </c>
      <c r="V12" s="25">
        <f t="shared" si="4"/>
        <v>0.25</v>
      </c>
      <c r="X12">
        <f t="shared" si="2"/>
        <v>18.099999999999998</v>
      </c>
    </row>
    <row r="13" spans="1:24" x14ac:dyDescent="0.3">
      <c r="A13" t="s">
        <v>271</v>
      </c>
      <c r="B13" t="s">
        <v>345</v>
      </c>
      <c r="C13" t="s">
        <v>346</v>
      </c>
      <c r="D13" s="81" t="str" cm="1">
        <f t="array" ref="D13">_xll.FDSB(C13,"FG_YIELD_NAME")</f>
        <v>Treasury - Brazil Benchmark Bond 10Y</v>
      </c>
      <c r="E13" s="81" cm="1">
        <f t="array" ref="E13">IFERROR(_xll.FDS(C13,"FG_YIELD(0,,,,""YTM"")"),$E$26)</f>
        <v>10.94022</v>
      </c>
      <c r="G13" s="81" cm="1">
        <f t="array" ref="G13">_xll.FDSB(C13,"PCTCHG(FG_YIELD(0,,,,""YTM""),FG_YIELD(-1AM,,,,""YTM""))")</f>
        <v>2.792157</v>
      </c>
      <c r="H13" s="81" cm="1">
        <f t="array" ref="H13">_xll.FDSB(C13,"PCTCHG(FG_YIELD(0,,,,""YTM""),FG_YIELD(-3AM,,,,""YTM""))")</f>
        <v>-4.8332129999999998</v>
      </c>
      <c r="I13" s="81"/>
      <c r="J13" s="81" t="s">
        <v>376</v>
      </c>
      <c r="K13" s="81" t="str" cm="1">
        <f t="array" ref="K13">_xll.FDSB(J13,"PROPER_NAME(0,,,""SECURITY"",""NAME"")")</f>
        <v>Brazil Target Selic Rate</v>
      </c>
      <c r="L13" s="81" cm="1">
        <f t="array" ref="L13">_xll.FDSB(J13,"FG_YIELD(NOW,,,0)")</f>
        <v>11.25</v>
      </c>
      <c r="M13" s="82" cm="1">
        <f t="array" ref="M13">_xll.FDSB(J13,"(SUBARRAY(NOT_NA(NO_REPEAT_F(FG_YIELD(now,-10AY,D))),0,1)-SUBARRAY(NOT_NA(NO_REPEAT_F(FG_YIELD(now,-10AY,D))),1,1))*100")</f>
        <v>-50</v>
      </c>
      <c r="N13" s="83">
        <f t="shared" si="0"/>
        <v>50</v>
      </c>
      <c r="S13">
        <f t="shared" si="1"/>
        <v>1</v>
      </c>
      <c r="T13">
        <f t="shared" si="3"/>
        <v>0</v>
      </c>
      <c r="U13">
        <f t="shared" si="3"/>
        <v>1</v>
      </c>
      <c r="V13" s="25">
        <f t="shared" si="4"/>
        <v>0.75</v>
      </c>
      <c r="X13">
        <f t="shared" si="2"/>
        <v>68.100000000000009</v>
      </c>
    </row>
    <row r="14" spans="1:24" x14ac:dyDescent="0.3">
      <c r="A14" t="s">
        <v>275</v>
      </c>
      <c r="B14" t="s">
        <v>347</v>
      </c>
      <c r="C14" t="s">
        <v>348</v>
      </c>
      <c r="D14" s="81" t="str" cm="1">
        <f t="array" ref="D14">_xll.FDSB(C14,"FG_YIELD_NAME")</f>
        <v>South Africa Benchmark Bond - 10 Year</v>
      </c>
      <c r="E14" s="81" cm="1">
        <f t="array" ref="E14">IFERROR(_xll.FDS(C14,"FG_YIELD(0,,,,""YTM"")"),$E$26)</f>
        <v>11.711349999999999</v>
      </c>
      <c r="G14" s="81" cm="1">
        <f t="array" ref="G14">_xll.FDSB(C14,"PCTCHG(FG_YIELD(0,,,,""YTM""),FG_YIELD(-1AM,,,,""YTM""))")</f>
        <v>3.6096629999999998</v>
      </c>
      <c r="H14" s="81" cm="1">
        <f t="array" ref="H14">_xll.FDSB(C14,"PCTCHG(FG_YIELD(0,,,,""YTM""),FG_YIELD(-3AM,,,,""YTM""))")</f>
        <v>-2.4078094999999999</v>
      </c>
      <c r="I14" s="81"/>
      <c r="J14" s="81" t="s">
        <v>377</v>
      </c>
      <c r="K14" s="81" t="str" cm="1">
        <f t="array" ref="K14">_xll.FDSB(J14,"PROPER_NAME(0,,,""SECURITY"",""NAME"")")</f>
        <v>South Africa Repo Rate</v>
      </c>
      <c r="L14" s="81" cm="1">
        <f t="array" ref="L14">_xll.FDSB(J14,"FG_YIELD(NOW,,,0)")</f>
        <v>8.25</v>
      </c>
      <c r="M14" s="82" cm="1">
        <f t="array" ref="M14">_xll.FDSB(J14,"(SUBARRAY(NOT_NA(NO_REPEAT_F(FG_YIELD(now,-10AY,D))),0,1)-SUBARRAY(NOT_NA(NO_REPEAT_F(FG_YIELD(now,-10AY,D))),1,1))*100")</f>
        <v>50</v>
      </c>
      <c r="N14" s="83">
        <f t="shared" si="0"/>
        <v>-50</v>
      </c>
      <c r="S14">
        <f t="shared" si="1"/>
        <v>0</v>
      </c>
      <c r="T14">
        <f t="shared" si="3"/>
        <v>0</v>
      </c>
      <c r="U14">
        <f t="shared" si="3"/>
        <v>1</v>
      </c>
      <c r="V14" s="25">
        <f t="shared" si="4"/>
        <v>0.25</v>
      </c>
      <c r="X14">
        <f t="shared" si="2"/>
        <v>18.099999999999998</v>
      </c>
    </row>
    <row r="15" spans="1:24" x14ac:dyDescent="0.3">
      <c r="A15" t="s">
        <v>279</v>
      </c>
      <c r="B15" t="s">
        <v>349</v>
      </c>
      <c r="C15" t="s">
        <v>350</v>
      </c>
      <c r="D15" s="81" t="str" cm="1">
        <f t="array" ref="D15">_xll.FDSB(C15,"FG_YIELD_NAME")</f>
        <v>Greece Benchmark Bond - 10 Year</v>
      </c>
      <c r="E15" s="81" cm="1">
        <f t="array" ref="E15">IFERROR(_xll.FDS(C15,"FG_YIELD(0,,,,""YTM"")"),$E$26)</f>
        <v>3.4950000000000001</v>
      </c>
      <c r="G15" s="81" cm="1">
        <f t="array" ref="G15">_xll.FDSB(C15,"PCTCHG(FG_YIELD(0,,,,""YTM""),FG_YIELD(-1AM,,,,""YTM""))")</f>
        <v>8.2043300000000006</v>
      </c>
      <c r="H15" s="81" cm="1">
        <f t="array" ref="H15">_xll.FDSB(C15,"PCTCHG(FG_YIELD(0,,,,""YTM""),FG_YIELD(-3AM,,,,""YTM""))")</f>
        <v>-12.009064</v>
      </c>
      <c r="I15" s="81"/>
      <c r="J15" s="81" t="s">
        <v>378</v>
      </c>
      <c r="K15" s="81" t="str" cm="1">
        <f t="array" ref="K15">_xll.FDSB(J15,"PROPER_NAME(0,,,""SECURITY"",""NAME"")")</f>
        <v>Eurozone Main Refinancing Operations Minimum Bid Rate</v>
      </c>
      <c r="L15" s="81" cm="1">
        <f t="array" ref="L15">_xll.FDSB(J15,"FG_YIELD(NOW,,,0)")</f>
        <v>4.5</v>
      </c>
      <c r="M15" s="82" cm="1">
        <f t="array" ref="M15">_xll.FDSB(J15,"(SUBARRAY(NOT_NA(NO_REPEAT_F(FG_YIELD(now,-10AY,D))),0,1)-SUBARRAY(NOT_NA(NO_REPEAT_F(FG_YIELD(now,-10AY,D))),1,1))*100")</f>
        <v>25</v>
      </c>
      <c r="N15" s="83">
        <f t="shared" si="0"/>
        <v>-25</v>
      </c>
      <c r="T15">
        <f t="shared" si="3"/>
        <v>0</v>
      </c>
      <c r="U15">
        <f t="shared" si="3"/>
        <v>1</v>
      </c>
      <c r="V15" s="25">
        <f t="shared" si="4"/>
        <v>0.25</v>
      </c>
      <c r="X15">
        <f t="shared" si="2"/>
        <v>18.099999999999998</v>
      </c>
    </row>
    <row r="16" spans="1:24" x14ac:dyDescent="0.3">
      <c r="A16" t="s">
        <v>9</v>
      </c>
      <c r="B16" t="s">
        <v>351</v>
      </c>
      <c r="C16" t="s">
        <v>352</v>
      </c>
      <c r="D16" s="81" t="str" cm="1">
        <f t="array" ref="D16">_xll.FDSB(C16,"FG_YIELD_NAME")</f>
        <v>India Benchmark Bond - 10 Year</v>
      </c>
      <c r="E16" s="81" cm="1">
        <f t="array" ref="E16">IFERROR(_xll.FDS(C16,"FG_YIELD(0,,,,""YTM"")"),$E$26)</f>
        <v>7.0984999999999996</v>
      </c>
      <c r="G16" s="81" cm="1">
        <f t="array" ref="G16">_xll.FDSB(C16,"PCTCHG(FG_YIELD(0,,,,""YTM""),FG_YIELD(-1AM,,,,""YTM""))")</f>
        <v>-1.1006617999999999</v>
      </c>
      <c r="H16" s="81" t="str" cm="1">
        <f t="array" ref="H16">_xll.FDSB(C16,"PCTCHG(FG_YIELD(0,,,,""YTM""),FG_YIELD(-3AM,,,,""YTM""))")</f>
        <v/>
      </c>
      <c r="I16" s="81"/>
      <c r="J16" s="81" t="s">
        <v>379</v>
      </c>
      <c r="K16" s="81" t="str" cm="1">
        <f t="array" ref="K16">_xll.FDSB(J16,"PROPER_NAME(0,,,""SECURITY"",""NAME"")")</f>
        <v>India Repo Rate</v>
      </c>
      <c r="L16" s="81" cm="1">
        <f t="array" ref="L16">_xll.FDSB(J16,"FG_YIELD(NOW,,,0)")</f>
        <v>6.5</v>
      </c>
      <c r="M16" s="82" cm="1">
        <f t="array" ref="M16">_xll.FDSB(J16,"(SUBARRAY(NOT_NA(NO_REPEAT_F(FG_YIELD(now,-10AY,D))),0,1)-SUBARRAY(NOT_NA(NO_REPEAT_F(FG_YIELD(now,-10AY,D))),1,1))*100")</f>
        <v>25</v>
      </c>
      <c r="N16" s="83">
        <f t="shared" si="0"/>
        <v>-25</v>
      </c>
      <c r="S16">
        <f t="shared" ref="S16:S23" si="5">IF(M16&gt; 0, 0, 1)</f>
        <v>0</v>
      </c>
      <c r="T16">
        <f t="shared" si="3"/>
        <v>1</v>
      </c>
      <c r="U16">
        <f t="shared" si="3"/>
        <v>0</v>
      </c>
      <c r="V16" s="25">
        <f t="shared" si="4"/>
        <v>0.25</v>
      </c>
      <c r="X16">
        <f t="shared" si="2"/>
        <v>18.099999999999998</v>
      </c>
    </row>
    <row r="17" spans="1:24" x14ac:dyDescent="0.3">
      <c r="A17" t="s">
        <v>285</v>
      </c>
      <c r="B17" t="s">
        <v>325</v>
      </c>
      <c r="C17" t="s">
        <v>326</v>
      </c>
      <c r="D17" s="81" t="str" cm="1">
        <f t="array" ref="D17">_xll.FDSB(C17,"FG_YIELD_NAME")</f>
        <v>Treasury - China Benchmark Bond 10Y</v>
      </c>
      <c r="E17" s="81" cm="1">
        <f t="array" ref="E17">IFERROR(_xll.FDS(C17,"FG_YIELD(0,,,,""YTM"")"),$E$26)</f>
        <v>2.4449000000000001</v>
      </c>
      <c r="G17" s="81" cm="1">
        <f t="array" ref="G17">_xll.FDSB(C17,"PCTCHG(FG_YIELD(0,,,,""YTM""),FG_YIELD(-1AM,,,,""YTM""))")</f>
        <v>-3.8236072000000001</v>
      </c>
      <c r="H17" s="81" cm="1">
        <f t="array" ref="H17">_xll.FDSB(C17,"PCTCHG(FG_YIELD(0,,,,""YTM""),FG_YIELD(-3AM,,,,""YTM""))")</f>
        <v>-8.2898820000000004</v>
      </c>
      <c r="I17" s="81"/>
      <c r="J17" s="81" t="s">
        <v>366</v>
      </c>
      <c r="K17" s="81" t="str" cm="1">
        <f t="array" ref="K17">_xll.FDSB(J17,"PROPER_NAME(0,,,""SECURITY"",""NAME"")")</f>
        <v>China Loan Prime Rate (LPR) - 1 Year</v>
      </c>
      <c r="L17" s="81" cm="1">
        <f t="array" ref="L17">_xll.FDSB(J17,"FG_YIELD(NOW,,,0)")</f>
        <v>3.45</v>
      </c>
      <c r="M17" s="82" cm="1">
        <f t="array" ref="M17">_xll.FDSB(J17,"(SUBARRAY(NOT_NA(NO_REPEAT_F(FG_YIELD(now,-10AY,D))),0,1)-SUBARRAY(NOT_NA(NO_REPEAT_F(FG_YIELD(now,-10AY,D))),1,1))*100")</f>
        <v>-9.9999999999999591</v>
      </c>
      <c r="N17" s="83">
        <f t="shared" si="0"/>
        <v>9.9999999999999591</v>
      </c>
      <c r="S17">
        <f t="shared" si="5"/>
        <v>1</v>
      </c>
      <c r="T17">
        <f t="shared" si="3"/>
        <v>1</v>
      </c>
      <c r="U17">
        <f t="shared" si="3"/>
        <v>1</v>
      </c>
      <c r="V17" s="25">
        <f t="shared" si="4"/>
        <v>1</v>
      </c>
      <c r="X17">
        <f t="shared" si="2"/>
        <v>81.8</v>
      </c>
    </row>
    <row r="18" spans="1:24" x14ac:dyDescent="0.3">
      <c r="A18" t="s">
        <v>289</v>
      </c>
      <c r="B18" t="s">
        <v>353</v>
      </c>
      <c r="C18" t="s">
        <v>354</v>
      </c>
      <c r="D18" s="81" t="str" cm="1">
        <f t="array" ref="D18">_xll.FDSB(C18,"FG_YIELD_NAME")</f>
        <v>Treasury - Qatar Benchmark Bond 10Y</v>
      </c>
      <c r="E18" s="81" cm="1">
        <f t="array" ref="E18">IFERROR(_xll.FDS(C18,"FG_YIELD(0,,,,""YTM"")"),$E$26)</f>
        <v>4.1153000000000004</v>
      </c>
      <c r="G18" s="81" t="str" cm="1">
        <f t="array" ref="G18">_xll.FDSB(C18,"PCTCHG(FG_YIELD(0,,,,""YTM""),FG_YIELD(-1AM,,,,""YTM""))")</f>
        <v/>
      </c>
      <c r="H18" s="81" t="str" cm="1">
        <f t="array" ref="H18">_xll.FDSB(C18,"PCTCHG(FG_YIELD(0,,,,""YTM""),FG_YIELD(-3AM,,,,""YTM""))")</f>
        <v/>
      </c>
      <c r="I18" s="81"/>
      <c r="J18" s="81" t="s">
        <v>380</v>
      </c>
      <c r="K18" s="81" t="str" cm="1">
        <f t="array" ref="K18">_xll.FDSB(J18,"PROPER_NAME(0,,,""SECURITY"",""NAME"")")</f>
        <v>Qatar Lending Rate - Overnight</v>
      </c>
      <c r="L18" s="81" cm="1">
        <f t="array" ref="L18">_xll.FDSB(J18,"FG_YIELD(NOW,,,0)")</f>
        <v>6.25</v>
      </c>
      <c r="M18" s="82" cm="1">
        <f t="array" ref="M18">_xll.FDSB(J18,"(SUBARRAY(NOT_NA(NO_REPEAT_F(FG_YIELD(now,-10AY,D))),0,1)-SUBARRAY(NOT_NA(NO_REPEAT_F(FG_YIELD(now,-10AY,D))),1,1))*100")</f>
        <v>25</v>
      </c>
      <c r="N18" s="83">
        <f t="shared" si="0"/>
        <v>-25</v>
      </c>
      <c r="S18">
        <f t="shared" si="5"/>
        <v>0</v>
      </c>
      <c r="T18">
        <f t="shared" si="3"/>
        <v>0</v>
      </c>
      <c r="U18">
        <f t="shared" si="3"/>
        <v>0</v>
      </c>
      <c r="V18" s="25">
        <f t="shared" si="4"/>
        <v>0</v>
      </c>
      <c r="X18">
        <f t="shared" si="2"/>
        <v>4.5</v>
      </c>
    </row>
    <row r="19" spans="1:24" x14ac:dyDescent="0.3">
      <c r="A19" t="s">
        <v>291</v>
      </c>
      <c r="B19" t="s">
        <v>355</v>
      </c>
      <c r="C19" t="s">
        <v>356</v>
      </c>
      <c r="D19" s="81" t="str" cm="1">
        <f t="array" ref="D19">_xll.FDSB(C19,"FG_YIELD_NAME")</f>
        <v>Thailand Benchmark Bond - 10 Year</v>
      </c>
      <c r="E19" s="81" cm="1">
        <f t="array" ref="E19">IFERROR(_xll.FDS(C19,"FG_YIELD(0,,,,""YTM"")"),$E$26)</f>
        <v>2.5656050000000001</v>
      </c>
      <c r="G19" s="81" cm="1">
        <f t="array" ref="G19">_xll.FDSB(C19,"PCTCHG(FG_YIELD(0,,,,""YTM""),FG_YIELD(-1AM,,,,""YTM""))")</f>
        <v>-5.1761600000000003</v>
      </c>
      <c r="H19" s="81" cm="1">
        <f t="array" ref="H19">_xll.FDSB(C19,"PCTCHG(FG_YIELD(0,,,,""YTM""),FG_YIELD(-3AM,,,,""YTM""))")</f>
        <v>-18.737839999999998</v>
      </c>
      <c r="I19" s="81"/>
      <c r="J19" s="81" t="s">
        <v>381</v>
      </c>
      <c r="K19" s="81" t="str" cm="1">
        <f t="array" ref="K19">_xll.FDSB(J19,"PROPER_NAME(0,,,""SECURITY"",""NAME"")")</f>
        <v>Thailand Repo Rate - 1 Day</v>
      </c>
      <c r="L19" s="81" cm="1">
        <f t="array" ref="L19">_xll.FDSB(J19,"FG_YIELD(NOW,,,0)")</f>
        <v>2.5</v>
      </c>
      <c r="M19" s="82" cm="1">
        <f t="array" ref="M19">_xll.FDSB(J19,"(SUBARRAY(NOT_NA(NO_REPEAT_F(FG_YIELD(now,-10AY,D))),0,1)-SUBARRAY(NOT_NA(NO_REPEAT_F(FG_YIELD(now,-10AY,D))),1,1))*100")</f>
        <v>25</v>
      </c>
      <c r="N19" s="83">
        <f t="shared" si="0"/>
        <v>-25</v>
      </c>
      <c r="S19">
        <f t="shared" si="5"/>
        <v>0</v>
      </c>
      <c r="T19">
        <f t="shared" si="3"/>
        <v>1</v>
      </c>
      <c r="U19">
        <f t="shared" si="3"/>
        <v>1</v>
      </c>
      <c r="V19" s="25">
        <f t="shared" si="4"/>
        <v>0.5</v>
      </c>
      <c r="X19">
        <f t="shared" si="2"/>
        <v>54.500000000000007</v>
      </c>
    </row>
    <row r="20" spans="1:24" x14ac:dyDescent="0.3">
      <c r="A20" t="s">
        <v>295</v>
      </c>
      <c r="B20" t="s">
        <v>357</v>
      </c>
      <c r="C20" t="s">
        <v>358</v>
      </c>
      <c r="D20" s="81" t="str" cm="1">
        <f t="array" ref="D20">_xll.FDSB(C20,"FG_YIELD_NAME")</f>
        <v>Treasury - Turkey Benchmark Bond 7Y</v>
      </c>
      <c r="E20" s="81" cm="1">
        <f t="array" ref="E20">IFERROR(_xll.FDS(C20,"FG_YIELD(0,,,,""YTM"")"),$E$26)</f>
        <v>22.446152000000001</v>
      </c>
      <c r="G20" s="81" cm="1">
        <f t="array" ref="G20">_xll.FDSB(C20,"PCTCHG(FG_YIELD(0,,,,""YTM""),FG_YIELD(-1AM,,,,""YTM""))")</f>
        <v>0.60329929999999998</v>
      </c>
      <c r="H20" s="81" cm="1">
        <f t="array" ref="H20">_xll.FDSB(C20,"PCTCHG(FG_YIELD(0,,,,""YTM""),FG_YIELD(-3AM,,,,""YTM""))")</f>
        <v>-10.576262</v>
      </c>
      <c r="I20" s="81"/>
      <c r="J20" s="81" t="s">
        <v>382</v>
      </c>
      <c r="K20" s="81" t="str" cm="1">
        <f t="array" ref="K20">_xll.FDSB(J20,"PROPER_NAME(0,,,""SECURITY"",""NAME"")")</f>
        <v>Turkey Repo Rate - 1 Week</v>
      </c>
      <c r="L20" s="81" cm="1">
        <f t="array" ref="L20">_xll.FDSB(J20,"FG_YIELD(NOW,,,0)")</f>
        <v>45</v>
      </c>
      <c r="M20" s="82" cm="1">
        <f t="array" ref="M20">_xll.FDSB(J20,"(SUBARRAY(NOT_NA(NO_REPEAT_F(FG_YIELD(now,-10AY,D))),0,1)-SUBARRAY(NOT_NA(NO_REPEAT_F(FG_YIELD(now,-10AY,D))),1,1))*100")</f>
        <v>250</v>
      </c>
      <c r="N20" s="83">
        <f t="shared" si="0"/>
        <v>-250</v>
      </c>
      <c r="S20">
        <f t="shared" si="5"/>
        <v>0</v>
      </c>
      <c r="T20">
        <f t="shared" si="3"/>
        <v>0</v>
      </c>
      <c r="U20">
        <f t="shared" si="3"/>
        <v>1</v>
      </c>
      <c r="V20" s="25">
        <f t="shared" si="4"/>
        <v>0.25</v>
      </c>
      <c r="X20">
        <f t="shared" si="2"/>
        <v>18.099999999999998</v>
      </c>
    </row>
    <row r="21" spans="1:24" x14ac:dyDescent="0.3">
      <c r="A21" t="s">
        <v>299</v>
      </c>
      <c r="B21" t="s">
        <v>359</v>
      </c>
      <c r="C21" t="s">
        <v>360</v>
      </c>
      <c r="D21" s="81" t="str" cm="1">
        <f t="array" ref="D21">_xll.FDSB(C21,"FG_YIELD_NAME")</f>
        <v>Treasury - United Arab Emirates USD Benchmark Bond 10Y</v>
      </c>
      <c r="E21" s="81" cm="1">
        <f t="array" ref="E21">IFERROR(_xll.FDS(C21,"FG_YIELD(0,,,,""YTM"")"),$E$26)</f>
        <v>4.1153000000000004</v>
      </c>
      <c r="G21" s="81" t="str" cm="1">
        <f t="array" ref="G21">_xll.FDSB(C21,"PCTCHG(FG_YIELD(0,,,,""YTM""),FG_YIELD(-1AM,,,,""YTM""))")</f>
        <v/>
      </c>
      <c r="H21" s="81" t="str" cm="1">
        <f t="array" ref="H21">_xll.FDSB(C21,"PCTCHG(FG_YIELD(0,,,,""YTM""),FG_YIELD(-3AM,,,,""YTM""))")</f>
        <v/>
      </c>
      <c r="I21" s="81"/>
      <c r="J21" s="81" t="s">
        <v>383</v>
      </c>
      <c r="K21" s="81" t="str" cm="1">
        <f t="array" ref="K21">_xll.FDSB(J21,"PROPER_NAME(0,,,""SECURITY"",""NAME"")")</f>
        <v>United Arab Emirates Repo Rate</v>
      </c>
      <c r="L21" s="81" cm="1">
        <f t="array" ref="L21">_xll.FDSB(J21,"FG_YIELD(NOW,,,0)")</f>
        <v>5.4</v>
      </c>
      <c r="M21" s="82" cm="1">
        <f t="array" ref="M21">_xll.FDSB(J21,"(SUBARRAY(NOT_NA(NO_REPEAT_F(FG_YIELD(now,-10AY,D))),0,1)-SUBARRAY(NOT_NA(NO_REPEAT_F(FG_YIELD(now,-10AY,D))),1,1))*100")</f>
        <v>25</v>
      </c>
      <c r="N21" s="83">
        <f t="shared" si="0"/>
        <v>-25</v>
      </c>
      <c r="S21">
        <f t="shared" si="5"/>
        <v>0</v>
      </c>
      <c r="T21">
        <f t="shared" si="3"/>
        <v>0</v>
      </c>
      <c r="U21">
        <f t="shared" si="3"/>
        <v>0</v>
      </c>
      <c r="V21" s="25">
        <f t="shared" si="4"/>
        <v>0</v>
      </c>
      <c r="X21">
        <f t="shared" si="2"/>
        <v>4.5</v>
      </c>
    </row>
    <row r="22" spans="1:24" x14ac:dyDescent="0.3">
      <c r="A22" t="s">
        <v>303</v>
      </c>
      <c r="B22" t="s">
        <v>361</v>
      </c>
      <c r="C22" t="s">
        <v>362</v>
      </c>
      <c r="D22" s="81" t="str" cm="1">
        <f t="array" ref="D22">_xll.FDSB(C22,"FG_YIELD_NAME")</f>
        <v>Treasury - Vietnam Benchmark Bond 10Y</v>
      </c>
      <c r="E22" s="81" cm="1">
        <f t="array" ref="E22">IFERROR(_xll.FDS(C22,"FG_YIELD(0,,,,""YTM"")"),$E$26)</f>
        <v>2.2365295999999999</v>
      </c>
      <c r="G22" s="81" cm="1">
        <f t="array" ref="G22">_xll.FDSB(C22,"PCTCHG(FG_YIELD(0,,,,""YTM""),FG_YIELD(-1AM,,,,""YTM""))")</f>
        <v>-23.215668000000001</v>
      </c>
      <c r="H22" s="81" cm="1">
        <f t="array" ref="H22">_xll.FDSB(C22,"PCTCHG(FG_YIELD(0,,,,""YTM""),FG_YIELD(-3AM,,,,""YTM""))")</f>
        <v>-14.608071000000001</v>
      </c>
      <c r="I22" s="81"/>
      <c r="J22" s="81" t="s">
        <v>384</v>
      </c>
      <c r="K22" s="81" t="str" cm="1">
        <f t="array" ref="K22">_xll.FDSB(J22,"PROPER_NAME(0,,,""SECURITY"",""NAME"")")</f>
        <v>Vietnam Discount Rate</v>
      </c>
      <c r="L22" s="81" cm="1">
        <f t="array" ref="L22">_xll.FDSB(J22,"FG_YIELD(NOW,,,0)")</f>
        <v>3</v>
      </c>
      <c r="M22" s="82" cm="1">
        <f t="array" ref="M22">_xll.FDSB(J22,"(SUBARRAY(NOT_NA(NO_REPEAT_F(FG_YIELD(now,-10AY,D))),0,1)-SUBARRAY(NOT_NA(NO_REPEAT_F(FG_YIELD(now,-10AY,D))),1,1))*100")</f>
        <v>-50</v>
      </c>
      <c r="N22" s="83">
        <f t="shared" si="0"/>
        <v>50</v>
      </c>
      <c r="S22">
        <f t="shared" si="5"/>
        <v>1</v>
      </c>
      <c r="T22">
        <f t="shared" si="3"/>
        <v>1</v>
      </c>
      <c r="U22">
        <f t="shared" si="3"/>
        <v>1</v>
      </c>
      <c r="V22" s="25">
        <f t="shared" si="4"/>
        <v>1</v>
      </c>
      <c r="X22">
        <f t="shared" si="2"/>
        <v>81.8</v>
      </c>
    </row>
    <row r="23" spans="1:24" x14ac:dyDescent="0.3">
      <c r="A23" t="s">
        <v>307</v>
      </c>
      <c r="B23" t="s">
        <v>363</v>
      </c>
      <c r="C23" t="s">
        <v>364</v>
      </c>
      <c r="D23" s="81" t="str" cm="1">
        <f t="array" ref="D23">_xll.FDSB(C23,"FG_YIELD_NAME")</f>
        <v>Treasury - SAUDI ARABIA Benchmark Bond 10Y</v>
      </c>
      <c r="E23" s="81" cm="1">
        <f t="array" ref="E23">IFERROR(_xll.FDS(C23,"FG_YIELD(0,,,,""YTM"")"),$E$26)</f>
        <v>5.2811159999999999</v>
      </c>
      <c r="G23" s="81" cm="1">
        <f t="array" ref="G23">_xll.FDSB(C23,"PCTCHG(FG_YIELD(0,,,,""YTM""),FG_YIELD(-1AM,,,,""YTM""))")</f>
        <v>7.6260209999999997</v>
      </c>
      <c r="H23" s="81" cm="1">
        <f t="array" ref="H23">_xll.FDSB(C23,"PCTCHG(FG_YIELD(0,,,,""YTM""),FG_YIELD(-3AM,,,,""YTM""))")</f>
        <v>-4.7904686999999999</v>
      </c>
      <c r="I23" s="81"/>
      <c r="J23" s="81" t="s">
        <v>385</v>
      </c>
      <c r="K23" s="81" t="str" cm="1">
        <f t="array" ref="K23">_xll.FDSB(J23,"PROPER_NAME(0,,,""SECURITY"",""NAME"")")</f>
        <v>Saudi Arabia Repo Rate</v>
      </c>
      <c r="L23" s="81" cm="1">
        <f t="array" ref="L23">_xll.FDSB(J23,"FG_YIELD(NOW,,,0)")</f>
        <v>6</v>
      </c>
      <c r="M23" s="82" cm="1">
        <f t="array" ref="M23">_xll.FDSB(J23,"(SUBARRAY(NOT_NA(NO_REPEAT_F(FG_YIELD(now,-10AY,D))),0,1)-SUBARRAY(NOT_NA(NO_REPEAT_F(FG_YIELD(now,-10AY,D))),1,1))*100")</f>
        <v>25</v>
      </c>
      <c r="N23" s="83">
        <f t="shared" si="0"/>
        <v>-25</v>
      </c>
      <c r="S23">
        <f t="shared" si="5"/>
        <v>0</v>
      </c>
      <c r="T23">
        <f t="shared" si="3"/>
        <v>0</v>
      </c>
      <c r="U23">
        <f t="shared" si="3"/>
        <v>1</v>
      </c>
      <c r="V23" s="25">
        <f t="shared" si="4"/>
        <v>0.25</v>
      </c>
      <c r="X23">
        <f t="shared" si="2"/>
        <v>18.099999999999998</v>
      </c>
    </row>
    <row r="24" spans="1:24" x14ac:dyDescent="0.3">
      <c r="D24" s="81"/>
      <c r="E24" s="81"/>
      <c r="G24" s="81"/>
      <c r="H24" s="81"/>
      <c r="J24" s="81"/>
      <c r="K24" s="81"/>
      <c r="L24" s="81"/>
      <c r="M24" s="82"/>
      <c r="N24" s="83"/>
      <c r="V24" s="27"/>
    </row>
    <row r="25" spans="1:24" x14ac:dyDescent="0.3">
      <c r="D25" s="81"/>
      <c r="E25" s="81"/>
      <c r="G25" s="81"/>
      <c r="H25" s="81"/>
      <c r="J25" s="81"/>
      <c r="K25" s="81"/>
      <c r="L25" s="81"/>
      <c r="M25" s="82"/>
      <c r="N25" s="83"/>
      <c r="V25" s="27"/>
    </row>
    <row r="26" spans="1:24" x14ac:dyDescent="0.3">
      <c r="A26" t="s">
        <v>1</v>
      </c>
      <c r="B26" t="s">
        <v>35</v>
      </c>
      <c r="C26" t="s">
        <v>365</v>
      </c>
      <c r="D26" s="81" t="str" cm="1">
        <f t="array" ref="D26">_xll.FDSB(C26,"FG_YIELD_NAME")</f>
        <v>US Benchmark Bond - 10 Year</v>
      </c>
      <c r="E26" s="81" cm="1">
        <f t="array" ref="E26">_xll.FDS(C26,"FG_YIELD(-4D,,,,""YTM"")")</f>
        <v>4.1153000000000004</v>
      </c>
      <c r="G26" s="81"/>
      <c r="H26" s="81"/>
      <c r="J26" s="81"/>
      <c r="K26" s="81"/>
      <c r="L26" s="81"/>
      <c r="M26" s="82"/>
      <c r="N26" s="83"/>
      <c r="V26" s="27"/>
    </row>
    <row r="27" spans="1:24" x14ac:dyDescent="0.3">
      <c r="D27" s="81"/>
      <c r="E27" s="81"/>
      <c r="G27" s="81"/>
      <c r="H27" s="81"/>
      <c r="J27" s="81"/>
      <c r="K27" s="81"/>
      <c r="L27" s="81"/>
      <c r="M27" s="82"/>
      <c r="N27" s="83"/>
      <c r="V27" s="27"/>
    </row>
    <row r="28" spans="1:24" x14ac:dyDescent="0.3">
      <c r="D28" s="81"/>
      <c r="E28" s="81"/>
      <c r="G28" s="81"/>
      <c r="H28" s="81"/>
      <c r="J28" s="81"/>
      <c r="K28" s="81"/>
      <c r="L28" s="81"/>
      <c r="M28" s="82"/>
      <c r="N28" s="83"/>
      <c r="V28" s="27"/>
    </row>
    <row r="29" spans="1:24" x14ac:dyDescent="0.3">
      <c r="D29" s="81"/>
      <c r="E29" s="81"/>
      <c r="G29" s="81"/>
      <c r="H29" s="81"/>
      <c r="J29" s="81"/>
      <c r="K29" s="81"/>
      <c r="L29" s="81"/>
      <c r="M29" s="82"/>
      <c r="N29" s="83"/>
      <c r="V29" s="27"/>
    </row>
    <row r="30" spans="1:24" x14ac:dyDescent="0.3">
      <c r="D30" s="81"/>
      <c r="E30" s="81"/>
      <c r="G30" s="81"/>
      <c r="H30" s="81"/>
      <c r="J30" s="81"/>
      <c r="K30" s="81"/>
      <c r="L30" s="81"/>
      <c r="M30" s="82"/>
      <c r="N30" s="83"/>
      <c r="V30" s="27"/>
    </row>
    <row r="35" spans="1:8" ht="18" x14ac:dyDescent="0.35">
      <c r="A35" s="84"/>
      <c r="B35" s="85"/>
      <c r="C35" s="85"/>
      <c r="D35" s="85"/>
      <c r="E35" s="85"/>
      <c r="F35" s="85"/>
      <c r="G35" s="85"/>
      <c r="H35" s="85"/>
    </row>
    <row r="42" spans="1:8" x14ac:dyDescent="0.3">
      <c r="C42" s="1"/>
      <c r="D42" s="1"/>
      <c r="E42" s="1"/>
      <c r="F42" s="1"/>
    </row>
    <row r="43" spans="1:8" x14ac:dyDescent="0.3">
      <c r="C43" s="1"/>
      <c r="D43" s="1"/>
      <c r="E43" s="1"/>
      <c r="F43" s="1"/>
    </row>
    <row r="44" spans="1:8" x14ac:dyDescent="0.3">
      <c r="C44" s="1"/>
      <c r="D44" s="1"/>
      <c r="E44" s="1"/>
      <c r="F44" s="1"/>
    </row>
    <row r="63" spans="3:6" x14ac:dyDescent="0.3">
      <c r="C63" s="1"/>
      <c r="D63" s="1"/>
      <c r="E63" s="1"/>
      <c r="F63" s="1"/>
    </row>
    <row r="79" spans="4:6" x14ac:dyDescent="0.3">
      <c r="D79" s="1"/>
      <c r="E79" s="1"/>
      <c r="F79" s="1"/>
    </row>
  </sheetData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4348F5DE-DF7B-48F6-8C43-7BBBF70FE3AE}">
            <x14:iconSet iconSet="3Arrows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25</xm:f>
              </x14:cfvo>
              <x14:cfIcon iconSet="3Arrows" iconId="0"/>
              <x14:cfIcon iconSet="3Arrows" iconId="2"/>
              <x14:cfIcon iconSet="3Arrows" iconId="2"/>
            </x14:iconSet>
          </x14:cfRule>
          <xm:sqref>N3:N30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C7B54-2762-4791-A048-EB22218D2B51}">
  <dimension ref="A1:X165"/>
  <sheetViews>
    <sheetView workbookViewId="0">
      <selection activeCell="B86" sqref="B86"/>
    </sheetView>
  </sheetViews>
  <sheetFormatPr defaultRowHeight="14.4" x14ac:dyDescent="0.3"/>
  <cols>
    <col min="1" max="1" width="15" customWidth="1"/>
    <col min="2" max="2" width="17.5546875" customWidth="1"/>
    <col min="3" max="3" width="16.109375" customWidth="1"/>
    <col min="4" max="4" width="14" customWidth="1"/>
    <col min="5" max="5" width="14.5546875" customWidth="1"/>
    <col min="6" max="6" width="15.44140625" style="35" customWidth="1"/>
    <col min="23" max="23" width="9.44140625" customWidth="1"/>
  </cols>
  <sheetData>
    <row r="1" spans="1:24" ht="18" x14ac:dyDescent="0.35">
      <c r="A1" s="86" t="s">
        <v>386</v>
      </c>
      <c r="B1" s="87"/>
      <c r="C1" s="88"/>
      <c r="D1" s="88"/>
      <c r="E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</row>
    <row r="2" spans="1:24" x14ac:dyDescent="0.3">
      <c r="A2" s="88"/>
      <c r="B2" s="87"/>
      <c r="C2" s="88"/>
      <c r="D2" s="88"/>
      <c r="E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</row>
    <row r="3" spans="1:24" ht="21" x14ac:dyDescent="0.4">
      <c r="A3" s="89" t="s">
        <v>387</v>
      </c>
      <c r="B3" s="90"/>
      <c r="C3" s="88"/>
      <c r="D3" s="88"/>
      <c r="E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</row>
    <row r="4" spans="1:24" x14ac:dyDescent="0.3">
      <c r="A4" s="91" t="s">
        <v>388</v>
      </c>
      <c r="B4" s="90"/>
      <c r="C4" s="88"/>
      <c r="D4" s="88"/>
      <c r="E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</row>
    <row r="5" spans="1:24" x14ac:dyDescent="0.3">
      <c r="A5" s="88"/>
      <c r="B5" s="87"/>
      <c r="C5" s="88"/>
      <c r="D5" s="88"/>
      <c r="E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</row>
    <row r="6" spans="1:24" x14ac:dyDescent="0.3">
      <c r="A6" s="92"/>
      <c r="B6" s="93"/>
      <c r="C6" s="88"/>
      <c r="D6" s="88"/>
      <c r="E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</row>
    <row r="7" spans="1:24" x14ac:dyDescent="0.3">
      <c r="A7" s="118"/>
      <c r="B7" s="118"/>
      <c r="C7" s="88"/>
      <c r="D7" s="88"/>
      <c r="E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</row>
    <row r="8" spans="1:24" x14ac:dyDescent="0.3">
      <c r="A8" s="94"/>
      <c r="B8" s="94"/>
      <c r="C8" s="119" t="s">
        <v>389</v>
      </c>
      <c r="D8" s="120"/>
      <c r="E8" s="121"/>
      <c r="G8" s="88"/>
      <c r="H8" s="88"/>
      <c r="I8" s="88"/>
      <c r="J8" s="88"/>
      <c r="K8" s="88"/>
      <c r="L8" s="119" t="s">
        <v>390</v>
      </c>
      <c r="M8" s="120"/>
      <c r="N8" s="120"/>
      <c r="O8" s="120"/>
      <c r="P8" s="120"/>
      <c r="Q8" s="120"/>
      <c r="R8" s="120"/>
      <c r="S8" s="120"/>
      <c r="T8" s="120"/>
      <c r="U8" s="120"/>
      <c r="V8" s="121"/>
    </row>
    <row r="9" spans="1:24" ht="43.2" x14ac:dyDescent="0.3">
      <c r="A9" s="95" t="s">
        <v>391</v>
      </c>
      <c r="B9" s="95" t="s">
        <v>189</v>
      </c>
      <c r="C9" s="96" t="s">
        <v>392</v>
      </c>
      <c r="D9" s="97" t="s">
        <v>393</v>
      </c>
      <c r="E9" s="98" t="s">
        <v>394</v>
      </c>
      <c r="F9" s="35" t="s">
        <v>395</v>
      </c>
      <c r="G9" s="99" t="s">
        <v>396</v>
      </c>
      <c r="H9" s="100" t="s">
        <v>397</v>
      </c>
      <c r="I9" s="100" t="s">
        <v>398</v>
      </c>
      <c r="J9" s="101" t="s">
        <v>399</v>
      </c>
      <c r="K9" s="102"/>
      <c r="L9" s="103">
        <v>2012</v>
      </c>
      <c r="M9" s="104">
        <v>2013</v>
      </c>
      <c r="N9" s="104">
        <v>2014</v>
      </c>
      <c r="O9" s="104">
        <v>2015</v>
      </c>
      <c r="P9" s="104">
        <v>2016</v>
      </c>
      <c r="Q9" s="104">
        <v>2017</v>
      </c>
      <c r="R9" s="104">
        <v>2018</v>
      </c>
      <c r="S9" s="104">
        <v>2019</v>
      </c>
      <c r="T9" s="104">
        <v>2020</v>
      </c>
      <c r="U9" s="104">
        <v>2021</v>
      </c>
      <c r="V9" s="105">
        <v>2022</v>
      </c>
      <c r="W9" s="101" t="s">
        <v>400</v>
      </c>
      <c r="X9" s="101" t="s">
        <v>401</v>
      </c>
    </row>
    <row r="10" spans="1:24" x14ac:dyDescent="0.3">
      <c r="A10" s="106" t="s">
        <v>402</v>
      </c>
      <c r="B10" s="106" t="s">
        <v>403</v>
      </c>
      <c r="C10" s="107">
        <v>-6.330015897488761</v>
      </c>
      <c r="D10" s="108">
        <v>-1.9803203632740796</v>
      </c>
      <c r="E10" s="109">
        <v>1.4438839505667156</v>
      </c>
      <c r="G10" s="110" t="s">
        <v>404</v>
      </c>
      <c r="H10" s="111">
        <v>34.781666666666666</v>
      </c>
      <c r="I10" s="112">
        <v>154</v>
      </c>
      <c r="J10" s="113">
        <v>32</v>
      </c>
      <c r="K10" s="106"/>
      <c r="L10" s="107">
        <v>19.865459911417584</v>
      </c>
      <c r="M10" s="108">
        <v>9.8957883924851959</v>
      </c>
      <c r="N10" s="108">
        <v>6.5854081038949879</v>
      </c>
      <c r="O10" s="108">
        <v>0.98799999999999999</v>
      </c>
      <c r="P10" s="108">
        <v>2.1640000000000001</v>
      </c>
      <c r="Q10" s="108">
        <v>2.6469999999999998</v>
      </c>
      <c r="R10" s="108">
        <v>1.1890000000000001</v>
      </c>
      <c r="S10" s="108">
        <v>3.9119999999999999</v>
      </c>
      <c r="T10" s="108">
        <v>-2.351</v>
      </c>
      <c r="U10" s="108">
        <v>-2.4</v>
      </c>
      <c r="V10" s="109">
        <v>-5</v>
      </c>
      <c r="W10" s="109">
        <f>AVERAGE(D10,E10)</f>
        <v>-0.26821820635368199</v>
      </c>
    </row>
    <row r="11" spans="1:24" x14ac:dyDescent="0.3">
      <c r="A11" s="106" t="s">
        <v>42</v>
      </c>
      <c r="B11" s="106" t="s">
        <v>405</v>
      </c>
      <c r="C11" s="107">
        <v>2.8369230771995602</v>
      </c>
      <c r="D11" s="108">
        <v>2.527708680261509</v>
      </c>
      <c r="E11" s="109">
        <v>2.499335307066497</v>
      </c>
      <c r="G11" s="110" t="s">
        <v>406</v>
      </c>
      <c r="H11" s="111">
        <v>71.94876523650197</v>
      </c>
      <c r="I11" s="112">
        <v>80</v>
      </c>
      <c r="J11" s="113">
        <v>40</v>
      </c>
      <c r="K11" s="106"/>
      <c r="L11" s="107">
        <v>1.4329514555018943</v>
      </c>
      <c r="M11" s="108">
        <v>1.0096624423848639</v>
      </c>
      <c r="N11" s="108">
        <v>1.7987489151280414</v>
      </c>
      <c r="O11" s="108">
        <v>2.2189999999999999</v>
      </c>
      <c r="P11" s="108">
        <v>3.3149999999999999</v>
      </c>
      <c r="Q11" s="108">
        <v>3.802</v>
      </c>
      <c r="R11" s="108">
        <v>4.0190000000000001</v>
      </c>
      <c r="S11" s="108">
        <v>2.0880000000000001</v>
      </c>
      <c r="T11" s="108">
        <v>-3.4820000000000002</v>
      </c>
      <c r="U11" s="108">
        <v>8.516</v>
      </c>
      <c r="V11" s="109">
        <v>3.74</v>
      </c>
      <c r="W11" s="109">
        <f t="shared" ref="W11:W74" si="0">AVERAGE(D11,E11)</f>
        <v>2.513521993664003</v>
      </c>
    </row>
    <row r="12" spans="1:24" x14ac:dyDescent="0.3">
      <c r="A12" s="106" t="s">
        <v>407</v>
      </c>
      <c r="B12" s="106" t="s">
        <v>408</v>
      </c>
      <c r="C12" s="107">
        <v>0.36545353196819619</v>
      </c>
      <c r="D12" s="108">
        <v>0.98216884294510809</v>
      </c>
      <c r="E12" s="109">
        <v>1.9643097765769557</v>
      </c>
      <c r="G12" s="110" t="s">
        <v>409</v>
      </c>
      <c r="H12" s="111">
        <v>77.429986450518911</v>
      </c>
      <c r="I12" s="112">
        <v>59</v>
      </c>
      <c r="J12" s="113">
        <v>2</v>
      </c>
      <c r="K12" s="106"/>
      <c r="L12" s="107">
        <v>3.3999999982054412</v>
      </c>
      <c r="M12" s="108">
        <v>2.8000000002529002</v>
      </c>
      <c r="N12" s="108">
        <v>3.8000000007790273</v>
      </c>
      <c r="O12" s="108">
        <v>3.7</v>
      </c>
      <c r="P12" s="108">
        <v>3.2</v>
      </c>
      <c r="Q12" s="108">
        <v>1.4</v>
      </c>
      <c r="R12" s="108">
        <v>1.2</v>
      </c>
      <c r="S12" s="108">
        <v>1</v>
      </c>
      <c r="T12" s="108">
        <v>-5.0999999999999996</v>
      </c>
      <c r="U12" s="108">
        <v>3.4</v>
      </c>
      <c r="V12" s="109">
        <v>2.931</v>
      </c>
      <c r="W12" s="109">
        <f t="shared" si="0"/>
        <v>1.4732393097610319</v>
      </c>
    </row>
    <row r="13" spans="1:24" x14ac:dyDescent="0.3">
      <c r="A13" s="106" t="s">
        <v>407</v>
      </c>
      <c r="B13" s="106" t="s">
        <v>410</v>
      </c>
      <c r="C13" s="107">
        <v>-0.62057485054567429</v>
      </c>
      <c r="D13" s="108">
        <v>-0.7759815069387388</v>
      </c>
      <c r="E13" s="109">
        <v>0.38358743648301274</v>
      </c>
      <c r="G13" s="110" t="s">
        <v>404</v>
      </c>
      <c r="H13" s="111">
        <v>43.142397643089645</v>
      </c>
      <c r="I13" s="112">
        <v>147</v>
      </c>
      <c r="J13" s="113">
        <v>42</v>
      </c>
      <c r="K13" s="106"/>
      <c r="L13" s="107">
        <v>8.5421473366219605</v>
      </c>
      <c r="M13" s="108">
        <v>4.9545904703972692</v>
      </c>
      <c r="N13" s="108">
        <v>4.8226255512268246</v>
      </c>
      <c r="O13" s="108">
        <v>0.94399999999999995</v>
      </c>
      <c r="P13" s="108">
        <v>-2.58</v>
      </c>
      <c r="Q13" s="108">
        <v>-0.15</v>
      </c>
      <c r="R13" s="108">
        <v>-1.3160000000000001</v>
      </c>
      <c r="S13" s="108">
        <v>-0.70199999999999996</v>
      </c>
      <c r="T13" s="108">
        <v>-5.6379999999999999</v>
      </c>
      <c r="U13" s="108">
        <v>1.0920000000000001</v>
      </c>
      <c r="V13" s="109">
        <v>2.8410000000000002</v>
      </c>
      <c r="W13" s="109">
        <f t="shared" si="0"/>
        <v>-0.19619703522786303</v>
      </c>
    </row>
    <row r="14" spans="1:24" x14ac:dyDescent="0.3">
      <c r="A14" s="106" t="s">
        <v>411</v>
      </c>
      <c r="B14" s="106" t="s">
        <v>412</v>
      </c>
      <c r="C14" s="107">
        <v>1.5213184649000233</v>
      </c>
      <c r="D14" s="108">
        <v>2.4231703477095579E-4</v>
      </c>
      <c r="E14" s="109">
        <v>0.30638889849419204</v>
      </c>
      <c r="G14" s="110" t="s">
        <v>413</v>
      </c>
      <c r="H14" s="111">
        <v>63.902477118742887</v>
      </c>
      <c r="I14" s="112">
        <v>116</v>
      </c>
      <c r="J14" s="113">
        <v>16</v>
      </c>
      <c r="K14" s="106"/>
      <c r="L14" s="107">
        <v>-1.0264204544320839</v>
      </c>
      <c r="M14" s="108">
        <v>2.4053237807943506</v>
      </c>
      <c r="N14" s="108">
        <v>-2.5126153208139428</v>
      </c>
      <c r="O14" s="108">
        <v>2.7309999999999999</v>
      </c>
      <c r="P14" s="108">
        <v>-2.08</v>
      </c>
      <c r="Q14" s="108">
        <v>2.819</v>
      </c>
      <c r="R14" s="108">
        <v>-2.617</v>
      </c>
      <c r="S14" s="108">
        <v>-2.0009999999999999</v>
      </c>
      <c r="T14" s="108">
        <v>-9.9429999999999996</v>
      </c>
      <c r="U14" s="108">
        <v>10.398</v>
      </c>
      <c r="V14" s="109">
        <v>5.2430000000000003</v>
      </c>
      <c r="W14" s="109">
        <f t="shared" si="0"/>
        <v>0.1533156077644815</v>
      </c>
    </row>
    <row r="15" spans="1:24" x14ac:dyDescent="0.3">
      <c r="A15" s="106" t="s">
        <v>42</v>
      </c>
      <c r="B15" s="106" t="s">
        <v>414</v>
      </c>
      <c r="C15" s="107">
        <v>3.3694630969417716</v>
      </c>
      <c r="D15" s="108">
        <v>4.5685193344935815</v>
      </c>
      <c r="E15" s="109">
        <v>4.0499977792169295</v>
      </c>
      <c r="G15" s="110" t="s">
        <v>409</v>
      </c>
      <c r="H15" s="111">
        <v>81.866330149150926</v>
      </c>
      <c r="I15" s="112">
        <v>42</v>
      </c>
      <c r="J15" s="113">
        <v>28</v>
      </c>
      <c r="K15" s="106"/>
      <c r="L15" s="107">
        <v>7.200000000964871</v>
      </c>
      <c r="M15" s="108">
        <v>3.2999999999999674</v>
      </c>
      <c r="N15" s="108">
        <v>3.6000000005899464</v>
      </c>
      <c r="O15" s="108">
        <v>3.254</v>
      </c>
      <c r="P15" s="108">
        <v>0.19500000000000001</v>
      </c>
      <c r="Q15" s="108">
        <v>7.5179999999999998</v>
      </c>
      <c r="R15" s="108">
        <v>5.2249999999999996</v>
      </c>
      <c r="S15" s="108">
        <v>7.6310000000000002</v>
      </c>
      <c r="T15" s="108">
        <v>-7.1509999999999998</v>
      </c>
      <c r="U15" s="108">
        <v>5.6840000000000002</v>
      </c>
      <c r="V15" s="109">
        <v>12.603999999999999</v>
      </c>
      <c r="W15" s="109">
        <f t="shared" si="0"/>
        <v>4.3092585568552551</v>
      </c>
    </row>
    <row r="16" spans="1:24" x14ac:dyDescent="0.3">
      <c r="A16" s="106" t="s">
        <v>402</v>
      </c>
      <c r="B16" s="106" t="s">
        <v>74</v>
      </c>
      <c r="C16" s="107">
        <v>1.9372779726990919</v>
      </c>
      <c r="D16" s="108">
        <v>1.9542949107595797</v>
      </c>
      <c r="E16" s="109">
        <v>2.221593328352145</v>
      </c>
      <c r="G16" s="110" t="s">
        <v>415</v>
      </c>
      <c r="H16" s="111">
        <v>96.36744549025839</v>
      </c>
      <c r="I16" s="112">
        <v>11</v>
      </c>
      <c r="J16" s="113">
        <v>3</v>
      </c>
      <c r="K16" s="106"/>
      <c r="L16" s="107">
        <v>3.9181617722068416</v>
      </c>
      <c r="M16" s="108">
        <v>2.5848751108311681</v>
      </c>
      <c r="N16" s="108">
        <v>2.5331154467594699</v>
      </c>
      <c r="O16" s="108">
        <v>2.2829999999999999</v>
      </c>
      <c r="P16" s="108">
        <v>2.6909999999999998</v>
      </c>
      <c r="Q16" s="108">
        <v>2.383</v>
      </c>
      <c r="R16" s="108">
        <v>2.8149999999999999</v>
      </c>
      <c r="S16" s="108">
        <v>1.9430000000000001</v>
      </c>
      <c r="T16" s="108">
        <v>-1.8140000000000001</v>
      </c>
      <c r="U16" s="108">
        <v>5.1959999999999997</v>
      </c>
      <c r="V16" s="109">
        <v>3.661</v>
      </c>
      <c r="W16" s="109">
        <f t="shared" si="0"/>
        <v>2.0879441195558623</v>
      </c>
    </row>
    <row r="17" spans="1:23" x14ac:dyDescent="0.3">
      <c r="A17" s="106" t="s">
        <v>42</v>
      </c>
      <c r="B17" s="106" t="s">
        <v>416</v>
      </c>
      <c r="C17" s="107">
        <v>0.89080434606740866</v>
      </c>
      <c r="D17" s="108">
        <v>1.1485693717847134</v>
      </c>
      <c r="E17" s="109">
        <v>1.1982825816158282</v>
      </c>
      <c r="G17" s="110" t="s">
        <v>415</v>
      </c>
      <c r="H17" s="111">
        <v>95.913594407477049</v>
      </c>
      <c r="I17" s="112">
        <v>15</v>
      </c>
      <c r="J17" s="113">
        <v>10</v>
      </c>
      <c r="K17" s="106"/>
      <c r="L17" s="107">
        <v>0.68044557681670037</v>
      </c>
      <c r="M17" s="108">
        <v>2.5504712197222973E-2</v>
      </c>
      <c r="N17" s="108">
        <v>0.66127284885259119</v>
      </c>
      <c r="O17" s="108">
        <v>1.0149999999999999</v>
      </c>
      <c r="P17" s="108">
        <v>1.9890000000000001</v>
      </c>
      <c r="Q17" s="108">
        <v>2.2589999999999999</v>
      </c>
      <c r="R17" s="108">
        <v>2.4249999999999998</v>
      </c>
      <c r="S17" s="108">
        <v>1.5169999999999999</v>
      </c>
      <c r="T17" s="108">
        <v>-6.4539999999999997</v>
      </c>
      <c r="U17" s="108">
        <v>4.5570000000000004</v>
      </c>
      <c r="V17" s="109">
        <v>4.9969999999999999</v>
      </c>
      <c r="W17" s="109">
        <f t="shared" si="0"/>
        <v>1.1734259767002708</v>
      </c>
    </row>
    <row r="18" spans="1:23" x14ac:dyDescent="0.3">
      <c r="A18" s="106" t="s">
        <v>402</v>
      </c>
      <c r="B18" s="106" t="s">
        <v>417</v>
      </c>
      <c r="C18" s="107">
        <v>1.8824891899037688</v>
      </c>
      <c r="D18" s="108">
        <v>1.9289874111129146</v>
      </c>
      <c r="E18" s="109">
        <v>1.6182050869221642</v>
      </c>
      <c r="G18" s="110" t="s">
        <v>413</v>
      </c>
      <c r="H18" s="111">
        <v>66.732349416312132</v>
      </c>
      <c r="I18" s="112">
        <v>106</v>
      </c>
      <c r="J18" s="113">
        <v>20</v>
      </c>
      <c r="K18" s="106"/>
      <c r="L18" s="107">
        <v>2.1652394301296014</v>
      </c>
      <c r="M18" s="108">
        <v>5.8098009451315624</v>
      </c>
      <c r="N18" s="108">
        <v>2.7505070296654104</v>
      </c>
      <c r="O18" s="108">
        <v>1.05</v>
      </c>
      <c r="P18" s="108">
        <v>-3.0640000000000001</v>
      </c>
      <c r="Q18" s="108">
        <v>0.154</v>
      </c>
      <c r="R18" s="108">
        <v>1.5</v>
      </c>
      <c r="S18" s="108">
        <v>2.48</v>
      </c>
      <c r="T18" s="108">
        <v>-4.1989999999999998</v>
      </c>
      <c r="U18" s="108">
        <v>5.6</v>
      </c>
      <c r="V18" s="109">
        <v>4.6459999999999999</v>
      </c>
      <c r="W18" s="109">
        <f t="shared" si="0"/>
        <v>1.7735962490175394</v>
      </c>
    </row>
    <row r="19" spans="1:23" x14ac:dyDescent="0.3">
      <c r="A19" s="106" t="s">
        <v>411</v>
      </c>
      <c r="B19" s="106" t="s">
        <v>418</v>
      </c>
      <c r="C19" s="107">
        <v>-1.3025041762945944</v>
      </c>
      <c r="D19" s="108">
        <v>-5.1450420089638182E-2</v>
      </c>
      <c r="E19" s="109">
        <v>0.16369977541730307</v>
      </c>
      <c r="G19" s="110" t="s">
        <v>409</v>
      </c>
      <c r="H19" s="111">
        <v>79.378460082017611</v>
      </c>
      <c r="I19" s="112">
        <v>54</v>
      </c>
      <c r="J19" s="113">
        <v>8</v>
      </c>
      <c r="K19" s="106"/>
      <c r="L19" s="107">
        <v>3.0868791768834938</v>
      </c>
      <c r="M19" s="108">
        <v>-3.5838746627962172</v>
      </c>
      <c r="N19" s="108">
        <v>2.2881473175630553</v>
      </c>
      <c r="O19" s="108">
        <v>0.997</v>
      </c>
      <c r="P19" s="108">
        <v>-0.85799999999999998</v>
      </c>
      <c r="Q19" s="108">
        <v>3.05</v>
      </c>
      <c r="R19" s="108">
        <v>1.831</v>
      </c>
      <c r="S19" s="108">
        <v>1.8959999999999999</v>
      </c>
      <c r="T19" s="108">
        <v>-23.823</v>
      </c>
      <c r="U19" s="108">
        <v>13.72</v>
      </c>
      <c r="V19" s="109">
        <v>10.983000000000001</v>
      </c>
      <c r="W19" s="109">
        <f t="shared" si="0"/>
        <v>5.6124677663832445E-2</v>
      </c>
    </row>
    <row r="20" spans="1:23" x14ac:dyDescent="0.3">
      <c r="A20" s="106" t="s">
        <v>419</v>
      </c>
      <c r="B20" s="106" t="s">
        <v>420</v>
      </c>
      <c r="C20" s="107">
        <v>0.41671802598486352</v>
      </c>
      <c r="D20" s="108">
        <v>1.1307360567982316</v>
      </c>
      <c r="E20" s="109">
        <v>2.5452347834856504</v>
      </c>
      <c r="G20" s="110" t="s">
        <v>409</v>
      </c>
      <c r="H20" s="111">
        <v>77.128033983685327</v>
      </c>
      <c r="I20" s="112">
        <v>60</v>
      </c>
      <c r="J20" s="113">
        <v>7</v>
      </c>
      <c r="K20" s="106"/>
      <c r="L20" s="107">
        <v>3.7281084304601642</v>
      </c>
      <c r="M20" s="108">
        <v>5.41683981012069</v>
      </c>
      <c r="N20" s="108">
        <v>4.3503908525296939</v>
      </c>
      <c r="O20" s="108">
        <v>2.4849999999999999</v>
      </c>
      <c r="P20" s="108">
        <v>3.5579999999999998</v>
      </c>
      <c r="Q20" s="108">
        <v>4.2919999999999998</v>
      </c>
      <c r="R20" s="108">
        <v>2.11</v>
      </c>
      <c r="S20" s="108">
        <v>2.1669999999999998</v>
      </c>
      <c r="T20" s="108">
        <v>-4.6449999999999996</v>
      </c>
      <c r="U20" s="108">
        <v>2.67</v>
      </c>
      <c r="V20" s="109">
        <v>4.194</v>
      </c>
      <c r="W20" s="109">
        <f t="shared" si="0"/>
        <v>1.837985420141941</v>
      </c>
    </row>
    <row r="21" spans="1:23" x14ac:dyDescent="0.3">
      <c r="A21" s="106" t="s">
        <v>402</v>
      </c>
      <c r="B21" s="106" t="s">
        <v>421</v>
      </c>
      <c r="C21" s="107">
        <v>8.4780836054535911</v>
      </c>
      <c r="D21" s="108">
        <v>9.4495577005361255</v>
      </c>
      <c r="E21" s="109">
        <v>9.0902336923363691</v>
      </c>
      <c r="G21" s="110" t="s">
        <v>413</v>
      </c>
      <c r="H21" s="111">
        <v>59.78425810407569</v>
      </c>
      <c r="I21" s="112">
        <v>125</v>
      </c>
      <c r="J21" s="113">
        <v>25</v>
      </c>
      <c r="K21" s="106"/>
      <c r="L21" s="107">
        <v>15.458182784890836</v>
      </c>
      <c r="M21" s="108">
        <v>8.997951209804727</v>
      </c>
      <c r="N21" s="108">
        <v>9.1371359215878698</v>
      </c>
      <c r="O21" s="108">
        <v>6.5529999999999999</v>
      </c>
      <c r="P21" s="108">
        <v>7.1139999999999999</v>
      </c>
      <c r="Q21" s="108">
        <v>6.59</v>
      </c>
      <c r="R21" s="108">
        <v>7.319</v>
      </c>
      <c r="S21" s="108">
        <v>7.8819999999999997</v>
      </c>
      <c r="T21" s="108">
        <v>3.448</v>
      </c>
      <c r="U21" s="108">
        <v>6.9390000000000001</v>
      </c>
      <c r="V21" s="109">
        <v>7.1</v>
      </c>
      <c r="W21" s="109">
        <f t="shared" si="0"/>
        <v>9.2698956964362473</v>
      </c>
    </row>
    <row r="22" spans="1:23" x14ac:dyDescent="0.3">
      <c r="A22" s="106" t="s">
        <v>42</v>
      </c>
      <c r="B22" s="106" t="s">
        <v>422</v>
      </c>
      <c r="C22" s="107">
        <v>-1.0891270418666776</v>
      </c>
      <c r="D22" s="108">
        <v>0.24141365794498881</v>
      </c>
      <c r="E22" s="109">
        <v>-4.7343951578571186E-3</v>
      </c>
      <c r="G22" s="110" t="s">
        <v>409</v>
      </c>
      <c r="H22" s="111">
        <v>78.939379492547943</v>
      </c>
      <c r="I22" s="112">
        <v>55</v>
      </c>
      <c r="J22" s="113">
        <v>34</v>
      </c>
      <c r="K22" s="106"/>
      <c r="L22" s="107">
        <v>1.6871355364283958</v>
      </c>
      <c r="M22" s="108">
        <v>1.0034708408564619</v>
      </c>
      <c r="N22" s="108">
        <v>1.7263848541700804</v>
      </c>
      <c r="O22" s="108">
        <v>-3.83</v>
      </c>
      <c r="P22" s="108">
        <v>-2.536</v>
      </c>
      <c r="Q22" s="108">
        <v>2.5409999999999999</v>
      </c>
      <c r="R22" s="108">
        <v>3.1379999999999999</v>
      </c>
      <c r="S22" s="108">
        <v>1.446</v>
      </c>
      <c r="T22" s="108">
        <v>-0.67300000000000004</v>
      </c>
      <c r="U22" s="108">
        <v>2.2730000000000001</v>
      </c>
      <c r="V22" s="109">
        <v>-4.7409999999999997</v>
      </c>
      <c r="W22" s="109">
        <f t="shared" si="0"/>
        <v>0.11833963139356585</v>
      </c>
    </row>
    <row r="23" spans="1:23" x14ac:dyDescent="0.3">
      <c r="A23" s="106" t="s">
        <v>42</v>
      </c>
      <c r="B23" s="106" t="s">
        <v>423</v>
      </c>
      <c r="C23" s="107">
        <v>1.1690569098094628</v>
      </c>
      <c r="D23" s="108">
        <v>1.3937649310878042</v>
      </c>
      <c r="E23" s="109">
        <v>1.4413818728578276</v>
      </c>
      <c r="G23" s="110" t="s">
        <v>415</v>
      </c>
      <c r="H23" s="111">
        <v>93.483251457156101</v>
      </c>
      <c r="I23" s="112">
        <v>21</v>
      </c>
      <c r="J23" s="113">
        <v>14</v>
      </c>
      <c r="K23" s="106"/>
      <c r="L23" s="107">
        <v>0.73922990508162567</v>
      </c>
      <c r="M23" s="108">
        <v>0.45922805011605522</v>
      </c>
      <c r="N23" s="108">
        <v>1.578523229524472</v>
      </c>
      <c r="O23" s="108">
        <v>2.0409999999999999</v>
      </c>
      <c r="P23" s="108">
        <v>1.2669999999999999</v>
      </c>
      <c r="Q23" s="108">
        <v>1.62</v>
      </c>
      <c r="R23" s="108">
        <v>1.7929999999999999</v>
      </c>
      <c r="S23" s="108">
        <v>2.2410000000000001</v>
      </c>
      <c r="T23" s="108">
        <v>-5.3620000000000001</v>
      </c>
      <c r="U23" s="108">
        <v>6.1340000000000003</v>
      </c>
      <c r="V23" s="109">
        <v>3.0910000000000002</v>
      </c>
      <c r="W23" s="109">
        <f t="shared" si="0"/>
        <v>1.4175734019728159</v>
      </c>
    </row>
    <row r="24" spans="1:23" x14ac:dyDescent="0.3">
      <c r="A24" s="106" t="s">
        <v>407</v>
      </c>
      <c r="B24" s="106" t="s">
        <v>424</v>
      </c>
      <c r="C24" s="107">
        <v>5.666147255627263</v>
      </c>
      <c r="D24" s="108">
        <v>6.110859714036887</v>
      </c>
      <c r="E24" s="109">
        <v>5.477732246862832</v>
      </c>
      <c r="G24" s="110" t="s">
        <v>406</v>
      </c>
      <c r="H24" s="111">
        <v>73.01184037118577</v>
      </c>
      <c r="I24" s="112">
        <v>75</v>
      </c>
      <c r="J24" s="113">
        <v>7</v>
      </c>
      <c r="K24" s="106"/>
      <c r="L24" s="107">
        <v>4.811223315687994</v>
      </c>
      <c r="M24" s="108">
        <v>7.1914337214494379</v>
      </c>
      <c r="N24" s="108">
        <v>6.3576790979193039</v>
      </c>
      <c r="O24" s="108">
        <v>1.778</v>
      </c>
      <c r="P24" s="108">
        <v>3.34</v>
      </c>
      <c r="Q24" s="108">
        <v>5.6719999999999997</v>
      </c>
      <c r="R24" s="108">
        <v>6.6970000000000001</v>
      </c>
      <c r="S24" s="108">
        <v>6.8659999999999997</v>
      </c>
      <c r="T24" s="108">
        <v>3.8490000000000002</v>
      </c>
      <c r="U24" s="108">
        <v>7.1550000000000002</v>
      </c>
      <c r="V24" s="109">
        <v>6.0209999999999999</v>
      </c>
      <c r="W24" s="109">
        <f t="shared" si="0"/>
        <v>5.7942959804498599</v>
      </c>
    </row>
    <row r="25" spans="1:23" x14ac:dyDescent="0.3">
      <c r="A25" s="106" t="s">
        <v>402</v>
      </c>
      <c r="B25" s="106" t="s">
        <v>425</v>
      </c>
      <c r="C25" s="107">
        <v>-0.76587225840651918</v>
      </c>
      <c r="D25" s="108">
        <v>1.2676841708430198</v>
      </c>
      <c r="E25" s="109">
        <v>3.3347663550896245</v>
      </c>
      <c r="G25" s="110" t="s">
        <v>404</v>
      </c>
      <c r="H25" s="111">
        <v>55.154482190816807</v>
      </c>
      <c r="I25" s="112">
        <v>132</v>
      </c>
      <c r="J25" s="113">
        <v>28</v>
      </c>
      <c r="K25" s="106"/>
      <c r="L25" s="107">
        <v>5.1184008580053391</v>
      </c>
      <c r="M25" s="108">
        <v>2.1199726329821678</v>
      </c>
      <c r="N25" s="108">
        <v>5.7764956801372422</v>
      </c>
      <c r="O25" s="108">
        <v>6.2210000000000001</v>
      </c>
      <c r="P25" s="108">
        <v>7.4080000000000004</v>
      </c>
      <c r="Q25" s="108">
        <v>6.3220000000000001</v>
      </c>
      <c r="R25" s="108">
        <v>3.835</v>
      </c>
      <c r="S25" s="108">
        <v>4.4249999999999998</v>
      </c>
      <c r="T25" s="108">
        <v>-2.3479999999999999</v>
      </c>
      <c r="U25" s="108">
        <v>-3.3319999999999999</v>
      </c>
      <c r="V25" s="109">
        <v>4.3250000000000002</v>
      </c>
      <c r="W25" s="109">
        <f t="shared" si="0"/>
        <v>2.3012252629663221</v>
      </c>
    </row>
    <row r="26" spans="1:23" x14ac:dyDescent="0.3">
      <c r="A26" s="106" t="s">
        <v>411</v>
      </c>
      <c r="B26" s="106" t="s">
        <v>426</v>
      </c>
      <c r="C26" s="107">
        <v>-2.2304131763273283E-2</v>
      </c>
      <c r="D26" s="108">
        <v>1.2603639469641159</v>
      </c>
      <c r="E26" s="109">
        <v>3.1673454908146104</v>
      </c>
      <c r="G26" s="110" t="s">
        <v>404</v>
      </c>
      <c r="H26" s="111">
        <v>31.085526545532133</v>
      </c>
      <c r="I26" s="112">
        <v>155</v>
      </c>
      <c r="J26" s="113">
        <v>25</v>
      </c>
      <c r="K26" s="106"/>
      <c r="L26" s="107">
        <v>5.122274660983769</v>
      </c>
      <c r="M26" s="108">
        <v>6.7960117055974338</v>
      </c>
      <c r="N26" s="108">
        <v>5.4605671536850453</v>
      </c>
      <c r="O26" s="108">
        <v>4.8570000000000002</v>
      </c>
      <c r="P26" s="108">
        <v>4.2640000000000002</v>
      </c>
      <c r="Q26" s="108">
        <v>4.1950000000000003</v>
      </c>
      <c r="R26" s="108">
        <v>4.2240000000000002</v>
      </c>
      <c r="S26" s="108">
        <v>2.2170000000000001</v>
      </c>
      <c r="T26" s="108">
        <v>-8.7379999999999995</v>
      </c>
      <c r="U26" s="108">
        <v>6.1059999999999999</v>
      </c>
      <c r="V26" s="109">
        <v>3.2</v>
      </c>
      <c r="W26" s="109">
        <f t="shared" si="0"/>
        <v>2.2138547188893631</v>
      </c>
    </row>
    <row r="27" spans="1:23" x14ac:dyDescent="0.3">
      <c r="A27" s="106" t="s">
        <v>42</v>
      </c>
      <c r="B27" s="106" t="s">
        <v>427</v>
      </c>
      <c r="C27" s="107">
        <v>2.6460933550704002</v>
      </c>
      <c r="D27" s="108">
        <v>2.9046927076515017</v>
      </c>
      <c r="E27" s="109">
        <v>2.7421493700034771</v>
      </c>
      <c r="G27" s="110" t="s">
        <v>413</v>
      </c>
      <c r="H27" s="111">
        <v>66.414016463166035</v>
      </c>
      <c r="I27" s="112">
        <v>108</v>
      </c>
      <c r="J27" s="113">
        <v>41</v>
      </c>
      <c r="K27" s="106"/>
      <c r="L27" s="107">
        <v>-0.82183647421687545</v>
      </c>
      <c r="M27" s="108">
        <v>2.3498566632458062</v>
      </c>
      <c r="N27" s="108">
        <v>1.1538510920040257</v>
      </c>
      <c r="O27" s="108">
        <v>4.3140000000000001</v>
      </c>
      <c r="P27" s="108">
        <v>3.242</v>
      </c>
      <c r="Q27" s="108">
        <v>3.2440000000000002</v>
      </c>
      <c r="R27" s="108">
        <v>3.8290000000000002</v>
      </c>
      <c r="S27" s="108">
        <v>2.8860000000000001</v>
      </c>
      <c r="T27" s="108">
        <v>-3.0150000000000001</v>
      </c>
      <c r="U27" s="108">
        <v>7.3920000000000003</v>
      </c>
      <c r="V27" s="109">
        <v>3.8</v>
      </c>
      <c r="W27" s="109">
        <f t="shared" si="0"/>
        <v>2.8234210388274894</v>
      </c>
    </row>
    <row r="28" spans="1:23" x14ac:dyDescent="0.3">
      <c r="A28" s="106" t="s">
        <v>407</v>
      </c>
      <c r="B28" s="106" t="s">
        <v>428</v>
      </c>
      <c r="C28" s="107">
        <v>2.6588943634134665</v>
      </c>
      <c r="D28" s="108">
        <v>1.4503583241093798</v>
      </c>
      <c r="E28" s="109">
        <v>2.7752039527026096</v>
      </c>
      <c r="G28" s="110" t="s">
        <v>406</v>
      </c>
      <c r="H28" s="111">
        <v>74.531513757725932</v>
      </c>
      <c r="I28" s="112">
        <v>70</v>
      </c>
      <c r="J28" s="113">
        <v>6</v>
      </c>
      <c r="K28" s="106"/>
      <c r="L28" s="107">
        <v>4.4561672130978769</v>
      </c>
      <c r="M28" s="108">
        <v>11.343424252775241</v>
      </c>
      <c r="N28" s="108">
        <v>4.149289893135184</v>
      </c>
      <c r="O28" s="108">
        <v>-4.851</v>
      </c>
      <c r="P28" s="108">
        <v>7.202</v>
      </c>
      <c r="Q28" s="108">
        <v>4.1130000000000004</v>
      </c>
      <c r="R28" s="108">
        <v>4.1900000000000004</v>
      </c>
      <c r="S28" s="108">
        <v>3.0329999999999999</v>
      </c>
      <c r="T28" s="108">
        <v>-8.7260000000000009</v>
      </c>
      <c r="U28" s="108">
        <v>11.84</v>
      </c>
      <c r="V28" s="109">
        <v>6.4329999999999998</v>
      </c>
      <c r="W28" s="109">
        <f t="shared" si="0"/>
        <v>2.1127811384059947</v>
      </c>
    </row>
    <row r="29" spans="1:23" x14ac:dyDescent="0.3">
      <c r="A29" s="106" t="s">
        <v>411</v>
      </c>
      <c r="B29" s="106" t="s">
        <v>274</v>
      </c>
      <c r="C29" s="107">
        <v>1.146428167182445</v>
      </c>
      <c r="D29" s="108">
        <v>1.295085878975577</v>
      </c>
      <c r="E29" s="109">
        <v>0.42795301380476047</v>
      </c>
      <c r="G29" s="110" t="s">
        <v>409</v>
      </c>
      <c r="H29" s="111">
        <v>79.569249143394813</v>
      </c>
      <c r="I29" s="112">
        <v>51</v>
      </c>
      <c r="J29" s="113">
        <v>7</v>
      </c>
      <c r="K29" s="106"/>
      <c r="L29" s="107">
        <v>1.9211503183629988</v>
      </c>
      <c r="M29" s="108">
        <v>3.0048463050570873</v>
      </c>
      <c r="N29" s="108">
        <v>0.50395574024224987</v>
      </c>
      <c r="O29" s="108">
        <v>-3.5459999999999998</v>
      </c>
      <c r="P29" s="108">
        <v>-3.2759999999999998</v>
      </c>
      <c r="Q29" s="108">
        <v>1.323</v>
      </c>
      <c r="R29" s="108">
        <v>1.784</v>
      </c>
      <c r="S29" s="108">
        <v>1.2210000000000001</v>
      </c>
      <c r="T29" s="108">
        <v>-3.2770000000000001</v>
      </c>
      <c r="U29" s="108">
        <v>4.9889999999999999</v>
      </c>
      <c r="V29" s="109">
        <v>2.9009999999999998</v>
      </c>
      <c r="W29" s="109">
        <f t="shared" si="0"/>
        <v>0.86151944639016875</v>
      </c>
    </row>
    <row r="30" spans="1:23" x14ac:dyDescent="0.3">
      <c r="A30" s="106" t="s">
        <v>402</v>
      </c>
      <c r="B30" s="106" t="s">
        <v>429</v>
      </c>
      <c r="C30" s="107">
        <v>-0.66374440025495085</v>
      </c>
      <c r="D30" s="108">
        <v>0.37078358077795581</v>
      </c>
      <c r="E30" s="109">
        <v>-0.44114896551331606</v>
      </c>
      <c r="G30" s="110" t="s">
        <v>404</v>
      </c>
      <c r="H30" s="111">
        <v>47.581995606084838</v>
      </c>
      <c r="I30" s="112">
        <v>142</v>
      </c>
      <c r="J30" s="113">
        <v>30</v>
      </c>
      <c r="K30" s="106"/>
      <c r="L30" s="107">
        <v>0.91284167096442625</v>
      </c>
      <c r="M30" s="108">
        <v>-2.1260285174017546</v>
      </c>
      <c r="N30" s="108">
        <v>-2.5083525664456063</v>
      </c>
      <c r="O30" s="108">
        <v>-0.40500000000000003</v>
      </c>
      <c r="P30" s="108">
        <v>-2.4649999999999999</v>
      </c>
      <c r="Q30" s="108">
        <v>1.329</v>
      </c>
      <c r="R30" s="108">
        <v>5.1999999999999998E-2</v>
      </c>
      <c r="S30" s="108">
        <v>3.8690000000000002</v>
      </c>
      <c r="T30" s="108">
        <v>1.1339999999999999</v>
      </c>
      <c r="U30" s="108">
        <v>-1.591</v>
      </c>
      <c r="V30" s="109">
        <v>-1.51</v>
      </c>
      <c r="W30" s="109">
        <f t="shared" si="0"/>
        <v>-3.5182692367680124E-2</v>
      </c>
    </row>
    <row r="31" spans="1:23" x14ac:dyDescent="0.3">
      <c r="A31" s="106" t="s">
        <v>42</v>
      </c>
      <c r="B31" s="106" t="s">
        <v>430</v>
      </c>
      <c r="C31" s="107">
        <v>2.2325090532704595</v>
      </c>
      <c r="D31" s="108">
        <v>2.7879873369299979</v>
      </c>
      <c r="E31" s="109">
        <v>2.7412414949005814</v>
      </c>
      <c r="G31" s="110" t="s">
        <v>409</v>
      </c>
      <c r="H31" s="111">
        <v>82.826908120877093</v>
      </c>
      <c r="I31" s="112">
        <v>40</v>
      </c>
      <c r="J31" s="113">
        <v>26</v>
      </c>
      <c r="K31" s="106"/>
      <c r="L31" s="107">
        <v>0.36058318828756941</v>
      </c>
      <c r="M31" s="108">
        <v>0.31873576132258219</v>
      </c>
      <c r="N31" s="108">
        <v>1.8945471424192788</v>
      </c>
      <c r="O31" s="108">
        <v>3.4279999999999999</v>
      </c>
      <c r="P31" s="108">
        <v>3.04</v>
      </c>
      <c r="Q31" s="108">
        <v>2.762</v>
      </c>
      <c r="R31" s="108">
        <v>2.6850000000000001</v>
      </c>
      <c r="S31" s="108">
        <v>4.0380000000000003</v>
      </c>
      <c r="T31" s="108">
        <v>-3.9590000000000001</v>
      </c>
      <c r="U31" s="108">
        <v>7.6349999999999998</v>
      </c>
      <c r="V31" s="109">
        <v>3.3610000000000002</v>
      </c>
      <c r="W31" s="109">
        <f t="shared" si="0"/>
        <v>2.7646144159152897</v>
      </c>
    </row>
    <row r="32" spans="1:23" x14ac:dyDescent="0.3">
      <c r="A32" s="106" t="s">
        <v>407</v>
      </c>
      <c r="B32" s="106" t="s">
        <v>431</v>
      </c>
      <c r="C32" s="107">
        <v>3.7461786866062718</v>
      </c>
      <c r="D32" s="108">
        <v>4.6060819779328632</v>
      </c>
      <c r="E32" s="109">
        <v>4.9153359042722222</v>
      </c>
      <c r="G32" s="110" t="s">
        <v>406</v>
      </c>
      <c r="H32" s="111">
        <v>71.439342263551737</v>
      </c>
      <c r="I32" s="112">
        <v>81</v>
      </c>
      <c r="J32" s="113">
        <v>11</v>
      </c>
      <c r="K32" s="106"/>
      <c r="L32" s="107">
        <v>6.4526723809054332</v>
      </c>
      <c r="M32" s="108">
        <v>5.7926055919056534</v>
      </c>
      <c r="N32" s="108">
        <v>4.3268456132150384</v>
      </c>
      <c r="O32" s="108">
        <v>3.9209999999999998</v>
      </c>
      <c r="P32" s="108">
        <v>5.9580000000000002</v>
      </c>
      <c r="Q32" s="108">
        <v>6.2030000000000003</v>
      </c>
      <c r="R32" s="108">
        <v>6.6029999999999998</v>
      </c>
      <c r="S32" s="108">
        <v>5.6890000000000001</v>
      </c>
      <c r="T32" s="108">
        <v>1.931</v>
      </c>
      <c r="U32" s="108">
        <v>6.9050000000000002</v>
      </c>
      <c r="V32" s="109">
        <v>2.4729999999999999</v>
      </c>
      <c r="W32" s="109">
        <f t="shared" si="0"/>
        <v>4.7607089411025427</v>
      </c>
    </row>
    <row r="33" spans="1:23" x14ac:dyDescent="0.3">
      <c r="A33" s="106" t="s">
        <v>407</v>
      </c>
      <c r="B33" s="106" t="s">
        <v>432</v>
      </c>
      <c r="C33" s="107">
        <v>1.3140617594302739</v>
      </c>
      <c r="D33" s="108">
        <v>1.4727306023839093</v>
      </c>
      <c r="E33" s="109">
        <v>1.2263384025287261</v>
      </c>
      <c r="G33" s="110" t="s">
        <v>404</v>
      </c>
      <c r="H33" s="111">
        <v>45.872398734881529</v>
      </c>
      <c r="I33" s="112">
        <v>144</v>
      </c>
      <c r="J33" s="113">
        <v>40</v>
      </c>
      <c r="K33" s="106"/>
      <c r="L33" s="107">
        <v>4.4467082221454284</v>
      </c>
      <c r="M33" s="108">
        <v>4.9241952612883146</v>
      </c>
      <c r="N33" s="108">
        <v>4.2406516436807848</v>
      </c>
      <c r="O33" s="108">
        <v>-3.9</v>
      </c>
      <c r="P33" s="108">
        <v>-0.6</v>
      </c>
      <c r="Q33" s="108">
        <v>0.5</v>
      </c>
      <c r="R33" s="108">
        <v>1.61</v>
      </c>
      <c r="S33" s="108">
        <v>1.8420000000000001</v>
      </c>
      <c r="T33" s="108">
        <v>0.33500000000000002</v>
      </c>
      <c r="U33" s="108">
        <v>3.1190000000000002</v>
      </c>
      <c r="V33" s="109">
        <v>1.827</v>
      </c>
      <c r="W33" s="109">
        <f t="shared" si="0"/>
        <v>1.3495345024563177</v>
      </c>
    </row>
    <row r="34" spans="1:23" x14ac:dyDescent="0.3">
      <c r="A34" s="106" t="s">
        <v>407</v>
      </c>
      <c r="B34" s="106" t="s">
        <v>433</v>
      </c>
      <c r="C34" s="107">
        <v>0.23646198785876038</v>
      </c>
      <c r="D34" s="108">
        <v>2.1534613712418604</v>
      </c>
      <c r="E34" s="109">
        <v>2.1525774639498785</v>
      </c>
      <c r="G34" s="110" t="s">
        <v>406</v>
      </c>
      <c r="H34" s="111">
        <v>72.784877013329833</v>
      </c>
      <c r="I34" s="112">
        <v>78</v>
      </c>
      <c r="J34" s="113">
        <v>9</v>
      </c>
      <c r="K34" s="106"/>
      <c r="L34" s="107">
        <v>1.0819182787712764</v>
      </c>
      <c r="M34" s="108">
        <v>0.80279760057422567</v>
      </c>
      <c r="N34" s="108">
        <v>0.61121266620786829</v>
      </c>
      <c r="O34" s="108">
        <v>1.0069999999999999</v>
      </c>
      <c r="P34" s="108">
        <v>4.7060000000000004</v>
      </c>
      <c r="Q34" s="108">
        <v>3.702</v>
      </c>
      <c r="R34" s="108">
        <v>14.566000000000001</v>
      </c>
      <c r="S34" s="108">
        <v>5.6680000000000001</v>
      </c>
      <c r="T34" s="108">
        <v>-14.782999999999999</v>
      </c>
      <c r="U34" s="108">
        <v>7</v>
      </c>
      <c r="V34" s="109">
        <v>10.5</v>
      </c>
      <c r="W34" s="109">
        <f t="shared" si="0"/>
        <v>2.1530194175958695</v>
      </c>
    </row>
    <row r="35" spans="1:23" x14ac:dyDescent="0.3">
      <c r="A35" s="106" t="s">
        <v>402</v>
      </c>
      <c r="B35" s="106" t="s">
        <v>434</v>
      </c>
      <c r="C35" s="107">
        <v>1.5881444792890331</v>
      </c>
      <c r="D35" s="108">
        <v>3.8205347927408928</v>
      </c>
      <c r="E35" s="109">
        <v>5.437149341759695</v>
      </c>
      <c r="G35" s="110" t="s">
        <v>404</v>
      </c>
      <c r="H35" s="111">
        <v>41.696651110677628</v>
      </c>
      <c r="I35" s="112">
        <v>149</v>
      </c>
      <c r="J35" s="113">
        <v>31</v>
      </c>
      <c r="K35" s="106"/>
      <c r="L35" s="107">
        <v>7.3133455053000533</v>
      </c>
      <c r="M35" s="108">
        <v>7.3566651488797472</v>
      </c>
      <c r="N35" s="108">
        <v>7.1425711007429467</v>
      </c>
      <c r="O35" s="108">
        <v>7.0359999999999996</v>
      </c>
      <c r="P35" s="108">
        <v>6.8630000000000004</v>
      </c>
      <c r="Q35" s="108">
        <v>6.9969999999999999</v>
      </c>
      <c r="R35" s="108">
        <v>7.4690000000000003</v>
      </c>
      <c r="S35" s="108">
        <v>7.0540000000000003</v>
      </c>
      <c r="T35" s="108">
        <v>-3.0960000000000001</v>
      </c>
      <c r="U35" s="108">
        <v>3.0259999999999998</v>
      </c>
      <c r="V35" s="109">
        <v>5.0119999999999996</v>
      </c>
      <c r="W35" s="109">
        <f t="shared" si="0"/>
        <v>4.6288420672502939</v>
      </c>
    </row>
    <row r="36" spans="1:23" x14ac:dyDescent="0.3">
      <c r="A36" s="106" t="s">
        <v>407</v>
      </c>
      <c r="B36" s="106" t="s">
        <v>435</v>
      </c>
      <c r="C36" s="107">
        <v>2.4193069652844734</v>
      </c>
      <c r="D36" s="108">
        <v>3.5683606479580687</v>
      </c>
      <c r="E36" s="109">
        <v>4.2936580650607903</v>
      </c>
      <c r="G36" s="110" t="s">
        <v>413</v>
      </c>
      <c r="H36" s="111">
        <v>66.487838229569903</v>
      </c>
      <c r="I36" s="112">
        <v>107</v>
      </c>
      <c r="J36" s="113">
        <v>24</v>
      </c>
      <c r="K36" s="106"/>
      <c r="L36" s="107">
        <v>4.5432650156673571</v>
      </c>
      <c r="M36" s="108">
        <v>5.4042657097173343</v>
      </c>
      <c r="N36" s="108">
        <v>5.8840593266804415</v>
      </c>
      <c r="O36" s="108">
        <v>5.6</v>
      </c>
      <c r="P36" s="108">
        <v>4.4790000000000001</v>
      </c>
      <c r="Q36" s="108">
        <v>3.5409999999999999</v>
      </c>
      <c r="R36" s="108">
        <v>4.0220000000000002</v>
      </c>
      <c r="S36" s="108">
        <v>3.4220000000000002</v>
      </c>
      <c r="T36" s="108">
        <v>0.53900000000000003</v>
      </c>
      <c r="U36" s="108">
        <v>3.649</v>
      </c>
      <c r="V36" s="109">
        <v>3.383</v>
      </c>
      <c r="W36" s="109">
        <f t="shared" si="0"/>
        <v>3.9310093565094295</v>
      </c>
    </row>
    <row r="37" spans="1:23" x14ac:dyDescent="0.3">
      <c r="A37" s="106" t="s">
        <v>411</v>
      </c>
      <c r="B37" s="106" t="s">
        <v>75</v>
      </c>
      <c r="C37" s="107">
        <v>0.80505563787092171</v>
      </c>
      <c r="D37" s="108">
        <v>1.279888102037452</v>
      </c>
      <c r="E37" s="109">
        <v>1.6398804050051563</v>
      </c>
      <c r="G37" s="110" t="s">
        <v>415</v>
      </c>
      <c r="H37" s="111">
        <v>95.837528170961207</v>
      </c>
      <c r="I37" s="112">
        <v>17</v>
      </c>
      <c r="J37" s="113">
        <v>2</v>
      </c>
      <c r="K37" s="106"/>
      <c r="L37" s="107">
        <v>1.762222549554276</v>
      </c>
      <c r="M37" s="108">
        <v>2.3291225223044822</v>
      </c>
      <c r="N37" s="108">
        <v>2.8700360387422155</v>
      </c>
      <c r="O37" s="108">
        <v>0.65900000000000003</v>
      </c>
      <c r="P37" s="108">
        <v>1.0009999999999999</v>
      </c>
      <c r="Q37" s="108">
        <v>3.04</v>
      </c>
      <c r="R37" s="108">
        <v>2.7770000000000001</v>
      </c>
      <c r="S37" s="108">
        <v>1.8879999999999999</v>
      </c>
      <c r="T37" s="108">
        <v>-5.0739999999999998</v>
      </c>
      <c r="U37" s="108">
        <v>5.0119999999999996</v>
      </c>
      <c r="V37" s="109">
        <v>3.3959999999999999</v>
      </c>
      <c r="W37" s="109">
        <f t="shared" si="0"/>
        <v>1.4598842535213041</v>
      </c>
    </row>
    <row r="38" spans="1:23" x14ac:dyDescent="0.3">
      <c r="A38" s="106" t="s">
        <v>407</v>
      </c>
      <c r="B38" s="106" t="s">
        <v>436</v>
      </c>
      <c r="C38" s="107">
        <v>0.72569907638180275</v>
      </c>
      <c r="D38" s="108">
        <v>1.8043988935163791</v>
      </c>
      <c r="E38" s="109">
        <v>-2.2645674209426092</v>
      </c>
      <c r="G38" s="110" t="s">
        <v>404</v>
      </c>
      <c r="H38" s="111">
        <v>41.466247411534134</v>
      </c>
      <c r="I38" s="112">
        <v>150</v>
      </c>
      <c r="J38" s="113">
        <v>44</v>
      </c>
      <c r="K38" s="106"/>
      <c r="L38" s="107">
        <v>5.053761253569192</v>
      </c>
      <c r="M38" s="108">
        <v>-36.391977098388679</v>
      </c>
      <c r="N38" s="108">
        <v>8.1070515326508011E-2</v>
      </c>
      <c r="O38" s="108">
        <v>4.3380000000000001</v>
      </c>
      <c r="P38" s="108">
        <v>4.75</v>
      </c>
      <c r="Q38" s="108">
        <v>4.5279999999999996</v>
      </c>
      <c r="R38" s="108">
        <v>3.82</v>
      </c>
      <c r="S38" s="108">
        <v>2.97</v>
      </c>
      <c r="T38" s="108">
        <v>0.95899999999999996</v>
      </c>
      <c r="U38" s="108">
        <v>0.98299999999999998</v>
      </c>
      <c r="V38" s="109">
        <v>0.378</v>
      </c>
      <c r="W38" s="109">
        <f t="shared" si="0"/>
        <v>-0.23008426371311508</v>
      </c>
    </row>
    <row r="39" spans="1:23" x14ac:dyDescent="0.3">
      <c r="A39" s="106" t="s">
        <v>407</v>
      </c>
      <c r="B39" s="106" t="s">
        <v>437</v>
      </c>
      <c r="C39" s="107">
        <v>-0.11885802228936981</v>
      </c>
      <c r="D39" s="108">
        <v>1.0424126086531427</v>
      </c>
      <c r="E39" s="109">
        <v>1.0693731739606749</v>
      </c>
      <c r="G39" s="110" t="s">
        <v>404</v>
      </c>
      <c r="H39" s="111">
        <v>46.134841898100355</v>
      </c>
      <c r="I39" s="112">
        <v>143</v>
      </c>
      <c r="J39" s="113">
        <v>39</v>
      </c>
      <c r="K39" s="106"/>
      <c r="L39" s="107">
        <v>8.8825760717031557</v>
      </c>
      <c r="M39" s="108">
        <v>5.7000013628586537</v>
      </c>
      <c r="N39" s="108">
        <v>6.8999850453216673</v>
      </c>
      <c r="O39" s="108">
        <v>1.77</v>
      </c>
      <c r="P39" s="108">
        <v>-5.5579999999999998</v>
      </c>
      <c r="Q39" s="108">
        <v>-2.38</v>
      </c>
      <c r="R39" s="108">
        <v>2.355</v>
      </c>
      <c r="S39" s="108">
        <v>3.419</v>
      </c>
      <c r="T39" s="108">
        <v>-2.1419999999999999</v>
      </c>
      <c r="U39" s="108">
        <v>-1.1020000000000001</v>
      </c>
      <c r="V39" s="109">
        <v>2.4940000000000002</v>
      </c>
      <c r="W39" s="109">
        <f t="shared" si="0"/>
        <v>1.0558928913069088</v>
      </c>
    </row>
    <row r="40" spans="1:23" x14ac:dyDescent="0.3">
      <c r="A40" s="106" t="s">
        <v>411</v>
      </c>
      <c r="B40" s="106" t="s">
        <v>238</v>
      </c>
      <c r="C40" s="107">
        <v>2.4572143474803632</v>
      </c>
      <c r="D40" s="108">
        <v>3.0605383736418856</v>
      </c>
      <c r="E40" s="109">
        <v>2.6285168981251106</v>
      </c>
      <c r="G40" s="110" t="s">
        <v>415</v>
      </c>
      <c r="H40" s="111">
        <v>89.938976035792962</v>
      </c>
      <c r="I40" s="112">
        <v>28</v>
      </c>
      <c r="J40" s="113">
        <v>3</v>
      </c>
      <c r="K40" s="106"/>
      <c r="L40" s="107">
        <v>5.3186280004141473</v>
      </c>
      <c r="M40" s="108">
        <v>4.0450042981489593</v>
      </c>
      <c r="N40" s="108">
        <v>1.7667397836386938</v>
      </c>
      <c r="O40" s="108">
        <v>2.1520000000000001</v>
      </c>
      <c r="P40" s="108">
        <v>1.7529999999999999</v>
      </c>
      <c r="Q40" s="108">
        <v>1.3580000000000001</v>
      </c>
      <c r="R40" s="108">
        <v>3.99</v>
      </c>
      <c r="S40" s="108">
        <v>0.74299999999999999</v>
      </c>
      <c r="T40" s="108">
        <v>-6.1449999999999996</v>
      </c>
      <c r="U40" s="108">
        <v>11.737</v>
      </c>
      <c r="V40" s="109">
        <v>2.44</v>
      </c>
      <c r="W40" s="109">
        <f t="shared" si="0"/>
        <v>2.8445276358834981</v>
      </c>
    </row>
    <row r="41" spans="1:23" x14ac:dyDescent="0.3">
      <c r="A41" s="106" t="s">
        <v>402</v>
      </c>
      <c r="B41" s="106" t="s">
        <v>76</v>
      </c>
      <c r="C41" s="107">
        <v>4.4136018906123953</v>
      </c>
      <c r="D41" s="108">
        <v>5.1836523723133077</v>
      </c>
      <c r="E41" s="109">
        <v>6.1897338385474399</v>
      </c>
      <c r="G41" s="110" t="s">
        <v>409</v>
      </c>
      <c r="H41" s="111">
        <v>79.714044846147502</v>
      </c>
      <c r="I41" s="112">
        <v>50</v>
      </c>
      <c r="J41" s="113">
        <v>7</v>
      </c>
      <c r="K41" s="106"/>
      <c r="L41" s="107">
        <v>7.8596274932851555</v>
      </c>
      <c r="M41" s="108">
        <v>7.7686152841281606</v>
      </c>
      <c r="N41" s="108">
        <v>7.4245236561990726</v>
      </c>
      <c r="O41" s="108">
        <v>7.0179999999999998</v>
      </c>
      <c r="P41" s="108">
        <v>6.851</v>
      </c>
      <c r="Q41" s="108">
        <v>6.9470000000000001</v>
      </c>
      <c r="R41" s="108">
        <v>6.7510000000000003</v>
      </c>
      <c r="S41" s="108">
        <v>5.9509999999999996</v>
      </c>
      <c r="T41" s="108">
        <v>2.242</v>
      </c>
      <c r="U41" s="108">
        <v>8.4499999999999993</v>
      </c>
      <c r="V41" s="109">
        <v>2.988</v>
      </c>
      <c r="W41" s="109">
        <f t="shared" si="0"/>
        <v>5.6866931054303738</v>
      </c>
    </row>
    <row r="42" spans="1:23" x14ac:dyDescent="0.3">
      <c r="A42" s="106" t="s">
        <v>411</v>
      </c>
      <c r="B42" s="106" t="s">
        <v>438</v>
      </c>
      <c r="C42" s="107">
        <v>3.4115994769119862</v>
      </c>
      <c r="D42" s="108">
        <v>2.9902381196408978</v>
      </c>
      <c r="E42" s="109">
        <v>3.0937390088282557</v>
      </c>
      <c r="G42" s="110" t="s">
        <v>409</v>
      </c>
      <c r="H42" s="111">
        <v>79.943455242802315</v>
      </c>
      <c r="I42" s="112">
        <v>48</v>
      </c>
      <c r="J42" s="113">
        <v>6</v>
      </c>
      <c r="K42" s="106"/>
      <c r="L42" s="107">
        <v>3.9126357671611296</v>
      </c>
      <c r="M42" s="108">
        <v>5.1339935199566966</v>
      </c>
      <c r="N42" s="108">
        <v>4.4990300011097339</v>
      </c>
      <c r="O42" s="108">
        <v>2.956</v>
      </c>
      <c r="P42" s="108">
        <v>2.0880000000000001</v>
      </c>
      <c r="Q42" s="108">
        <v>1.359</v>
      </c>
      <c r="R42" s="108">
        <v>2.5640000000000001</v>
      </c>
      <c r="S42" s="108">
        <v>3.1869999999999998</v>
      </c>
      <c r="T42" s="108">
        <v>-7.2519999999999998</v>
      </c>
      <c r="U42" s="108">
        <v>11.016</v>
      </c>
      <c r="V42" s="109">
        <v>7.4960000000000004</v>
      </c>
      <c r="W42" s="109">
        <f t="shared" si="0"/>
        <v>3.0419885642345768</v>
      </c>
    </row>
    <row r="43" spans="1:23" x14ac:dyDescent="0.3">
      <c r="A43" s="106" t="s">
        <v>407</v>
      </c>
      <c r="B43" s="106" t="s">
        <v>439</v>
      </c>
      <c r="C43" s="107">
        <v>1.4424277454801349</v>
      </c>
      <c r="D43" s="108">
        <v>1.9425285111170032</v>
      </c>
      <c r="E43" s="109">
        <v>2.451644301489786</v>
      </c>
      <c r="G43" s="110" t="s">
        <v>413</v>
      </c>
      <c r="H43" s="111">
        <v>68.943026951610364</v>
      </c>
      <c r="I43" s="112">
        <v>96</v>
      </c>
      <c r="J43" s="113">
        <v>17</v>
      </c>
      <c r="K43" s="106"/>
      <c r="L43" s="107">
        <v>3.2002729031888046</v>
      </c>
      <c r="M43" s="108">
        <v>4.4998742153082745</v>
      </c>
      <c r="N43" s="108">
        <v>2.1000064383028905</v>
      </c>
      <c r="O43" s="108">
        <v>1.147</v>
      </c>
      <c r="P43" s="108">
        <v>3.32</v>
      </c>
      <c r="Q43" s="108">
        <v>3.8159999999999998</v>
      </c>
      <c r="R43" s="108">
        <v>3.6419999999999999</v>
      </c>
      <c r="S43" s="108">
        <v>1.7609999999999999</v>
      </c>
      <c r="T43" s="108">
        <v>-0.19600000000000001</v>
      </c>
      <c r="U43" s="108">
        <v>2.1120000000000001</v>
      </c>
      <c r="V43" s="109">
        <v>2.431</v>
      </c>
      <c r="W43" s="109">
        <f t="shared" si="0"/>
        <v>2.1970864063033946</v>
      </c>
    </row>
    <row r="44" spans="1:23" x14ac:dyDescent="0.3">
      <c r="A44" s="106" t="s">
        <v>407</v>
      </c>
      <c r="B44" s="106" t="s">
        <v>440</v>
      </c>
      <c r="C44" s="107">
        <v>4.8306254668632809</v>
      </c>
      <c r="D44" s="108">
        <v>4.9384402884992351</v>
      </c>
      <c r="E44" s="109">
        <v>5.5494362942043685</v>
      </c>
      <c r="G44" s="110" t="s">
        <v>404</v>
      </c>
      <c r="H44" s="111">
        <v>40.102703133666751</v>
      </c>
      <c r="I44" s="112">
        <v>151</v>
      </c>
      <c r="J44" s="113">
        <v>45</v>
      </c>
      <c r="K44" s="106"/>
      <c r="L44" s="107">
        <v>7.0868989467193844</v>
      </c>
      <c r="M44" s="108">
        <v>8.4819566360875722</v>
      </c>
      <c r="N44" s="108">
        <v>9.4702880971408341</v>
      </c>
      <c r="O44" s="108">
        <v>6.36</v>
      </c>
      <c r="P44" s="108">
        <v>0.39400000000000002</v>
      </c>
      <c r="Q44" s="108">
        <v>3.6579999999999999</v>
      </c>
      <c r="R44" s="108">
        <v>4.8250000000000002</v>
      </c>
      <c r="S44" s="108">
        <v>4.4850000000000003</v>
      </c>
      <c r="T44" s="108">
        <v>1.671</v>
      </c>
      <c r="U44" s="108">
        <v>6.2290000000000001</v>
      </c>
      <c r="V44" s="109">
        <v>6.6269999999999998</v>
      </c>
      <c r="W44" s="109">
        <f t="shared" si="0"/>
        <v>5.2439382913518013</v>
      </c>
    </row>
    <row r="45" spans="1:23" x14ac:dyDescent="0.3">
      <c r="A45" s="106" t="s">
        <v>407</v>
      </c>
      <c r="B45" s="106" t="s">
        <v>441</v>
      </c>
      <c r="C45" s="107">
        <v>-1.9540231466170455</v>
      </c>
      <c r="D45" s="108">
        <v>-2.1626068363397866</v>
      </c>
      <c r="E45" s="109">
        <v>-2.4351268953680449</v>
      </c>
      <c r="G45" s="110" t="s">
        <v>404</v>
      </c>
      <c r="H45" s="111">
        <v>42.318471362744162</v>
      </c>
      <c r="I45" s="112">
        <v>148</v>
      </c>
      <c r="J45" s="113">
        <v>43</v>
      </c>
      <c r="K45" s="106"/>
      <c r="L45" s="107">
        <v>9.9471531425756439</v>
      </c>
      <c r="M45" s="108">
        <v>-0.71243445187648202</v>
      </c>
      <c r="N45" s="108">
        <v>6.7166793337864945</v>
      </c>
      <c r="O45" s="108">
        <v>-3.5510000000000002</v>
      </c>
      <c r="P45" s="108">
        <v>-10.782999999999999</v>
      </c>
      <c r="Q45" s="108">
        <v>-4.383</v>
      </c>
      <c r="R45" s="108">
        <v>-4.8049999999999997</v>
      </c>
      <c r="S45" s="108">
        <v>1.026</v>
      </c>
      <c r="T45" s="108">
        <v>-6.1980000000000004</v>
      </c>
      <c r="U45" s="108">
        <v>1.5</v>
      </c>
      <c r="V45" s="109">
        <v>2.7850000000000001</v>
      </c>
      <c r="W45" s="109">
        <f t="shared" si="0"/>
        <v>-2.298866865853916</v>
      </c>
    </row>
    <row r="46" spans="1:23" x14ac:dyDescent="0.3">
      <c r="A46" s="106" t="s">
        <v>411</v>
      </c>
      <c r="B46" s="106" t="s">
        <v>442</v>
      </c>
      <c r="C46" s="107">
        <v>2.4986852323448439</v>
      </c>
      <c r="D46" s="108">
        <v>3.7972658363557565</v>
      </c>
      <c r="E46" s="109">
        <v>3.649680120396992</v>
      </c>
      <c r="G46" s="110" t="s">
        <v>409</v>
      </c>
      <c r="H46" s="111">
        <v>86.218051096846139</v>
      </c>
      <c r="I46" s="112">
        <v>34</v>
      </c>
      <c r="J46" s="113">
        <v>4</v>
      </c>
      <c r="K46" s="106"/>
      <c r="L46" s="107">
        <v>4.7969199185815947</v>
      </c>
      <c r="M46" s="108">
        <v>2.2690274004615811</v>
      </c>
      <c r="N46" s="108">
        <v>3.5153385639114227</v>
      </c>
      <c r="O46" s="108">
        <v>3.6520000000000001</v>
      </c>
      <c r="P46" s="108">
        <v>4.2039999999999997</v>
      </c>
      <c r="Q46" s="108">
        <v>4.1580000000000004</v>
      </c>
      <c r="R46" s="108">
        <v>2.6160000000000001</v>
      </c>
      <c r="S46" s="108">
        <v>2.4180000000000001</v>
      </c>
      <c r="T46" s="108">
        <v>-4.2729999999999997</v>
      </c>
      <c r="U46" s="108">
        <v>7.7809999999999997</v>
      </c>
      <c r="V46" s="109">
        <v>4.3239999999999998</v>
      </c>
      <c r="W46" s="109">
        <f t="shared" si="0"/>
        <v>3.7234729783763743</v>
      </c>
    </row>
    <row r="47" spans="1:23" x14ac:dyDescent="0.3">
      <c r="A47" s="106" t="s">
        <v>407</v>
      </c>
      <c r="B47" s="106" t="s">
        <v>443</v>
      </c>
      <c r="C47" s="107">
        <v>5.2133244785906863</v>
      </c>
      <c r="D47" s="108">
        <v>5.7501340546816326</v>
      </c>
      <c r="E47" s="109">
        <v>6.9731316213943906</v>
      </c>
      <c r="G47" s="110" t="s">
        <v>413</v>
      </c>
      <c r="H47" s="111">
        <v>69.121915522328067</v>
      </c>
      <c r="I47" s="112">
        <v>95</v>
      </c>
      <c r="J47" s="113">
        <v>16</v>
      </c>
      <c r="K47" s="106"/>
      <c r="L47" s="107">
        <v>10.706504103485498</v>
      </c>
      <c r="M47" s="108">
        <v>8.8894213015542505</v>
      </c>
      <c r="N47" s="108">
        <v>8.7940773902773532</v>
      </c>
      <c r="O47" s="108">
        <v>8.843</v>
      </c>
      <c r="P47" s="108">
        <v>7.173</v>
      </c>
      <c r="Q47" s="108">
        <v>6.1429999999999998</v>
      </c>
      <c r="R47" s="108">
        <v>3.7509999999999999</v>
      </c>
      <c r="S47" s="108">
        <v>8.31</v>
      </c>
      <c r="T47" s="108">
        <v>1.7</v>
      </c>
      <c r="U47" s="108">
        <v>7</v>
      </c>
      <c r="V47" s="109">
        <v>6.7</v>
      </c>
      <c r="W47" s="109">
        <f t="shared" si="0"/>
        <v>6.3616328380380116</v>
      </c>
    </row>
    <row r="48" spans="1:23" x14ac:dyDescent="0.3">
      <c r="A48" s="106" t="s">
        <v>42</v>
      </c>
      <c r="B48" s="106" t="s">
        <v>444</v>
      </c>
      <c r="C48" s="107">
        <v>3.2016110581527757</v>
      </c>
      <c r="D48" s="108">
        <v>3.6386983370098269</v>
      </c>
      <c r="E48" s="109">
        <v>2.6484109069949024</v>
      </c>
      <c r="G48" s="110" t="s">
        <v>409</v>
      </c>
      <c r="H48" s="111">
        <v>83.891853807505186</v>
      </c>
      <c r="I48" s="112">
        <v>39</v>
      </c>
      <c r="J48" s="113">
        <v>25</v>
      </c>
      <c r="K48" s="106"/>
      <c r="L48" s="107">
        <v>-2.2376475412236791</v>
      </c>
      <c r="M48" s="108">
        <v>-0.54854848857064353</v>
      </c>
      <c r="N48" s="108">
        <v>-0.10392849719394197</v>
      </c>
      <c r="O48" s="108">
        <v>2.524</v>
      </c>
      <c r="P48" s="108">
        <v>3.56</v>
      </c>
      <c r="Q48" s="108">
        <v>3.4140000000000001</v>
      </c>
      <c r="R48" s="108">
        <v>2.7989999999999999</v>
      </c>
      <c r="S48" s="108">
        <v>3.42</v>
      </c>
      <c r="T48" s="108">
        <v>-8.58</v>
      </c>
      <c r="U48" s="108">
        <v>13.07</v>
      </c>
      <c r="V48" s="109">
        <v>6.3319999999999999</v>
      </c>
      <c r="W48" s="109">
        <f t="shared" si="0"/>
        <v>3.1435546220023647</v>
      </c>
    </row>
    <row r="49" spans="1:23" x14ac:dyDescent="0.3">
      <c r="A49" s="106" t="s">
        <v>42</v>
      </c>
      <c r="B49" s="106" t="s">
        <v>445</v>
      </c>
      <c r="C49" s="107">
        <v>2.5096449899315587</v>
      </c>
      <c r="D49" s="108">
        <v>3.8028194592395037</v>
      </c>
      <c r="E49" s="109">
        <v>2.5630103304818297</v>
      </c>
      <c r="G49" s="110" t="s">
        <v>409</v>
      </c>
      <c r="H49" s="111">
        <v>87.255396390154942</v>
      </c>
      <c r="I49" s="112">
        <v>32</v>
      </c>
      <c r="J49" s="113">
        <v>21</v>
      </c>
      <c r="K49" s="106"/>
      <c r="L49" s="107">
        <v>-3.4468220858971224</v>
      </c>
      <c r="M49" s="108">
        <v>-6.5530782549911972</v>
      </c>
      <c r="N49" s="108">
        <v>-1.8293091092200273</v>
      </c>
      <c r="O49" s="108">
        <v>3.4180000000000001</v>
      </c>
      <c r="P49" s="108">
        <v>6.5739999999999998</v>
      </c>
      <c r="Q49" s="108">
        <v>5.7329999999999997</v>
      </c>
      <c r="R49" s="108">
        <v>5.649</v>
      </c>
      <c r="S49" s="108">
        <v>5.5289999999999999</v>
      </c>
      <c r="T49" s="108">
        <v>-4.3710000000000004</v>
      </c>
      <c r="U49" s="108">
        <v>6.6369999999999996</v>
      </c>
      <c r="V49" s="109">
        <v>5.6319999999999997</v>
      </c>
      <c r="W49" s="109">
        <f t="shared" si="0"/>
        <v>3.1829148948606667</v>
      </c>
    </row>
    <row r="50" spans="1:23" x14ac:dyDescent="0.3">
      <c r="A50" s="106" t="s">
        <v>42</v>
      </c>
      <c r="B50" s="106" t="s">
        <v>446</v>
      </c>
      <c r="C50" s="107">
        <v>7.8479275411136307E-2</v>
      </c>
      <c r="D50" s="108">
        <v>1.4620184569118511</v>
      </c>
      <c r="E50" s="109">
        <v>2.1534461321011111</v>
      </c>
      <c r="G50" s="110" t="s">
        <v>415</v>
      </c>
      <c r="H50" s="111">
        <v>91.450544124021832</v>
      </c>
      <c r="I50" s="112">
        <v>23</v>
      </c>
      <c r="J50" s="113">
        <v>15</v>
      </c>
      <c r="K50" s="106"/>
      <c r="L50" s="107">
        <v>-0.79984428098029747</v>
      </c>
      <c r="M50" s="108">
        <v>-0.48367104180935355</v>
      </c>
      <c r="N50" s="108">
        <v>2.7151161333034923</v>
      </c>
      <c r="O50" s="108">
        <v>5.3879999999999999</v>
      </c>
      <c r="P50" s="108">
        <v>2.5369999999999999</v>
      </c>
      <c r="Q50" s="108">
        <v>5.1689999999999996</v>
      </c>
      <c r="R50" s="108">
        <v>3.22</v>
      </c>
      <c r="S50" s="108">
        <v>3.03</v>
      </c>
      <c r="T50" s="108">
        <v>-5.5030000000000001</v>
      </c>
      <c r="U50" s="108">
        <v>3.5529999999999999</v>
      </c>
      <c r="V50" s="109">
        <v>2.4420000000000002</v>
      </c>
      <c r="W50" s="109">
        <f t="shared" si="0"/>
        <v>1.8077322945064811</v>
      </c>
    </row>
    <row r="51" spans="1:23" x14ac:dyDescent="0.3">
      <c r="A51" s="106" t="s">
        <v>42</v>
      </c>
      <c r="B51" s="106" t="s">
        <v>447</v>
      </c>
      <c r="C51" s="107">
        <v>2.1173186821453305</v>
      </c>
      <c r="D51" s="108">
        <v>2.0745382872927598</v>
      </c>
      <c r="E51" s="109">
        <v>2.0535686786969709</v>
      </c>
      <c r="G51" s="110" t="s">
        <v>415</v>
      </c>
      <c r="H51" s="111">
        <v>97.848591628257381</v>
      </c>
      <c r="I51" s="112">
        <v>3</v>
      </c>
      <c r="J51" s="113">
        <v>2</v>
      </c>
      <c r="K51" s="106"/>
      <c r="L51" s="107">
        <v>0.22649979701625131</v>
      </c>
      <c r="M51" s="108">
        <v>0.93334095705108477</v>
      </c>
      <c r="N51" s="108">
        <v>1.6193938166337245</v>
      </c>
      <c r="O51" s="108">
        <v>2.343</v>
      </c>
      <c r="P51" s="108">
        <v>3.2480000000000002</v>
      </c>
      <c r="Q51" s="108">
        <v>2.819</v>
      </c>
      <c r="R51" s="108">
        <v>1.9910000000000001</v>
      </c>
      <c r="S51" s="108">
        <v>1.4930000000000001</v>
      </c>
      <c r="T51" s="108">
        <v>-1.994</v>
      </c>
      <c r="U51" s="108">
        <v>4.8570000000000002</v>
      </c>
      <c r="V51" s="109">
        <v>3.6230000000000002</v>
      </c>
      <c r="W51" s="109">
        <f t="shared" si="0"/>
        <v>2.0640534829948654</v>
      </c>
    </row>
    <row r="52" spans="1:23" x14ac:dyDescent="0.3">
      <c r="A52" s="106" t="s">
        <v>411</v>
      </c>
      <c r="B52" s="106" t="s">
        <v>448</v>
      </c>
      <c r="C52" s="107">
        <v>3.1998461156594438</v>
      </c>
      <c r="D52" s="108">
        <v>4.316018962980106</v>
      </c>
      <c r="E52" s="109">
        <v>5.1698060844696858</v>
      </c>
      <c r="G52" s="110" t="s">
        <v>409</v>
      </c>
      <c r="H52" s="111">
        <v>76.661181476266762</v>
      </c>
      <c r="I52" s="112">
        <v>62</v>
      </c>
      <c r="J52" s="113">
        <v>9</v>
      </c>
      <c r="K52" s="106"/>
      <c r="L52" s="107">
        <v>2.7173678967056243</v>
      </c>
      <c r="M52" s="108">
        <v>4.8752050933227107</v>
      </c>
      <c r="N52" s="108">
        <v>7.0504636896591117</v>
      </c>
      <c r="O52" s="108">
        <v>6.9269999999999996</v>
      </c>
      <c r="P52" s="108">
        <v>6.6589999999999998</v>
      </c>
      <c r="Q52" s="108">
        <v>4.6669999999999998</v>
      </c>
      <c r="R52" s="108">
        <v>6.9829999999999997</v>
      </c>
      <c r="S52" s="108">
        <v>5.0519999999999996</v>
      </c>
      <c r="T52" s="108">
        <v>-6.72</v>
      </c>
      <c r="U52" s="108">
        <v>12.272</v>
      </c>
      <c r="V52" s="109">
        <v>4.9489999999999998</v>
      </c>
      <c r="W52" s="109">
        <f t="shared" si="0"/>
        <v>4.7429125237248959</v>
      </c>
    </row>
    <row r="53" spans="1:23" x14ac:dyDescent="0.3">
      <c r="A53" s="106" t="s">
        <v>411</v>
      </c>
      <c r="B53" s="106" t="s">
        <v>449</v>
      </c>
      <c r="C53" s="107">
        <v>-0.32141867374969602</v>
      </c>
      <c r="D53" s="108">
        <v>6.5490773887200149E-2</v>
      </c>
      <c r="E53" s="109">
        <v>1.0130868701887064</v>
      </c>
      <c r="G53" s="114" t="s">
        <v>413</v>
      </c>
      <c r="H53" s="111">
        <v>61.323621492965962</v>
      </c>
      <c r="I53" s="112">
        <v>123</v>
      </c>
      <c r="J53" s="113">
        <v>20</v>
      </c>
      <c r="K53" s="106"/>
      <c r="L53" s="107">
        <v>5.641962066711991</v>
      </c>
      <c r="M53" s="108">
        <v>4.9465112669062528</v>
      </c>
      <c r="N53" s="108">
        <v>3.7888685492083329</v>
      </c>
      <c r="O53" s="108">
        <v>9.9000000000000005E-2</v>
      </c>
      <c r="P53" s="108">
        <v>-1.226</v>
      </c>
      <c r="Q53" s="108">
        <v>2.3679999999999999</v>
      </c>
      <c r="R53" s="108">
        <v>1.2889999999999999</v>
      </c>
      <c r="S53" s="108">
        <v>1.2E-2</v>
      </c>
      <c r="T53" s="108">
        <v>-7.7880000000000003</v>
      </c>
      <c r="U53" s="108">
        <v>4.2350000000000003</v>
      </c>
      <c r="V53" s="109">
        <v>3.0390000000000001</v>
      </c>
      <c r="W53" s="109">
        <f t="shared" si="0"/>
        <v>0.53928882203795325</v>
      </c>
    </row>
    <row r="54" spans="1:23" x14ac:dyDescent="0.3">
      <c r="A54" s="106" t="s">
        <v>407</v>
      </c>
      <c r="B54" s="106" t="s">
        <v>450</v>
      </c>
      <c r="C54" s="107">
        <v>4.4912036839904523</v>
      </c>
      <c r="D54" s="108">
        <v>4.8680352120142656</v>
      </c>
      <c r="E54" s="109">
        <v>4.2302867143853229</v>
      </c>
      <c r="G54" s="110" t="s">
        <v>413</v>
      </c>
      <c r="H54" s="111">
        <v>63.405428674671668</v>
      </c>
      <c r="I54" s="112">
        <v>119</v>
      </c>
      <c r="J54" s="113">
        <v>28</v>
      </c>
      <c r="K54" s="106"/>
      <c r="L54" s="107">
        <v>2.2261997966213811</v>
      </c>
      <c r="M54" s="108">
        <v>2.1854660547123101</v>
      </c>
      <c r="N54" s="108">
        <v>2.9159118788358169</v>
      </c>
      <c r="O54" s="108">
        <v>4.4340000000000002</v>
      </c>
      <c r="P54" s="108">
        <v>4.5060000000000002</v>
      </c>
      <c r="Q54" s="108">
        <v>2.3690000000000002</v>
      </c>
      <c r="R54" s="108">
        <v>5.3310000000000004</v>
      </c>
      <c r="S54" s="108">
        <v>5.5339999999999998</v>
      </c>
      <c r="T54" s="108">
        <v>3.5139999999999998</v>
      </c>
      <c r="U54" s="108">
        <v>3.3069999999999999</v>
      </c>
      <c r="V54" s="109">
        <v>6.609</v>
      </c>
      <c r="W54" s="109">
        <f t="shared" si="0"/>
        <v>4.5491609631997942</v>
      </c>
    </row>
    <row r="55" spans="1:23" x14ac:dyDescent="0.3">
      <c r="A55" s="106" t="s">
        <v>411</v>
      </c>
      <c r="B55" s="106" t="s">
        <v>451</v>
      </c>
      <c r="C55" s="107">
        <v>1.3471265984384528</v>
      </c>
      <c r="D55" s="108">
        <v>1.776882859029727</v>
      </c>
      <c r="E55" s="109">
        <v>2.0016468394263187</v>
      </c>
      <c r="G55" s="110" t="s">
        <v>406</v>
      </c>
      <c r="H55" s="111">
        <v>69.210174273537845</v>
      </c>
      <c r="I55" s="112">
        <v>94</v>
      </c>
      <c r="J55" s="113">
        <v>13</v>
      </c>
      <c r="K55" s="106"/>
      <c r="L55" s="107">
        <v>2.8155018217952783</v>
      </c>
      <c r="M55" s="108">
        <v>2.2337536818851604</v>
      </c>
      <c r="N55" s="108">
        <v>1.7112232058649222</v>
      </c>
      <c r="O55" s="108">
        <v>2.395</v>
      </c>
      <c r="P55" s="108">
        <v>2.5419999999999998</v>
      </c>
      <c r="Q55" s="108">
        <v>2.2530000000000001</v>
      </c>
      <c r="R55" s="108">
        <v>2.4119999999999999</v>
      </c>
      <c r="S55" s="108">
        <v>2.4350000000000001</v>
      </c>
      <c r="T55" s="108">
        <v>-8.1750000000000007</v>
      </c>
      <c r="U55" s="108">
        <v>10.269</v>
      </c>
      <c r="V55" s="109">
        <v>2.8</v>
      </c>
      <c r="W55" s="109">
        <f t="shared" si="0"/>
        <v>1.8892648492280228</v>
      </c>
    </row>
    <row r="56" spans="1:23" x14ac:dyDescent="0.3">
      <c r="A56" s="106" t="s">
        <v>42</v>
      </c>
      <c r="B56" s="106" t="s">
        <v>452</v>
      </c>
      <c r="C56" s="107">
        <v>1.972770435214799</v>
      </c>
      <c r="D56" s="108">
        <v>2.6853264084946815</v>
      </c>
      <c r="E56" s="109">
        <v>2.7928430899179402</v>
      </c>
      <c r="G56" s="110" t="s">
        <v>409</v>
      </c>
      <c r="H56" s="111">
        <v>82.267245472231053</v>
      </c>
      <c r="I56" s="112">
        <v>41</v>
      </c>
      <c r="J56" s="113">
        <v>27</v>
      </c>
      <c r="K56" s="106"/>
      <c r="L56" s="107">
        <v>3.1248431915696226</v>
      </c>
      <c r="M56" s="108">
        <v>1.346187835760732</v>
      </c>
      <c r="N56" s="108">
        <v>2.9873258188549392</v>
      </c>
      <c r="O56" s="108">
        <v>1.853</v>
      </c>
      <c r="P56" s="108">
        <v>3.1549999999999998</v>
      </c>
      <c r="Q56" s="108">
        <v>5.7919999999999998</v>
      </c>
      <c r="R56" s="108">
        <v>3.7839999999999998</v>
      </c>
      <c r="S56" s="108">
        <v>3.74</v>
      </c>
      <c r="T56" s="108">
        <v>-0.55100000000000005</v>
      </c>
      <c r="U56" s="108">
        <v>8.0129999999999999</v>
      </c>
      <c r="V56" s="109">
        <v>-1.2869999999999999</v>
      </c>
      <c r="W56" s="109">
        <f t="shared" si="0"/>
        <v>2.7390847492063108</v>
      </c>
    </row>
    <row r="57" spans="1:23" x14ac:dyDescent="0.3">
      <c r="A57" s="106" t="s">
        <v>407</v>
      </c>
      <c r="B57" s="106" t="s">
        <v>453</v>
      </c>
      <c r="C57" s="107">
        <v>2.1841699351578647</v>
      </c>
      <c r="D57" s="108">
        <v>2.1180367535848621</v>
      </c>
      <c r="E57" s="109">
        <v>2.094572895591984</v>
      </c>
      <c r="G57" s="110" t="s">
        <v>413</v>
      </c>
      <c r="H57" s="111">
        <v>63.876381030610304</v>
      </c>
      <c r="I57" s="112">
        <v>117</v>
      </c>
      <c r="J57" s="113">
        <v>27</v>
      </c>
      <c r="K57" s="106"/>
      <c r="L57" s="107">
        <v>5.3913093065302364</v>
      </c>
      <c r="M57" s="108">
        <v>3.8622718821819677</v>
      </c>
      <c r="N57" s="108">
        <v>0.91319649477376841</v>
      </c>
      <c r="O57" s="108">
        <v>2.2269999999999999</v>
      </c>
      <c r="P57" s="108">
        <v>1.0629999999999999</v>
      </c>
      <c r="Q57" s="108">
        <v>2.0270000000000001</v>
      </c>
      <c r="R57" s="108">
        <v>2.3690000000000002</v>
      </c>
      <c r="S57" s="108">
        <v>2.7040000000000002</v>
      </c>
      <c r="T57" s="108">
        <v>-1.56</v>
      </c>
      <c r="U57" s="108">
        <v>7.883</v>
      </c>
      <c r="V57" s="109">
        <v>0.46700000000000003</v>
      </c>
      <c r="W57" s="109">
        <f t="shared" si="0"/>
        <v>2.1063048245884231</v>
      </c>
    </row>
    <row r="58" spans="1:23" x14ac:dyDescent="0.3">
      <c r="A58" s="106" t="s">
        <v>407</v>
      </c>
      <c r="B58" s="106" t="s">
        <v>454</v>
      </c>
      <c r="C58" s="107">
        <v>6.0178655257344227</v>
      </c>
      <c r="D58" s="108">
        <v>6.6428861766961944</v>
      </c>
      <c r="E58" s="109">
        <v>8.3305963840047514</v>
      </c>
      <c r="G58" s="110" t="s">
        <v>404</v>
      </c>
      <c r="H58" s="111">
        <v>58.357971531116526</v>
      </c>
      <c r="I58" s="112">
        <v>128</v>
      </c>
      <c r="J58" s="113">
        <v>31</v>
      </c>
      <c r="K58" s="106"/>
      <c r="L58" s="107">
        <v>8.6478116333741841</v>
      </c>
      <c r="M58" s="108">
        <v>10.582270048267214</v>
      </c>
      <c r="N58" s="108">
        <v>10.257492961005118</v>
      </c>
      <c r="O58" s="108">
        <v>10.4</v>
      </c>
      <c r="P58" s="108">
        <v>8</v>
      </c>
      <c r="Q58" s="108">
        <v>10.210000000000001</v>
      </c>
      <c r="R58" s="108">
        <v>7.7030000000000003</v>
      </c>
      <c r="S58" s="108">
        <v>9.0370000000000008</v>
      </c>
      <c r="T58" s="108">
        <v>6.0570000000000004</v>
      </c>
      <c r="U58" s="108">
        <v>6.2649999999999997</v>
      </c>
      <c r="V58" s="109">
        <v>6.3579999999999997</v>
      </c>
      <c r="W58" s="109">
        <f t="shared" si="0"/>
        <v>7.4867412803504729</v>
      </c>
    </row>
    <row r="59" spans="1:23" x14ac:dyDescent="0.3">
      <c r="A59" s="106" t="s">
        <v>42</v>
      </c>
      <c r="B59" s="106" t="s">
        <v>455</v>
      </c>
      <c r="C59" s="107">
        <v>0.92513707934396283</v>
      </c>
      <c r="D59" s="108">
        <v>1.065704979127502</v>
      </c>
      <c r="E59" s="109">
        <v>1.0351636365421246</v>
      </c>
      <c r="G59" s="110" t="s">
        <v>415</v>
      </c>
      <c r="H59" s="111">
        <v>97.443307672167862</v>
      </c>
      <c r="I59" s="112">
        <v>5</v>
      </c>
      <c r="J59" s="113">
        <v>3</v>
      </c>
      <c r="K59" s="106"/>
      <c r="L59" s="107">
        <v>-1.3973545576374944</v>
      </c>
      <c r="M59" s="108">
        <v>-0.90201849743960727</v>
      </c>
      <c r="N59" s="108">
        <v>-0.36494028121428063</v>
      </c>
      <c r="O59" s="108">
        <v>0.54400000000000004</v>
      </c>
      <c r="P59" s="108">
        <v>2.8109999999999999</v>
      </c>
      <c r="Q59" s="108">
        <v>3.1920000000000002</v>
      </c>
      <c r="R59" s="108">
        <v>1.1399999999999999</v>
      </c>
      <c r="S59" s="108">
        <v>1.224</v>
      </c>
      <c r="T59" s="108">
        <v>-2.355</v>
      </c>
      <c r="U59" s="108">
        <v>3.0459999999999998</v>
      </c>
      <c r="V59" s="109">
        <v>2.0840000000000001</v>
      </c>
      <c r="W59" s="109">
        <f t="shared" si="0"/>
        <v>1.0504343078348133</v>
      </c>
    </row>
    <row r="60" spans="1:23" x14ac:dyDescent="0.3">
      <c r="A60" s="106" t="s">
        <v>42</v>
      </c>
      <c r="B60" s="106" t="s">
        <v>77</v>
      </c>
      <c r="C60" s="107">
        <v>0.35484098705607092</v>
      </c>
      <c r="D60" s="108">
        <v>0.85541697677951056</v>
      </c>
      <c r="E60" s="109">
        <v>1.0299722548507528</v>
      </c>
      <c r="G60" s="110" t="s">
        <v>415</v>
      </c>
      <c r="H60" s="111">
        <v>94.937245038342397</v>
      </c>
      <c r="I60" s="112">
        <v>20</v>
      </c>
      <c r="J60" s="113">
        <v>13</v>
      </c>
      <c r="K60" s="106"/>
      <c r="L60" s="107">
        <v>0.31313474167845923</v>
      </c>
      <c r="M60" s="108">
        <v>0.5763266794418439</v>
      </c>
      <c r="N60" s="108">
        <v>0.95618304768384532</v>
      </c>
      <c r="O60" s="108">
        <v>1.0549999999999999</v>
      </c>
      <c r="P60" s="108">
        <v>0.98199999999999998</v>
      </c>
      <c r="Q60" s="108">
        <v>2.4489999999999998</v>
      </c>
      <c r="R60" s="108">
        <v>1.8240000000000001</v>
      </c>
      <c r="S60" s="108">
        <v>1.8839999999999999</v>
      </c>
      <c r="T60" s="108">
        <v>-7.907</v>
      </c>
      <c r="U60" s="108">
        <v>6.77</v>
      </c>
      <c r="V60" s="109">
        <v>2.6059999999999999</v>
      </c>
      <c r="W60" s="109">
        <f t="shared" si="0"/>
        <v>0.9426946158151317</v>
      </c>
    </row>
    <row r="61" spans="1:23" x14ac:dyDescent="0.3">
      <c r="A61" s="106" t="s">
        <v>407</v>
      </c>
      <c r="B61" s="106" t="s">
        <v>456</v>
      </c>
      <c r="C61" s="107">
        <v>0.80490169914342324</v>
      </c>
      <c r="D61" s="108">
        <v>1.4271603442411074</v>
      </c>
      <c r="E61" s="109">
        <v>2.3419356903168431</v>
      </c>
      <c r="G61" s="110" t="s">
        <v>404</v>
      </c>
      <c r="H61" s="111">
        <v>37.219050826761183</v>
      </c>
      <c r="I61" s="112">
        <v>153</v>
      </c>
      <c r="J61" s="113">
        <v>46</v>
      </c>
      <c r="K61" s="106"/>
      <c r="L61" s="107">
        <v>5.251076917504065</v>
      </c>
      <c r="M61" s="108">
        <v>5.6386990033869457</v>
      </c>
      <c r="N61" s="108">
        <v>4.3149644410747063</v>
      </c>
      <c r="O61" s="108">
        <v>3.879</v>
      </c>
      <c r="P61" s="108">
        <v>2.0910000000000002</v>
      </c>
      <c r="Q61" s="108">
        <v>0.47299999999999998</v>
      </c>
      <c r="R61" s="108">
        <v>0.84299999999999997</v>
      </c>
      <c r="S61" s="108">
        <v>3.915</v>
      </c>
      <c r="T61" s="108">
        <v>-1.8640000000000001</v>
      </c>
      <c r="U61" s="108">
        <v>1.484</v>
      </c>
      <c r="V61" s="109">
        <v>2.8479999999999999</v>
      </c>
      <c r="W61" s="109">
        <f t="shared" si="0"/>
        <v>1.8845480172789753</v>
      </c>
    </row>
    <row r="62" spans="1:23" x14ac:dyDescent="0.3">
      <c r="A62" s="106" t="s">
        <v>407</v>
      </c>
      <c r="B62" s="106" t="s">
        <v>457</v>
      </c>
      <c r="C62" s="107">
        <v>3.0839257560593802</v>
      </c>
      <c r="D62" s="108">
        <v>4.5260960958580343</v>
      </c>
      <c r="E62" s="109">
        <v>3.4750911540431417</v>
      </c>
      <c r="G62" s="110" t="s">
        <v>413</v>
      </c>
      <c r="H62" s="111">
        <v>65.416670727464805</v>
      </c>
      <c r="I62" s="112">
        <v>114</v>
      </c>
      <c r="J62" s="113">
        <v>26</v>
      </c>
      <c r="K62" s="106"/>
      <c r="L62" s="107">
        <v>5.2415692463074244</v>
      </c>
      <c r="M62" s="108">
        <v>2.8727687903269969</v>
      </c>
      <c r="N62" s="108">
        <v>-1.4073824951095362</v>
      </c>
      <c r="O62" s="108">
        <v>4.0579999999999998</v>
      </c>
      <c r="P62" s="108">
        <v>1.9430000000000001</v>
      </c>
      <c r="Q62" s="108">
        <v>4.8230000000000004</v>
      </c>
      <c r="R62" s="108">
        <v>7.2350000000000003</v>
      </c>
      <c r="S62" s="108">
        <v>6.2220000000000004</v>
      </c>
      <c r="T62" s="108">
        <v>0.59099999999999997</v>
      </c>
      <c r="U62" s="108">
        <v>4.2649999999999997</v>
      </c>
      <c r="V62" s="109">
        <v>4.4409999999999998</v>
      </c>
      <c r="W62" s="109">
        <f t="shared" si="0"/>
        <v>4.0005936249505876</v>
      </c>
    </row>
    <row r="63" spans="1:23" x14ac:dyDescent="0.3">
      <c r="A63" s="106" t="s">
        <v>42</v>
      </c>
      <c r="B63" s="106" t="s">
        <v>458</v>
      </c>
      <c r="C63" s="107">
        <v>4.283743954922925</v>
      </c>
      <c r="D63" s="108">
        <v>4.5348375618438741</v>
      </c>
      <c r="E63" s="109">
        <v>4.1477466898679483</v>
      </c>
      <c r="G63" s="110" t="s">
        <v>409</v>
      </c>
      <c r="H63" s="111">
        <v>80.727500391697276</v>
      </c>
      <c r="I63" s="112">
        <v>46</v>
      </c>
      <c r="J63" s="113">
        <v>31</v>
      </c>
      <c r="K63" s="106"/>
      <c r="L63" s="107">
        <v>6.3690083063386043</v>
      </c>
      <c r="M63" s="108">
        <v>3.6213053519627643</v>
      </c>
      <c r="N63" s="108">
        <v>4.4319248230907649</v>
      </c>
      <c r="O63" s="108">
        <v>3.0270000000000001</v>
      </c>
      <c r="P63" s="108">
        <v>2.9060000000000001</v>
      </c>
      <c r="Q63" s="108">
        <v>4.843</v>
      </c>
      <c r="R63" s="108">
        <v>4.843</v>
      </c>
      <c r="S63" s="108">
        <v>4.9820000000000002</v>
      </c>
      <c r="T63" s="108">
        <v>-6.76</v>
      </c>
      <c r="U63" s="108">
        <v>10.465999999999999</v>
      </c>
      <c r="V63" s="109">
        <v>10.109</v>
      </c>
      <c r="W63" s="109">
        <f t="shared" si="0"/>
        <v>4.3412921258559116</v>
      </c>
    </row>
    <row r="64" spans="1:23" x14ac:dyDescent="0.3">
      <c r="A64" s="106" t="s">
        <v>42</v>
      </c>
      <c r="B64" s="106" t="s">
        <v>78</v>
      </c>
      <c r="C64" s="107">
        <v>0.19639292345923209</v>
      </c>
      <c r="D64" s="108">
        <v>0.54722001304448042</v>
      </c>
      <c r="E64" s="109">
        <v>1.1791658469401556</v>
      </c>
      <c r="G64" s="110" t="s">
        <v>415</v>
      </c>
      <c r="H64" s="111">
        <v>96.79194200114037</v>
      </c>
      <c r="I64" s="112">
        <v>8</v>
      </c>
      <c r="J64" s="113">
        <v>6</v>
      </c>
      <c r="K64" s="106"/>
      <c r="L64" s="107">
        <v>0.41955108005357267</v>
      </c>
      <c r="M64" s="108">
        <v>0.42824326167218907</v>
      </c>
      <c r="N64" s="108">
        <v>2.2256887491492803</v>
      </c>
      <c r="O64" s="108">
        <v>1.4870000000000001</v>
      </c>
      <c r="P64" s="108">
        <v>2.23</v>
      </c>
      <c r="Q64" s="108">
        <v>2.68</v>
      </c>
      <c r="R64" s="108">
        <v>0.98399999999999999</v>
      </c>
      <c r="S64" s="108">
        <v>1.054</v>
      </c>
      <c r="T64" s="108">
        <v>-3.6920000000000002</v>
      </c>
      <c r="U64" s="108">
        <v>2.625</v>
      </c>
      <c r="V64" s="109">
        <v>1.778</v>
      </c>
      <c r="W64" s="109">
        <f t="shared" si="0"/>
        <v>0.863192929992318</v>
      </c>
    </row>
    <row r="65" spans="1:23" x14ac:dyDescent="0.3">
      <c r="A65" s="106" t="s">
        <v>407</v>
      </c>
      <c r="B65" s="106" t="s">
        <v>459</v>
      </c>
      <c r="C65" s="107">
        <v>3.0107142168638523</v>
      </c>
      <c r="D65" s="108">
        <v>4.8285507296226937</v>
      </c>
      <c r="E65" s="109">
        <v>4.7980640567336197</v>
      </c>
      <c r="G65" s="110" t="s">
        <v>406</v>
      </c>
      <c r="H65" s="111">
        <v>69.704517199471169</v>
      </c>
      <c r="I65" s="112">
        <v>89</v>
      </c>
      <c r="J65" s="113">
        <v>13</v>
      </c>
      <c r="K65" s="106"/>
      <c r="L65" s="107">
        <v>9.2927894045967889</v>
      </c>
      <c r="M65" s="108">
        <v>7.3125250073312458</v>
      </c>
      <c r="N65" s="108">
        <v>2.8974388369154251</v>
      </c>
      <c r="O65" s="108">
        <v>2.121</v>
      </c>
      <c r="P65" s="108">
        <v>3.3730000000000002</v>
      </c>
      <c r="Q65" s="108">
        <v>8.1289999999999996</v>
      </c>
      <c r="R65" s="108">
        <v>6.2</v>
      </c>
      <c r="S65" s="108">
        <v>6.508</v>
      </c>
      <c r="T65" s="108">
        <v>0.51400000000000001</v>
      </c>
      <c r="U65" s="108">
        <v>5.3559999999999999</v>
      </c>
      <c r="V65" s="109">
        <v>3.2189999999999999</v>
      </c>
      <c r="W65" s="109">
        <f t="shared" si="0"/>
        <v>4.8133073931781567</v>
      </c>
    </row>
    <row r="66" spans="1:23" x14ac:dyDescent="0.3">
      <c r="A66" s="106" t="s">
        <v>42</v>
      </c>
      <c r="B66" s="106" t="s">
        <v>282</v>
      </c>
      <c r="C66" s="107">
        <v>1.4800990034344652</v>
      </c>
      <c r="D66" s="108">
        <v>1.2580147511245698</v>
      </c>
      <c r="E66" s="109">
        <v>0.45671215262543807</v>
      </c>
      <c r="G66" s="110" t="s">
        <v>415</v>
      </c>
      <c r="H66" s="111">
        <v>87.308557455608167</v>
      </c>
      <c r="I66" s="112">
        <v>31</v>
      </c>
      <c r="J66" s="113">
        <v>20</v>
      </c>
      <c r="K66" s="106"/>
      <c r="L66" s="107">
        <v>-7.3004939606978656</v>
      </c>
      <c r="M66" s="108">
        <v>-3.2414250560129267</v>
      </c>
      <c r="N66" s="108">
        <v>0.73977713855774985</v>
      </c>
      <c r="O66" s="108">
        <v>-0.19600000000000001</v>
      </c>
      <c r="P66" s="108">
        <v>-0.48699999999999999</v>
      </c>
      <c r="Q66" s="108">
        <v>1.0920000000000001</v>
      </c>
      <c r="R66" s="108">
        <v>1.6679999999999999</v>
      </c>
      <c r="S66" s="108">
        <v>1.8839999999999999</v>
      </c>
      <c r="T66" s="108">
        <v>-9.0039999999999996</v>
      </c>
      <c r="U66" s="108">
        <v>8.4339999999999993</v>
      </c>
      <c r="V66" s="109">
        <v>5.9139999999999997</v>
      </c>
      <c r="W66" s="109">
        <f t="shared" si="0"/>
        <v>0.85736345187500396</v>
      </c>
    </row>
    <row r="67" spans="1:23" x14ac:dyDescent="0.3">
      <c r="A67" s="106" t="s">
        <v>411</v>
      </c>
      <c r="B67" s="106" t="s">
        <v>460</v>
      </c>
      <c r="C67" s="107">
        <v>3.3306625930319189</v>
      </c>
      <c r="D67" s="108">
        <v>3.4919746764532578</v>
      </c>
      <c r="E67" s="109">
        <v>3.5384372691175781</v>
      </c>
      <c r="G67" s="110" t="s">
        <v>406</v>
      </c>
      <c r="H67" s="111">
        <v>71.336652243067974</v>
      </c>
      <c r="I67" s="112">
        <v>82</v>
      </c>
      <c r="J67" s="113">
        <v>10</v>
      </c>
      <c r="K67" s="106"/>
      <c r="L67" s="107">
        <v>2.9698574079878068</v>
      </c>
      <c r="M67" s="108">
        <v>3.6975861001947585</v>
      </c>
      <c r="N67" s="108">
        <v>4.4439780738522474</v>
      </c>
      <c r="O67" s="108">
        <v>4.0919999999999996</v>
      </c>
      <c r="P67" s="108">
        <v>2.6779999999999999</v>
      </c>
      <c r="Q67" s="108">
        <v>3.08</v>
      </c>
      <c r="R67" s="108">
        <v>3.407</v>
      </c>
      <c r="S67" s="108">
        <v>4.0019999999999998</v>
      </c>
      <c r="T67" s="108">
        <v>-1.764</v>
      </c>
      <c r="U67" s="108">
        <v>7.9809999999999999</v>
      </c>
      <c r="V67" s="109">
        <v>4.0090000000000003</v>
      </c>
      <c r="W67" s="109">
        <f t="shared" si="0"/>
        <v>3.5152059727854179</v>
      </c>
    </row>
    <row r="68" spans="1:23" x14ac:dyDescent="0.3">
      <c r="A68" s="106" t="s">
        <v>407</v>
      </c>
      <c r="B68" s="106" t="s">
        <v>461</v>
      </c>
      <c r="C68" s="107">
        <v>4.3705772513408236</v>
      </c>
      <c r="D68" s="108">
        <v>4.9898667622307658</v>
      </c>
      <c r="E68" s="109">
        <v>5.729233966321412</v>
      </c>
      <c r="G68" s="110" t="s">
        <v>404</v>
      </c>
      <c r="H68" s="111">
        <v>50.297438492745087</v>
      </c>
      <c r="I68" s="112">
        <v>138</v>
      </c>
      <c r="J68" s="113">
        <v>36</v>
      </c>
      <c r="K68" s="106"/>
      <c r="L68" s="107">
        <v>5.9152881384417997</v>
      </c>
      <c r="M68" s="108">
        <v>3.9456854305126305</v>
      </c>
      <c r="N68" s="108">
        <v>3.6965411823164165</v>
      </c>
      <c r="O68" s="108">
        <v>3.8260000000000001</v>
      </c>
      <c r="P68" s="108">
        <v>10.821</v>
      </c>
      <c r="Q68" s="108">
        <v>10.3</v>
      </c>
      <c r="R68" s="108">
        <v>6.3579999999999997</v>
      </c>
      <c r="S68" s="108">
        <v>5.617</v>
      </c>
      <c r="T68" s="108">
        <v>4.92</v>
      </c>
      <c r="U68" s="108">
        <v>4.2919999999999998</v>
      </c>
      <c r="V68" s="109">
        <v>4.2939999999999996</v>
      </c>
      <c r="W68" s="109">
        <f t="shared" si="0"/>
        <v>5.3595503642760889</v>
      </c>
    </row>
    <row r="69" spans="1:23" x14ac:dyDescent="0.3">
      <c r="A69" s="106" t="s">
        <v>407</v>
      </c>
      <c r="B69" s="106" t="s">
        <v>462</v>
      </c>
      <c r="C69" s="107">
        <v>1.5927018196488341</v>
      </c>
      <c r="D69" s="108">
        <v>2.1053991541019057</v>
      </c>
      <c r="E69" s="109">
        <v>3.2889383993762955</v>
      </c>
      <c r="G69" s="110" t="s">
        <v>404</v>
      </c>
      <c r="H69" s="111">
        <v>54.70982708603303</v>
      </c>
      <c r="I69" s="112">
        <v>134</v>
      </c>
      <c r="J69" s="113">
        <v>34</v>
      </c>
      <c r="K69" s="106"/>
      <c r="L69" s="107">
        <v>-1.7126830118107121</v>
      </c>
      <c r="M69" s="108">
        <v>3.255904265176933</v>
      </c>
      <c r="N69" s="108">
        <v>0.96456075098132787</v>
      </c>
      <c r="O69" s="108">
        <v>6.1340000000000003</v>
      </c>
      <c r="P69" s="108">
        <v>5.3070000000000004</v>
      </c>
      <c r="Q69" s="108">
        <v>4.7889999999999997</v>
      </c>
      <c r="R69" s="108">
        <v>3.7610000000000001</v>
      </c>
      <c r="S69" s="108">
        <v>4.5</v>
      </c>
      <c r="T69" s="108">
        <v>1.5</v>
      </c>
      <c r="U69" s="108">
        <v>6.4</v>
      </c>
      <c r="V69" s="109">
        <v>3.5</v>
      </c>
      <c r="W69" s="109">
        <f t="shared" si="0"/>
        <v>2.6971687767391006</v>
      </c>
    </row>
    <row r="70" spans="1:23" x14ac:dyDescent="0.3">
      <c r="A70" s="106" t="s">
        <v>411</v>
      </c>
      <c r="B70" s="106" t="s">
        <v>463</v>
      </c>
      <c r="C70" s="107">
        <v>40.872083180158647</v>
      </c>
      <c r="D70" s="108">
        <v>25.198248131969379</v>
      </c>
      <c r="E70" s="109">
        <v>13.395686805616647</v>
      </c>
      <c r="G70" s="110" t="s">
        <v>404</v>
      </c>
      <c r="H70" s="111">
        <v>56.740934863022261</v>
      </c>
      <c r="I70" s="112">
        <v>129</v>
      </c>
      <c r="J70" s="113">
        <v>21</v>
      </c>
      <c r="K70" s="106"/>
      <c r="L70" s="107">
        <v>5.3836234687298372</v>
      </c>
      <c r="M70" s="108">
        <v>3.6535047680067998</v>
      </c>
      <c r="N70" s="108">
        <v>1.6860277321410588</v>
      </c>
      <c r="O70" s="108">
        <v>0.68700000000000006</v>
      </c>
      <c r="P70" s="108">
        <v>3.8069999999999999</v>
      </c>
      <c r="Q70" s="108">
        <v>3.734</v>
      </c>
      <c r="R70" s="108">
        <v>4.4409999999999998</v>
      </c>
      <c r="S70" s="108">
        <v>5.3529999999999998</v>
      </c>
      <c r="T70" s="108">
        <v>43.48</v>
      </c>
      <c r="U70" s="108">
        <v>20.059999999999999</v>
      </c>
      <c r="V70" s="109">
        <v>62.287999999999997</v>
      </c>
      <c r="W70" s="109">
        <f t="shared" si="0"/>
        <v>19.296967468793014</v>
      </c>
    </row>
    <row r="71" spans="1:23" x14ac:dyDescent="0.3">
      <c r="A71" s="106" t="s">
        <v>411</v>
      </c>
      <c r="B71" s="106" t="s">
        <v>464</v>
      </c>
      <c r="C71" s="107">
        <v>-0.34574931867293879</v>
      </c>
      <c r="D71" s="108">
        <v>0.64565822904871784</v>
      </c>
      <c r="E71" s="109">
        <v>2.5156599586003026</v>
      </c>
      <c r="G71" s="110" t="s">
        <v>404</v>
      </c>
      <c r="H71" s="111">
        <v>54.401198784391461</v>
      </c>
      <c r="I71" s="112">
        <v>135</v>
      </c>
      <c r="J71" s="113">
        <v>22</v>
      </c>
      <c r="K71" s="106"/>
      <c r="L71" s="107">
        <v>-7.4695954800602468E-2</v>
      </c>
      <c r="M71" s="108">
        <v>9.2111856449685803</v>
      </c>
      <c r="N71" s="108">
        <v>1.9148137793287729</v>
      </c>
      <c r="O71" s="108">
        <v>2.5630000000000002</v>
      </c>
      <c r="P71" s="108">
        <v>1.8120000000000001</v>
      </c>
      <c r="Q71" s="108">
        <v>2.5099999999999998</v>
      </c>
      <c r="R71" s="108">
        <v>1.6679999999999999</v>
      </c>
      <c r="S71" s="108">
        <v>-1.6850000000000001</v>
      </c>
      <c r="T71" s="108">
        <v>-3.343</v>
      </c>
      <c r="U71" s="108">
        <v>-1.798</v>
      </c>
      <c r="V71" s="109">
        <v>-1.6819999999999999</v>
      </c>
      <c r="W71" s="109">
        <f t="shared" si="0"/>
        <v>1.5806590938245102</v>
      </c>
    </row>
    <row r="72" spans="1:23" x14ac:dyDescent="0.3">
      <c r="A72" s="106" t="s">
        <v>411</v>
      </c>
      <c r="B72" s="106" t="s">
        <v>465</v>
      </c>
      <c r="C72" s="107">
        <v>2.1352529558121391</v>
      </c>
      <c r="D72" s="108">
        <v>2.5786313755856494</v>
      </c>
      <c r="E72" s="109">
        <v>3.1291474397337593</v>
      </c>
      <c r="G72" s="110" t="s">
        <v>404</v>
      </c>
      <c r="H72" s="111">
        <v>39.565152370912173</v>
      </c>
      <c r="I72" s="112">
        <v>152</v>
      </c>
      <c r="J72" s="113">
        <v>24</v>
      </c>
      <c r="K72" s="106"/>
      <c r="L72" s="107">
        <v>4.1286877486693667</v>
      </c>
      <c r="M72" s="108">
        <v>2.7915597574680358</v>
      </c>
      <c r="N72" s="108">
        <v>3.0580805621437066</v>
      </c>
      <c r="O72" s="108">
        <v>3.84</v>
      </c>
      <c r="P72" s="108">
        <v>3.8929999999999998</v>
      </c>
      <c r="Q72" s="108">
        <v>4.843</v>
      </c>
      <c r="R72" s="108">
        <v>3.8450000000000002</v>
      </c>
      <c r="S72" s="108">
        <v>2.653</v>
      </c>
      <c r="T72" s="108">
        <v>-8.9649999999999999</v>
      </c>
      <c r="U72" s="108">
        <v>12.534000000000001</v>
      </c>
      <c r="V72" s="109">
        <v>4</v>
      </c>
      <c r="W72" s="109">
        <f t="shared" si="0"/>
        <v>2.8538894076597043</v>
      </c>
    </row>
    <row r="73" spans="1:23" x14ac:dyDescent="0.3">
      <c r="A73" s="106" t="s">
        <v>402</v>
      </c>
      <c r="B73" s="106" t="s">
        <v>466</v>
      </c>
      <c r="C73" s="107">
        <v>-1.3866109004180949</v>
      </c>
      <c r="D73" s="108">
        <v>-0.61127068207094126</v>
      </c>
      <c r="E73" s="109">
        <v>1.1000622223137801</v>
      </c>
      <c r="G73" s="110" t="s">
        <v>415</v>
      </c>
      <c r="H73" s="111">
        <v>95.561927385722356</v>
      </c>
      <c r="I73" s="112">
        <v>18</v>
      </c>
      <c r="J73" s="113">
        <v>5</v>
      </c>
      <c r="K73" s="106"/>
      <c r="L73" s="107">
        <v>1.7002747714417163</v>
      </c>
      <c r="M73" s="108">
        <v>3.1015497799994041</v>
      </c>
      <c r="N73" s="108">
        <v>2.7623919976975242</v>
      </c>
      <c r="O73" s="108">
        <v>2.3879999999999999</v>
      </c>
      <c r="P73" s="108">
        <v>2.1749999999999998</v>
      </c>
      <c r="Q73" s="108">
        <v>3.7959999999999998</v>
      </c>
      <c r="R73" s="108">
        <v>2.847</v>
      </c>
      <c r="S73" s="108">
        <v>-1.6719999999999999</v>
      </c>
      <c r="T73" s="108">
        <v>-6.5449999999999999</v>
      </c>
      <c r="U73" s="108">
        <v>6.4480000000000004</v>
      </c>
      <c r="V73" s="109">
        <v>-3.5070000000000001</v>
      </c>
      <c r="W73" s="109">
        <f t="shared" si="0"/>
        <v>0.24439577012141944</v>
      </c>
    </row>
    <row r="74" spans="1:23" x14ac:dyDescent="0.3">
      <c r="A74" s="106" t="s">
        <v>42</v>
      </c>
      <c r="B74" s="106" t="s">
        <v>467</v>
      </c>
      <c r="C74" s="107">
        <v>2.362570497371097</v>
      </c>
      <c r="D74" s="108">
        <v>3.4329643388785636</v>
      </c>
      <c r="E74" s="109">
        <v>3.366609258538622</v>
      </c>
      <c r="G74" s="110" t="s">
        <v>406</v>
      </c>
      <c r="H74" s="111">
        <v>75.842312832768172</v>
      </c>
      <c r="I74" s="112">
        <v>67</v>
      </c>
      <c r="J74" s="113">
        <v>37</v>
      </c>
      <c r="K74" s="106"/>
      <c r="L74" s="107">
        <v>-1.4717888510830746</v>
      </c>
      <c r="M74" s="108">
        <v>1.9629840486290608</v>
      </c>
      <c r="N74" s="108">
        <v>4.1950824094780925</v>
      </c>
      <c r="O74" s="108">
        <v>3.7069999999999999</v>
      </c>
      <c r="P74" s="108">
        <v>2.2010000000000001</v>
      </c>
      <c r="Q74" s="108">
        <v>4.2720000000000002</v>
      </c>
      <c r="R74" s="108">
        <v>5.3620000000000001</v>
      </c>
      <c r="S74" s="108">
        <v>4.8579999999999997</v>
      </c>
      <c r="T74" s="108">
        <v>-4.5469999999999997</v>
      </c>
      <c r="U74" s="108">
        <v>7.117</v>
      </c>
      <c r="V74" s="109">
        <v>4.9000000000000004</v>
      </c>
      <c r="W74" s="109">
        <f t="shared" si="0"/>
        <v>3.3997867987085928</v>
      </c>
    </row>
    <row r="75" spans="1:23" x14ac:dyDescent="0.3">
      <c r="A75" s="106" t="s">
        <v>42</v>
      </c>
      <c r="B75" s="106" t="s">
        <v>468</v>
      </c>
      <c r="C75" s="107">
        <v>1.1623871589995449</v>
      </c>
      <c r="D75" s="108">
        <v>2.1481166990517275</v>
      </c>
      <c r="E75" s="109">
        <v>3.1810733517810608</v>
      </c>
      <c r="G75" s="110" t="s">
        <v>415</v>
      </c>
      <c r="H75" s="111">
        <v>95.11269526919466</v>
      </c>
      <c r="I75" s="112">
        <v>19</v>
      </c>
      <c r="J75" s="113">
        <v>12</v>
      </c>
      <c r="K75" s="106"/>
      <c r="L75" s="107">
        <v>1.0636366074376145</v>
      </c>
      <c r="M75" s="108">
        <v>4.5524603201510816</v>
      </c>
      <c r="N75" s="108">
        <v>1.687215017506406</v>
      </c>
      <c r="O75" s="108">
        <v>4.4370000000000003</v>
      </c>
      <c r="P75" s="108">
        <v>6.3040000000000003</v>
      </c>
      <c r="Q75" s="108">
        <v>4.1950000000000003</v>
      </c>
      <c r="R75" s="108">
        <v>4.8890000000000002</v>
      </c>
      <c r="S75" s="108">
        <v>1.8049999999999999</v>
      </c>
      <c r="T75" s="108">
        <v>-7.242</v>
      </c>
      <c r="U75" s="108">
        <v>4.3330000000000002</v>
      </c>
      <c r="V75" s="109">
        <v>6.4450000000000003</v>
      </c>
      <c r="W75" s="109">
        <f t="shared" ref="W75:W138" si="1">AVERAGE(D75,E75)</f>
        <v>2.6645950254163941</v>
      </c>
    </row>
    <row r="76" spans="1:23" x14ac:dyDescent="0.3">
      <c r="A76" s="106" t="s">
        <v>402</v>
      </c>
      <c r="B76" s="106" t="s">
        <v>182</v>
      </c>
      <c r="C76" s="107">
        <v>2.7398620097403459</v>
      </c>
      <c r="D76" s="108">
        <v>3.6623835250989556</v>
      </c>
      <c r="E76" s="109">
        <v>5.5227254922200597</v>
      </c>
      <c r="G76" s="110" t="s">
        <v>413</v>
      </c>
      <c r="H76" s="111">
        <v>66.198052259063019</v>
      </c>
      <c r="I76" s="112">
        <v>109</v>
      </c>
      <c r="J76" s="113">
        <v>21</v>
      </c>
      <c r="K76" s="106"/>
      <c r="L76" s="107">
        <v>5.4563589507228496</v>
      </c>
      <c r="M76" s="108">
        <v>6.3861064009482602</v>
      </c>
      <c r="N76" s="108">
        <v>7.410227605088517</v>
      </c>
      <c r="O76" s="108">
        <v>7.9960000000000004</v>
      </c>
      <c r="P76" s="108">
        <v>8.2560000000000002</v>
      </c>
      <c r="Q76" s="108">
        <v>6.7949999999999999</v>
      </c>
      <c r="R76" s="108">
        <v>6.4539999999999997</v>
      </c>
      <c r="S76" s="108">
        <v>3.871</v>
      </c>
      <c r="T76" s="108">
        <v>-5.8310000000000004</v>
      </c>
      <c r="U76" s="108">
        <v>9.0500000000000007</v>
      </c>
      <c r="V76" s="109">
        <v>6.8310000000000004</v>
      </c>
      <c r="W76" s="109">
        <f t="shared" si="1"/>
        <v>4.5925545086595072</v>
      </c>
    </row>
    <row r="77" spans="1:23" x14ac:dyDescent="0.3">
      <c r="A77" s="106" t="s">
        <v>402</v>
      </c>
      <c r="B77" s="106" t="s">
        <v>242</v>
      </c>
      <c r="C77" s="107">
        <v>2.2622053552423305</v>
      </c>
      <c r="D77" s="108">
        <v>3.3867361875690394</v>
      </c>
      <c r="E77" s="109">
        <v>4.2439953782461792</v>
      </c>
      <c r="G77" s="110" t="s">
        <v>406</v>
      </c>
      <c r="H77" s="111">
        <v>71.158529876167961</v>
      </c>
      <c r="I77" s="112">
        <v>83</v>
      </c>
      <c r="J77" s="113">
        <v>14</v>
      </c>
      <c r="K77" s="106"/>
      <c r="L77" s="107">
        <v>6.0300506530561035</v>
      </c>
      <c r="M77" s="108">
        <v>5.5572636889101181</v>
      </c>
      <c r="N77" s="108">
        <v>5.0066684257549943</v>
      </c>
      <c r="O77" s="108">
        <v>4.8760000000000003</v>
      </c>
      <c r="P77" s="108">
        <v>5.0330000000000004</v>
      </c>
      <c r="Q77" s="108">
        <v>5.07</v>
      </c>
      <c r="R77" s="108">
        <v>5.1740000000000004</v>
      </c>
      <c r="S77" s="108">
        <v>5.0190000000000001</v>
      </c>
      <c r="T77" s="108">
        <v>-2.0659999999999998</v>
      </c>
      <c r="U77" s="108">
        <v>3.7029999999999998</v>
      </c>
      <c r="V77" s="109">
        <v>5.3090000000000002</v>
      </c>
      <c r="W77" s="109">
        <f t="shared" si="1"/>
        <v>3.8153657829076093</v>
      </c>
    </row>
    <row r="78" spans="1:23" x14ac:dyDescent="0.3">
      <c r="A78" s="106" t="s">
        <v>42</v>
      </c>
      <c r="B78" s="106" t="s">
        <v>469</v>
      </c>
      <c r="C78" s="107">
        <v>10.534737934438866</v>
      </c>
      <c r="D78" s="108">
        <v>8.9900271540683807</v>
      </c>
      <c r="E78" s="109">
        <v>9.0332345891797274</v>
      </c>
      <c r="G78" s="110" t="s">
        <v>415</v>
      </c>
      <c r="H78" s="111">
        <v>96.106887509545572</v>
      </c>
      <c r="I78" s="112">
        <v>12</v>
      </c>
      <c r="J78" s="113">
        <v>9</v>
      </c>
      <c r="K78" s="106"/>
      <c r="L78" s="107">
        <v>0.22571484300232808</v>
      </c>
      <c r="M78" s="108">
        <v>1.3516340039407124</v>
      </c>
      <c r="N78" s="108">
        <v>8.5566879851340367</v>
      </c>
      <c r="O78" s="108">
        <v>24.370999999999999</v>
      </c>
      <c r="P78" s="108">
        <v>2.0070000000000001</v>
      </c>
      <c r="Q78" s="108">
        <v>9.0050000000000008</v>
      </c>
      <c r="R78" s="108">
        <v>8.5280000000000005</v>
      </c>
      <c r="S78" s="108">
        <v>5.4409999999999998</v>
      </c>
      <c r="T78" s="108">
        <v>6.1840000000000002</v>
      </c>
      <c r="U78" s="108">
        <v>13.587999999999999</v>
      </c>
      <c r="V78" s="109">
        <v>11.97</v>
      </c>
      <c r="W78" s="109">
        <f t="shared" si="1"/>
        <v>9.0116308716240532</v>
      </c>
    </row>
    <row r="79" spans="1:23" x14ac:dyDescent="0.3">
      <c r="A79" s="106" t="s">
        <v>419</v>
      </c>
      <c r="B79" s="106" t="s">
        <v>470</v>
      </c>
      <c r="C79" s="107">
        <v>4.2964072248328211</v>
      </c>
      <c r="D79" s="108">
        <v>4.3056817639917977</v>
      </c>
      <c r="E79" s="109">
        <v>3.9225915638386066</v>
      </c>
      <c r="G79" s="110" t="s">
        <v>415</v>
      </c>
      <c r="H79" s="111">
        <v>91.08708937267636</v>
      </c>
      <c r="I79" s="112">
        <v>24</v>
      </c>
      <c r="J79" s="113">
        <v>2</v>
      </c>
      <c r="K79" s="106"/>
      <c r="L79" s="107">
        <v>2.2572375479441442</v>
      </c>
      <c r="M79" s="108">
        <v>4.1480545517150818</v>
      </c>
      <c r="N79" s="108">
        <v>3.7582001903069706</v>
      </c>
      <c r="O79" s="108">
        <v>2.4860000000000002</v>
      </c>
      <c r="P79" s="108">
        <v>4.5220000000000002</v>
      </c>
      <c r="Q79" s="108">
        <v>4.2759999999999998</v>
      </c>
      <c r="R79" s="108">
        <v>4.07</v>
      </c>
      <c r="S79" s="108">
        <v>4.1559999999999997</v>
      </c>
      <c r="T79" s="108">
        <v>-1.857</v>
      </c>
      <c r="U79" s="108">
        <v>8.6120000000000001</v>
      </c>
      <c r="V79" s="109">
        <v>6.4320000000000004</v>
      </c>
      <c r="W79" s="109">
        <f t="shared" si="1"/>
        <v>4.1141366639152022</v>
      </c>
    </row>
    <row r="80" spans="1:23" x14ac:dyDescent="0.3">
      <c r="A80" s="106" t="s">
        <v>42</v>
      </c>
      <c r="B80" s="106" t="s">
        <v>79</v>
      </c>
      <c r="C80" s="107">
        <v>0.2182802501019987</v>
      </c>
      <c r="D80" s="108">
        <v>0.31439174572445161</v>
      </c>
      <c r="E80" s="109">
        <v>0.34271436280863821</v>
      </c>
      <c r="G80" s="110" t="s">
        <v>415</v>
      </c>
      <c r="H80" s="111">
        <v>88.947746010825512</v>
      </c>
      <c r="I80" s="112">
        <v>29</v>
      </c>
      <c r="J80" s="113">
        <v>18</v>
      </c>
      <c r="K80" s="106"/>
      <c r="L80" s="107">
        <v>-2.9809057682377182</v>
      </c>
      <c r="M80" s="108">
        <v>-1.8410654508824811</v>
      </c>
      <c r="N80" s="108">
        <v>-4.5475423638333965E-3</v>
      </c>
      <c r="O80" s="108">
        <v>0.77800000000000002</v>
      </c>
      <c r="P80" s="108">
        <v>1.2929999999999999</v>
      </c>
      <c r="Q80" s="108">
        <v>1.6679999999999999</v>
      </c>
      <c r="R80" s="108">
        <v>0.92600000000000005</v>
      </c>
      <c r="S80" s="108">
        <v>0.48299999999999998</v>
      </c>
      <c r="T80" s="108">
        <v>-8.9789999999999992</v>
      </c>
      <c r="U80" s="108">
        <v>6.9870000000000001</v>
      </c>
      <c r="V80" s="109">
        <v>3.6749999999999998</v>
      </c>
      <c r="W80" s="109">
        <f t="shared" si="1"/>
        <v>0.32855305426654491</v>
      </c>
    </row>
    <row r="81" spans="1:23" x14ac:dyDescent="0.3">
      <c r="A81" s="106" t="s">
        <v>411</v>
      </c>
      <c r="B81" s="106" t="s">
        <v>471</v>
      </c>
      <c r="C81" s="107">
        <v>-0.70306474958997667</v>
      </c>
      <c r="D81" s="108">
        <v>0.12887839009743107</v>
      </c>
      <c r="E81" s="109">
        <v>0.51362317164571625</v>
      </c>
      <c r="G81" s="110" t="s">
        <v>404</v>
      </c>
      <c r="H81" s="111">
        <v>53.312824662633638</v>
      </c>
      <c r="I81" s="112">
        <v>137</v>
      </c>
      <c r="J81" s="113">
        <v>23</v>
      </c>
      <c r="K81" s="106"/>
      <c r="L81" s="107">
        <v>-0.61363603986913318</v>
      </c>
      <c r="M81" s="108">
        <v>0.51768601280242099</v>
      </c>
      <c r="N81" s="108">
        <v>0.68982235737431619</v>
      </c>
      <c r="O81" s="108">
        <v>0.86899999999999999</v>
      </c>
      <c r="P81" s="108">
        <v>1.498</v>
      </c>
      <c r="Q81" s="108">
        <v>0.67900000000000005</v>
      </c>
      <c r="R81" s="108">
        <v>1.827</v>
      </c>
      <c r="S81" s="108">
        <v>0.97</v>
      </c>
      <c r="T81" s="108">
        <v>-9.92</v>
      </c>
      <c r="U81" s="108">
        <v>4.601</v>
      </c>
      <c r="V81" s="109">
        <v>4</v>
      </c>
      <c r="W81" s="109">
        <f t="shared" si="1"/>
        <v>0.32125078087157366</v>
      </c>
    </row>
    <row r="82" spans="1:23" x14ac:dyDescent="0.3">
      <c r="A82" s="106" t="s">
        <v>402</v>
      </c>
      <c r="B82" s="106" t="s">
        <v>80</v>
      </c>
      <c r="C82" s="107">
        <v>-0.63095756344230258</v>
      </c>
      <c r="D82" s="108">
        <v>2.4039609383130767E-3</v>
      </c>
      <c r="E82" s="109">
        <v>0.62673306790392846</v>
      </c>
      <c r="G82" s="110" t="s">
        <v>415</v>
      </c>
      <c r="H82" s="111">
        <v>96.063700314273362</v>
      </c>
      <c r="I82" s="112">
        <v>13</v>
      </c>
      <c r="J82" s="113">
        <v>4</v>
      </c>
      <c r="K82" s="106"/>
      <c r="L82" s="107">
        <v>1.495089585949261</v>
      </c>
      <c r="M82" s="108">
        <v>2.0002678411015018</v>
      </c>
      <c r="N82" s="108">
        <v>0.3747194763313248</v>
      </c>
      <c r="O82" s="108">
        <v>1.5609999999999999</v>
      </c>
      <c r="P82" s="108">
        <v>0.754</v>
      </c>
      <c r="Q82" s="108">
        <v>1.675</v>
      </c>
      <c r="R82" s="108">
        <v>0.64300000000000002</v>
      </c>
      <c r="S82" s="108">
        <v>-0.40200000000000002</v>
      </c>
      <c r="T82" s="108">
        <v>-4.2789999999999999</v>
      </c>
      <c r="U82" s="108">
        <v>2.145</v>
      </c>
      <c r="V82" s="109">
        <v>1.075</v>
      </c>
      <c r="W82" s="109">
        <f t="shared" si="1"/>
        <v>0.31456851442112077</v>
      </c>
    </row>
    <row r="83" spans="1:23" x14ac:dyDescent="0.3">
      <c r="A83" s="106" t="s">
        <v>419</v>
      </c>
      <c r="B83" s="106" t="s">
        <v>472</v>
      </c>
      <c r="C83" s="107">
        <v>1.1049470799269878</v>
      </c>
      <c r="D83" s="108">
        <v>1.8757952650954479</v>
      </c>
      <c r="E83" s="109">
        <v>2.1806440475090172</v>
      </c>
      <c r="G83" s="110" t="s">
        <v>409</v>
      </c>
      <c r="H83" s="111">
        <v>79.514216326138751</v>
      </c>
      <c r="I83" s="112">
        <v>53</v>
      </c>
      <c r="J83" s="113">
        <v>5</v>
      </c>
      <c r="K83" s="106"/>
      <c r="L83" s="107">
        <v>2.6511707480297244</v>
      </c>
      <c r="M83" s="108">
        <v>2.8287666404585154</v>
      </c>
      <c r="N83" s="108">
        <v>3.0963303471105994</v>
      </c>
      <c r="O83" s="108">
        <v>2.496</v>
      </c>
      <c r="P83" s="108">
        <v>1.994</v>
      </c>
      <c r="Q83" s="108">
        <v>2.4740000000000002</v>
      </c>
      <c r="R83" s="108">
        <v>1.919</v>
      </c>
      <c r="S83" s="108">
        <v>1.927</v>
      </c>
      <c r="T83" s="108">
        <v>-1.57</v>
      </c>
      <c r="U83" s="108">
        <v>2.2280000000000002</v>
      </c>
      <c r="V83" s="109">
        <v>2.7109999999999999</v>
      </c>
      <c r="W83" s="109">
        <f t="shared" si="1"/>
        <v>2.0282196563022326</v>
      </c>
    </row>
    <row r="84" spans="1:23" x14ac:dyDescent="0.3">
      <c r="A84" s="106" t="s">
        <v>402</v>
      </c>
      <c r="B84" s="106" t="s">
        <v>473</v>
      </c>
      <c r="C84" s="107">
        <v>1.6270169093285825</v>
      </c>
      <c r="D84" s="108">
        <v>2.6878144462378906</v>
      </c>
      <c r="E84" s="109">
        <v>2.9947418753666133</v>
      </c>
      <c r="G84" s="110" t="s">
        <v>406</v>
      </c>
      <c r="H84" s="111">
        <v>70.400737065727981</v>
      </c>
      <c r="I84" s="112">
        <v>88</v>
      </c>
      <c r="J84" s="113">
        <v>16</v>
      </c>
      <c r="K84" s="106"/>
      <c r="L84" s="107">
        <v>4.7999999999927256</v>
      </c>
      <c r="M84" s="108">
        <v>5.9999999992556203</v>
      </c>
      <c r="N84" s="108">
        <v>4.2000000006304088</v>
      </c>
      <c r="O84" s="108">
        <v>1</v>
      </c>
      <c r="P84" s="108">
        <v>0.9</v>
      </c>
      <c r="Q84" s="108">
        <v>3.9009999999999998</v>
      </c>
      <c r="R84" s="108">
        <v>4.0999999999999996</v>
      </c>
      <c r="S84" s="108">
        <v>4.5</v>
      </c>
      <c r="T84" s="108">
        <v>-2.6</v>
      </c>
      <c r="U84" s="108">
        <v>4.0999999999999996</v>
      </c>
      <c r="V84" s="109">
        <v>3.214</v>
      </c>
      <c r="W84" s="109">
        <f t="shared" si="1"/>
        <v>2.8412781608022519</v>
      </c>
    </row>
    <row r="85" spans="1:23" x14ac:dyDescent="0.3">
      <c r="A85" s="106" t="s">
        <v>407</v>
      </c>
      <c r="B85" s="106" t="s">
        <v>474</v>
      </c>
      <c r="C85" s="107">
        <v>4.1600595320631983</v>
      </c>
      <c r="D85" s="108">
        <v>5.4481436952905637</v>
      </c>
      <c r="E85" s="109">
        <v>5.4875646773576481</v>
      </c>
      <c r="G85" s="110" t="s">
        <v>413</v>
      </c>
      <c r="H85" s="111">
        <v>68.853006787769303</v>
      </c>
      <c r="I85" s="112">
        <v>97</v>
      </c>
      <c r="J85" s="113">
        <v>18</v>
      </c>
      <c r="K85" s="106"/>
      <c r="L85" s="107">
        <v>4.5632091307112006</v>
      </c>
      <c r="M85" s="108">
        <v>5.8786805667541637</v>
      </c>
      <c r="N85" s="108">
        <v>5.3571256444996713</v>
      </c>
      <c r="O85" s="108">
        <v>4.968</v>
      </c>
      <c r="P85" s="108">
        <v>4.2140000000000004</v>
      </c>
      <c r="Q85" s="108">
        <v>3.8159999999999998</v>
      </c>
      <c r="R85" s="108">
        <v>5.6710000000000003</v>
      </c>
      <c r="S85" s="108">
        <v>5.1139999999999999</v>
      </c>
      <c r="T85" s="108">
        <v>-0.25</v>
      </c>
      <c r="U85" s="108">
        <v>7.5170000000000003</v>
      </c>
      <c r="V85" s="109">
        <v>5.3689999999999998</v>
      </c>
      <c r="W85" s="109">
        <f t="shared" si="1"/>
        <v>5.4678541863241055</v>
      </c>
    </row>
    <row r="86" spans="1:23" x14ac:dyDescent="0.3">
      <c r="A86" s="106" t="s">
        <v>402</v>
      </c>
      <c r="B86" s="106" t="s">
        <v>270</v>
      </c>
      <c r="C86" s="107">
        <v>1.9788311578699647</v>
      </c>
      <c r="D86" s="108">
        <v>2.1951704861675969</v>
      </c>
      <c r="E86" s="109">
        <v>2.6249033043728831</v>
      </c>
      <c r="G86" s="110" t="s">
        <v>415</v>
      </c>
      <c r="H86" s="111">
        <v>90.58627012288828</v>
      </c>
      <c r="I86" s="112">
        <v>26</v>
      </c>
      <c r="J86" s="113">
        <v>6</v>
      </c>
      <c r="K86" s="106"/>
      <c r="L86" s="107">
        <v>2.4025309924618736</v>
      </c>
      <c r="M86" s="108">
        <v>3.1647086364718322</v>
      </c>
      <c r="N86" s="108">
        <v>3.2024537945736018</v>
      </c>
      <c r="O86" s="108">
        <v>2.8090000000000002</v>
      </c>
      <c r="P86" s="108">
        <v>2.9470000000000001</v>
      </c>
      <c r="Q86" s="108">
        <v>3.16</v>
      </c>
      <c r="R86" s="108">
        <v>2.907</v>
      </c>
      <c r="S86" s="108">
        <v>2.2440000000000002</v>
      </c>
      <c r="T86" s="108">
        <v>-0.70899999999999996</v>
      </c>
      <c r="U86" s="108">
        <v>4.1449999999999996</v>
      </c>
      <c r="V86" s="109">
        <v>2.5609999999999999</v>
      </c>
      <c r="W86" s="109">
        <f t="shared" si="1"/>
        <v>2.41003689527024</v>
      </c>
    </row>
    <row r="87" spans="1:23" x14ac:dyDescent="0.3">
      <c r="A87" s="106" t="s">
        <v>419</v>
      </c>
      <c r="B87" s="106" t="s">
        <v>475</v>
      </c>
      <c r="C87" s="107">
        <v>2.9560258753336122E-2</v>
      </c>
      <c r="D87" s="108">
        <v>0.3483533742255629</v>
      </c>
      <c r="E87" s="109">
        <v>0.20315822263521355</v>
      </c>
      <c r="G87" s="110" t="s">
        <v>413</v>
      </c>
      <c r="H87" s="111">
        <v>67.205820265011681</v>
      </c>
      <c r="I87" s="112">
        <v>105</v>
      </c>
      <c r="J87" s="113">
        <v>10</v>
      </c>
      <c r="K87" s="106"/>
      <c r="L87" s="107">
        <v>6.6258183001417628</v>
      </c>
      <c r="M87" s="108">
        <v>1.1493004370652051</v>
      </c>
      <c r="N87" s="108">
        <v>0.5008769821586383</v>
      </c>
      <c r="O87" s="108">
        <v>0.59299999999999997</v>
      </c>
      <c r="P87" s="108">
        <v>2.9260000000000002</v>
      </c>
      <c r="Q87" s="108">
        <v>-4.7140000000000004</v>
      </c>
      <c r="R87" s="108">
        <v>2.4369999999999998</v>
      </c>
      <c r="S87" s="108">
        <v>-0.55200000000000005</v>
      </c>
      <c r="T87" s="108">
        <v>-8.8550000000000004</v>
      </c>
      <c r="U87" s="108">
        <v>1.3080000000000001</v>
      </c>
      <c r="V87" s="109">
        <v>8.1769999999999996</v>
      </c>
      <c r="W87" s="109">
        <f t="shared" si="1"/>
        <v>0.27575579843038822</v>
      </c>
    </row>
    <row r="88" spans="1:23" x14ac:dyDescent="0.3">
      <c r="A88" s="106" t="s">
        <v>402</v>
      </c>
      <c r="B88" s="106" t="s">
        <v>476</v>
      </c>
      <c r="C88" s="107">
        <v>0.51489333561212103</v>
      </c>
      <c r="D88" s="108">
        <v>1.9645834232370651</v>
      </c>
      <c r="E88" s="109">
        <v>3.7392958747352045</v>
      </c>
      <c r="G88" s="110" t="s">
        <v>406</v>
      </c>
      <c r="H88" s="111">
        <v>70.898067394091115</v>
      </c>
      <c r="I88" s="112">
        <v>86</v>
      </c>
      <c r="J88" s="113">
        <v>15</v>
      </c>
      <c r="K88" s="106"/>
      <c r="L88" s="107">
        <v>-8.8150201010635656E-2</v>
      </c>
      <c r="M88" s="108">
        <v>10.915469454314421</v>
      </c>
      <c r="N88" s="108">
        <v>4.024038625768628</v>
      </c>
      <c r="O88" s="108">
        <v>3.8759999999999999</v>
      </c>
      <c r="P88" s="108">
        <v>4.3360000000000003</v>
      </c>
      <c r="Q88" s="108">
        <v>4.74</v>
      </c>
      <c r="R88" s="108">
        <v>3.4590000000000001</v>
      </c>
      <c r="S88" s="108">
        <v>4.601</v>
      </c>
      <c r="T88" s="108">
        <v>-8.6170000000000009</v>
      </c>
      <c r="U88" s="108">
        <v>3.742</v>
      </c>
      <c r="V88" s="109">
        <v>7</v>
      </c>
      <c r="W88" s="109">
        <f t="shared" si="1"/>
        <v>2.8519396489861348</v>
      </c>
    </row>
    <row r="89" spans="1:23" x14ac:dyDescent="0.3">
      <c r="A89" s="106" t="s">
        <v>402</v>
      </c>
      <c r="B89" s="106" t="s">
        <v>477</v>
      </c>
      <c r="C89" s="107">
        <v>1.7571611332634074</v>
      </c>
      <c r="D89" s="108">
        <v>3.3757795121775569</v>
      </c>
      <c r="E89" s="109">
        <v>5.3509947789500245</v>
      </c>
      <c r="G89" s="110" t="s">
        <v>404</v>
      </c>
      <c r="H89" s="111">
        <v>58.394766440551741</v>
      </c>
      <c r="I89" s="112">
        <v>127</v>
      </c>
      <c r="J89" s="113">
        <v>26</v>
      </c>
      <c r="K89" s="106"/>
      <c r="L89" s="107">
        <v>8.0260984340408665</v>
      </c>
      <c r="M89" s="108">
        <v>8.0263002263775007</v>
      </c>
      <c r="N89" s="108">
        <v>7.6119634407438159</v>
      </c>
      <c r="O89" s="108">
        <v>7.27</v>
      </c>
      <c r="P89" s="108">
        <v>7.0229999999999997</v>
      </c>
      <c r="Q89" s="108">
        <v>6.851</v>
      </c>
      <c r="R89" s="108">
        <v>6.2889999999999997</v>
      </c>
      <c r="S89" s="108">
        <v>4.6520000000000001</v>
      </c>
      <c r="T89" s="108">
        <v>-0.435</v>
      </c>
      <c r="U89" s="108">
        <v>2.0609999999999999</v>
      </c>
      <c r="V89" s="109">
        <v>2.2519999999999998</v>
      </c>
      <c r="W89" s="109">
        <f t="shared" si="1"/>
        <v>4.3633871455637907</v>
      </c>
    </row>
    <row r="90" spans="1:23" x14ac:dyDescent="0.3">
      <c r="A90" s="106" t="s">
        <v>42</v>
      </c>
      <c r="B90" s="106" t="s">
        <v>478</v>
      </c>
      <c r="C90" s="107">
        <v>1.2465800540070626</v>
      </c>
      <c r="D90" s="108">
        <v>2.186383184955365</v>
      </c>
      <c r="E90" s="109">
        <v>2.3979634558628948</v>
      </c>
      <c r="G90" s="110" t="s">
        <v>409</v>
      </c>
      <c r="H90" s="111">
        <v>81.044610107182237</v>
      </c>
      <c r="I90" s="112">
        <v>44</v>
      </c>
      <c r="J90" s="113">
        <v>29</v>
      </c>
      <c r="K90" s="106"/>
      <c r="L90" s="107">
        <v>4.1342316499835752</v>
      </c>
      <c r="M90" s="108">
        <v>2.3280042634440163</v>
      </c>
      <c r="N90" s="108">
        <v>1.9151903779433241</v>
      </c>
      <c r="O90" s="108">
        <v>3.8849999999999998</v>
      </c>
      <c r="P90" s="108">
        <v>2.3690000000000002</v>
      </c>
      <c r="Q90" s="108">
        <v>3.3119999999999998</v>
      </c>
      <c r="R90" s="108">
        <v>3.992</v>
      </c>
      <c r="S90" s="108">
        <v>2.57</v>
      </c>
      <c r="T90" s="108">
        <v>-2.2029999999999998</v>
      </c>
      <c r="U90" s="108">
        <v>4.0640000000000001</v>
      </c>
      <c r="V90" s="109">
        <v>1.976</v>
      </c>
      <c r="W90" s="109">
        <f t="shared" si="1"/>
        <v>2.2921733204091299</v>
      </c>
    </row>
    <row r="91" spans="1:23" x14ac:dyDescent="0.3">
      <c r="A91" s="106" t="s">
        <v>419</v>
      </c>
      <c r="B91" s="106" t="s">
        <v>479</v>
      </c>
      <c r="C91" s="107">
        <v>-11.570507599610414</v>
      </c>
      <c r="D91" s="108">
        <v>-8.8972805759156888</v>
      </c>
      <c r="E91" s="109">
        <v>-3.6804003540223951</v>
      </c>
      <c r="G91" s="110" t="s">
        <v>406</v>
      </c>
      <c r="H91" s="111">
        <v>70.925074776605015</v>
      </c>
      <c r="I91" s="112">
        <v>85</v>
      </c>
      <c r="J91" s="113">
        <v>9</v>
      </c>
      <c r="K91" s="106"/>
      <c r="L91" s="107">
        <v>2.5405417890992656</v>
      </c>
      <c r="M91" s="108">
        <v>3.8110224147865268</v>
      </c>
      <c r="N91" s="108">
        <v>2.4536595719223264</v>
      </c>
      <c r="O91" s="108">
        <v>0.46100000000000002</v>
      </c>
      <c r="P91" s="108">
        <v>1.556</v>
      </c>
      <c r="Q91" s="108">
        <v>0.90300000000000002</v>
      </c>
      <c r="R91" s="108">
        <v>-1.885</v>
      </c>
      <c r="S91" s="108">
        <v>-6.915</v>
      </c>
      <c r="T91" s="108">
        <v>-25.907</v>
      </c>
      <c r="U91" s="108">
        <v>-5.4</v>
      </c>
      <c r="V91" s="109">
        <v>-5.4</v>
      </c>
      <c r="W91" s="109">
        <f t="shared" si="1"/>
        <v>-6.2888404649690415</v>
      </c>
    </row>
    <row r="92" spans="1:23" x14ac:dyDescent="0.3">
      <c r="A92" s="106" t="s">
        <v>407</v>
      </c>
      <c r="B92" s="106" t="s">
        <v>480</v>
      </c>
      <c r="C92" s="107">
        <v>-1.7564836758548363</v>
      </c>
      <c r="D92" s="108">
        <v>-1.6866052500791207</v>
      </c>
      <c r="E92" s="109">
        <v>0.46596555472186996</v>
      </c>
      <c r="G92" s="110" t="s">
        <v>413</v>
      </c>
      <c r="H92" s="111">
        <v>68.290636352612694</v>
      </c>
      <c r="I92" s="112">
        <v>100</v>
      </c>
      <c r="J92" s="113">
        <v>20</v>
      </c>
      <c r="K92" s="106"/>
      <c r="L92" s="107">
        <v>6.7436269408569842</v>
      </c>
      <c r="M92" s="108">
        <v>4.1869122037746749</v>
      </c>
      <c r="N92" s="108">
        <v>2.8839688442816156</v>
      </c>
      <c r="O92" s="108">
        <v>3.2480000000000002</v>
      </c>
      <c r="P92" s="108">
        <v>1.877</v>
      </c>
      <c r="Q92" s="108">
        <v>-2.734</v>
      </c>
      <c r="R92" s="108">
        <v>-1.304</v>
      </c>
      <c r="S92" s="108">
        <v>-1.9710000000000001</v>
      </c>
      <c r="T92" s="108">
        <v>-3.9020000000000001</v>
      </c>
      <c r="U92" s="108">
        <v>2.1019999999999999</v>
      </c>
      <c r="V92" s="109">
        <v>2.093</v>
      </c>
      <c r="W92" s="109">
        <f t="shared" si="1"/>
        <v>-0.61031984767862535</v>
      </c>
    </row>
    <row r="93" spans="1:23" x14ac:dyDescent="0.3">
      <c r="A93" s="106" t="s">
        <v>407</v>
      </c>
      <c r="B93" s="106" t="s">
        <v>481</v>
      </c>
      <c r="C93" s="107">
        <v>2.2030305181955034</v>
      </c>
      <c r="D93" s="108">
        <v>1.043410797540445</v>
      </c>
      <c r="E93" s="109">
        <v>1.5173155129903693</v>
      </c>
      <c r="G93" s="110" t="s">
        <v>404</v>
      </c>
      <c r="H93" s="111">
        <v>56.232966845120316</v>
      </c>
      <c r="I93" s="112">
        <v>130</v>
      </c>
      <c r="J93" s="113">
        <v>32</v>
      </c>
      <c r="K93" s="106"/>
      <c r="L93" s="107">
        <v>7.9938156931364137</v>
      </c>
      <c r="M93" s="108">
        <v>8.6872878163968235</v>
      </c>
      <c r="N93" s="108">
        <v>0.70139310028752089</v>
      </c>
      <c r="O93" s="108">
        <v>7.0000000000000001E-3</v>
      </c>
      <c r="P93" s="108">
        <v>-1.63</v>
      </c>
      <c r="Q93" s="108">
        <v>2.4689999999999999</v>
      </c>
      <c r="R93" s="108">
        <v>1.242</v>
      </c>
      <c r="S93" s="108">
        <v>-2.516</v>
      </c>
      <c r="T93" s="108">
        <v>-2.9670000000000001</v>
      </c>
      <c r="U93" s="108">
        <v>5.0110000000000001</v>
      </c>
      <c r="V93" s="109">
        <v>4.8109999999999999</v>
      </c>
      <c r="W93" s="109">
        <f t="shared" si="1"/>
        <v>1.2803631552654071</v>
      </c>
    </row>
    <row r="94" spans="1:23" x14ac:dyDescent="0.3">
      <c r="A94" s="106" t="s">
        <v>407</v>
      </c>
      <c r="B94" s="106" t="s">
        <v>482</v>
      </c>
      <c r="C94" s="107">
        <v>5.1304452243001952</v>
      </c>
      <c r="D94" s="108">
        <v>3.4484900722276279</v>
      </c>
      <c r="E94" s="109">
        <v>1.2335060569262035</v>
      </c>
      <c r="G94" s="110" t="s">
        <v>404</v>
      </c>
      <c r="H94" s="111">
        <v>48.008478383672035</v>
      </c>
      <c r="I94" s="112">
        <v>140</v>
      </c>
      <c r="J94" s="113">
        <v>38</v>
      </c>
      <c r="K94" s="106"/>
      <c r="L94" s="107">
        <v>274.10446739057375</v>
      </c>
      <c r="M94" s="108">
        <v>-13.994834968637873</v>
      </c>
      <c r="N94" s="108">
        <v>-10.842440326997824</v>
      </c>
      <c r="O94" s="108">
        <v>-0.84299999999999997</v>
      </c>
      <c r="P94" s="108">
        <v>-1.4910000000000001</v>
      </c>
      <c r="Q94" s="108">
        <v>32.491999999999997</v>
      </c>
      <c r="R94" s="108">
        <v>7.9409999999999998</v>
      </c>
      <c r="S94" s="108">
        <v>-11.196</v>
      </c>
      <c r="T94" s="108">
        <v>-29.456</v>
      </c>
      <c r="U94" s="108">
        <v>28.335000000000001</v>
      </c>
      <c r="V94" s="109">
        <v>-12.813000000000001</v>
      </c>
      <c r="W94" s="109">
        <f t="shared" si="1"/>
        <v>2.3409980645769157</v>
      </c>
    </row>
    <row r="95" spans="1:23" x14ac:dyDescent="0.3">
      <c r="A95" s="106" t="s">
        <v>42</v>
      </c>
      <c r="B95" s="106" t="s">
        <v>483</v>
      </c>
      <c r="C95" s="107">
        <v>2.5853990379055336</v>
      </c>
      <c r="D95" s="108">
        <v>3.2350334175799356</v>
      </c>
      <c r="E95" s="109">
        <v>3.2063173772679532</v>
      </c>
      <c r="G95" s="110" t="s">
        <v>409</v>
      </c>
      <c r="H95" s="111">
        <v>80.769738018881156</v>
      </c>
      <c r="I95" s="112">
        <v>45</v>
      </c>
      <c r="J95" s="113">
        <v>30</v>
      </c>
      <c r="K95" s="106"/>
      <c r="L95" s="107">
        <v>3.8333027642866848</v>
      </c>
      <c r="M95" s="108">
        <v>3.5584246313476826</v>
      </c>
      <c r="N95" s="108">
        <v>3.5079712171273361</v>
      </c>
      <c r="O95" s="108">
        <v>2.024</v>
      </c>
      <c r="P95" s="108">
        <v>2.5190000000000001</v>
      </c>
      <c r="Q95" s="108">
        <v>4.282</v>
      </c>
      <c r="R95" s="108">
        <v>3.9929999999999999</v>
      </c>
      <c r="S95" s="108">
        <v>4.625</v>
      </c>
      <c r="T95" s="108">
        <v>-2.1999999999999999E-2</v>
      </c>
      <c r="U95" s="108">
        <v>5.9809999999999999</v>
      </c>
      <c r="V95" s="109">
        <v>1.8879999999999999</v>
      </c>
      <c r="W95" s="109">
        <f t="shared" si="1"/>
        <v>3.2206753974239444</v>
      </c>
    </row>
    <row r="96" spans="1:23" x14ac:dyDescent="0.3">
      <c r="A96" s="106" t="s">
        <v>42</v>
      </c>
      <c r="B96" s="106" t="s">
        <v>484</v>
      </c>
      <c r="C96" s="107">
        <v>1.9225945961039326</v>
      </c>
      <c r="D96" s="108">
        <v>1.8607829332780268</v>
      </c>
      <c r="E96" s="109">
        <v>2.36159954003623</v>
      </c>
      <c r="G96" s="110" t="s">
        <v>415</v>
      </c>
      <c r="H96" s="111">
        <v>96.778306193425522</v>
      </c>
      <c r="I96" s="112">
        <v>9</v>
      </c>
      <c r="J96" s="113">
        <v>7</v>
      </c>
      <c r="K96" s="106"/>
      <c r="L96" s="107">
        <v>1.6499020297865346</v>
      </c>
      <c r="M96" s="108">
        <v>3.1717904991600552</v>
      </c>
      <c r="N96" s="108">
        <v>2.6230860157719222</v>
      </c>
      <c r="O96" s="108">
        <v>2.2679999999999998</v>
      </c>
      <c r="P96" s="108">
        <v>4.9779999999999998</v>
      </c>
      <c r="Q96" s="108">
        <v>1.3169999999999999</v>
      </c>
      <c r="R96" s="108">
        <v>1.2190000000000001</v>
      </c>
      <c r="S96" s="108">
        <v>2.3199999999999998</v>
      </c>
      <c r="T96" s="108">
        <v>-0.79700000000000004</v>
      </c>
      <c r="U96" s="108">
        <v>5.1029999999999998</v>
      </c>
      <c r="V96" s="109">
        <v>1.5489999999999999</v>
      </c>
      <c r="W96" s="109">
        <f t="shared" si="1"/>
        <v>2.1111912366571284</v>
      </c>
    </row>
    <row r="97" spans="1:23" x14ac:dyDescent="0.3">
      <c r="A97" s="106" t="s">
        <v>407</v>
      </c>
      <c r="B97" s="106" t="s">
        <v>485</v>
      </c>
      <c r="C97" s="107">
        <v>0.34284241084634459</v>
      </c>
      <c r="D97" s="108">
        <v>1.7120658983774018</v>
      </c>
      <c r="E97" s="109">
        <v>2.5217225637742979</v>
      </c>
      <c r="G97" s="110" t="s">
        <v>404</v>
      </c>
      <c r="H97" s="111">
        <v>48.940679032016362</v>
      </c>
      <c r="I97" s="112">
        <v>139</v>
      </c>
      <c r="J97" s="113">
        <v>37</v>
      </c>
      <c r="K97" s="106"/>
      <c r="L97" s="107">
        <v>3.0111464075530683</v>
      </c>
      <c r="M97" s="108">
        <v>2.3003869344771051</v>
      </c>
      <c r="N97" s="108">
        <v>3.3392022440733014</v>
      </c>
      <c r="O97" s="108">
        <v>3.1320000000000001</v>
      </c>
      <c r="P97" s="108">
        <v>3.9929999999999999</v>
      </c>
      <c r="Q97" s="108">
        <v>3.9329999999999998</v>
      </c>
      <c r="R97" s="108">
        <v>3.194</v>
      </c>
      <c r="S97" s="108">
        <v>4.4109999999999996</v>
      </c>
      <c r="T97" s="108">
        <v>-7.1379999999999999</v>
      </c>
      <c r="U97" s="108">
        <v>5.74</v>
      </c>
      <c r="V97" s="109">
        <v>4.21</v>
      </c>
      <c r="W97" s="109">
        <f t="shared" si="1"/>
        <v>2.1168942310758498</v>
      </c>
    </row>
    <row r="98" spans="1:23" x14ac:dyDescent="0.3">
      <c r="A98" s="106" t="s">
        <v>407</v>
      </c>
      <c r="B98" s="106" t="s">
        <v>486</v>
      </c>
      <c r="C98" s="107">
        <v>1.446318587345985</v>
      </c>
      <c r="D98" s="108">
        <v>2.8212259957555386</v>
      </c>
      <c r="E98" s="109">
        <v>3.4233840163588436</v>
      </c>
      <c r="G98" s="110" t="s">
        <v>406</v>
      </c>
      <c r="H98" s="111">
        <v>72.879134631330203</v>
      </c>
      <c r="I98" s="112">
        <v>77</v>
      </c>
      <c r="J98" s="113">
        <v>8</v>
      </c>
      <c r="K98" s="106"/>
      <c r="L98" s="107">
        <v>1.8857995075156477</v>
      </c>
      <c r="M98" s="108">
        <v>5.1999999956050429</v>
      </c>
      <c r="N98" s="108">
        <v>5.7000000050572197</v>
      </c>
      <c r="O98" s="108">
        <v>2.95</v>
      </c>
      <c r="P98" s="108">
        <v>2.27</v>
      </c>
      <c r="Q98" s="108">
        <v>4</v>
      </c>
      <c r="R98" s="108">
        <v>4.3920000000000003</v>
      </c>
      <c r="S98" s="108">
        <v>5.4480000000000004</v>
      </c>
      <c r="T98" s="108">
        <v>0.91300000000000003</v>
      </c>
      <c r="U98" s="108">
        <v>4.5670000000000002</v>
      </c>
      <c r="V98" s="109">
        <v>0.8</v>
      </c>
      <c r="W98" s="109">
        <f t="shared" si="1"/>
        <v>3.1223050060571911</v>
      </c>
    </row>
    <row r="99" spans="1:23" x14ac:dyDescent="0.3">
      <c r="A99" s="106" t="s">
        <v>402</v>
      </c>
      <c r="B99" s="106" t="s">
        <v>258</v>
      </c>
      <c r="C99" s="107">
        <v>1.9142421361718398</v>
      </c>
      <c r="D99" s="108">
        <v>3.0011020126644361</v>
      </c>
      <c r="E99" s="109">
        <v>4.0922822936961589</v>
      </c>
      <c r="G99" s="110" t="s">
        <v>406</v>
      </c>
      <c r="H99" s="111">
        <v>76.114633172938127</v>
      </c>
      <c r="I99" s="112">
        <v>66</v>
      </c>
      <c r="J99" s="113">
        <v>9</v>
      </c>
      <c r="K99" s="106"/>
      <c r="L99" s="107">
        <v>5.4734541925385383</v>
      </c>
      <c r="M99" s="108">
        <v>4.6937225255789317</v>
      </c>
      <c r="N99" s="108">
        <v>6.0067219455820462</v>
      </c>
      <c r="O99" s="108">
        <v>5.0069999999999997</v>
      </c>
      <c r="P99" s="108">
        <v>4.45</v>
      </c>
      <c r="Q99" s="108">
        <v>5.8129999999999997</v>
      </c>
      <c r="R99" s="108">
        <v>4.843</v>
      </c>
      <c r="S99" s="108">
        <v>4.4130000000000003</v>
      </c>
      <c r="T99" s="108">
        <v>-5.5339999999999998</v>
      </c>
      <c r="U99" s="108">
        <v>3.0920000000000001</v>
      </c>
      <c r="V99" s="109">
        <v>8.6940000000000008</v>
      </c>
      <c r="W99" s="109">
        <f t="shared" si="1"/>
        <v>3.5466921531802975</v>
      </c>
    </row>
    <row r="100" spans="1:23" x14ac:dyDescent="0.3">
      <c r="A100" s="106" t="s">
        <v>407</v>
      </c>
      <c r="B100" s="106" t="s">
        <v>487</v>
      </c>
      <c r="C100" s="107">
        <v>1.8165870919236937</v>
      </c>
      <c r="D100" s="108">
        <v>2.9671130334121942</v>
      </c>
      <c r="E100" s="109">
        <v>4.1460050619633648</v>
      </c>
      <c r="G100" s="110" t="s">
        <v>404</v>
      </c>
      <c r="H100" s="111">
        <v>43.633236095724527</v>
      </c>
      <c r="I100" s="112">
        <v>146</v>
      </c>
      <c r="J100" s="113">
        <v>41</v>
      </c>
      <c r="K100" s="106"/>
      <c r="L100" s="107">
        <v>-0.83662749707312833</v>
      </c>
      <c r="M100" s="108">
        <v>2.3037669581925009</v>
      </c>
      <c r="N100" s="108">
        <v>7.1014223480749816</v>
      </c>
      <c r="O100" s="108">
        <v>6.1719999999999997</v>
      </c>
      <c r="P100" s="108">
        <v>5.8520000000000003</v>
      </c>
      <c r="Q100" s="108">
        <v>5.3049999999999997</v>
      </c>
      <c r="R100" s="108">
        <v>4.7460000000000004</v>
      </c>
      <c r="S100" s="108">
        <v>4.7649999999999997</v>
      </c>
      <c r="T100" s="108">
        <v>-1.244</v>
      </c>
      <c r="U100" s="108">
        <v>3.0550000000000002</v>
      </c>
      <c r="V100" s="109">
        <v>3.7040000000000002</v>
      </c>
      <c r="W100" s="109">
        <f t="shared" si="1"/>
        <v>3.5565590476877795</v>
      </c>
    </row>
    <row r="101" spans="1:23" x14ac:dyDescent="0.3">
      <c r="A101" s="106" t="s">
        <v>42</v>
      </c>
      <c r="B101" s="106" t="s">
        <v>488</v>
      </c>
      <c r="C101" s="107">
        <v>2.6124059576447589</v>
      </c>
      <c r="D101" s="108">
        <v>4.3931536419201889</v>
      </c>
      <c r="E101" s="109">
        <v>5.6722564665051767</v>
      </c>
      <c r="G101" s="110" t="s">
        <v>409</v>
      </c>
      <c r="H101" s="111">
        <v>86.894246999173433</v>
      </c>
      <c r="I101" s="112">
        <v>33</v>
      </c>
      <c r="J101" s="113">
        <v>22</v>
      </c>
      <c r="K101" s="106"/>
      <c r="L101" s="107">
        <v>4.1177072993516513</v>
      </c>
      <c r="M101" s="108">
        <v>5.4733556954527041</v>
      </c>
      <c r="N101" s="108">
        <v>7.6335381123007346</v>
      </c>
      <c r="O101" s="108">
        <v>9.6080000000000005</v>
      </c>
      <c r="P101" s="108">
        <v>3.3809999999999998</v>
      </c>
      <c r="Q101" s="108">
        <v>10.869</v>
      </c>
      <c r="R101" s="108">
        <v>6.1929999999999996</v>
      </c>
      <c r="S101" s="108">
        <v>7.0090000000000003</v>
      </c>
      <c r="T101" s="108">
        <v>-8.6120000000000001</v>
      </c>
      <c r="U101" s="108">
        <v>11.805999999999999</v>
      </c>
      <c r="V101" s="109">
        <v>6.851</v>
      </c>
      <c r="W101" s="109">
        <f t="shared" si="1"/>
        <v>5.0327050542126823</v>
      </c>
    </row>
    <row r="102" spans="1:23" x14ac:dyDescent="0.3">
      <c r="A102" s="106" t="s">
        <v>407</v>
      </c>
      <c r="B102" s="106" t="s">
        <v>489</v>
      </c>
      <c r="C102" s="107">
        <v>10.380851809157976</v>
      </c>
      <c r="D102" s="108">
        <v>8.3436024853472226</v>
      </c>
      <c r="E102" s="109">
        <v>5.9978829377542953</v>
      </c>
      <c r="G102" s="110" t="s">
        <v>413</v>
      </c>
      <c r="H102" s="111">
        <v>67.535233245846925</v>
      </c>
      <c r="I102" s="112">
        <v>103</v>
      </c>
      <c r="J102" s="113">
        <v>23</v>
      </c>
      <c r="K102" s="106"/>
      <c r="L102" s="107">
        <v>4.4700131823368974</v>
      </c>
      <c r="M102" s="108">
        <v>4.150813186271721</v>
      </c>
      <c r="N102" s="108">
        <v>4.2748232713028473</v>
      </c>
      <c r="O102" s="108">
        <v>5.3760000000000003</v>
      </c>
      <c r="P102" s="108">
        <v>1.2609999999999999</v>
      </c>
      <c r="Q102" s="108">
        <v>6.2709999999999999</v>
      </c>
      <c r="R102" s="108">
        <v>4.7729999999999997</v>
      </c>
      <c r="S102" s="108">
        <v>5.4290000000000003</v>
      </c>
      <c r="T102" s="108">
        <v>-0.93799999999999994</v>
      </c>
      <c r="U102" s="108">
        <v>2.4449999999999998</v>
      </c>
      <c r="V102" s="109">
        <v>4.96</v>
      </c>
      <c r="W102" s="109">
        <f t="shared" si="1"/>
        <v>7.1707427115507585</v>
      </c>
    </row>
    <row r="103" spans="1:23" x14ac:dyDescent="0.3">
      <c r="A103" s="106" t="s">
        <v>407</v>
      </c>
      <c r="B103" s="106" t="s">
        <v>490</v>
      </c>
      <c r="C103" s="107">
        <v>-1.3801179259189</v>
      </c>
      <c r="D103" s="108">
        <v>1.2027047615812192</v>
      </c>
      <c r="E103" s="109">
        <v>2.4249070445692134</v>
      </c>
      <c r="G103" s="110" t="s">
        <v>409</v>
      </c>
      <c r="H103" s="111">
        <v>86.159393229935986</v>
      </c>
      <c r="I103" s="112">
        <v>35</v>
      </c>
      <c r="J103" s="113">
        <v>1</v>
      </c>
      <c r="K103" s="106"/>
      <c r="L103" s="107">
        <v>3.4961183375797935</v>
      </c>
      <c r="M103" s="108">
        <v>3.3604061030308432</v>
      </c>
      <c r="N103" s="108">
        <v>3.7445757725785316</v>
      </c>
      <c r="O103" s="108">
        <v>3.6909999999999998</v>
      </c>
      <c r="P103" s="108">
        <v>3.8620000000000001</v>
      </c>
      <c r="Q103" s="108">
        <v>3.9380000000000002</v>
      </c>
      <c r="R103" s="108">
        <v>4.0069999999999997</v>
      </c>
      <c r="S103" s="108">
        <v>2.891</v>
      </c>
      <c r="T103" s="108">
        <v>-14.598000000000001</v>
      </c>
      <c r="U103" s="108">
        <v>3.4990000000000001</v>
      </c>
      <c r="V103" s="109">
        <v>8.3000000000000007</v>
      </c>
      <c r="W103" s="109">
        <f t="shared" si="1"/>
        <v>1.8138059030752163</v>
      </c>
    </row>
    <row r="104" spans="1:23" x14ac:dyDescent="0.3">
      <c r="A104" s="106" t="s">
        <v>411</v>
      </c>
      <c r="B104" s="106" t="s">
        <v>266</v>
      </c>
      <c r="C104" s="107">
        <v>-0.23058449292154837</v>
      </c>
      <c r="D104" s="108">
        <v>0.18053445950247937</v>
      </c>
      <c r="E104" s="109">
        <v>1.3300326593307599</v>
      </c>
      <c r="G104" s="110" t="s">
        <v>406</v>
      </c>
      <c r="H104" s="111">
        <v>70.665681404041052</v>
      </c>
      <c r="I104" s="112">
        <v>87</v>
      </c>
      <c r="J104" s="113">
        <v>11</v>
      </c>
      <c r="K104" s="106"/>
      <c r="L104" s="107">
        <v>3.6423226794134638</v>
      </c>
      <c r="M104" s="108">
        <v>1.3540919615167941</v>
      </c>
      <c r="N104" s="108">
        <v>2.8043401283809737</v>
      </c>
      <c r="O104" s="108">
        <v>3.2930000000000001</v>
      </c>
      <c r="P104" s="108">
        <v>2.6309999999999998</v>
      </c>
      <c r="Q104" s="108">
        <v>2.113</v>
      </c>
      <c r="R104" s="108">
        <v>2.1949999999999998</v>
      </c>
      <c r="S104" s="108">
        <v>-0.19900000000000001</v>
      </c>
      <c r="T104" s="108">
        <v>-7.9880000000000004</v>
      </c>
      <c r="U104" s="108">
        <v>4.7210000000000001</v>
      </c>
      <c r="V104" s="109">
        <v>3.0659999999999998</v>
      </c>
      <c r="W104" s="109">
        <f t="shared" si="1"/>
        <v>0.75528355941661962</v>
      </c>
    </row>
    <row r="105" spans="1:23" x14ac:dyDescent="0.3">
      <c r="A105" s="106" t="s">
        <v>42</v>
      </c>
      <c r="B105" s="106" t="s">
        <v>491</v>
      </c>
      <c r="C105" s="107">
        <v>-0.11659435485397163</v>
      </c>
      <c r="D105" s="108">
        <v>1.5069892590011902</v>
      </c>
      <c r="E105" s="109">
        <v>3.001683990106474</v>
      </c>
      <c r="G105" s="110" t="s">
        <v>409</v>
      </c>
      <c r="H105" s="111">
        <v>79.52270940766131</v>
      </c>
      <c r="I105" s="112">
        <v>52</v>
      </c>
      <c r="J105" s="113">
        <v>33</v>
      </c>
      <c r="K105" s="106"/>
      <c r="L105" s="107">
        <v>-0.58973412591981322</v>
      </c>
      <c r="M105" s="108">
        <v>9.0438654824314977</v>
      </c>
      <c r="N105" s="108">
        <v>4.9996256689180685</v>
      </c>
      <c r="O105" s="108">
        <v>-0.33800000000000002</v>
      </c>
      <c r="P105" s="108">
        <v>4.4089999999999998</v>
      </c>
      <c r="Q105" s="108">
        <v>4.2</v>
      </c>
      <c r="R105" s="108">
        <v>4.0999999999999996</v>
      </c>
      <c r="S105" s="108">
        <v>3.6</v>
      </c>
      <c r="T105" s="108">
        <v>-8.3000000000000007</v>
      </c>
      <c r="U105" s="108">
        <v>13.945</v>
      </c>
      <c r="V105" s="109">
        <v>-5.5759999999999996</v>
      </c>
      <c r="W105" s="109">
        <f t="shared" si="1"/>
        <v>2.2543366245538321</v>
      </c>
    </row>
    <row r="106" spans="1:23" x14ac:dyDescent="0.3">
      <c r="A106" s="106" t="s">
        <v>402</v>
      </c>
      <c r="B106" s="106" t="s">
        <v>492</v>
      </c>
      <c r="C106" s="107">
        <v>0.5652165458427838</v>
      </c>
      <c r="D106" s="108">
        <v>3.0624452280082259</v>
      </c>
      <c r="E106" s="109">
        <v>4.33160969781623</v>
      </c>
      <c r="G106" s="110" t="s">
        <v>409</v>
      </c>
      <c r="H106" s="111">
        <v>78.890549447741549</v>
      </c>
      <c r="I106" s="112">
        <v>56</v>
      </c>
      <c r="J106" s="113">
        <v>8</v>
      </c>
      <c r="K106" s="106"/>
      <c r="L106" s="107">
        <v>12.319819848483753</v>
      </c>
      <c r="M106" s="108">
        <v>11.648916189886327</v>
      </c>
      <c r="N106" s="108">
        <v>7.8852254815193961</v>
      </c>
      <c r="O106" s="108">
        <v>2.41</v>
      </c>
      <c r="P106" s="108">
        <v>1.49</v>
      </c>
      <c r="Q106" s="108">
        <v>5.6369999999999996</v>
      </c>
      <c r="R106" s="108">
        <v>7.7450000000000001</v>
      </c>
      <c r="S106" s="108">
        <v>5.6020000000000003</v>
      </c>
      <c r="T106" s="108">
        <v>-4.5579999999999998</v>
      </c>
      <c r="U106" s="108">
        <v>1.637</v>
      </c>
      <c r="V106" s="109">
        <v>4.8460000000000001</v>
      </c>
      <c r="W106" s="109">
        <f t="shared" si="1"/>
        <v>3.6970274629122279</v>
      </c>
    </row>
    <row r="107" spans="1:23" x14ac:dyDescent="0.3">
      <c r="A107" s="106" t="s">
        <v>407</v>
      </c>
      <c r="B107" s="106" t="s">
        <v>493</v>
      </c>
      <c r="C107" s="107">
        <v>2.7484311837486786</v>
      </c>
      <c r="D107" s="108">
        <v>3.8040844105169391</v>
      </c>
      <c r="E107" s="109">
        <v>4.437166103247403</v>
      </c>
      <c r="G107" s="110" t="s">
        <v>406</v>
      </c>
      <c r="H107" s="111">
        <v>76.129604349240608</v>
      </c>
      <c r="I107" s="112">
        <v>65</v>
      </c>
      <c r="J107" s="113">
        <v>4</v>
      </c>
      <c r="K107" s="106"/>
      <c r="L107" s="107">
        <v>1.2735415748875247</v>
      </c>
      <c r="M107" s="108">
        <v>4.8919045547561728</v>
      </c>
      <c r="N107" s="108">
        <v>5.1501913509219497</v>
      </c>
      <c r="O107" s="108">
        <v>4.3449999999999998</v>
      </c>
      <c r="P107" s="108">
        <v>0.52100000000000002</v>
      </c>
      <c r="Q107" s="108">
        <v>5.0579999999999998</v>
      </c>
      <c r="R107" s="108">
        <v>3.0659999999999998</v>
      </c>
      <c r="S107" s="108">
        <v>2.891</v>
      </c>
      <c r="T107" s="108">
        <v>-7.1870000000000003</v>
      </c>
      <c r="U107" s="108">
        <v>7.93</v>
      </c>
      <c r="V107" s="109">
        <v>1.135</v>
      </c>
      <c r="W107" s="109">
        <f t="shared" si="1"/>
        <v>4.1206252568821711</v>
      </c>
    </row>
    <row r="108" spans="1:23" x14ac:dyDescent="0.3">
      <c r="A108" s="106" t="s">
        <v>407</v>
      </c>
      <c r="B108" s="106" t="s">
        <v>494</v>
      </c>
      <c r="C108" s="107">
        <v>1.7345974801987962</v>
      </c>
      <c r="D108" s="108">
        <v>2.1902907307407293</v>
      </c>
      <c r="E108" s="109">
        <v>3.9391606371984134</v>
      </c>
      <c r="G108" s="110" t="s">
        <v>413</v>
      </c>
      <c r="H108" s="111">
        <v>66.134592515292979</v>
      </c>
      <c r="I108" s="112">
        <v>110</v>
      </c>
      <c r="J108" s="113">
        <v>25</v>
      </c>
      <c r="K108" s="106"/>
      <c r="L108" s="107">
        <v>7.2584392525877934</v>
      </c>
      <c r="M108" s="108">
        <v>6.9636071348707169</v>
      </c>
      <c r="N108" s="108">
        <v>7.3985127971386246</v>
      </c>
      <c r="O108" s="108">
        <v>6.7229999999999999</v>
      </c>
      <c r="P108" s="108">
        <v>3.8239999999999998</v>
      </c>
      <c r="Q108" s="108">
        <v>3.7410000000000001</v>
      </c>
      <c r="R108" s="108">
        <v>3.444</v>
      </c>
      <c r="S108" s="108">
        <v>2.3149999999999999</v>
      </c>
      <c r="T108" s="108">
        <v>-1.1990000000000001</v>
      </c>
      <c r="U108" s="108">
        <v>2.3279999999999998</v>
      </c>
      <c r="V108" s="109">
        <v>4.1479999999999997</v>
      </c>
      <c r="W108" s="109">
        <f t="shared" si="1"/>
        <v>3.0647256839695713</v>
      </c>
    </row>
    <row r="109" spans="1:23" x14ac:dyDescent="0.3">
      <c r="A109" s="106" t="s">
        <v>402</v>
      </c>
      <c r="B109" s="106" t="s">
        <v>495</v>
      </c>
      <c r="C109" s="107">
        <v>-4.7700497073887238</v>
      </c>
      <c r="D109" s="108">
        <v>-0.38368451177455132</v>
      </c>
      <c r="E109" s="109">
        <v>3.2897594501001937</v>
      </c>
      <c r="G109" s="110" t="s">
        <v>413</v>
      </c>
      <c r="H109" s="111">
        <v>65.606474585171327</v>
      </c>
      <c r="I109" s="112">
        <v>111</v>
      </c>
      <c r="J109" s="113">
        <v>22</v>
      </c>
      <c r="K109" s="106"/>
      <c r="L109" s="107">
        <v>6.4857540044064299</v>
      </c>
      <c r="M109" s="108">
        <v>7.8986694782381086</v>
      </c>
      <c r="N109" s="108">
        <v>8.1996637504261933</v>
      </c>
      <c r="O109" s="108">
        <v>7.4729999999999999</v>
      </c>
      <c r="P109" s="108">
        <v>6.4080000000000004</v>
      </c>
      <c r="Q109" s="108">
        <v>5.75</v>
      </c>
      <c r="R109" s="108">
        <v>6.4050000000000002</v>
      </c>
      <c r="S109" s="108">
        <v>6.75</v>
      </c>
      <c r="T109" s="108">
        <v>3.1890000000000001</v>
      </c>
      <c r="U109" s="108">
        <v>-17.937999999999999</v>
      </c>
      <c r="V109" s="109">
        <v>1.9710000000000001</v>
      </c>
      <c r="W109" s="109">
        <f t="shared" si="1"/>
        <v>1.4530374691628212</v>
      </c>
    </row>
    <row r="110" spans="1:23" x14ac:dyDescent="0.3">
      <c r="A110" s="106" t="s">
        <v>407</v>
      </c>
      <c r="B110" s="106" t="s">
        <v>496</v>
      </c>
      <c r="C110" s="107">
        <v>5.9000128031017951</v>
      </c>
      <c r="D110" s="108">
        <v>3.7913046668829331</v>
      </c>
      <c r="E110" s="109">
        <v>3.4125855123770643</v>
      </c>
      <c r="G110" s="110" t="s">
        <v>406</v>
      </c>
      <c r="H110" s="111">
        <v>72.202169838266542</v>
      </c>
      <c r="I110" s="112">
        <v>79</v>
      </c>
      <c r="J110" s="113">
        <v>10</v>
      </c>
      <c r="K110" s="106"/>
      <c r="L110" s="107">
        <v>5.061682013267613</v>
      </c>
      <c r="M110" s="108">
        <v>5.6147197006409399</v>
      </c>
      <c r="N110" s="108">
        <v>5.7577888470497651</v>
      </c>
      <c r="O110" s="108">
        <v>4.2640000000000002</v>
      </c>
      <c r="P110" s="108">
        <v>3.4000000000000002E-2</v>
      </c>
      <c r="Q110" s="108">
        <v>-1.0269999999999999</v>
      </c>
      <c r="R110" s="108">
        <v>1.06</v>
      </c>
      <c r="S110" s="108">
        <v>-0.83899999999999997</v>
      </c>
      <c r="T110" s="108">
        <v>-8.0359999999999996</v>
      </c>
      <c r="U110" s="108">
        <v>2.6560000000000001</v>
      </c>
      <c r="V110" s="109">
        <v>3.8420000000000001</v>
      </c>
      <c r="W110" s="109">
        <f t="shared" si="1"/>
        <v>3.6019450896299987</v>
      </c>
    </row>
    <row r="111" spans="1:23" x14ac:dyDescent="0.3">
      <c r="A111" s="106" t="s">
        <v>402</v>
      </c>
      <c r="B111" s="106" t="s">
        <v>497</v>
      </c>
      <c r="C111" s="107">
        <v>2.509308980392877</v>
      </c>
      <c r="D111" s="108">
        <v>4.3365366697670549</v>
      </c>
      <c r="E111" s="109">
        <v>4.4414058742941132</v>
      </c>
      <c r="G111" s="110" t="s">
        <v>404</v>
      </c>
      <c r="H111" s="111">
        <v>47.880656607147813</v>
      </c>
      <c r="I111" s="112">
        <v>141</v>
      </c>
      <c r="J111" s="113">
        <v>29</v>
      </c>
      <c r="K111" s="106"/>
      <c r="L111" s="107">
        <v>4.6701221485020756</v>
      </c>
      <c r="M111" s="108">
        <v>3.525153173819251</v>
      </c>
      <c r="N111" s="108">
        <v>6.0114828408077567</v>
      </c>
      <c r="O111" s="108">
        <v>3.976</v>
      </c>
      <c r="P111" s="108">
        <v>0.433</v>
      </c>
      <c r="Q111" s="108">
        <v>8.9770000000000003</v>
      </c>
      <c r="R111" s="108">
        <v>7.6219999999999999</v>
      </c>
      <c r="S111" s="108">
        <v>6.657</v>
      </c>
      <c r="T111" s="108">
        <v>-2.37</v>
      </c>
      <c r="U111" s="108">
        <v>4.2469999999999999</v>
      </c>
      <c r="V111" s="109">
        <v>5.8380000000000001</v>
      </c>
      <c r="W111" s="109">
        <f t="shared" si="1"/>
        <v>4.3889712720305845</v>
      </c>
    </row>
    <row r="112" spans="1:23" x14ac:dyDescent="0.3">
      <c r="A112" s="106" t="s">
        <v>42</v>
      </c>
      <c r="B112" s="106" t="s">
        <v>81</v>
      </c>
      <c r="C112" s="107">
        <v>1.7497887812736312</v>
      </c>
      <c r="D112" s="108">
        <v>1.8172353151896914</v>
      </c>
      <c r="E112" s="109">
        <v>1.7415218308118652</v>
      </c>
      <c r="G112" s="110" t="s">
        <v>415</v>
      </c>
      <c r="H112" s="111">
        <v>97.320188246923195</v>
      </c>
      <c r="I112" s="112">
        <v>6</v>
      </c>
      <c r="J112" s="113">
        <v>4</v>
      </c>
      <c r="K112" s="106"/>
      <c r="L112" s="107">
        <v>-1.0303540066027346</v>
      </c>
      <c r="M112" s="108">
        <v>-0.13017522863902575</v>
      </c>
      <c r="N112" s="108">
        <v>1.4233954098743582</v>
      </c>
      <c r="O112" s="108">
        <v>1.958</v>
      </c>
      <c r="P112" s="108">
        <v>2.1920000000000002</v>
      </c>
      <c r="Q112" s="108">
        <v>2.911</v>
      </c>
      <c r="R112" s="108">
        <v>2.3610000000000002</v>
      </c>
      <c r="S112" s="108">
        <v>1.956</v>
      </c>
      <c r="T112" s="108">
        <v>-3.9129999999999998</v>
      </c>
      <c r="U112" s="108">
        <v>4.883</v>
      </c>
      <c r="V112" s="109">
        <v>4.5179999999999998</v>
      </c>
      <c r="W112" s="109">
        <f t="shared" si="1"/>
        <v>1.7793785730007783</v>
      </c>
    </row>
    <row r="113" spans="1:23" x14ac:dyDescent="0.3">
      <c r="A113" s="106" t="s">
        <v>402</v>
      </c>
      <c r="B113" s="106" t="s">
        <v>82</v>
      </c>
      <c r="C113" s="107">
        <v>1.6101427265492019</v>
      </c>
      <c r="D113" s="108">
        <v>2.5126996765094445</v>
      </c>
      <c r="E113" s="109">
        <v>2.926527233523446</v>
      </c>
      <c r="G113" s="110" t="s">
        <v>415</v>
      </c>
      <c r="H113" s="111">
        <v>98.673978139326721</v>
      </c>
      <c r="I113" s="112">
        <v>1</v>
      </c>
      <c r="J113" s="113">
        <v>1</v>
      </c>
      <c r="K113" s="106"/>
      <c r="L113" s="107">
        <v>2.2395634845413639</v>
      </c>
      <c r="M113" s="108">
        <v>2.6288005896782796</v>
      </c>
      <c r="N113" s="108">
        <v>3.6255957672075687</v>
      </c>
      <c r="O113" s="108">
        <v>3.6909999999999998</v>
      </c>
      <c r="P113" s="108">
        <v>3.8839999999999999</v>
      </c>
      <c r="Q113" s="108">
        <v>3.46</v>
      </c>
      <c r="R113" s="108">
        <v>3.524</v>
      </c>
      <c r="S113" s="108">
        <v>3.0750000000000002</v>
      </c>
      <c r="T113" s="108">
        <v>-1.4770000000000001</v>
      </c>
      <c r="U113" s="108">
        <v>6.0880000000000001</v>
      </c>
      <c r="V113" s="109">
        <v>2.4350000000000001</v>
      </c>
      <c r="W113" s="109">
        <f t="shared" si="1"/>
        <v>2.7196134550164452</v>
      </c>
    </row>
    <row r="114" spans="1:23" x14ac:dyDescent="0.3">
      <c r="A114" s="106" t="s">
        <v>411</v>
      </c>
      <c r="B114" s="106" t="s">
        <v>498</v>
      </c>
      <c r="C114" s="107">
        <v>4.0750139508862748</v>
      </c>
      <c r="D114" s="108">
        <v>0.946067021483743</v>
      </c>
      <c r="E114" s="109">
        <v>2.8253976939387693</v>
      </c>
      <c r="G114" s="110" t="s">
        <v>413</v>
      </c>
      <c r="H114" s="111">
        <v>64.641996561099731</v>
      </c>
      <c r="I114" s="112">
        <v>115</v>
      </c>
      <c r="J114" s="113">
        <v>15</v>
      </c>
      <c r="K114" s="106"/>
      <c r="L114" s="107">
        <v>6.4967472990321502</v>
      </c>
      <c r="M114" s="108">
        <v>4.9267922688301464</v>
      </c>
      <c r="N114" s="108">
        <v>4.7858161704434874</v>
      </c>
      <c r="O114" s="108">
        <v>4.7919999999999998</v>
      </c>
      <c r="P114" s="108">
        <v>4.5629999999999997</v>
      </c>
      <c r="Q114" s="108">
        <v>4.6310000000000002</v>
      </c>
      <c r="R114" s="108">
        <v>-3.363</v>
      </c>
      <c r="S114" s="108">
        <v>-3.78</v>
      </c>
      <c r="T114" s="108">
        <v>-1.7889999999999999</v>
      </c>
      <c r="U114" s="108">
        <v>10.345000000000001</v>
      </c>
      <c r="V114" s="109">
        <v>4.024</v>
      </c>
      <c r="W114" s="109">
        <f t="shared" si="1"/>
        <v>1.8857323577112561</v>
      </c>
    </row>
    <row r="115" spans="1:23" x14ac:dyDescent="0.3">
      <c r="A115" s="106" t="s">
        <v>407</v>
      </c>
      <c r="B115" s="106" t="s">
        <v>499</v>
      </c>
      <c r="C115" s="107">
        <v>5.2681473931170952</v>
      </c>
      <c r="D115" s="108">
        <v>5.8171216819006277</v>
      </c>
      <c r="E115" s="109">
        <v>5.6255556295670361</v>
      </c>
      <c r="G115" s="110" t="s">
        <v>413</v>
      </c>
      <c r="H115" s="111">
        <v>68.812447501404833</v>
      </c>
      <c r="I115" s="112">
        <v>98</v>
      </c>
      <c r="J115" s="113">
        <v>19</v>
      </c>
      <c r="K115" s="106"/>
      <c r="L115" s="107">
        <v>10.599907397446637</v>
      </c>
      <c r="M115" s="108">
        <v>5.5657295960540178</v>
      </c>
      <c r="N115" s="108">
        <v>6.5644262265084619</v>
      </c>
      <c r="O115" s="108">
        <v>4.3929999999999998</v>
      </c>
      <c r="P115" s="108">
        <v>5.7409999999999997</v>
      </c>
      <c r="Q115" s="108">
        <v>5.0010000000000003</v>
      </c>
      <c r="R115" s="108">
        <v>7.0069999999999997</v>
      </c>
      <c r="S115" s="108">
        <v>6.1429999999999998</v>
      </c>
      <c r="T115" s="108">
        <v>3.55</v>
      </c>
      <c r="U115" s="108">
        <v>1.399</v>
      </c>
      <c r="V115" s="109">
        <v>11.111000000000001</v>
      </c>
      <c r="W115" s="109">
        <f t="shared" si="1"/>
        <v>5.7213386557338319</v>
      </c>
    </row>
    <row r="116" spans="1:23" x14ac:dyDescent="0.3">
      <c r="A116" s="106" t="s">
        <v>407</v>
      </c>
      <c r="B116" s="106" t="s">
        <v>500</v>
      </c>
      <c r="C116" s="107">
        <v>1.6711254984559387</v>
      </c>
      <c r="D116" s="108">
        <v>1.8286894595159531</v>
      </c>
      <c r="E116" s="109">
        <v>2.3705025942777347</v>
      </c>
      <c r="G116" s="110" t="s">
        <v>404</v>
      </c>
      <c r="H116" s="111">
        <v>54.117482987279544</v>
      </c>
      <c r="I116" s="112">
        <v>136</v>
      </c>
      <c r="J116" s="113">
        <v>35</v>
      </c>
      <c r="K116" s="106"/>
      <c r="L116" s="107">
        <v>4.2300611751055515</v>
      </c>
      <c r="M116" s="108">
        <v>6.6713353928837664</v>
      </c>
      <c r="N116" s="108">
        <v>6.3097186557238203</v>
      </c>
      <c r="O116" s="108">
        <v>2.653</v>
      </c>
      <c r="P116" s="108">
        <v>-1.617</v>
      </c>
      <c r="Q116" s="108">
        <v>0.80600000000000005</v>
      </c>
      <c r="R116" s="108">
        <v>1.923</v>
      </c>
      <c r="S116" s="108">
        <v>2.2080000000000002</v>
      </c>
      <c r="T116" s="108">
        <v>-1.794</v>
      </c>
      <c r="U116" s="108">
        <v>3.6469999999999998</v>
      </c>
      <c r="V116" s="109">
        <v>3.2519999999999998</v>
      </c>
      <c r="W116" s="109">
        <f t="shared" si="1"/>
        <v>2.0995960268968439</v>
      </c>
    </row>
    <row r="117" spans="1:23" x14ac:dyDescent="0.3">
      <c r="A117" s="106" t="s">
        <v>42</v>
      </c>
      <c r="B117" s="106" t="s">
        <v>501</v>
      </c>
      <c r="C117" s="107">
        <v>-7.5001429328758196E-2</v>
      </c>
      <c r="D117" s="108">
        <v>1.3021650287798892</v>
      </c>
      <c r="E117" s="109">
        <v>2.0797979747829265</v>
      </c>
      <c r="G117" s="110" t="s">
        <v>409</v>
      </c>
      <c r="H117" s="111">
        <v>78.35616814320835</v>
      </c>
      <c r="I117" s="112">
        <v>58</v>
      </c>
      <c r="J117" s="113">
        <v>35</v>
      </c>
      <c r="K117" s="106"/>
      <c r="L117" s="107">
        <v>-0.45618322360793873</v>
      </c>
      <c r="M117" s="108">
        <v>2.9252576645048585</v>
      </c>
      <c r="N117" s="108">
        <v>3.6291235127637393</v>
      </c>
      <c r="O117" s="108">
        <v>3.8559999999999999</v>
      </c>
      <c r="P117" s="108">
        <v>2.8479999999999999</v>
      </c>
      <c r="Q117" s="108">
        <v>1.0820000000000001</v>
      </c>
      <c r="R117" s="108">
        <v>2.8809999999999998</v>
      </c>
      <c r="S117" s="108">
        <v>3.91</v>
      </c>
      <c r="T117" s="108">
        <v>-4.6879999999999997</v>
      </c>
      <c r="U117" s="108">
        <v>3.931</v>
      </c>
      <c r="V117" s="109">
        <v>2.2170000000000001</v>
      </c>
      <c r="W117" s="109">
        <f t="shared" si="1"/>
        <v>1.6909815017814078</v>
      </c>
    </row>
    <row r="118" spans="1:23" x14ac:dyDescent="0.3">
      <c r="A118" s="106" t="s">
        <v>42</v>
      </c>
      <c r="B118" s="106" t="s">
        <v>502</v>
      </c>
      <c r="C118" s="107">
        <v>2.1276786032802697</v>
      </c>
      <c r="D118" s="108">
        <v>2.0038500872442633</v>
      </c>
      <c r="E118" s="109">
        <v>1.8376731142071945</v>
      </c>
      <c r="G118" s="110" t="s">
        <v>415</v>
      </c>
      <c r="H118" s="111">
        <v>96.569623372049904</v>
      </c>
      <c r="I118" s="112">
        <v>10</v>
      </c>
      <c r="J118" s="113">
        <v>8</v>
      </c>
      <c r="K118" s="106"/>
      <c r="L118" s="107">
        <v>2.7030738548426481</v>
      </c>
      <c r="M118" s="108">
        <v>1.0340729135363009</v>
      </c>
      <c r="N118" s="108">
        <v>1.9695443007938924</v>
      </c>
      <c r="O118" s="108">
        <v>1.857</v>
      </c>
      <c r="P118" s="108">
        <v>1.165</v>
      </c>
      <c r="Q118" s="108">
        <v>2.464</v>
      </c>
      <c r="R118" s="108">
        <v>0.82899999999999996</v>
      </c>
      <c r="S118" s="108">
        <v>1.1240000000000001</v>
      </c>
      <c r="T118" s="108">
        <v>-1.278</v>
      </c>
      <c r="U118" s="108">
        <v>3.8980000000000001</v>
      </c>
      <c r="V118" s="109">
        <v>3.2810000000000001</v>
      </c>
      <c r="W118" s="109">
        <f t="shared" si="1"/>
        <v>1.9207616007257289</v>
      </c>
    </row>
    <row r="119" spans="1:23" x14ac:dyDescent="0.3">
      <c r="A119" s="106" t="s">
        <v>419</v>
      </c>
      <c r="B119" s="106" t="s">
        <v>503</v>
      </c>
      <c r="C119" s="107">
        <v>1.2841572452507943</v>
      </c>
      <c r="D119" s="108">
        <v>3.5695383112497314</v>
      </c>
      <c r="E119" s="109">
        <v>3.4884405409466579</v>
      </c>
      <c r="G119" s="110" t="s">
        <v>409</v>
      </c>
      <c r="H119" s="111">
        <v>83.929015692724803</v>
      </c>
      <c r="I119" s="112">
        <v>38</v>
      </c>
      <c r="J119" s="113">
        <v>3</v>
      </c>
      <c r="K119" s="106"/>
      <c r="L119" s="107">
        <v>9.3317368265983944</v>
      </c>
      <c r="M119" s="108">
        <v>4.373453291056836</v>
      </c>
      <c r="N119" s="108">
        <v>2.7522002596044053</v>
      </c>
      <c r="O119" s="108">
        <v>5.0170000000000003</v>
      </c>
      <c r="P119" s="108">
        <v>5.0460000000000003</v>
      </c>
      <c r="Q119" s="108">
        <v>0.30399999999999999</v>
      </c>
      <c r="R119" s="108">
        <v>1.2869999999999999</v>
      </c>
      <c r="S119" s="108">
        <v>-1.1299999999999999</v>
      </c>
      <c r="T119" s="108">
        <v>-3.2</v>
      </c>
      <c r="U119" s="108">
        <v>2.9020000000000001</v>
      </c>
      <c r="V119" s="109">
        <v>4.3109999999999999</v>
      </c>
      <c r="W119" s="109">
        <f t="shared" si="1"/>
        <v>3.5289894260981947</v>
      </c>
    </row>
    <row r="120" spans="1:23" x14ac:dyDescent="0.3">
      <c r="A120" s="106" t="s">
        <v>402</v>
      </c>
      <c r="B120" s="106" t="s">
        <v>504</v>
      </c>
      <c r="C120" s="107">
        <v>-2.8988961286927073</v>
      </c>
      <c r="D120" s="108">
        <v>0.9425802646799708</v>
      </c>
      <c r="E120" s="109">
        <v>2.8446311877570185</v>
      </c>
      <c r="G120" s="110" t="s">
        <v>406</v>
      </c>
      <c r="H120" s="111">
        <v>69.599146780385112</v>
      </c>
      <c r="I120" s="112">
        <v>90</v>
      </c>
      <c r="J120" s="113">
        <v>17</v>
      </c>
      <c r="K120" s="106"/>
      <c r="L120" s="107">
        <v>2.8731257161786412</v>
      </c>
      <c r="M120" s="108">
        <v>4.4745926000517917</v>
      </c>
      <c r="N120" s="108">
        <v>5.7909341243793389</v>
      </c>
      <c r="O120" s="108">
        <v>4.0579999999999998</v>
      </c>
      <c r="P120" s="108">
        <v>4.5629999999999997</v>
      </c>
      <c r="Q120" s="108">
        <v>4.609</v>
      </c>
      <c r="R120" s="108">
        <v>6.0960000000000001</v>
      </c>
      <c r="S120" s="108">
        <v>3.12</v>
      </c>
      <c r="T120" s="108">
        <v>-0.94299999999999995</v>
      </c>
      <c r="U120" s="108">
        <v>5.742</v>
      </c>
      <c r="V120" s="109">
        <v>5.9669999999999996</v>
      </c>
      <c r="W120" s="109">
        <f t="shared" si="1"/>
        <v>1.8936057262184947</v>
      </c>
    </row>
    <row r="121" spans="1:23" x14ac:dyDescent="0.3">
      <c r="A121" s="106" t="s">
        <v>411</v>
      </c>
      <c r="B121" s="106" t="s">
        <v>505</v>
      </c>
      <c r="C121" s="107">
        <v>1.349334889011633</v>
      </c>
      <c r="D121" s="108">
        <v>2.1324418529624634</v>
      </c>
      <c r="E121" s="109">
        <v>3.875737232948695</v>
      </c>
      <c r="G121" s="110" t="s">
        <v>413</v>
      </c>
      <c r="H121" s="111">
        <v>61.957917699729606</v>
      </c>
      <c r="I121" s="112">
        <v>122</v>
      </c>
      <c r="J121" s="113">
        <v>19</v>
      </c>
      <c r="K121" s="106"/>
      <c r="L121" s="107">
        <v>9.7789039456094482</v>
      </c>
      <c r="M121" s="108">
        <v>6.9032725658169563</v>
      </c>
      <c r="N121" s="108">
        <v>5.0667432180278205</v>
      </c>
      <c r="O121" s="108">
        <v>5.7329999999999997</v>
      </c>
      <c r="P121" s="108">
        <v>4.9530000000000003</v>
      </c>
      <c r="Q121" s="108">
        <v>5.5910000000000002</v>
      </c>
      <c r="R121" s="108">
        <v>3.6850000000000001</v>
      </c>
      <c r="S121" s="108">
        <v>2.98</v>
      </c>
      <c r="T121" s="108">
        <v>-17.945</v>
      </c>
      <c r="U121" s="108">
        <v>15.336</v>
      </c>
      <c r="V121" s="109">
        <v>10</v>
      </c>
      <c r="W121" s="109">
        <f t="shared" si="1"/>
        <v>3.0040895429555792</v>
      </c>
    </row>
    <row r="122" spans="1:23" x14ac:dyDescent="0.3">
      <c r="A122" s="106" t="s">
        <v>402</v>
      </c>
      <c r="B122" s="106" t="s">
        <v>506</v>
      </c>
      <c r="C122" s="107">
        <v>0.50696592980361554</v>
      </c>
      <c r="D122" s="108">
        <v>1.127965129390196</v>
      </c>
      <c r="E122" s="109">
        <v>3.7955054005958777</v>
      </c>
      <c r="G122" s="110" t="s">
        <v>404</v>
      </c>
      <c r="H122" s="111">
        <v>55.401075093758223</v>
      </c>
      <c r="I122" s="112">
        <v>131</v>
      </c>
      <c r="J122" s="113">
        <v>27</v>
      </c>
      <c r="K122" s="106"/>
      <c r="L122" s="107">
        <v>4.6571195968623904</v>
      </c>
      <c r="M122" s="108">
        <v>3.8249463280067437</v>
      </c>
      <c r="N122" s="108">
        <v>13.543770621654581</v>
      </c>
      <c r="O122" s="108">
        <v>6.5759999999999996</v>
      </c>
      <c r="P122" s="108">
        <v>5.492</v>
      </c>
      <c r="Q122" s="108">
        <v>3.5350000000000001</v>
      </c>
      <c r="R122" s="108">
        <v>-0.27900000000000003</v>
      </c>
      <c r="S122" s="108">
        <v>4.4800000000000004</v>
      </c>
      <c r="T122" s="108">
        <v>-3.1669999999999998</v>
      </c>
      <c r="U122" s="108">
        <v>7.0000000000000007E-2</v>
      </c>
      <c r="V122" s="109">
        <v>4.5359999999999996</v>
      </c>
      <c r="W122" s="109">
        <f t="shared" si="1"/>
        <v>2.4617352649930369</v>
      </c>
    </row>
    <row r="123" spans="1:23" x14ac:dyDescent="0.3">
      <c r="A123" s="106" t="s">
        <v>411</v>
      </c>
      <c r="B123" s="106" t="s">
        <v>507</v>
      </c>
      <c r="C123" s="107">
        <v>1.1388134852348575</v>
      </c>
      <c r="D123" s="108">
        <v>1.2311721995777125</v>
      </c>
      <c r="E123" s="109">
        <v>3.152890592174673</v>
      </c>
      <c r="G123" s="110" t="s">
        <v>413</v>
      </c>
      <c r="H123" s="111">
        <v>63.814130726333779</v>
      </c>
      <c r="I123" s="112">
        <v>118</v>
      </c>
      <c r="J123" s="113">
        <v>17</v>
      </c>
      <c r="K123" s="106"/>
      <c r="L123" s="107">
        <v>-0.53851294250305837</v>
      </c>
      <c r="M123" s="108">
        <v>8.4174952847030529</v>
      </c>
      <c r="N123" s="108">
        <v>4.8608903705532152</v>
      </c>
      <c r="O123" s="108">
        <v>2.9569999999999999</v>
      </c>
      <c r="P123" s="108">
        <v>4.2679999999999998</v>
      </c>
      <c r="Q123" s="108">
        <v>4.8099999999999996</v>
      </c>
      <c r="R123" s="108">
        <v>3.2040000000000002</v>
      </c>
      <c r="S123" s="108">
        <v>-0.40200000000000002</v>
      </c>
      <c r="T123" s="108">
        <v>-0.82</v>
      </c>
      <c r="U123" s="108">
        <v>4.0170000000000003</v>
      </c>
      <c r="V123" s="109">
        <v>0.2</v>
      </c>
      <c r="W123" s="109">
        <f t="shared" si="1"/>
        <v>2.1920313958761928</v>
      </c>
    </row>
    <row r="124" spans="1:23" x14ac:dyDescent="0.3">
      <c r="A124" s="106" t="s">
        <v>411</v>
      </c>
      <c r="B124" s="106" t="s">
        <v>254</v>
      </c>
      <c r="C124" s="107">
        <v>1.205712245399182</v>
      </c>
      <c r="D124" s="108">
        <v>1.959755918859285</v>
      </c>
      <c r="E124" s="109">
        <v>2.7687545080362863</v>
      </c>
      <c r="G124" s="110" t="s">
        <v>413</v>
      </c>
      <c r="H124" s="111">
        <v>62.494421901152251</v>
      </c>
      <c r="I124" s="112">
        <v>121</v>
      </c>
      <c r="J124" s="113">
        <v>18</v>
      </c>
      <c r="K124" s="106"/>
      <c r="L124" s="107">
        <v>6.1397247056043467</v>
      </c>
      <c r="M124" s="108">
        <v>5.8525182108492944</v>
      </c>
      <c r="N124" s="108">
        <v>2.3821573718054045</v>
      </c>
      <c r="O124" s="108">
        <v>3.2519999999999998</v>
      </c>
      <c r="P124" s="108">
        <v>3.9529999999999998</v>
      </c>
      <c r="Q124" s="108">
        <v>2.5190000000000001</v>
      </c>
      <c r="R124" s="108">
        <v>3.9769999999999999</v>
      </c>
      <c r="S124" s="108">
        <v>2.2330000000000001</v>
      </c>
      <c r="T124" s="108">
        <v>-11.013999999999999</v>
      </c>
      <c r="U124" s="108">
        <v>13.551</v>
      </c>
      <c r="V124" s="109">
        <v>2.7010000000000001</v>
      </c>
      <c r="W124" s="109">
        <f t="shared" si="1"/>
        <v>2.3642552134477857</v>
      </c>
    </row>
    <row r="125" spans="1:23" x14ac:dyDescent="0.3">
      <c r="A125" s="106" t="s">
        <v>402</v>
      </c>
      <c r="B125" s="106" t="s">
        <v>246</v>
      </c>
      <c r="C125" s="107">
        <v>0.96069279950485864</v>
      </c>
      <c r="D125" s="108">
        <v>3.0362820733681239</v>
      </c>
      <c r="E125" s="109">
        <v>4.8545875775876546</v>
      </c>
      <c r="G125" s="110" t="s">
        <v>406</v>
      </c>
      <c r="H125" s="111">
        <v>74.806556985260698</v>
      </c>
      <c r="I125" s="112">
        <v>69</v>
      </c>
      <c r="J125" s="113">
        <v>10</v>
      </c>
      <c r="K125" s="106"/>
      <c r="L125" s="107">
        <v>6.8969517105747951</v>
      </c>
      <c r="M125" s="108">
        <v>6.7505313017782687</v>
      </c>
      <c r="N125" s="108">
        <v>6.3479874825028357</v>
      </c>
      <c r="O125" s="108">
        <v>6.3479999999999999</v>
      </c>
      <c r="P125" s="108">
        <v>7.149</v>
      </c>
      <c r="Q125" s="108">
        <v>6.931</v>
      </c>
      <c r="R125" s="108">
        <v>6.3410000000000002</v>
      </c>
      <c r="S125" s="108">
        <v>6.1189999999999998</v>
      </c>
      <c r="T125" s="108">
        <v>-9.5180000000000007</v>
      </c>
      <c r="U125" s="108">
        <v>5.7030000000000003</v>
      </c>
      <c r="V125" s="109">
        <v>7.5990000000000002</v>
      </c>
      <c r="W125" s="109">
        <f t="shared" si="1"/>
        <v>3.9454348254778893</v>
      </c>
    </row>
    <row r="126" spans="1:23" x14ac:dyDescent="0.3">
      <c r="A126" s="106" t="s">
        <v>42</v>
      </c>
      <c r="B126" s="106" t="s">
        <v>250</v>
      </c>
      <c r="C126" s="107">
        <v>3.162865203018228</v>
      </c>
      <c r="D126" s="108">
        <v>3.8363783613865499</v>
      </c>
      <c r="E126" s="109">
        <v>3.5697088266716248</v>
      </c>
      <c r="G126" s="110" t="s">
        <v>409</v>
      </c>
      <c r="H126" s="111">
        <v>85.420553644487129</v>
      </c>
      <c r="I126" s="112">
        <v>36</v>
      </c>
      <c r="J126" s="113">
        <v>23</v>
      </c>
      <c r="K126" s="106"/>
      <c r="L126" s="107">
        <v>1.6079066445646626</v>
      </c>
      <c r="M126" s="108">
        <v>1.3918923212492256</v>
      </c>
      <c r="N126" s="108">
        <v>3.3184475370007722</v>
      </c>
      <c r="O126" s="108">
        <v>4.383</v>
      </c>
      <c r="P126" s="108">
        <v>2.9540000000000002</v>
      </c>
      <c r="Q126" s="108">
        <v>5.14</v>
      </c>
      <c r="R126" s="108">
        <v>5.9450000000000003</v>
      </c>
      <c r="S126" s="108">
        <v>4.45</v>
      </c>
      <c r="T126" s="108">
        <v>-2.02</v>
      </c>
      <c r="U126" s="108">
        <v>6.8479999999999999</v>
      </c>
      <c r="V126" s="109">
        <v>4.8739999999999997</v>
      </c>
      <c r="W126" s="109">
        <f t="shared" si="1"/>
        <v>3.7030435940290873</v>
      </c>
    </row>
    <row r="127" spans="1:23" x14ac:dyDescent="0.3">
      <c r="A127" s="106" t="s">
        <v>42</v>
      </c>
      <c r="B127" s="106" t="s">
        <v>508</v>
      </c>
      <c r="C127" s="107">
        <v>1.0661443105445922</v>
      </c>
      <c r="D127" s="108">
        <v>1.7172276328006886</v>
      </c>
      <c r="E127" s="109">
        <v>1.5719478894561822</v>
      </c>
      <c r="G127" s="110" t="s">
        <v>415</v>
      </c>
      <c r="H127" s="111">
        <v>91.026987497789847</v>
      </c>
      <c r="I127" s="112">
        <v>25</v>
      </c>
      <c r="J127" s="113">
        <v>16</v>
      </c>
      <c r="K127" s="106"/>
      <c r="L127" s="107">
        <v>-4.0572943594235547</v>
      </c>
      <c r="M127" s="108">
        <v>-0.92264378725787455</v>
      </c>
      <c r="N127" s="108">
        <v>0.79219053837650444</v>
      </c>
      <c r="O127" s="108">
        <v>1.792</v>
      </c>
      <c r="P127" s="108">
        <v>2.0190000000000001</v>
      </c>
      <c r="Q127" s="108">
        <v>3.5059999999999998</v>
      </c>
      <c r="R127" s="108">
        <v>2.8490000000000002</v>
      </c>
      <c r="S127" s="108">
        <v>2.6829999999999998</v>
      </c>
      <c r="T127" s="108">
        <v>-8.3010000000000002</v>
      </c>
      <c r="U127" s="108">
        <v>5.5030000000000001</v>
      </c>
      <c r="V127" s="109">
        <v>6.726</v>
      </c>
      <c r="W127" s="109">
        <f t="shared" si="1"/>
        <v>1.6445877611284354</v>
      </c>
    </row>
    <row r="128" spans="1:23" x14ac:dyDescent="0.3">
      <c r="A128" s="106" t="s">
        <v>419</v>
      </c>
      <c r="B128" s="106" t="s">
        <v>290</v>
      </c>
      <c r="C128" s="107">
        <v>0.67674745765720079</v>
      </c>
      <c r="D128" s="108">
        <v>0.80775193577011795</v>
      </c>
      <c r="E128" s="109">
        <v>2.0997114519337501</v>
      </c>
      <c r="G128" s="110" t="s">
        <v>409</v>
      </c>
      <c r="H128" s="111">
        <v>78.783055534449289</v>
      </c>
      <c r="I128" s="112">
        <v>57</v>
      </c>
      <c r="J128" s="113">
        <v>6</v>
      </c>
      <c r="K128" s="106"/>
      <c r="L128" s="107">
        <v>4.730011843607838</v>
      </c>
      <c r="M128" s="108">
        <v>5.5560406430660754</v>
      </c>
      <c r="N128" s="108">
        <v>5.3343232919645871</v>
      </c>
      <c r="O128" s="108">
        <v>4.7530000000000001</v>
      </c>
      <c r="P128" s="108">
        <v>3.0640000000000001</v>
      </c>
      <c r="Q128" s="108">
        <v>-1.498</v>
      </c>
      <c r="R128" s="108">
        <v>1.2350000000000001</v>
      </c>
      <c r="S128" s="108">
        <v>0.68799999999999994</v>
      </c>
      <c r="T128" s="108">
        <v>-3.5579999999999998</v>
      </c>
      <c r="U128" s="108">
        <v>1.589</v>
      </c>
      <c r="V128" s="109">
        <v>4.2409999999999997</v>
      </c>
      <c r="W128" s="109">
        <f t="shared" si="1"/>
        <v>1.453731693851934</v>
      </c>
    </row>
    <row r="129" spans="1:23" x14ac:dyDescent="0.3">
      <c r="A129" s="106" t="s">
        <v>42</v>
      </c>
      <c r="B129" s="106" t="s">
        <v>509</v>
      </c>
      <c r="C129" s="107">
        <v>1.9886029006319417</v>
      </c>
      <c r="D129" s="108">
        <v>2.9733514596169686</v>
      </c>
      <c r="E129" s="109">
        <v>3.7501787507027151</v>
      </c>
      <c r="G129" s="110" t="s">
        <v>409</v>
      </c>
      <c r="H129" s="111">
        <v>84.261081453729389</v>
      </c>
      <c r="I129" s="112">
        <v>37</v>
      </c>
      <c r="J129" s="113">
        <v>24</v>
      </c>
      <c r="K129" s="106"/>
      <c r="L129" s="107">
        <v>2.0771650065377472</v>
      </c>
      <c r="M129" s="108">
        <v>3.5145518040847694</v>
      </c>
      <c r="N129" s="108">
        <v>3.4108091001793088</v>
      </c>
      <c r="O129" s="108">
        <v>3.1629999999999998</v>
      </c>
      <c r="P129" s="108">
        <v>2.8530000000000002</v>
      </c>
      <c r="Q129" s="108">
        <v>8.2129999999999992</v>
      </c>
      <c r="R129" s="108">
        <v>6.03</v>
      </c>
      <c r="S129" s="108">
        <v>3.8439999999999999</v>
      </c>
      <c r="T129" s="108">
        <v>-3.6920000000000002</v>
      </c>
      <c r="U129" s="108">
        <v>5.8739999999999997</v>
      </c>
      <c r="V129" s="109">
        <v>4.7910000000000004</v>
      </c>
      <c r="W129" s="109">
        <f t="shared" si="1"/>
        <v>3.3617651051598418</v>
      </c>
    </row>
    <row r="130" spans="1:23" x14ac:dyDescent="0.3">
      <c r="A130" s="106" t="s">
        <v>42</v>
      </c>
      <c r="B130" s="106" t="s">
        <v>510</v>
      </c>
      <c r="C130" s="107">
        <v>0.31321455831558875</v>
      </c>
      <c r="D130" s="108">
        <v>1.1211784185926943</v>
      </c>
      <c r="E130" s="109">
        <v>0.80914098391451361</v>
      </c>
      <c r="G130" s="110" t="s">
        <v>406</v>
      </c>
      <c r="H130" s="111">
        <v>76.528749373407479</v>
      </c>
      <c r="I130" s="112">
        <v>64</v>
      </c>
      <c r="J130" s="113">
        <v>36</v>
      </c>
      <c r="K130" s="106"/>
      <c r="L130" s="107">
        <v>4.0240861571797915</v>
      </c>
      <c r="M130" s="108">
        <v>1.7554221491628001</v>
      </c>
      <c r="N130" s="108">
        <v>0.736267221403759</v>
      </c>
      <c r="O130" s="108">
        <v>-1.9730000000000001</v>
      </c>
      <c r="P130" s="108">
        <v>0.19400000000000001</v>
      </c>
      <c r="Q130" s="108">
        <v>1.8260000000000001</v>
      </c>
      <c r="R130" s="108">
        <v>2.8069999999999999</v>
      </c>
      <c r="S130" s="108">
        <v>2.198</v>
      </c>
      <c r="T130" s="108">
        <v>-2.6539999999999999</v>
      </c>
      <c r="U130" s="108">
        <v>5.6239999999999997</v>
      </c>
      <c r="V130" s="109">
        <v>-2.0510000000000002</v>
      </c>
      <c r="W130" s="109">
        <f t="shared" si="1"/>
        <v>0.96515970125360395</v>
      </c>
    </row>
    <row r="131" spans="1:23" x14ac:dyDescent="0.3">
      <c r="A131" s="106" t="s">
        <v>407</v>
      </c>
      <c r="B131" s="106" t="s">
        <v>511</v>
      </c>
      <c r="C131" s="107">
        <v>4.5886571318858538</v>
      </c>
      <c r="D131" s="108">
        <v>6.3388189685080754</v>
      </c>
      <c r="E131" s="109">
        <v>6.1347836953729917</v>
      </c>
      <c r="G131" s="110" t="s">
        <v>406</v>
      </c>
      <c r="H131" s="111">
        <v>76.577775011818801</v>
      </c>
      <c r="I131" s="112">
        <v>63</v>
      </c>
      <c r="J131" s="113">
        <v>3</v>
      </c>
      <c r="K131" s="106"/>
      <c r="L131" s="107">
        <v>8.6415388651712988</v>
      </c>
      <c r="M131" s="108">
        <v>4.7198554996618309</v>
      </c>
      <c r="N131" s="108">
        <v>6.1642772027561934</v>
      </c>
      <c r="O131" s="108">
        <v>8.8539999999999992</v>
      </c>
      <c r="P131" s="108">
        <v>5.9720000000000004</v>
      </c>
      <c r="Q131" s="108">
        <v>3.9729999999999999</v>
      </c>
      <c r="R131" s="108">
        <v>8.5779999999999994</v>
      </c>
      <c r="S131" s="108">
        <v>9.4689999999999994</v>
      </c>
      <c r="T131" s="108">
        <v>-3.3570000000000002</v>
      </c>
      <c r="U131" s="108">
        <v>10.874000000000001</v>
      </c>
      <c r="V131" s="109">
        <v>6.7629999999999999</v>
      </c>
      <c r="W131" s="109">
        <f t="shared" si="1"/>
        <v>6.2368013319405335</v>
      </c>
    </row>
    <row r="132" spans="1:23" x14ac:dyDescent="0.3">
      <c r="A132" s="106" t="s">
        <v>419</v>
      </c>
      <c r="B132" s="106" t="s">
        <v>310</v>
      </c>
      <c r="C132" s="107">
        <v>2.4790435166051283</v>
      </c>
      <c r="D132" s="108">
        <v>2.0533451948943071</v>
      </c>
      <c r="E132" s="109">
        <v>2.158001329255721</v>
      </c>
      <c r="G132" s="110" t="s">
        <v>409</v>
      </c>
      <c r="H132" s="111">
        <v>76.963439522680929</v>
      </c>
      <c r="I132" s="112">
        <v>61</v>
      </c>
      <c r="J132" s="113">
        <v>8</v>
      </c>
      <c r="K132" s="106"/>
      <c r="L132" s="107">
        <v>5.4114449021643543</v>
      </c>
      <c r="M132" s="108">
        <v>2.6992547225567329</v>
      </c>
      <c r="N132" s="108">
        <v>3.6524816975790095</v>
      </c>
      <c r="O132" s="108">
        <v>4.6900000000000004</v>
      </c>
      <c r="P132" s="108">
        <v>2.363</v>
      </c>
      <c r="Q132" s="108">
        <v>-7.0000000000000007E-2</v>
      </c>
      <c r="R132" s="108">
        <v>2.762</v>
      </c>
      <c r="S132" s="108">
        <v>0.83199999999999996</v>
      </c>
      <c r="T132" s="108">
        <v>-4.3410000000000002</v>
      </c>
      <c r="U132" s="108">
        <v>3.9220000000000002</v>
      </c>
      <c r="V132" s="109">
        <v>8.7439999999999998</v>
      </c>
      <c r="W132" s="109">
        <f t="shared" si="1"/>
        <v>2.105673262075014</v>
      </c>
    </row>
    <row r="133" spans="1:23" x14ac:dyDescent="0.3">
      <c r="A133" s="106" t="s">
        <v>407</v>
      </c>
      <c r="B133" s="106" t="s">
        <v>512</v>
      </c>
      <c r="C133" s="107">
        <v>4.0137946463164598</v>
      </c>
      <c r="D133" s="108">
        <v>4.5694149693751296</v>
      </c>
      <c r="E133" s="109">
        <v>5.2331571951220512</v>
      </c>
      <c r="G133" s="110" t="s">
        <v>406</v>
      </c>
      <c r="H133" s="111">
        <v>69.313365081609845</v>
      </c>
      <c r="I133" s="112">
        <v>93</v>
      </c>
      <c r="J133" s="113">
        <v>15</v>
      </c>
      <c r="K133" s="106"/>
      <c r="L133" s="107">
        <v>5.1173942367478444</v>
      </c>
      <c r="M133" s="108">
        <v>2.8221056497235883</v>
      </c>
      <c r="N133" s="108">
        <v>6.6135001033739647</v>
      </c>
      <c r="O133" s="108">
        <v>6.367</v>
      </c>
      <c r="P133" s="108">
        <v>6.3559999999999999</v>
      </c>
      <c r="Q133" s="108">
        <v>7.407</v>
      </c>
      <c r="R133" s="108">
        <v>6.2089999999999996</v>
      </c>
      <c r="S133" s="108">
        <v>4.6139999999999999</v>
      </c>
      <c r="T133" s="108">
        <v>1.3260000000000001</v>
      </c>
      <c r="U133" s="108">
        <v>6.0670000000000002</v>
      </c>
      <c r="V133" s="109">
        <v>4.7089999999999996</v>
      </c>
      <c r="W133" s="109">
        <f t="shared" si="1"/>
        <v>4.9012860822485909</v>
      </c>
    </row>
    <row r="134" spans="1:23" x14ac:dyDescent="0.3">
      <c r="A134" s="106" t="s">
        <v>42</v>
      </c>
      <c r="B134" s="106" t="s">
        <v>513</v>
      </c>
      <c r="C134" s="107">
        <v>2.9071913241700997</v>
      </c>
      <c r="D134" s="108">
        <v>3.5107747978878168</v>
      </c>
      <c r="E134" s="109">
        <v>2.5987412011468258</v>
      </c>
      <c r="G134" s="110" t="s">
        <v>406</v>
      </c>
      <c r="H134" s="111">
        <v>74.50245157918026</v>
      </c>
      <c r="I134" s="112">
        <v>71</v>
      </c>
      <c r="J134" s="113">
        <v>38</v>
      </c>
      <c r="K134" s="106"/>
      <c r="L134" s="107">
        <v>-0.68154236933475798</v>
      </c>
      <c r="M134" s="108">
        <v>2.892636733558092</v>
      </c>
      <c r="N134" s="108">
        <v>-1.5895103199025831</v>
      </c>
      <c r="O134" s="108">
        <v>1.776</v>
      </c>
      <c r="P134" s="108">
        <v>3.339</v>
      </c>
      <c r="Q134" s="108">
        <v>2.101</v>
      </c>
      <c r="R134" s="108">
        <v>4.4950000000000001</v>
      </c>
      <c r="S134" s="108">
        <v>4.3319999999999999</v>
      </c>
      <c r="T134" s="108">
        <v>-0.90300000000000002</v>
      </c>
      <c r="U134" s="108">
        <v>7.55</v>
      </c>
      <c r="V134" s="109">
        <v>2.2509999999999999</v>
      </c>
      <c r="W134" s="109">
        <f t="shared" si="1"/>
        <v>3.0547579995173213</v>
      </c>
    </row>
    <row r="135" spans="1:23" x14ac:dyDescent="0.3">
      <c r="A135" s="106" t="s">
        <v>407</v>
      </c>
      <c r="B135" s="106" t="s">
        <v>514</v>
      </c>
      <c r="C135" s="107">
        <v>1.6001817079933423</v>
      </c>
      <c r="D135" s="108">
        <v>2.5822705421283176</v>
      </c>
      <c r="E135" s="108">
        <v>2.323464181185142</v>
      </c>
      <c r="G135" s="110" t="s">
        <v>404</v>
      </c>
      <c r="H135" s="111">
        <v>58.993492167204309</v>
      </c>
      <c r="I135" s="112">
        <v>126</v>
      </c>
      <c r="J135" s="112">
        <v>30</v>
      </c>
      <c r="K135" s="115"/>
      <c r="L135" s="107">
        <v>15.18176908302255</v>
      </c>
      <c r="M135" s="108">
        <v>20.715768285872748</v>
      </c>
      <c r="N135" s="108">
        <v>4.5567723661529431</v>
      </c>
      <c r="O135" s="108">
        <v>-20.492999999999999</v>
      </c>
      <c r="P135" s="108">
        <v>6.3540000000000001</v>
      </c>
      <c r="Q135" s="108">
        <v>3.7650000000000001</v>
      </c>
      <c r="R135" s="108">
        <v>3.4649999999999999</v>
      </c>
      <c r="S135" s="108">
        <v>5.2539999999999996</v>
      </c>
      <c r="T135" s="108">
        <v>-1.9690000000000001</v>
      </c>
      <c r="U135" s="108">
        <v>4.1050000000000004</v>
      </c>
      <c r="V135" s="108">
        <v>2.766</v>
      </c>
      <c r="W135" s="109">
        <f t="shared" si="1"/>
        <v>2.4528673616567298</v>
      </c>
    </row>
    <row r="136" spans="1:23" x14ac:dyDescent="0.3">
      <c r="A136" s="106" t="s">
        <v>402</v>
      </c>
      <c r="B136" s="106" t="s">
        <v>515</v>
      </c>
      <c r="C136" s="107">
        <v>2.254611894692915</v>
      </c>
      <c r="D136" s="108">
        <v>2.3804077568891469</v>
      </c>
      <c r="E136" s="108">
        <v>3.1207966515608421</v>
      </c>
      <c r="G136" s="110" t="s">
        <v>415</v>
      </c>
      <c r="H136" s="111">
        <v>97.805585083414968</v>
      </c>
      <c r="I136" s="112">
        <v>4</v>
      </c>
      <c r="J136" s="112">
        <v>2</v>
      </c>
      <c r="K136" s="115"/>
      <c r="L136" s="107">
        <v>4.461608951013317</v>
      </c>
      <c r="M136" s="108">
        <v>4.8372986457609866</v>
      </c>
      <c r="N136" s="108">
        <v>3.9380027286605586</v>
      </c>
      <c r="O136" s="108">
        <v>2.9769999999999999</v>
      </c>
      <c r="P136" s="108">
        <v>3.6019999999999999</v>
      </c>
      <c r="Q136" s="108">
        <v>4.5449999999999999</v>
      </c>
      <c r="R136" s="108">
        <v>3.5750000000000002</v>
      </c>
      <c r="S136" s="108">
        <v>1.331</v>
      </c>
      <c r="T136" s="108">
        <v>-3.9009999999999998</v>
      </c>
      <c r="U136" s="108">
        <v>8.8819999999999997</v>
      </c>
      <c r="V136" s="108">
        <v>3.6469999999999998</v>
      </c>
      <c r="W136" s="109">
        <f t="shared" si="1"/>
        <v>2.7506022042249945</v>
      </c>
    </row>
    <row r="137" spans="1:23" x14ac:dyDescent="0.3">
      <c r="A137" s="106" t="s">
        <v>42</v>
      </c>
      <c r="B137" s="106" t="s">
        <v>516</v>
      </c>
      <c r="C137" s="107">
        <v>0.39781205843958389</v>
      </c>
      <c r="D137" s="108">
        <v>0.97590941056187042</v>
      </c>
      <c r="E137" s="108">
        <v>1.8214852479931931</v>
      </c>
      <c r="G137" s="110" t="s">
        <v>409</v>
      </c>
      <c r="H137" s="111">
        <v>80.276897229698847</v>
      </c>
      <c r="I137" s="112">
        <v>47</v>
      </c>
      <c r="J137" s="112">
        <v>32</v>
      </c>
      <c r="K137" s="115"/>
      <c r="L137" s="107">
        <v>1.8958108123027844</v>
      </c>
      <c r="M137" s="108">
        <v>0.67084458223160615</v>
      </c>
      <c r="N137" s="108">
        <v>2.7524343314004627</v>
      </c>
      <c r="O137" s="108">
        <v>5.1669999999999998</v>
      </c>
      <c r="P137" s="108">
        <v>1.944</v>
      </c>
      <c r="Q137" s="108">
        <v>2.9380000000000002</v>
      </c>
      <c r="R137" s="108">
        <v>4.0309999999999997</v>
      </c>
      <c r="S137" s="108">
        <v>2.5190000000000001</v>
      </c>
      <c r="T137" s="108">
        <v>-3.375</v>
      </c>
      <c r="U137" s="108">
        <v>3.0139999999999998</v>
      </c>
      <c r="V137" s="108">
        <v>1.6679999999999999</v>
      </c>
      <c r="W137" s="109">
        <f t="shared" si="1"/>
        <v>1.3986973292775318</v>
      </c>
    </row>
    <row r="138" spans="1:23" x14ac:dyDescent="0.3">
      <c r="A138" s="106" t="s">
        <v>42</v>
      </c>
      <c r="B138" s="106" t="s">
        <v>517</v>
      </c>
      <c r="C138" s="107">
        <v>2.9453399614758569</v>
      </c>
      <c r="D138" s="108">
        <v>3.265722456681952</v>
      </c>
      <c r="E138" s="108">
        <v>2.8132202997918521</v>
      </c>
      <c r="G138" s="110" t="s">
        <v>415</v>
      </c>
      <c r="H138" s="111">
        <v>88.920325519387234</v>
      </c>
      <c r="I138" s="112">
        <v>30</v>
      </c>
      <c r="J138" s="112">
        <v>19</v>
      </c>
      <c r="K138" s="115"/>
      <c r="L138" s="107">
        <v>-2.6394387292630763</v>
      </c>
      <c r="M138" s="108">
        <v>-1.029283831306939</v>
      </c>
      <c r="N138" s="108">
        <v>2.7681580195902979</v>
      </c>
      <c r="O138" s="108">
        <v>2.21</v>
      </c>
      <c r="P138" s="108">
        <v>3.1920000000000002</v>
      </c>
      <c r="Q138" s="108">
        <v>4.8159999999999998</v>
      </c>
      <c r="R138" s="108">
        <v>4.4550000000000001</v>
      </c>
      <c r="S138" s="108">
        <v>3.4510000000000001</v>
      </c>
      <c r="T138" s="108">
        <v>-4.3209999999999997</v>
      </c>
      <c r="U138" s="108">
        <v>8.2110000000000003</v>
      </c>
      <c r="V138" s="108">
        <v>5.3739999999999997</v>
      </c>
      <c r="W138" s="109">
        <f t="shared" si="1"/>
        <v>3.0394713782369021</v>
      </c>
    </row>
    <row r="139" spans="1:23" x14ac:dyDescent="0.3">
      <c r="A139" s="106" t="s">
        <v>407</v>
      </c>
      <c r="B139" s="106" t="s">
        <v>278</v>
      </c>
      <c r="C139" s="107">
        <v>8.8409433265779214E-2</v>
      </c>
      <c r="D139" s="108">
        <v>2.1857023030043443</v>
      </c>
      <c r="E139" s="108">
        <v>1.8249844059199605</v>
      </c>
      <c r="G139" s="110" t="s">
        <v>406</v>
      </c>
      <c r="H139" s="111">
        <v>75.182844770260857</v>
      </c>
      <c r="I139" s="112">
        <v>68</v>
      </c>
      <c r="J139" s="112">
        <v>5</v>
      </c>
      <c r="K139" s="115"/>
      <c r="L139" s="107">
        <v>2.2133548084844037</v>
      </c>
      <c r="M139" s="108">
        <v>2.4852005003105813</v>
      </c>
      <c r="N139" s="108">
        <v>1.8469916036571876</v>
      </c>
      <c r="O139" s="108">
        <v>1.3220000000000001</v>
      </c>
      <c r="P139" s="108">
        <v>0.66500000000000004</v>
      </c>
      <c r="Q139" s="108">
        <v>1.1579999999999999</v>
      </c>
      <c r="R139" s="108">
        <v>1.522</v>
      </c>
      <c r="S139" s="108">
        <v>0.30299999999999999</v>
      </c>
      <c r="T139" s="108">
        <v>-6.3419999999999996</v>
      </c>
      <c r="U139" s="108">
        <v>4.9130000000000003</v>
      </c>
      <c r="V139" s="108">
        <v>2.0419999999999998</v>
      </c>
      <c r="W139" s="109">
        <f t="shared" ref="W139:W165" si="2">AVERAGE(D139,E139)</f>
        <v>2.0053433544621524</v>
      </c>
    </row>
    <row r="140" spans="1:23" x14ac:dyDescent="0.3">
      <c r="A140" s="106" t="s">
        <v>42</v>
      </c>
      <c r="B140" s="106" t="s">
        <v>518</v>
      </c>
      <c r="C140" s="107">
        <v>-0.43793400391870518</v>
      </c>
      <c r="D140" s="108">
        <v>0.55931383652465527</v>
      </c>
      <c r="E140" s="108">
        <v>1.23940470018431</v>
      </c>
      <c r="G140" s="110" t="s">
        <v>415</v>
      </c>
      <c r="H140" s="111">
        <v>90.367632171249966</v>
      </c>
      <c r="I140" s="112">
        <v>27</v>
      </c>
      <c r="J140" s="112">
        <v>17</v>
      </c>
      <c r="K140" s="115"/>
      <c r="L140" s="107">
        <v>-2.9594413017355699</v>
      </c>
      <c r="M140" s="108">
        <v>-1.4353942591932869</v>
      </c>
      <c r="N140" s="108">
        <v>1.3839079426702983</v>
      </c>
      <c r="O140" s="108">
        <v>3.8370000000000002</v>
      </c>
      <c r="P140" s="108">
        <v>3.0379999999999998</v>
      </c>
      <c r="Q140" s="108">
        <v>2.9769999999999999</v>
      </c>
      <c r="R140" s="108">
        <v>2.2829999999999999</v>
      </c>
      <c r="S140" s="108">
        <v>1.9830000000000001</v>
      </c>
      <c r="T140" s="108">
        <v>-11.324999999999999</v>
      </c>
      <c r="U140" s="108">
        <v>5.5220000000000002</v>
      </c>
      <c r="V140" s="108">
        <v>5.4749999999999996</v>
      </c>
      <c r="W140" s="109">
        <f t="shared" si="2"/>
        <v>0.89935926835448265</v>
      </c>
    </row>
    <row r="141" spans="1:23" x14ac:dyDescent="0.3">
      <c r="A141" s="106" t="s">
        <v>402</v>
      </c>
      <c r="B141" s="106" t="s">
        <v>519</v>
      </c>
      <c r="C141" s="107">
        <v>-3.0583991155611168</v>
      </c>
      <c r="D141" s="108">
        <v>7.8407546755454582E-2</v>
      </c>
      <c r="E141" s="108">
        <v>2.1593525209882225</v>
      </c>
      <c r="G141" s="110" t="s">
        <v>406</v>
      </c>
      <c r="H141" s="111">
        <v>73.00518117550061</v>
      </c>
      <c r="I141" s="112">
        <v>76</v>
      </c>
      <c r="J141" s="112">
        <v>13</v>
      </c>
      <c r="K141" s="115"/>
      <c r="L141" s="107">
        <v>9.1445722464256534</v>
      </c>
      <c r="M141" s="108">
        <v>3.3957326498342781</v>
      </c>
      <c r="N141" s="108">
        <v>4.960700591697301</v>
      </c>
      <c r="O141" s="108">
        <v>4.2060000000000004</v>
      </c>
      <c r="P141" s="108">
        <v>5.0540000000000003</v>
      </c>
      <c r="Q141" s="108">
        <v>6.4610000000000003</v>
      </c>
      <c r="R141" s="108">
        <v>2.31</v>
      </c>
      <c r="S141" s="108">
        <v>-0.22</v>
      </c>
      <c r="T141" s="108">
        <v>-3.472</v>
      </c>
      <c r="U141" s="108">
        <v>3.327</v>
      </c>
      <c r="V141" s="108">
        <v>-8.6590000000000007</v>
      </c>
      <c r="W141" s="109">
        <f t="shared" si="2"/>
        <v>1.1188800338718385</v>
      </c>
    </row>
    <row r="142" spans="1:23" x14ac:dyDescent="0.3">
      <c r="A142" s="106" t="s">
        <v>407</v>
      </c>
      <c r="B142" s="106" t="s">
        <v>520</v>
      </c>
      <c r="C142" s="107">
        <v>-2.6688383810210325</v>
      </c>
      <c r="D142" s="108">
        <v>-1.5401833642449736</v>
      </c>
      <c r="E142" s="108">
        <v>1.2842213840550842</v>
      </c>
      <c r="G142" s="110" t="s">
        <v>404</v>
      </c>
      <c r="H142" s="111">
        <v>29.302112762792021</v>
      </c>
      <c r="I142" s="112">
        <v>156</v>
      </c>
      <c r="J142" s="112">
        <v>47</v>
      </c>
      <c r="K142" s="115"/>
      <c r="L142" s="107">
        <v>-1.4398357186292348</v>
      </c>
      <c r="M142" s="108">
        <v>4.3946958327458523</v>
      </c>
      <c r="N142" s="108">
        <v>2.6794256681504725</v>
      </c>
      <c r="O142" s="108">
        <v>4.9059999999999997</v>
      </c>
      <c r="P142" s="108">
        <v>4.7</v>
      </c>
      <c r="Q142" s="108">
        <v>0.76800000000000002</v>
      </c>
      <c r="R142" s="108">
        <v>-2.29</v>
      </c>
      <c r="S142" s="108">
        <v>-2.5</v>
      </c>
      <c r="T142" s="108">
        <v>-3.63</v>
      </c>
      <c r="U142" s="108">
        <v>0.5</v>
      </c>
      <c r="V142" s="108">
        <v>-2.5</v>
      </c>
      <c r="W142" s="109">
        <f t="shared" si="2"/>
        <v>-0.12798099009494468</v>
      </c>
    </row>
    <row r="143" spans="1:23" x14ac:dyDescent="0.3">
      <c r="A143" s="106" t="s">
        <v>411</v>
      </c>
      <c r="B143" s="106" t="s">
        <v>521</v>
      </c>
      <c r="C143" s="107">
        <v>-6.0912921553037958</v>
      </c>
      <c r="D143" s="108">
        <v>-2.539464764773447</v>
      </c>
      <c r="E143" s="108">
        <v>-1.6533032843941364</v>
      </c>
      <c r="G143" s="110" t="s">
        <v>406</v>
      </c>
      <c r="H143" s="111">
        <v>69.385821977853183</v>
      </c>
      <c r="I143" s="112">
        <v>92</v>
      </c>
      <c r="J143" s="112">
        <v>12</v>
      </c>
      <c r="K143" s="115"/>
      <c r="L143" s="107">
        <v>2.6903497466884523</v>
      </c>
      <c r="M143" s="108">
        <v>2.9334416518612043</v>
      </c>
      <c r="N143" s="108">
        <v>0.25550303164546423</v>
      </c>
      <c r="O143" s="108">
        <v>-3.4140000000000001</v>
      </c>
      <c r="P143" s="108">
        <v>-4.9119999999999999</v>
      </c>
      <c r="Q143" s="108">
        <v>1.5660000000000001</v>
      </c>
      <c r="R143" s="108">
        <v>4.9480000000000004</v>
      </c>
      <c r="S143" s="108">
        <v>1.0980000000000001</v>
      </c>
      <c r="T143" s="108">
        <v>-15.906000000000001</v>
      </c>
      <c r="U143" s="108">
        <v>-2.742</v>
      </c>
      <c r="V143" s="108">
        <v>1.3280000000000001</v>
      </c>
      <c r="W143" s="109">
        <f t="shared" si="2"/>
        <v>-2.0963840245837915</v>
      </c>
    </row>
    <row r="144" spans="1:23" x14ac:dyDescent="0.3">
      <c r="A144" s="106" t="s">
        <v>42</v>
      </c>
      <c r="B144" s="106" t="s">
        <v>83</v>
      </c>
      <c r="C144" s="107">
        <v>1.8041121232050594</v>
      </c>
      <c r="D144" s="108">
        <v>1.5622302939160004</v>
      </c>
      <c r="E144" s="108">
        <v>2.0743232215396867</v>
      </c>
      <c r="G144" s="110" t="s">
        <v>415</v>
      </c>
      <c r="H144" s="111">
        <v>96.904206369440487</v>
      </c>
      <c r="I144" s="112">
        <v>7</v>
      </c>
      <c r="J144" s="112">
        <v>5</v>
      </c>
      <c r="K144" s="115"/>
      <c r="L144" s="107">
        <v>-0.58830456899072281</v>
      </c>
      <c r="M144" s="108">
        <v>1.1877757159060018</v>
      </c>
      <c r="N144" s="108">
        <v>2.6577982753164227</v>
      </c>
      <c r="O144" s="108">
        <v>4.4889999999999999</v>
      </c>
      <c r="P144" s="108">
        <v>2.0710000000000002</v>
      </c>
      <c r="Q144" s="108">
        <v>2.5680000000000001</v>
      </c>
      <c r="R144" s="108">
        <v>1.95</v>
      </c>
      <c r="S144" s="108">
        <v>1.986</v>
      </c>
      <c r="T144" s="108">
        <v>-2.17</v>
      </c>
      <c r="U144" s="108">
        <v>5.3860000000000001</v>
      </c>
      <c r="V144" s="108">
        <v>2.6419999999999999</v>
      </c>
      <c r="W144" s="109">
        <f t="shared" si="2"/>
        <v>1.8182767577278436</v>
      </c>
    </row>
    <row r="145" spans="1:23" x14ac:dyDescent="0.3">
      <c r="A145" s="106" t="s">
        <v>42</v>
      </c>
      <c r="B145" s="106" t="s">
        <v>84</v>
      </c>
      <c r="C145" s="107">
        <v>1.2890197152698013</v>
      </c>
      <c r="D145" s="108">
        <v>2.1594279609995271</v>
      </c>
      <c r="E145" s="108">
        <v>1.9949438623463989</v>
      </c>
      <c r="G145" s="110" t="s">
        <v>415</v>
      </c>
      <c r="H145" s="111">
        <v>98.385388118004073</v>
      </c>
      <c r="I145" s="112">
        <v>2</v>
      </c>
      <c r="J145" s="112">
        <v>1</v>
      </c>
      <c r="K145" s="115"/>
      <c r="L145" s="107">
        <v>1.0060240943135659</v>
      </c>
      <c r="M145" s="108">
        <v>1.852039766494749</v>
      </c>
      <c r="N145" s="108">
        <v>2.4492180871562819</v>
      </c>
      <c r="O145" s="108">
        <v>1.59</v>
      </c>
      <c r="P145" s="108">
        <v>2.073</v>
      </c>
      <c r="Q145" s="108">
        <v>1.427</v>
      </c>
      <c r="R145" s="108">
        <v>2.867</v>
      </c>
      <c r="S145" s="108">
        <v>1.161</v>
      </c>
      <c r="T145" s="108">
        <v>-2.5070000000000001</v>
      </c>
      <c r="U145" s="108">
        <v>4.2210000000000001</v>
      </c>
      <c r="V145" s="108">
        <v>2.1339999999999999</v>
      </c>
      <c r="W145" s="109">
        <f t="shared" si="2"/>
        <v>2.077185911672963</v>
      </c>
    </row>
    <row r="146" spans="1:23" x14ac:dyDescent="0.3">
      <c r="A146" s="106" t="s">
        <v>402</v>
      </c>
      <c r="B146" s="106" t="s">
        <v>262</v>
      </c>
      <c r="C146" s="107">
        <v>4.1942484708972883</v>
      </c>
      <c r="D146" s="108">
        <v>3.7202264352869774</v>
      </c>
      <c r="E146" s="108">
        <v>3.3189477234561782</v>
      </c>
      <c r="G146" s="110" t="s">
        <v>406</v>
      </c>
      <c r="H146" s="111">
        <v>74.109663332036064</v>
      </c>
      <c r="I146" s="112">
        <v>72</v>
      </c>
      <c r="J146" s="112">
        <v>11</v>
      </c>
      <c r="K146" s="115"/>
      <c r="L146" s="107">
        <v>2.2704029453876053</v>
      </c>
      <c r="M146" s="108">
        <v>2.5430680885972134</v>
      </c>
      <c r="N146" s="108">
        <v>4.9538203190596066</v>
      </c>
      <c r="O146" s="108">
        <v>1.466</v>
      </c>
      <c r="P146" s="108">
        <v>2.165</v>
      </c>
      <c r="Q146" s="108">
        <v>3.3109999999999999</v>
      </c>
      <c r="R146" s="108">
        <v>2.7869999999999999</v>
      </c>
      <c r="S146" s="108">
        <v>3.0640000000000001</v>
      </c>
      <c r="T146" s="108">
        <v>3.387</v>
      </c>
      <c r="U146" s="108">
        <v>6.5279999999999996</v>
      </c>
      <c r="V146" s="108">
        <v>2.452</v>
      </c>
      <c r="W146" s="109">
        <f t="shared" si="2"/>
        <v>3.5195870793715778</v>
      </c>
    </row>
    <row r="147" spans="1:23" x14ac:dyDescent="0.3">
      <c r="A147" s="106" t="s">
        <v>402</v>
      </c>
      <c r="B147" s="106" t="s">
        <v>522</v>
      </c>
      <c r="C147" s="107">
        <v>7.1805428191797027</v>
      </c>
      <c r="D147" s="108">
        <v>7.3081795758255463</v>
      </c>
      <c r="E147" s="108">
        <v>7.0632908095879854</v>
      </c>
      <c r="G147" s="110" t="s">
        <v>413</v>
      </c>
      <c r="H147" s="111">
        <v>65.502149613905985</v>
      </c>
      <c r="I147" s="112">
        <v>113</v>
      </c>
      <c r="J147" s="112">
        <v>23</v>
      </c>
      <c r="K147" s="115"/>
      <c r="L147" s="107">
        <v>7.4999994632152305</v>
      </c>
      <c r="M147" s="108">
        <v>7.3999997470037826</v>
      </c>
      <c r="N147" s="108">
        <v>6.7000006901625362</v>
      </c>
      <c r="O147" s="108">
        <v>6</v>
      </c>
      <c r="P147" s="108">
        <v>6.9</v>
      </c>
      <c r="Q147" s="108">
        <v>7.1</v>
      </c>
      <c r="R147" s="108">
        <v>7.6</v>
      </c>
      <c r="S147" s="108">
        <v>7.4</v>
      </c>
      <c r="T147" s="108">
        <v>4.3899999999999997</v>
      </c>
      <c r="U147" s="108">
        <v>9.4</v>
      </c>
      <c r="V147" s="108">
        <v>8</v>
      </c>
      <c r="W147" s="109">
        <f t="shared" si="2"/>
        <v>7.1857351927067654</v>
      </c>
    </row>
    <row r="148" spans="1:23" x14ac:dyDescent="0.3">
      <c r="A148" s="106" t="s">
        <v>407</v>
      </c>
      <c r="B148" s="106" t="s">
        <v>523</v>
      </c>
      <c r="C148" s="107">
        <v>3.6476767570704727</v>
      </c>
      <c r="D148" s="108">
        <v>4.4330707554891102</v>
      </c>
      <c r="E148" s="108">
        <v>5.5432278987954442</v>
      </c>
      <c r="G148" s="110" t="s">
        <v>413</v>
      </c>
      <c r="H148" s="111">
        <v>68.134404341049418</v>
      </c>
      <c r="I148" s="112">
        <v>101</v>
      </c>
      <c r="J148" s="112">
        <v>21</v>
      </c>
      <c r="K148" s="115"/>
      <c r="L148" s="107">
        <v>4.500153559821273</v>
      </c>
      <c r="M148" s="108">
        <v>6.7815856006531599</v>
      </c>
      <c r="N148" s="108">
        <v>6.732461868324811</v>
      </c>
      <c r="O148" s="108">
        <v>6.1609999999999996</v>
      </c>
      <c r="P148" s="108">
        <v>6.867</v>
      </c>
      <c r="Q148" s="108">
        <v>6.7729999999999997</v>
      </c>
      <c r="R148" s="108">
        <v>6.9589999999999996</v>
      </c>
      <c r="S148" s="108">
        <v>6.9889999999999999</v>
      </c>
      <c r="T148" s="108">
        <v>4.8159999999999998</v>
      </c>
      <c r="U148" s="108">
        <v>4.9470000000000001</v>
      </c>
      <c r="V148" s="108">
        <v>4.6879999999999997</v>
      </c>
      <c r="W148" s="109">
        <f t="shared" si="2"/>
        <v>4.9881493271422777</v>
      </c>
    </row>
    <row r="149" spans="1:23" x14ac:dyDescent="0.3">
      <c r="A149" s="106" t="s">
        <v>402</v>
      </c>
      <c r="B149" s="106" t="s">
        <v>294</v>
      </c>
      <c r="C149" s="107">
        <v>-0.75178730142027028</v>
      </c>
      <c r="D149" s="108">
        <v>0.80617945124625834</v>
      </c>
      <c r="E149" s="108">
        <v>1.8254251122560072</v>
      </c>
      <c r="G149" s="110" t="s">
        <v>413</v>
      </c>
      <c r="H149" s="111">
        <v>67.301316099527455</v>
      </c>
      <c r="I149" s="112">
        <v>104</v>
      </c>
      <c r="J149" s="112">
        <v>19</v>
      </c>
      <c r="K149" s="115"/>
      <c r="L149" s="107">
        <v>7.2427962024964359</v>
      </c>
      <c r="M149" s="108">
        <v>2.6874955632055553</v>
      </c>
      <c r="N149" s="108">
        <v>0.98442510993386245</v>
      </c>
      <c r="O149" s="108">
        <v>3.1339999999999999</v>
      </c>
      <c r="P149" s="108">
        <v>3.4350000000000001</v>
      </c>
      <c r="Q149" s="108">
        <v>4.1779999999999999</v>
      </c>
      <c r="R149" s="108">
        <v>4.2229999999999999</v>
      </c>
      <c r="S149" s="108">
        <v>2.1150000000000002</v>
      </c>
      <c r="T149" s="108">
        <v>-6.1609999999999996</v>
      </c>
      <c r="U149" s="108">
        <v>1.5629999999999999</v>
      </c>
      <c r="V149" s="108">
        <v>2.6440000000000001</v>
      </c>
      <c r="W149" s="109">
        <f t="shared" si="2"/>
        <v>1.3158022817511328</v>
      </c>
    </row>
    <row r="150" spans="1:23" x14ac:dyDescent="0.3">
      <c r="A150" s="106" t="s">
        <v>407</v>
      </c>
      <c r="B150" s="106" t="s">
        <v>524</v>
      </c>
      <c r="C150" s="107">
        <v>4.1237007551626403</v>
      </c>
      <c r="D150" s="108">
        <v>4.5599643087248731</v>
      </c>
      <c r="E150" s="108">
        <v>5.0461931715429786</v>
      </c>
      <c r="G150" s="110" t="s">
        <v>406</v>
      </c>
      <c r="H150" s="111">
        <v>71.06383353175876</v>
      </c>
      <c r="I150" s="112">
        <v>84</v>
      </c>
      <c r="J150" s="112">
        <v>12</v>
      </c>
      <c r="K150" s="115"/>
      <c r="L150" s="107">
        <v>6.543507029266066</v>
      </c>
      <c r="M150" s="108">
        <v>6.1123430766482372</v>
      </c>
      <c r="N150" s="108">
        <v>5.9205885732303445</v>
      </c>
      <c r="O150" s="108">
        <v>5.74</v>
      </c>
      <c r="P150" s="108">
        <v>5.6</v>
      </c>
      <c r="Q150" s="108">
        <v>4.3479999999999999</v>
      </c>
      <c r="R150" s="108">
        <v>4.9669999999999996</v>
      </c>
      <c r="S150" s="108">
        <v>5.4640000000000004</v>
      </c>
      <c r="T150" s="108">
        <v>1.758</v>
      </c>
      <c r="U150" s="108">
        <v>5.2590000000000003</v>
      </c>
      <c r="V150" s="108">
        <v>5.399</v>
      </c>
      <c r="W150" s="109">
        <f t="shared" si="2"/>
        <v>4.8030787401339259</v>
      </c>
    </row>
    <row r="151" spans="1:23" x14ac:dyDescent="0.3">
      <c r="A151" s="106" t="s">
        <v>411</v>
      </c>
      <c r="B151" s="106" t="s">
        <v>525</v>
      </c>
      <c r="C151" s="107">
        <v>-2.1662761553291388</v>
      </c>
      <c r="D151" s="108">
        <v>-0.32249691451342599</v>
      </c>
      <c r="E151" s="108">
        <v>-0.73360970360328848</v>
      </c>
      <c r="G151" s="110" t="s">
        <v>413</v>
      </c>
      <c r="H151" s="111">
        <v>65.576173252463747</v>
      </c>
      <c r="I151" s="112">
        <v>112</v>
      </c>
      <c r="J151" s="112">
        <v>14</v>
      </c>
      <c r="K151" s="115"/>
      <c r="L151" s="107">
        <v>1.2699643652024184</v>
      </c>
      <c r="M151" s="108">
        <v>2.2290748047658071</v>
      </c>
      <c r="N151" s="108">
        <v>-0.91254496880826241</v>
      </c>
      <c r="O151" s="108">
        <v>-0.75600000000000001</v>
      </c>
      <c r="P151" s="108">
        <v>-6.7640000000000002</v>
      </c>
      <c r="Q151" s="108">
        <v>-4.7069999999999999</v>
      </c>
      <c r="R151" s="108">
        <v>-0.871</v>
      </c>
      <c r="S151" s="108">
        <v>0.11</v>
      </c>
      <c r="T151" s="108">
        <v>-7.6779999999999999</v>
      </c>
      <c r="U151" s="108">
        <v>-1.0269999999999999</v>
      </c>
      <c r="V151" s="108">
        <v>2.4809999999999999</v>
      </c>
      <c r="W151" s="109">
        <f t="shared" si="2"/>
        <v>-0.52805330905835723</v>
      </c>
    </row>
    <row r="152" spans="1:23" x14ac:dyDescent="0.3">
      <c r="A152" s="106" t="s">
        <v>407</v>
      </c>
      <c r="B152" s="106" t="s">
        <v>526</v>
      </c>
      <c r="C152" s="107">
        <v>-0.76139414796470017</v>
      </c>
      <c r="D152" s="108">
        <v>1.515468696628397</v>
      </c>
      <c r="E152" s="108">
        <v>1.7677168413122724</v>
      </c>
      <c r="G152" s="110" t="s">
        <v>413</v>
      </c>
      <c r="H152" s="111">
        <v>68.074683718311135</v>
      </c>
      <c r="I152" s="112">
        <v>102</v>
      </c>
      <c r="J152" s="112">
        <v>22</v>
      </c>
      <c r="K152" s="115"/>
      <c r="L152" s="107">
        <v>3.9976740023093633</v>
      </c>
      <c r="M152" s="108">
        <v>2.8755238423073424</v>
      </c>
      <c r="N152" s="108">
        <v>2.9713983451090038</v>
      </c>
      <c r="O152" s="108">
        <v>0.96799999999999997</v>
      </c>
      <c r="P152" s="108">
        <v>1.117</v>
      </c>
      <c r="Q152" s="108">
        <v>2.238</v>
      </c>
      <c r="R152" s="108">
        <v>2.625</v>
      </c>
      <c r="S152" s="108">
        <v>1.5880000000000001</v>
      </c>
      <c r="T152" s="108">
        <v>-8.8179999999999996</v>
      </c>
      <c r="U152" s="108">
        <v>4.4050000000000002</v>
      </c>
      <c r="V152" s="108">
        <v>2.5219999999999998</v>
      </c>
      <c r="W152" s="109">
        <f t="shared" si="2"/>
        <v>1.6415927689703347</v>
      </c>
    </row>
    <row r="153" spans="1:23" x14ac:dyDescent="0.3">
      <c r="A153" s="106" t="s">
        <v>419</v>
      </c>
      <c r="B153" s="106" t="s">
        <v>298</v>
      </c>
      <c r="C153" s="107">
        <v>6.2162334826369348</v>
      </c>
      <c r="D153" s="108">
        <v>4.4468380199269797</v>
      </c>
      <c r="E153" s="108">
        <v>5.2521474880545149</v>
      </c>
      <c r="G153" s="110" t="s">
        <v>409</v>
      </c>
      <c r="H153" s="111">
        <v>79.725975588542326</v>
      </c>
      <c r="I153" s="112">
        <v>49</v>
      </c>
      <c r="J153" s="112">
        <v>4</v>
      </c>
      <c r="K153" s="115"/>
      <c r="L153" s="107">
        <v>4.7899402070344061</v>
      </c>
      <c r="M153" s="108">
        <v>8.4913093926863557</v>
      </c>
      <c r="N153" s="108">
        <v>5.1666907030455222</v>
      </c>
      <c r="O153" s="108">
        <v>6.0839999999999996</v>
      </c>
      <c r="P153" s="108">
        <v>3.323</v>
      </c>
      <c r="Q153" s="108">
        <v>7.5019999999999998</v>
      </c>
      <c r="R153" s="108">
        <v>2.98</v>
      </c>
      <c r="S153" s="108">
        <v>0.78400000000000003</v>
      </c>
      <c r="T153" s="108">
        <v>1.94</v>
      </c>
      <c r="U153" s="108">
        <v>11.353</v>
      </c>
      <c r="V153" s="108">
        <v>5.5659999999999998</v>
      </c>
      <c r="W153" s="109">
        <f t="shared" si="2"/>
        <v>4.8494927539907469</v>
      </c>
    </row>
    <row r="154" spans="1:23" x14ac:dyDescent="0.3">
      <c r="A154" s="106" t="s">
        <v>402</v>
      </c>
      <c r="B154" s="106" t="s">
        <v>527</v>
      </c>
      <c r="C154" s="107">
        <v>5.7825311290508274</v>
      </c>
      <c r="D154" s="108">
        <v>5.9692666570670072</v>
      </c>
      <c r="E154" s="108">
        <v>6.9419375690879193</v>
      </c>
      <c r="G154" s="110" t="s">
        <v>406</v>
      </c>
      <c r="H154" s="111">
        <v>73.971445285212496</v>
      </c>
      <c r="I154" s="112">
        <v>74</v>
      </c>
      <c r="J154" s="112">
        <v>12</v>
      </c>
      <c r="K154" s="115"/>
      <c r="L154" s="107">
        <v>11.099999961554488</v>
      </c>
      <c r="M154" s="108">
        <v>10.200000101398992</v>
      </c>
      <c r="N154" s="108">
        <v>10.299999970545908</v>
      </c>
      <c r="O154" s="108">
        <v>2.9860000000000002</v>
      </c>
      <c r="P154" s="108">
        <v>-0.97699999999999998</v>
      </c>
      <c r="Q154" s="108">
        <v>4.7069999999999999</v>
      </c>
      <c r="R154" s="108">
        <v>0.88200000000000001</v>
      </c>
      <c r="S154" s="108">
        <v>-3.3889999999999998</v>
      </c>
      <c r="T154" s="108">
        <v>-2.9369999999999998</v>
      </c>
      <c r="U154" s="108">
        <v>4.62</v>
      </c>
      <c r="V154" s="108">
        <v>1.7889999999999999</v>
      </c>
      <c r="W154" s="109">
        <f t="shared" si="2"/>
        <v>6.4556021130774628</v>
      </c>
    </row>
    <row r="155" spans="1:23" x14ac:dyDescent="0.3">
      <c r="A155" s="106" t="s">
        <v>407</v>
      </c>
      <c r="B155" s="106" t="s">
        <v>528</v>
      </c>
      <c r="C155" s="107">
        <v>3.8036415692147996</v>
      </c>
      <c r="D155" s="108">
        <v>4.8231874950755982</v>
      </c>
      <c r="E155" s="108">
        <v>4.6664450945707259</v>
      </c>
      <c r="G155" s="110" t="s">
        <v>406</v>
      </c>
      <c r="H155" s="111">
        <v>69.556086736265442</v>
      </c>
      <c r="I155" s="112">
        <v>91</v>
      </c>
      <c r="J155" s="112">
        <v>14</v>
      </c>
      <c r="K155" s="115"/>
      <c r="L155" s="107">
        <v>3.8374556059033003</v>
      </c>
      <c r="M155" s="108">
        <v>3.586905826320109</v>
      </c>
      <c r="N155" s="108">
        <v>5.1063073243118193</v>
      </c>
      <c r="O155" s="108">
        <v>8.0060000000000002</v>
      </c>
      <c r="P155" s="108">
        <v>0.159</v>
      </c>
      <c r="Q155" s="108">
        <v>6.83</v>
      </c>
      <c r="R155" s="108">
        <v>5.5019999999999998</v>
      </c>
      <c r="S155" s="108">
        <v>7.782</v>
      </c>
      <c r="T155" s="108">
        <v>-1.3009999999999999</v>
      </c>
      <c r="U155" s="108">
        <v>6.0039999999999996</v>
      </c>
      <c r="V155" s="108">
        <v>4.9329999999999998</v>
      </c>
      <c r="W155" s="109">
        <f t="shared" si="2"/>
        <v>4.7448162948231616</v>
      </c>
    </row>
    <row r="156" spans="1:23" x14ac:dyDescent="0.3">
      <c r="A156" s="106" t="s">
        <v>42</v>
      </c>
      <c r="B156" s="106" t="s">
        <v>529</v>
      </c>
      <c r="C156" s="107">
        <v>-11.461901799668306</v>
      </c>
      <c r="D156" s="108">
        <v>-5.8295559101049328</v>
      </c>
      <c r="E156" s="108">
        <v>-4.15839598326132</v>
      </c>
      <c r="G156" s="110" t="s">
        <v>406</v>
      </c>
      <c r="H156" s="111">
        <v>74.079326507080765</v>
      </c>
      <c r="I156" s="112">
        <v>73</v>
      </c>
      <c r="J156" s="112">
        <v>39</v>
      </c>
      <c r="K156" s="115"/>
      <c r="L156" s="107">
        <v>0.23868172076808841</v>
      </c>
      <c r="M156" s="108">
        <v>-2.66978900718703E-2</v>
      </c>
      <c r="N156" s="108">
        <v>-6.5526312936576572</v>
      </c>
      <c r="O156" s="108">
        <v>-9.7880000000000003</v>
      </c>
      <c r="P156" s="108">
        <v>2.4169999999999998</v>
      </c>
      <c r="Q156" s="108">
        <v>2.36</v>
      </c>
      <c r="R156" s="108">
        <v>3.488</v>
      </c>
      <c r="S156" s="108">
        <v>3.1989999999999998</v>
      </c>
      <c r="T156" s="108">
        <v>-3.7530000000000001</v>
      </c>
      <c r="U156" s="108">
        <v>3.3530000000000002</v>
      </c>
      <c r="V156" s="108">
        <v>-30.26</v>
      </c>
      <c r="W156" s="109">
        <f t="shared" si="2"/>
        <v>-4.9939759466831264</v>
      </c>
    </row>
    <row r="157" spans="1:23" x14ac:dyDescent="0.3">
      <c r="A157" s="106" t="s">
        <v>419</v>
      </c>
      <c r="B157" s="106" t="s">
        <v>302</v>
      </c>
      <c r="C157" s="107">
        <v>1.9883983839421138</v>
      </c>
      <c r="D157" s="108">
        <v>1.9344501122165347</v>
      </c>
      <c r="E157" s="108">
        <v>2.9471413005852209</v>
      </c>
      <c r="G157" s="110" t="s">
        <v>415</v>
      </c>
      <c r="H157" s="111">
        <v>91.971735408895199</v>
      </c>
      <c r="I157" s="112">
        <v>22</v>
      </c>
      <c r="J157" s="112">
        <v>1</v>
      </c>
      <c r="K157" s="115"/>
      <c r="L157" s="107">
        <v>4.4846260849086921</v>
      </c>
      <c r="M157" s="108">
        <v>5.0533458252665762</v>
      </c>
      <c r="N157" s="108">
        <v>4.2843036857947956</v>
      </c>
      <c r="O157" s="108">
        <v>6.7869999999999999</v>
      </c>
      <c r="P157" s="108">
        <v>5.5609999999999999</v>
      </c>
      <c r="Q157" s="108">
        <v>0.73499999999999999</v>
      </c>
      <c r="R157" s="108">
        <v>1.3140000000000001</v>
      </c>
      <c r="S157" s="108">
        <v>1.1080000000000001</v>
      </c>
      <c r="T157" s="108">
        <v>-4.9569999999999999</v>
      </c>
      <c r="U157" s="108">
        <v>3.9159999999999999</v>
      </c>
      <c r="V157" s="108">
        <v>7.4109999999999996</v>
      </c>
      <c r="W157" s="109">
        <f t="shared" si="2"/>
        <v>2.4407957064008778</v>
      </c>
    </row>
    <row r="158" spans="1:23" x14ac:dyDescent="0.3">
      <c r="A158" s="106" t="s">
        <v>42</v>
      </c>
      <c r="B158" s="106" t="s">
        <v>85</v>
      </c>
      <c r="C158" s="107">
        <v>-0.15570963242206304</v>
      </c>
      <c r="D158" s="108">
        <v>0.73784192060712961</v>
      </c>
      <c r="E158" s="108">
        <v>1.4574433295258649</v>
      </c>
      <c r="G158" s="110" t="s">
        <v>415</v>
      </c>
      <c r="H158" s="111">
        <v>95.869504572225566</v>
      </c>
      <c r="I158" s="112">
        <v>16</v>
      </c>
      <c r="J158" s="112">
        <v>11</v>
      </c>
      <c r="K158" s="115"/>
      <c r="L158" s="107">
        <v>1.4789239471568232</v>
      </c>
      <c r="M158" s="108">
        <v>2.1394857010831609</v>
      </c>
      <c r="N158" s="108">
        <v>2.6074759063105102</v>
      </c>
      <c r="O158" s="108">
        <v>2.3929999999999998</v>
      </c>
      <c r="P158" s="108">
        <v>2.165</v>
      </c>
      <c r="Q158" s="108">
        <v>2.444</v>
      </c>
      <c r="R158" s="108">
        <v>1.7050000000000001</v>
      </c>
      <c r="S158" s="108">
        <v>1.6040000000000001</v>
      </c>
      <c r="T158" s="108">
        <v>-11.031000000000001</v>
      </c>
      <c r="U158" s="108">
        <v>7.5970000000000004</v>
      </c>
      <c r="V158" s="108">
        <v>4.0449999999999999</v>
      </c>
      <c r="W158" s="109">
        <f t="shared" si="2"/>
        <v>1.0976426250664972</v>
      </c>
    </row>
    <row r="159" spans="1:23" x14ac:dyDescent="0.3">
      <c r="A159" s="106" t="s">
        <v>411</v>
      </c>
      <c r="B159" s="106" t="s">
        <v>86</v>
      </c>
      <c r="C159" s="107">
        <v>1.6858959431595322</v>
      </c>
      <c r="D159" s="108">
        <v>2.0522235488571683</v>
      </c>
      <c r="E159" s="108">
        <v>2.1214909700318696</v>
      </c>
      <c r="G159" s="110" t="s">
        <v>415</v>
      </c>
      <c r="H159" s="111">
        <v>95.916666666666671</v>
      </c>
      <c r="I159" s="112">
        <v>14</v>
      </c>
      <c r="J159" s="112">
        <v>1</v>
      </c>
      <c r="K159" s="115"/>
      <c r="L159" s="107">
        <v>2.249545852369943</v>
      </c>
      <c r="M159" s="108">
        <v>1.8420810710110016</v>
      </c>
      <c r="N159" s="108">
        <v>2.4519730353603584</v>
      </c>
      <c r="O159" s="108">
        <v>2.7069999999999999</v>
      </c>
      <c r="P159" s="108">
        <v>1.6679999999999999</v>
      </c>
      <c r="Q159" s="108">
        <v>2.242</v>
      </c>
      <c r="R159" s="108">
        <v>2.9449999999999998</v>
      </c>
      <c r="S159" s="108">
        <v>2.2949999999999999</v>
      </c>
      <c r="T159" s="108">
        <v>-2.7679999999999998</v>
      </c>
      <c r="U159" s="108">
        <v>5.9470000000000001</v>
      </c>
      <c r="V159" s="108">
        <v>2.0680000000000001</v>
      </c>
      <c r="W159" s="109">
        <f t="shared" si="2"/>
        <v>2.0868572594445189</v>
      </c>
    </row>
    <row r="160" spans="1:23" x14ac:dyDescent="0.3">
      <c r="A160" s="106" t="s">
        <v>411</v>
      </c>
      <c r="B160" s="106" t="s">
        <v>530</v>
      </c>
      <c r="C160" s="107">
        <v>0.91343850289404838</v>
      </c>
      <c r="D160" s="108">
        <v>2.2569945604846264</v>
      </c>
      <c r="E160" s="108">
        <v>2.3762166744240032</v>
      </c>
      <c r="G160" s="110" t="s">
        <v>409</v>
      </c>
      <c r="H160" s="111">
        <v>81.172173305315454</v>
      </c>
      <c r="I160" s="112">
        <v>43</v>
      </c>
      <c r="J160" s="112">
        <v>5</v>
      </c>
      <c r="K160" s="115"/>
      <c r="L160" s="107">
        <v>3.5381787068568795</v>
      </c>
      <c r="M160" s="108">
        <v>4.6375386431141186</v>
      </c>
      <c r="N160" s="108">
        <v>3.2387912162160193</v>
      </c>
      <c r="O160" s="108">
        <v>0.371</v>
      </c>
      <c r="P160" s="108">
        <v>1.69</v>
      </c>
      <c r="Q160" s="108">
        <v>1.6279999999999999</v>
      </c>
      <c r="R160" s="108">
        <v>0.47799999999999998</v>
      </c>
      <c r="S160" s="108">
        <v>0.35</v>
      </c>
      <c r="T160" s="108">
        <v>-6.1150000000000002</v>
      </c>
      <c r="U160" s="108">
        <v>4.4020000000000001</v>
      </c>
      <c r="V160" s="108">
        <v>4.8860000000000001</v>
      </c>
      <c r="W160" s="109">
        <f t="shared" si="2"/>
        <v>2.3166056174543148</v>
      </c>
    </row>
    <row r="161" spans="1:23" x14ac:dyDescent="0.3">
      <c r="A161" s="106" t="s">
        <v>402</v>
      </c>
      <c r="B161" s="106" t="s">
        <v>531</v>
      </c>
      <c r="C161" s="107">
        <v>4.966226080132774</v>
      </c>
      <c r="D161" s="108">
        <v>5.1922367720162121</v>
      </c>
      <c r="E161" s="108">
        <v>5.7634254597189516</v>
      </c>
      <c r="G161" s="110" t="s">
        <v>413</v>
      </c>
      <c r="H161" s="111">
        <v>68.759088115548678</v>
      </c>
      <c r="I161" s="112">
        <v>99</v>
      </c>
      <c r="J161" s="112">
        <v>18</v>
      </c>
      <c r="K161" s="115"/>
      <c r="L161" s="107">
        <v>7.1024448870695505</v>
      </c>
      <c r="M161" s="108">
        <v>7.2965503696402285</v>
      </c>
      <c r="N161" s="108">
        <v>6.8738384408295845</v>
      </c>
      <c r="O161" s="108">
        <v>7.2190000000000003</v>
      </c>
      <c r="P161" s="108">
        <v>5.9320000000000004</v>
      </c>
      <c r="Q161" s="108">
        <v>4.3949999999999996</v>
      </c>
      <c r="R161" s="108">
        <v>5.88</v>
      </c>
      <c r="S161" s="108">
        <v>5.9820000000000002</v>
      </c>
      <c r="T161" s="108">
        <v>1.996</v>
      </c>
      <c r="U161" s="108">
        <v>7.4029999999999996</v>
      </c>
      <c r="V161" s="108">
        <v>5.6689999999999996</v>
      </c>
      <c r="W161" s="109">
        <f t="shared" si="2"/>
        <v>5.4778311158675823</v>
      </c>
    </row>
    <row r="162" spans="1:23" x14ac:dyDescent="0.3">
      <c r="A162" s="106" t="s">
        <v>402</v>
      </c>
      <c r="B162" s="106" t="s">
        <v>306</v>
      </c>
      <c r="C162" s="107">
        <v>6.367284609117374</v>
      </c>
      <c r="D162" s="108">
        <v>8.0753375154714711</v>
      </c>
      <c r="E162" s="108">
        <v>8.6445538917790046</v>
      </c>
      <c r="G162" s="110" t="s">
        <v>413</v>
      </c>
      <c r="H162" s="111">
        <v>62.623537935388953</v>
      </c>
      <c r="I162" s="112">
        <v>120</v>
      </c>
      <c r="J162" s="112">
        <v>24</v>
      </c>
      <c r="K162" s="115"/>
      <c r="L162" s="107">
        <v>12.410056463111571</v>
      </c>
      <c r="M162" s="108">
        <v>7.2891294784445284</v>
      </c>
      <c r="N162" s="108">
        <v>9.6841913021478785</v>
      </c>
      <c r="O162" s="108">
        <v>6.9870000000000001</v>
      </c>
      <c r="P162" s="108">
        <v>6.69</v>
      </c>
      <c r="Q162" s="108">
        <v>6.94</v>
      </c>
      <c r="R162" s="108">
        <v>7.4649999999999999</v>
      </c>
      <c r="S162" s="108">
        <v>7.359</v>
      </c>
      <c r="T162" s="108">
        <v>2.867</v>
      </c>
      <c r="U162" s="108">
        <v>2.5619999999999998</v>
      </c>
      <c r="V162" s="108">
        <v>8.0180000000000007</v>
      </c>
      <c r="W162" s="109">
        <f t="shared" si="2"/>
        <v>8.3599457036252378</v>
      </c>
    </row>
    <row r="163" spans="1:23" x14ac:dyDescent="0.3">
      <c r="A163" s="106" t="s">
        <v>419</v>
      </c>
      <c r="B163" s="106" t="s">
        <v>532</v>
      </c>
      <c r="C163" s="107">
        <v>-1.1017371120758623</v>
      </c>
      <c r="D163" s="108">
        <v>-1.4008554823266794</v>
      </c>
      <c r="E163" s="108">
        <v>0.43888765074564517</v>
      </c>
      <c r="G163" s="110" t="s">
        <v>404</v>
      </c>
      <c r="H163" s="111">
        <v>44.737558430285063</v>
      </c>
      <c r="I163" s="112">
        <v>145</v>
      </c>
      <c r="J163" s="112">
        <v>11</v>
      </c>
      <c r="K163" s="115"/>
      <c r="L163" s="107">
        <v>16.665428768467855</v>
      </c>
      <c r="M163" s="108">
        <v>1.9894927620720551</v>
      </c>
      <c r="N163" s="108">
        <v>2.3769293269800476</v>
      </c>
      <c r="O163" s="108">
        <v>-27.995000000000001</v>
      </c>
      <c r="P163" s="108">
        <v>-9.375</v>
      </c>
      <c r="Q163" s="108">
        <v>-5.0720000000000001</v>
      </c>
      <c r="R163" s="108">
        <v>0.752</v>
      </c>
      <c r="S163" s="108">
        <v>1.4</v>
      </c>
      <c r="T163" s="108">
        <v>-8.5</v>
      </c>
      <c r="U163" s="108">
        <v>-1</v>
      </c>
      <c r="V163" s="108">
        <v>1.5</v>
      </c>
      <c r="W163" s="109">
        <f t="shared" si="2"/>
        <v>-0.48098391579051714</v>
      </c>
    </row>
    <row r="164" spans="1:23" x14ac:dyDescent="0.3">
      <c r="A164" s="106" t="s">
        <v>407</v>
      </c>
      <c r="B164" s="106" t="s">
        <v>533</v>
      </c>
      <c r="C164" s="107">
        <v>1.6991659105087376</v>
      </c>
      <c r="D164" s="108">
        <v>2.110140268966143</v>
      </c>
      <c r="E164" s="108">
        <v>3.0449788505192199</v>
      </c>
      <c r="G164" s="110" t="s">
        <v>413</v>
      </c>
      <c r="H164" s="111">
        <v>61.004320674622747</v>
      </c>
      <c r="I164" s="112">
        <v>124</v>
      </c>
      <c r="J164" s="112">
        <v>29</v>
      </c>
      <c r="K164" s="115"/>
      <c r="L164" s="107">
        <v>7.5975932105319126</v>
      </c>
      <c r="M164" s="108">
        <v>5.0572317397973361</v>
      </c>
      <c r="N164" s="108">
        <v>4.6979923625298614</v>
      </c>
      <c r="O164" s="108">
        <v>2.92</v>
      </c>
      <c r="P164" s="108">
        <v>3.7770000000000001</v>
      </c>
      <c r="Q164" s="108">
        <v>3.504</v>
      </c>
      <c r="R164" s="108">
        <v>4.0350000000000001</v>
      </c>
      <c r="S164" s="108">
        <v>1.4410000000000001</v>
      </c>
      <c r="T164" s="108">
        <v>-2.7850000000000001</v>
      </c>
      <c r="U164" s="108">
        <v>4.5990000000000002</v>
      </c>
      <c r="V164" s="108">
        <v>3.4409999999999998</v>
      </c>
      <c r="W164" s="109">
        <f t="shared" si="2"/>
        <v>2.5775595597426815</v>
      </c>
    </row>
    <row r="165" spans="1:23" x14ac:dyDescent="0.3">
      <c r="A165" s="106" t="s">
        <v>407</v>
      </c>
      <c r="B165" s="106" t="s">
        <v>534</v>
      </c>
      <c r="C165" s="107">
        <v>3.5464749905308901</v>
      </c>
      <c r="D165" s="108">
        <v>2.7818952866475843</v>
      </c>
      <c r="E165" s="108">
        <v>2.7261309103552733</v>
      </c>
      <c r="G165" s="110" t="s">
        <v>404</v>
      </c>
      <c r="H165" s="111">
        <v>55.033873809516088</v>
      </c>
      <c r="I165" s="112">
        <v>133</v>
      </c>
      <c r="J165" s="112">
        <v>33</v>
      </c>
      <c r="K165" s="115"/>
      <c r="L165" s="107">
        <v>17.615397198362849</v>
      </c>
      <c r="M165" s="108">
        <v>10.75800212279124</v>
      </c>
      <c r="N165" s="108">
        <v>3.9762602630956336</v>
      </c>
      <c r="O165" s="108">
        <v>1.794</v>
      </c>
      <c r="P165" s="108">
        <v>0.47799999999999998</v>
      </c>
      <c r="Q165" s="108">
        <v>4.9829999999999997</v>
      </c>
      <c r="R165" s="108">
        <v>4.7320000000000002</v>
      </c>
      <c r="S165" s="108">
        <v>-6.1219999999999999</v>
      </c>
      <c r="T165" s="108">
        <v>-7.8250000000000002</v>
      </c>
      <c r="U165" s="108">
        <v>8.4619999999999997</v>
      </c>
      <c r="V165" s="108">
        <v>3.0289999999999999</v>
      </c>
      <c r="W165" s="109">
        <f t="shared" si="2"/>
        <v>2.7540130985014288</v>
      </c>
    </row>
  </sheetData>
  <mergeCells count="3">
    <mergeCell ref="A7:B7"/>
    <mergeCell ref="C8:E8"/>
    <mergeCell ref="L8:V8"/>
  </mergeCells>
  <hyperlinks>
    <hyperlink ref="A1" location="Index!A1" display="Back to Index" xr:uid="{BD72B065-B346-415B-8952-46D6EDDA494C}"/>
    <hyperlink ref="A4" r:id="rId1" display="http://dev.worldeconomics.com/Concepts/World-Economics-GDP-Database/" xr:uid="{12E2DC52-269F-41A5-B56F-CF7FD9C47E9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07854870"><![CDATA[{"REFSAREPO-FDS^(SUBARRAY(NOT_NA(NO_REPEAT_F(FG_YIELD(NOW,-10AY,D))),0,1)-SUBARRAY(NOT_NA(NO_REPEAT_F(FG_YIELD(NOW,-10AY,D))),1,1))*100":25.0,"REFSAREPO-FDS^FG_YIELD(NOW,,,0)":6.0,"REFSAREPO-FDS^PROPER_NAME(0,,,\"SECURITY\",\"NAME\")":"Saudi Arabia Repo Rate","REFVNDISC-FDS^(SUBARRAY(NOT_NA(NO_REPEAT_F(FG_YIELD(NOW,-10AY,D))),0,1)-SUBARRAY(NOT_NA(NO_REPEAT_F(FG_YIELD(NOW,-10AY,D))),1,1))*100":-50.0,"REFVNDISC-FDS^FG_YIELD(NOW,,,0)":3.0,"REFVNDISC-FDS^PROPER_NAME(0,,,\"SECURITY\",\"NAME\")":"Vietnam Discount Rate","REFAEREPO-FDS^(SUBARRAY(NOT_NA(NO_REPEAT_F(FG_YIELD(NOW,-10AY,D))),0,1)-SUBARRAY(NOT_NA(NO_REPEAT_F(FG_YIELD(NOW,-10AY,D))),1,1))*100":25.0,"REFAEREPO-FDS^FG_YIELD(NOW,,,0)":5.4,"REFAEREPO-FDS^PROPER_NAME(0,,,\"SECURITY\",\"NAME\")":"United Arab Emirates Repo Rate","REFTR1WREPO-FDS^(SUBARRAY(NOT_NA(NO_REPEAT_F(FG_YIELD(NOW,-10AY,D))),0,1)-SUBARRAY(NOT_NA(NO_REPEAT_F(FG_YIELD(NOW,-10AY,D))),1,1))*100":250.0,"REFTR1WREPO-FDS^FG_YIELD(NOW,,,0)":45.0,"REFTR1WREPO-FDS^PROPER_NAME(0,,,\"SECURITY\",\"NAME\")":"Turkey Repo Rate - 1 Week","REFTHREPO-FDS^(SUBARRAY(NOT_NA(NO_REPEAT_F(FG_YIELD(NOW,-10AY,D))),0,1)-SUBARRAY(NOT_NA(NO_REPEAT_F(FG_YIELD(NOW,-10AY,D))),1,1))*100":25.0,"REFTHREPO-FDS^FG_YIELD(NOW,,,0)":2.5,"REFTHREPO-FDS^PROPER_NAME(0,,,\"SECURITY\",\"NAME\")":"Thailand Repo Rate - 1 Day","REFQALEND-FDS^(SUBARRAY(NOT_NA(NO_REPEAT_F(FG_YIELD(NOW,-10AY,D))),0,1)-SUBARRAY(NOT_NA(NO_REPEAT_F(FG_YIELD(NOW,-10AY,D))),1,1))*100":25.0,"REFQALEND-FDS^FG_YIELD(NOW,,,0)":6.25,"REFQALEND-FDS^PROPER_NAME(0,,,\"SECURITY\",\"NAME\")":"Qatar Lending Rate - Overnight","REFCNRMB-FDS^(SUBARRAY(NOT_NA(NO_REPEAT_F(FG_YIELD(NOW,-10AY,D))),0,1)-SUBARRAY(NOT_NA(NO_REPEAT_F(FG_YIELD(NOW,-10AY,D))),1,1))*100":-9.99999999999996,"REFCNRMB-FDS^FG_YIELD(NOW,,,0)":3.45,"REFCNRMB-FDS^PROPER_NAME(0,,,\"SECURITY\",\"NAME\")":"China Loan Prime Rate (LPR) - 1 Year","REFINREPO-FDS^(SUBARRAY(NOT_NA(NO_REPEAT_F(FG_YIELD(NOW,-10AY,D))),0,1)-SUBARRAY(NOT_NA(NO_REPEAT_F(FG_YIELD(NOW,-10AY,D))),1,1))*100":25.0,"REFINREPO-FDS^FG_YIELD(NOW,,,0)":6.5,"REFINREPO-FDS^PROPER_NAME(0,,,\"SECURITY\",\"NAME\")":"India Repo Rate","REFEUREFI-FDS^(SUBARRAY(NOT_NA(NO_REPEAT_F(FG_YIELD(NOW,-10AY,D))),0,1)-SUBARRAY(NOT_NA(NO_REPEAT_F(FG_YIELD(NOW,-10AY,D))),1,1))*100":25.0,"REFEUREFI-FDS^FG_YIELD(NOW,,,0)":4.5,"REFEUREFI-FDS^PROPER_NAME(0,,,\"SECURITY\",\"NAME\")":"Eurozone Main Refinancing Operations Minimum Bid Rate","REFZAREPO-FDS^(SUBARRAY(NOT_NA(NO_REPEAT_F(FG_YIELD(NOW,-10AY,D))),0,1)-SUBARRAY(NOT_NA(NO_REPEAT_F(FG_YIELD(NOW,-10AY,D))),1,1))*100":50.0,"REFZAREPO-FDS^FG_YIELD(NOW,,,0)":8.25,"REFZAREPO-FDS^PROPER_NAME(0,,,\"SECURITY\",\"NAME\")":"South Africa Repo Rate","REFBRSELIC-FDS^(SUBARRAY(NOT_NA(NO_REPEAT_F(FG_YIELD(NOW,-10AY,D))),0,1)-SUBARRAY(NOT_NA(NO_REPEAT_F(FG_YIELD(NOW,-10AY,D))),1,1))*100":-50.0,"REFBRSELIC-FDS^FG_YIELD(NOW,,,0)":11.25,"REFBRSELIC-FDS^PROPER_NAME(0,,,\"SECURITY\",\"NAME\")":"Brazil Target Selic Rate","REFKRBASE-FDS^(SUBARRAY(NOT_NA(NO_REPEAT_F(FG_YIELD(NOW,-10AY,D))),0,1)-SUBARRAY(NOT_NA(NO_REPEAT_F(FG_YIELD(NOW,-10AY,D))),1,1))*100":25.0,"REFKRBASE-FDS^FG_YIELD(NOW,,,0)":3.5,"REFKRBASE-FDS^PROPER_NAME(0,,,\"SECURITY\",\"NAME\")":"South Korea Base Rate","REFMXTON-FDS^(SUBARRAY(NOT_NA(NO_REPEAT_F(FG_YIELD(NOW,-10AY,D))),0,1)-SUBARRAY(NOT_NA(NO_REPEAT_F(FG_YIELD(NOW,-10AY,D))),1,1))*100":25.0,"REFMXTON-FDS^FG_YIELD(NOW,,,0)":11.25,"REFMXTON-FDS^PROPER_NAME(0,,,\"SECURITY\",\"NAME\")":"Mexico Target Rate - Overnight","REFTWDISC-FDS^(SUBARRAY(NOT_NA(NO_REPEAT_F(FG_YIELD(NOW,-10AY,D))),0,1)-SUBARRAY(NOT_NA(NO_REPEAT_F(FG_YIELD(NOW,-10AY,D))),1,1))*100":12.5,"REFTWDISC-FDS^FG_YIELD(NOW,,,0)":1.875,"REFTWDISC-FDS^PROPER_NAME(0,,,\"SECURITY\",\"NAME\")":"Taiwan China Discount Rate","REFMYON-FDS^(SUBARRAY(NOT_NA(NO_REPEAT_F(FG_YIELD(NOW,-10AY,D))),0,1)-SUBARRAY(NOT_NA(NO_REPEAT_F(FG_YIELD(NOW,-10AY,D))),1,1))*100":25.0,"REFMYON-FDS^FG_YIELD(NOW,,,0)":3.0,"REFMYON-FDS^PROPER_NAME(0,,,\"SECURITY\",\"NAME\")":"Malaysia Policy Rate - Overnight","REFPEMPR-FDS^(SUBARRAY(NOT_NA(NO_REPEAT_F(FG_YIELD(NOW,-10AY,D))),0,1)-SUBARRAY(NOT_NA(NO_REPEAT_F(FG_YIELD(NOW,-10AY,D))),1,1))*100":-25.0,"REFPEMPR-FDS^FG_YIELD(NOW,,,0)":6.25,"REFPEMPR-FDS^PROPER_NAME(0,,,\"SECURITY\",\"NAME\")":"Peru Policy Rate","REFPL7D-FDS^(SUBARRAY(NOT_NA(NO_REPEAT_F(FG_YIELD(NOW,-10AY,D))),0,1)-SUBARRAY(NOT_NA(NO_REPEAT_F(FG_YIELD(NOW,-10AY,D))),1,1))*100":-25.0,"REFPL7D-FDS^FG_YIELD(NOW,,,0)":5.75,"REFPL7D-FDS^PROPER_NAME(0,,,\"SECURITY\",\"NAME\")":"Poland Reference Rate - 7 Day","REFPHRREPO-FDS^(SUBARRAY(NOT_NA(NO_REPEAT_F(FG_YIELD(NOW,-10AY,D))),0,1)-SUBARRAY(NOT_NA(NO_REPEAT_F(FG_YIELD(NOW,-10AY,D))),1,1))*100":25.0,"REFPHRREPO-FDS^FG_YIELD(NOW,,,0)":6.5,"REFPHRREPO-FDS^PROPER_NAME(0,,,\"SECURITY\",\"NAME\")":"Philippines Reverse Repo Rate - Overnight","REFIDRREPO-FDS^(SUBARRAY(NOT_NA(NO_REPEAT_F(FG_YIELD(NOW,-10AY,D))),0,1)-SUBARRAY(NOT_NA(NO_REPEAT_F(FG_YIELD(NOW,-10AY,D))),1,1))*100":25.0,"REFIDRREPO-FDS^FG_YIELD(NOW,,,0)":6.0,"REFIDRREPO-FDS^PROPER_NAME(0,,,\"SECURITY\",\"NAME\")":"Indonesia BI (Reverse) Repo Rate - 7 Day","REFCLMPR-FDS^(SUBARRAY(NOT_NA(NO_REPEAT_F(FG_YIELD(NOW,-10AY,D))),0,1)-SUBARRAY(NOT_NA(NO_REPEAT_F(FG_YIELD(NOW,-10AY,D))),1,1))*100":-100.0,"REFCLMPR-FDS^FG_YIELD(NOW,,,0)":7.25,"REFCLMPR-FDS^PROPER_NAME(0,,,\"SECURITY\",\"NAME\")":"Chile Monetary Policy Rate","TRYSA10Y-FDS^PCTCHG(FG_YIELD(0,,,,\"YTM\"),FG_YIELD(-3AM,,,,\"YTM\"))":null,"TRYSA10Y-FDS^PCTCHG(FG_YIELD(0,,,,\"YTM\"),FG_YIELD(-1AM,,,,\"YTM\"))":null,"TRYVN10Y-FDS^PCTCHG(FG_YIELD(0,,,,\"YTM\"),FG_YIELD(-3AM,,,,\"YTM\"))":null,"TRYVN10Y-FDS^PCTCHG(FG_YIELD(0,,,,\"YTM\"),FG_YIELD(-1AM,,,,\"YTM\"))":null,"TRYAE10Y-FDS^PCTCHG(FG_YIELD(0,,,,\"YTM\"),FG_YIELD(-3AM,,,,\"YTM\"))":null,"TRYAE10Y-FDS^PCTCHG(FG_YIELD(0,,,,\"YTM\"),FG_YIELD(-1AM,,,,\"YTM\"))":null,"TRYTR7Y-FDS^PCTCHG(FG_YIELD(0,,,,\"YTM\"),FG_YIELD(-3AM,,,,\"YTM\"))":null,"TRYTR7Y-FDS^PCTCHG(FG_YIELD(0,,,,\"YTM\"),FG_YIELD(-1AM,,,,\"YTM\"))":null,"TRYTH10Y-FDS^PCTCHG(FG_YIELD(0,,,,\"YTM\"),FG_YIELD(-3AM,,,,\"YTM\"))":null,"TRYTH10Y-FDS^PCTCHG(FG_YIELD(0,,,,\"YTM\"),FG_YIELD(-1AM,,,,\"YTM\"))":null,"TRYQA10Y-FDS^PCTCHG(FG_YIELD(0,,,,\"YTM\"),FG_YIELD(-3AM,,,,\"YTM\"))":null,"TRYQA10Y-FDS^PCTCHG(FG_YIELD(0,,,,\"YTM\"),FG_YIELD(-1AM,,,,\"YTM\"))":null,"TRYCN10Y-FDS^PCTCHG(FG_YIELD(0,,,,\"YTM\"),FG_YIELD(-3AM,,,,\"YTM\"))":null,"TRYCN10Y-FDS^PCTCHG(FG_YIELD(0,,,,\"YTM\"),FG_YIELD(-1AM,,,,\"YTM\"))":null,"TRYIN10Y-FDS^PCTCHG(FG_YIELD(0,,,,\"YTM\"),FG_YIELD(-3AM,,,,\"YTM\"))":null,"TRYIN10Y-FDS^PCTCHG(FG_YIELD(0,,,,\"YTM\"),FG_YIELD(-1AM,,,,\"YTM\"))":-1.1006618,"TRYGR10Y-FDS^PCTCHG(FG_YIELD(0,,,,\"YTM\"),FG_YIELD(-3AM,,,,\"YTM\"))":-12.009064,"TRYGR10Y-FDS^PCTCHG(FG_YIELD(0,,,,\"YTM\"),FG_YIELD(-1AM,,,,\"YTM\"))":8.20433,"TRYZA10Y-FDS^PCTCHG(FG_YIELD(0,,,,\"YTM\"),FG_YIELD(-3AM,,,,\"YTM\"))":null,"TRYZA10Y-FDS^PCTCHG(FG_YIELD(0,,,,\"YTM\"),FG_YIELD(-1AM,,,,\"YTM\"))":null,"TRYBR10Y-FDS^PCTCHG(FG_YIELD(0,,,,\"YTM\"),FG_YIELD(-3AM,,,,\"YTM\"))":null,"TRYBR10Y-FDS^PCTCHG(FG_YIELD(0,,,,\"YTM\"),FG_YIELD(-1AM,,,,\"YTM\"))":null,"TRYKR10Y-FDS^PCTCHG(FG_YIELD(0,,,,\"YTM\"),FG_YIELD(-3AM,,,,\"YTM\"))":null,"TRYKR10Y-FDS^PCTCHG(FG_YIELD(0,,,,\"YTM\"),FG_YIELD(-1AM,,,,\"YTM\"))":null,"TRYMX10Y-FDS^PCTCHG(FG_YIELD(0,,,,\"YTM\"),FG_YIELD(-3AM,,,,\"YTM\"))":null,"TRYMX10Y-FDS^PCTCHG(FG_YIELD(0,,,,\"YTM\"),FG_YIELD(-1AM,,,,\"YTM\"))":null,"TRYTW10Y-FDS^PCTCHG(FG_YIELD(0,,,,\"YTM\"),FG_YIELD(-3AM,,,,\"YTM\"))":null,"TRYTW10Y-FDS^PCTCHG(FG_YIELD(0,,,,\"YTM\"),FG_YIELD(-1AM,,,,\"YTM\"))":null,"TRYMY10Y-FDS^PCTCHG(FG_YIELD(0,,,,\"YTM\"),FG_YIELD(-3AM,,,,\"YTM\"))":null,"TRYMY10Y-FDS^PCTCHG(FG_YIELD(0,,,,\"YTM\"),FG_YIELD(-1AM,,,,\"YTM\"))":null,"TRYPE10Y-FDS^PCTCHG(FG_YIELD(0,,,,\"YTM\"),FG_YIELD(-3AM,,,,\"YTM\"))":null,"TRYPE10Y-FDS^PCTCHG(FG_YIELD(0,,,,\"YTM\"),FG_YIELD(-1AM,,,,\"YTM\"))":null,"TRYPL10Y-FDS^PCTCHG(FG_YIELD(0,,,,\"YTM\"),FG_YIELD(-3AM,,,,\"YTM\"))":null,"TRYPL10Y-FDS^PCTCHG(FG_YIELD(0,,,,\"YTM\"),FG_YIELD(-1AM,,,,\"YTM\"))":null,"TRYPH10Y-FDS^PCTCHG(FG_YIELD(0,,,,\"YTM\"),FG_YIELD(-3AM,,,,\"YTM\"))":null,"TRYPH10Y-FDS^PCTCHG(FG_YIELD(0,,,,\"YTM\"),FG_YIELD(-1AM,,,,\"YTM\"))":null,"TRYID10Y-FDS^PCTCHG(FG_YIELD(0,,,,\"YTM\"),FG_YIELD(-3AM,,,,\"YTM\"))":null,"TRYID10Y-FDS^PCTCHG(FG_YIELD(0,,,,\"YTM\"),FG_YIELD(-1AM,,,,\"YTM\"))":null,"TIPSCL10Y-FDS^PCTCHG(FG_YIELD(0,,,,\"YTM\"),FG_YIELD(-3AM,,,,\"YTM\"))":null,"TIPSCL10Y-FDS^PCTCHG(FG_YIELD(0,,,,\"YTM\"),FG_YIELD(-1AM,,,,\"YTM\"))":null,"TRYUS10Y-FDS^FG_YIELD(-4D,,,,\"YTM\")":4.1153,"TRYUS10Y-FDS^FG_YIELD_NAME":"US Benchmark Bond - 10 Year","TRYSA10Y-FDS^FG_YIELD(0,,,,\"YTM\")":null,"TRYSA10Y-FDS^FG_YIELD_NAME":"Treasury - SAUDI ARABIA Benchmark Bond 10Y","TRYVN10Y-FDS^FG_YIELD(0,,,,\"YTM\")":null,"TRYVN10Y-FDS^FG_YIELD_NAME":"Treasury - Vietnam Benchmark Bond 10Y","TRYAE10Y-FDS^FG_YIELD(0,,,,\"YTM\")":null,"TRYAE10Y-FDS^FG_YIELD_NAME":"Treasury - United Arab Emirates USD Benchmark Bond 10Y","TRYTR7Y-FDS^FG_YIELD(0,,,,\"YTM\")":null,"TRYTR7Y-FDS^FG_YIELD_NAME":"Treasury - Turkey Benchmark Bond 7Y","TRYTH10Y-FDS^FG_YIELD(0,,,,\"YTM\")":null,"TRYTH10Y-FDS^FG_YIELD_NAME":"Thailand Benchmark Bond - 10 Year","TRYQA10Y-FDS^FG_YIELD(0,,,,\"YTM\")":null,"TRYQA10Y-FDS^FG_YIELD_NAME":"Treasury - Qatar Benchmark Bond 10Y","TRYCN10Y-FDS^FG_YIELD(0,,,,\"YTM\")":null,"TRYCN10Y-FDS^FG_YIELD_NAME":"Treasury - China Benchmark Bond 10Y","TRYIN10Y-FDS^FG_YIELD(0,,,,\"YTM\")":7.0985,"TRYIN10Y-FDS^FG_YIELD_NAME":"India Benchmark Bond - 10 Year","TRYGR10Y-FDS^FG_YIELD(0,,,,\"YTM\")":3.495,"TRYGR10Y-FDS^FG_YIELD_NAME":"Greece Benchmark Bond - 10 Year","TRYZA10Y-FDS^FG_YIELD(0,,,,\"YTM\")":null,"TRYZA10Y-FDS^FG_YIELD_NAME":"South Africa Benchmark Bond - 10 Year","TRYBR10Y-FDS^FG_YIELD(0,,,,\"YTM\")":null,"TRYBR10Y-FDS^FG_YIELD_NAME":"Treasury - Brazil Benchmark Bond 10Y","TRYKR10Y-FDS^FG_YIELD(0,,,,\"YTM\")":null,"TRYKR10Y-FDS^FG_YIELD_NAME":"South Korea Benchmark Bond - 10 Year","TRYMX10Y-FDS^FG_YIELD(0,,,,\"YTM\")":null,"TRYMX10Y-FDS^FG_YIELD_NAME":"Treasury - Mexico Benchmark Bond 10Y","TRYTW10Y-FDS^FG_YIELD(0,,,,\"YTM\")":null,"TRYTW10Y-FDS^FG_YIELD_NAME":"\"Taiwan, China Benchmark Bond - 10 Year\"","TRYMY10Y-FDS^FG_YIELD(0,,,,\"YTM\")":null,"TRYMY10Y-FDS^FG_YIELD_NAME":"Treasury - Malaysia Benchmark Bond 10Y","TRYPE10Y-FDS^FG_YIELD(0,,,,\"YTM\")":null,"TRYPE10Y-FDS^FG_YIELD_NAME":"Treasury - Peru Benchmark Bond 10Y","TRYPL10Y-FDS^FG_YIELD(0,,,,\"YTM\")":null,"TRYPL10Y-FDS^FG_YIELD_NAME":"Treasury - Poland Benchmark Bond 10Y","TRYPH10Y-FDS^FG_YIELD(0,,,,\"YTM\")":null,"TRYPH10Y-FDS^FG_YIELD_NAME":"Philippines Benchmark Bond - 10 Year","TRYID10Y-FDS^FG_YIELD(0,,,,\"YTM\")":null,"TRYID10Y-FDS^FG_YIELD_NAME":"Treasury - Indonesia Benchmark Bond 10Y","TIPSCL10Y-FDS^FG_YIELD(0,,,,\"YTM\")":null,"TIPSCL10Y-FDS^FG_YIELD_NAME":"Treasury - Chile Inflation-Indexed (TIPS) Bond 10Y","EPU^FMA_ROE(NTMA,-20AY,NOW,FY,\"PORTAGG\",\"MEANR\")":[null,null,null,null,null,21.6487924933022,26.674075406927,23.3940784657959,19.9442083003203,14.2295976118279,12.7121203643147,8.83035011509517,12.5824807721625,12.1461987185301,10.92253300719,11.9146021102361,12.086026376397,15.0555655388878,13.6225814185959,12.9324473673683],"DBA^P_PRICE(0,-200D)":[21.995,22.05,22.14,22.06,21.85,21.77,21.71,21.7,21.69,21.63,21.67,21.35,21.45,21.4,21.5,21.34,21.1,21.01,20.85,20.61,20.76,20.61,20.72,20.61,20.65,20.51,20.58,20.72,20.59,20.69,20.74,21.05,21.0,20.98,20.89,20.79,20.82,21.07,21.02,21.96,21.9,21.72,21.85,21.71,21.82,21.68,21.55,22.01,21.98,22.02,22.28,22.08,21.94,21.59,21.74,22.07,22.18,22.14,22.08,22.12,22.29,22.25,22.36,22.04,22.13,22.26,22.16,22.46,22.4,22.24,21.98,22.01,21.9,22.05,21.85,21.81,21.91,21.93,21.92,21.97,21.92,21.86,21.73,21.71,21.61,21.41,21.55,21.57,21.58,21.44,21.32,21.37,21.58,21.41,21.8,21.61,21.67,21.75,21.86,21.9,22.21,22.27,22.18,22.34,22.21,22.11,22.04,22.01,21.85,21.9,21.94,21.92,21.78,21.74,21.85,21.8,21.83,21.62,21.56,21.38,21.16,21.29,21.35,21.18,21.19,21.08,21.25,21.41,21.41,21.39,21.43,21.59,21.64,21.62,21.79,21.96,21.93,21.99,22.11,22.31,22.36,22.35,22.01,22.05,22.0,21.74,21.44,21.59,21.35,21.21,21.39,21.18,21.16,21.22,21.24,21.31,21.07,20.93,21.05,21.29,21.51,21.53,21.95,22.13,21.9,21.99,21.7,21.33,21.3,21.24,21.19,21.24,20.89,21.02,20.85,20.88,20.76,20.46,20.44,20.57,20.4,20.63,20.74,20.76,20.78,20.7,20.78,20.94,21.09,20.83,20.78,21.03,20.96,20.91,21.03,20.7,20.6,20.54,20.73,20.95,20.98],"QQQ^P_PRICE_RETURNS_PR('52W',2,-10AY,0,AM)":[33.411144,32.155216,22.081936,22.62988,28.897,29.031647,26.994646,29.483116,19.058586,24.989975,22.62621,19.839155,21.104717,19.301832,29.203785,23.68226,19.454002,16.21188,15.652418,6.71314,15.369785,7.8991175,7.8887105,1.4003634,-6.583029,2.348566,4.3162704,-1.2498617,0.42089224,2.6794075999999998,7.2407603,10.439467,11.521816,3.5098672,9.959221,22.213804,32.147587,24.969732,18.782162,32.236908,31.263315,28.094912,22.58234,28.313887,28.056728,34.207058,30.792831,35.237564,25.79763,31.65902,24.825727,23.60481,26.3525,28.404903,27.92362,27.047909,18.874311,9.020734,6.65406,-0.75089335,8.004308,3.9679527,15.559519,6.2999606,5.2315235,8.786821,5.392468,5.2566648,13.697254,22.187126,26.623451,38.632107,37.94228,9.554577,10.1888895,23.87352,30.467583,34.66692,45.800243,41.675793,55.262924,45.397152,48.35974,44.05738,44.640957,79.1736,68.80546,46.49997,46.726643,40.97446,36.124374,39.938713,22.8868,37.5908,30.647266,20.073795,4.230273,2.491641,2.1785855,-4.992759,-18.902195,-20.745241,-9.606457,-21.523708,-24.864668,-25.818407,-25.957233,-25.055843,-11.618453,-9.733194,-7.142329,12.49094,32.907284,33.68101,13.81681,28.322935,36.807884,31.885742,40.824116,47.780643,41.047253],"UUP^FG_TOTAL_RETURNC(-10AY,0,AM)":[-0.4162848,-0.9289384,-0.2812922,0.7052183,0.56022406,-0.74281096,1.730597,3.1264424,1.3374925,2.5516987,0.5148053,4.353392,1.8813848,6.3428283,-1.0570049,-6.028235,1.0556221,1.8481374,-0.7100582,-1.3508141,-0.6846547,4.4606686,-1.5916169,1.3017774,-2.9595017,0.12038946,-1.60321,-0.24439692,-0.20416379,1.9639969,-0.6821811,-0.20201802,2.1457434,1.4268756,2.0711184,0.15313625,-0.26758313,0.38329363,-0.80183744,-1.4241695,-2.069509,-1.2360454,-2.6645124,-0.49772263,0.7920027,1.571548,-1.0179162,-2.3759902,-1.2652874,0.21357536,0.3410101,3.3135056,1.4391422,1.3376594,1.9600034,-1.5692413,0.9565592,2.3687363,0.038564205,-1.1803806,2.0110369,-0.4252076,0.7763982,0.73189735,0.07648468,0.076425076,1.4127493,0.6024122,0.37425756,0.26099682,-0.8553326,0.32001734,2.0976424,2.502799,-1.9314885,0.8175373,-3.2067776,-0.7235348,-3.2604516,-0.158602,0.3177166,-0.9105265,-1.957649,-0.692749,0.082063675,1.2300134,0.08100271,-1.2950182,-0.16399622,2.464068,-0.36072135,0.040221214,1.4475226,1.0701537,1.2941122,-1.5485883,1.1403799,3.0715466,0.7544279,4.717338,0.4647851,2.5978684,-2.0117939,4.2123914,2.7513623,-5.2892566,-1.8150091,-1.4883399,1.5653491,0.6810069,-2.0291924,2.1075606,1.0676146,-2.922535,3.6271334,2.4151206,2.2898197,-0.43435097,-2.1140933,0.11160374,2.914381],"W-FDS^FG_PRICE_CHANGE(0,-6AM)":-4.6669325887515,"NI-FDS^FG_PRICE_CHANGE(0,-6AM)":-21.225,"BRENT-FDS^FG_PRICE_CHANGE(0,-6AM)":-3.61472833408172,"TIOS-FDS^FG_PRICE_CHANGE(0,-6AM)":22.302363101452,"FC0000US^FG_PRICE(0)":378.47925,"FC0000GB^FG_PRICE(0)":116.99395,"FC0000CA^FG_PRICE(0)":280.1769,"EWD^FG_PRICE(0)":36.84,"QQQ^FG_PRICE(0)":426.5499,"EWG^FG_PRICE(0)":28.735,"EWQ^FG_COMPANY_NAME":"iShares MSCI France ETF","EWN^FG_COMPANY_NAME":"iShares MSCI Netherlands ETF","IWM^P_PRICE(0)/P_PRICE_HIGH_PR(0,,,USD,,,\"PRICE\",\"INTRA\",\"52W\")":0.94500947,"SPY^P_PRICE(0)/P_PRICE_HIGH_PR(0,,,USD,,,\"PRICE\",\"INTRA\",\"52W\")":0.97636545,"VGK^P_PRICE(0)/P_PRICE_HIGH_PR(0,,,USD,,,\"PRICE\",\"INTRA\",\"52W\")":0.96325964,"EWQ^P_PRICE(0)/P_PRICE_HIGH_PR(0,,,USD,,,\"PRICE\",\"INTRA\",\"52W\")":0.9521902,"EWL^P_PRICE(0)/P_PRICE_HIGH_PR(0,,,USD,,,\"PRICE\",\"INTRA\",\"52W\")":0.93082654,"EWA^P_PRICE(0)/P_PRICE_HIGH_PR(0,,,USD,,,\"PRICE\",\"INTRA\",\"52W\")":0.9256181,"EMXC^PERCENT_CHANGE(FMA_EPS(+1,0,,,,\"PORTAGG\",\"MEAN\"),FMA_EPS(+1,-3AM,,,,\"PORTAGG\",\"MEAN\"))":-2.30825641765035,"VWO^PERCENT_CHANGE(FMA_EPS(+1,0,,,,\"PORTAGG\",\"MEAN\"),FMA_EPS(+1,-1AM,,,,\"PORTAGG\",\"MEAN\"))":0.0,"EWQ^FMA_PCT_ABOVE_MAVG(200,0,,,,\"PORTAGG\")":67.741935483871,"EWG^PERCENT_CHANGE(FMA_EPS(+1,0,,,,\"PORTAGG\",\"MEAN\"),FMA_EPS(+1,-3AM,,,,\"PORTAGG\",\"MEAN\"))":-2.95772978794453,"IWM^FMA_COS_DOWN(\"EPS\",\"1M\",+1,0,,,\"PORTAGG\",\"MEANR\")":431.0,"EWJ^FMA_COS_UP(\"EPS\",\"1M\",+1,0,,,\"PORTAGG\",\"MEANR\")":95.0,"EWN^SIZE(FG_CONSTITUENTS)":54,"EWL^FMA_COS_DOWN(\"EPS\",\"1M\",+1,0,,,\"PORTAGG\",\"MEANR\")":27.0,"ENZL^FMA_COS_UP(\"EPS\",\"1M\",+1,0,,,\"PORTAGG\",\"MEANR\")":2.0,"FXI^FG_TOTAL_RETURNC(0,-3AM)":-12.556923,"TLT^FG_TOTAL_RETURNC(0,-3AM)":6.324029,"UUP^FG_TOTAL_RETURNC(0,-3AM)":0.85110664,"CC_AE^IMF_IFS_RCPI_Q(0)":null,"CC_ID^IMF_IFS_RCPI_Q(0)":2.681245,"VGK^JULIAN(FMA_DIV_YLD(NTMA,NOW,NOW,M,\"PORTAGG\",\"MEANR\").DATES)":45289,"UAE^FMA_EVAL_EBITDA(NTMA,0,,,\"PORTAGG\",\"MEANR\")":6.84062716720457,"SET-BKK^FMA_DIV_YLD(NTMA,NOW,NOW,M,\"PORTAGG\",\"MEANR\")":3.53910904495459,"MCHI^FMA_PE(LTM,0,,,\"PORTAGG\",\"MEANR\")":10.919445252811,"EZA^FMA_EVAL_EBIT(LTMA,NOW,NOW,M,\"PORTAGG\",\"MEANR\")":12.0774219143985,"EWY^FG_FCF_YIELD_NTM(0)":4.68702333972086,"EWT^FMA_PE(NTMA,0,,,\"PORTAGG\",\"MEANR\")":16.0303234752325,"EPU^JULIAN(FMA_DIV_YLD(NTMA,NOW,NOW,M,\"PORTAGG\",\"MEANR\").DATES)":45322,"EIDO^FMA_EVAL_EBITDA(NTMA,0,,,\"PORTAGG\",\"MEANR\")":6.29126282198344,"CNYA^FMA_DIV_YLD(NTMA,NOW,NOW,M,\"PORTAGG\",\"MEANR\")":2.98570569328247,"CC_AU^FDS_ECON_RCPI_Q(0)":4.0519876,"EWI^FMA_EVAL_EBIT(LTMA,NOW,NOW,M,\"PORTAGG\",\"MEANR\")":11.09447148843,"EWN^FG_FCF_YIELD_NTM(0)":3.72728679294371,"SPY^FG_PE_NTM(0,,,90,0)":20.3506450835596,"EWU^JULIAN(FMA_DIV_YLD(NTMA,NOW,NOW,M,\"PORTAGG\",\"MEANR\").DATES)":45322,"EWG^FMA_EVAL_EBITDA(NTMA,0,,,\"PORTAGG\",\"MEANR\")":8.37948958154112,"EWA^FMA_DIV_YLD(NTMA,NOW,NOW,M,\"PORTAGG\",\"MEANR\")":3.95317385597796,"FC0000CH^FG_PRICE(0)":321.42175,"KSA^FMA_ROE(NTMA,-20AY,NOW,FY,\"PORTAGG\",\"MEANR\")":[null,null,null,null,null,null,null,null,null,null,null,12.9007124779981,11.3294751772354,11.9967853551854,12.1701096511068,11.2305559814687,10.146987054615,12.7997878012912,13.7729696546777,11.7570018859186],"EPOL^FMA_ROE(NTMA,-20AY,NOW,FY,\"PORTAGG\",\"MEANR\")":[null,null,null,null,null,null,12.9136409385463,11.6682069956937,9.88095297355163,9.32819662687838,9.08400416739547,8.19593899535384,8.81992527720217,10.5838129179285,10.2657999868947,9.4389843194853,7.20768650788903,10.1460102201106,10.9641857238333,12.3945793275799],"QQQ^P_PRICE(0,-200D)":[426.4504,435.34,437.05,432.79,431.99,427.59,428.45,429.01,421.88,416.97,425.3,428.15,423.81,426.35,425.83,423.48,421.73,421.18,412.99,407.21,409.52,409.56,409.35,408.5,405.75,404.95,396.75,396.28,398.33,402.59,409.52,411.3,411.5,410.88,408.38,407.77,403.08,409.16,407.08,405.34,403.39,403.74,398.67,395.52,392.17,390.43,385.05,387.29,386.32,389.94,388.83,389.81,390.19,389.17,389.51,390.06,388.47,390.74,386.04,385.95,385.62,385.33,377.21,378.39,370.07,372.94,372.7,369.21,367.71,363.44,356.96,350.87,349.2,345.31,343.66,350.34,359.13,355.67,354.6,359.97,363.37,368.2,369.41,365.28,369.93,371.22,368.59,366.56,364.7,358.69,359.75,354.92,361.26,358.27,358.01,355.04,354.21,359.61,357.91,357.86,364.54,369.87,370.66,370.81,377.27,374.21,372.79,376.97,372.58,372.06,374.74,378.07,377.59,377.99,376.86,374.77,366.76,364.02,361.22,369.11,363.38,363.9,358.13,358.58,362.54,366.42,370.35,366.24,368.59,367.91,372.0,375.19,372.04,373.79,374.39,382.79,383.68,383.48,376.62,377.52,378.78,376.23,375.63,376.76,385.65,385.74,382.61,379.07,379.15,372.82,368.17,366.36,366.24,367.46,370.28,370.29,369.42,363.81,364.54,363.83,357.68,362.54,366.17,361.9,366.9,367.93,370.26,365.9,363.26,360.49,354.5,353.15,348.82,354.84,354.9,354.65,352.01,347.99,349.98,348.4,339.72,331.65,333.36,337.64,336.51,337.27,331.12,327.16,326.79,325.03,326.2,325.14,321.64,323.69,322.89,316.17,317.29,319.38,322.19,322.56,320.35],"UUP^P_PRICE_RETURNS_PR('52W',2,-10AY,0,AM)":[-1.5996277,-5.577689,-4.9172997,-5.388689,-1.6438305,-4.6174526,-1.5837133,1.9082189,4.9399853,6.926608,8.623087,13.089728,15.699017,24.191284,23.22519,14.985991,15.552449,18.568766,15.724134,10.60133,8.49098,10.510516,7.8264594,5.030668,0.0,-5.3490105,-6.3334584,-0.5684078,-1.8079519,-1.6962528,-1.5121341,-0.5235553,2.3114324,-0.7370055,3.0374765,1.869154,4.695022,4.9699426,5.824852,5.045128,2.6186585,-0.60192347,-2.7430415,-2.8744996,-4.16171,-4.025012,-6.9295588,-9.383756,-10.187376,-10.339218,-9.306246,-5.427456,-1.541853,1.0238767,5.823624,4.684031,4.8549533,5.6779146,6.805861,6.985855,11.701465,10.989475,11.471057,8.6856,7.225597,5.7641625,5.3227305,7.6464295,7.3646307,4.8219323,3.885293,5.4626107,5.552137,8.655893,5.7363033,5.826199,2.4325848,1.5361309,-3.1427562,-4.3052077,-3.9295852,-5.052143,-5.966717,-7.055676,-8.788336,-6.618762,-8.175403,-10.099518,-7.0255814,-4.296124,-1.4274359,-1.2311339,-0.118768215,1.6746402,5.2567244,4.349613,5.539596,7.7204347,8.093893,14.678144,15.40041,15.551102,13.090479,18.375551,19.896948,12.220907,8.904373,8.971012,9.428871,6.890881,3.9377332,1.0583401,1.9555092,-3.5303295,2.42002,0.26173592,-0.18862486,4.9277425,4.6081185,6.268394,7.7190995],"GLD^FG_TOTAL_RETURNC(-10AY,0,AM)":[3.6936045,5.3550124,-3.9936483,-1.8356562,-1.3162136,4.7332406,-2.0034194,-6.196511,0.118267536,-5.779612,5.1401496,0.638783,-0.15233755,-6.0179768,3.8419962,1.2246013,-2.8485596,-1.9782782,-3.7210524,-0.655061,5.369246,-7.4199915,-0.43452978,1.561439,13.025212,0.8871317,-0.5359769,2.475369,0.7641077,4.631448,-0.71696043,-1.2951374,-4.548711,-2.4410546,-5.6789103,3.4042597,2.267754,-1.7637014,6.8502665,-4.706359,3.1242013,-3.8678646,6.017959,2.2966027,-1.4250457,-2.027136,-1.764077,6.536877,-0.6931305,-0.2379477,1.3277173,-1.9223213,-1.4479995,-4.5295897,-3.953749,0.7082224,1.2921929,-1.3277829,3.3685207,3.6331177,1.2889981,0.38095713,-1.6230583,0.6894827,3.203714,5.4739356,6.178391,-1.1496723,-0.08561611,-1.4639735,0.7754803,4.8687577,1.7555833,-3.4371257,12.653553,0.10532141,0.6436348,4.1692257,8.223141,-0.4800141,-2.5924861,-0.31509995,-2.6360333,0.5101681,-1.5458226,-5.389887,1.2013078,4.7115088,2.6938558,-3.7100255,-1.6723812,0.81135035,-0.08943081,4.093325,-4.2705655,1.892221,2.14504,6.489849,-0.2377212,-8.589226,0.67539215,-4.902011,3.8799405,-5.557871,-2.289635,6.2294245,2.4003386,6.0827255,-3.5130918,3.1192064,6.6681623,-1.5338421,-3.3563554,0.8142233,-2.4229348,-0.2927959,0.98825693,0.9394407,3.944385,1.108563,-2.7410328],"W-FDS^FG_PRICE_CHANGE(0,-3AM)":3.1951640759931,"NI-FDS^FG_PRICE_CHANGE(0,-3AM)":-7.32352941176471,"BRENT-FDS^FG_PRICE_CHANGE(0,-3AM)":0.0,"TIOS-FDS^FG_PRICE_CHANGE(0,-3AM)":0.412965560230649,"FC0000AU^FG_PRICE(0)":347.78094,"EWN^FG_PRICE_MAVG(0,,,,200)":41.98288,"EWU^FG_PRICE_MAVG(0,,,,200)":32.2708,"EWC^FG_PRICE_MAVG(0,,,,200)":34.67745,"EWI^FG_COMPANY_NAME":"iShares MSCI Italy ETF","IWM^FG_TOTAL_RETURNC(0,-6AM)":2.540791,"SPY^FG_TOTAL_RETURNC(0,-6AM)":11.154282,"VGK^FG_TOTAL_RETURNC(0,-6AM)":2.5250912,"EWQ^FG_TOTAL_RETURNC(0,-6AM)":0.15107393,"EWL^FG_TOTAL_RETURNC(0,-6AM)":-2.0430148,"EWA^FG_TOTAL_RETURNC(0,-6AM)":4.743719,"EWD^FG_COMPANY_NAME":"iShares MSCI Sweden ETF","IWM^FG_TOTAL_RETURNC(0,-3AM)":15.219057,"SPY^FG_TOTAL_RETURNC(0,-3AM)":12.132608,"VGK^FG_TOTAL_RETURNC(0,-3AM)":7.698667,"EWQ^FG_TOTAL_RETURNC(0,-3AM)":7.06867,"EWL^FG_TOTAL_RETURNC(0,-3AM)":5.733514,"EWA^FG_TOTAL_RETURNC(0,-3AM)":8.448017,"EMXC^FMA_PCT_ABOVE_MAVG(200,0,,,,\"PORTAGG\")":61.2759643916914,"VGK^PERCENT_CHANGE(FMA_EPS(+1,0,,,,\"PORTAGG\",\"MEAN\"),FMA_EPS(+1,-3AM,,,,\"PORTAGG\",\"MEAN\"))":1.9236426339422,"SPY^PERCENT_CHANGE(FMA_EPS(+1,0,,,,\"PORTAGG\",\"MEAN\"),FMA_EPS(+1,-1AM,,,,\"PORTAGG\",\"MEAN\"))":-0.00702767554657206,"EWG^FMA_PCT_ABOVE_MAVG(200,0,,,,\"PORTAGG\")":58.6206896551724,"QQQ^SIZE(FG_CONSTITUENTS)":102,"URTH^FMA_COS_DOWN(\"EPS\",\"1M\",+1,0,,,\"PORTAGG\",\"MEANR\")":572.0,"EWN^FMA_COS_UP(\"EPS\",\"1M\",+1,0,,,\"PORTAGG\",\"MEANR\")":15.0,"EWJ^SIZE(FG_CONSTITUENTS)":226,"EWJ^P_PRICE(0)/P_PRICE_HIGH_PR(0,,,USD,,,\"PRICE\",\"INTRA\",\"52W\")":0.99011075,"USO^P_PRICE(0)/P_PRICE_HIGH_PR(0,,,USD,,,\"PRICE\",\"INTRA\",\"52W\")":0.87153316,"GLD^P_PRICE(0)/P_PRICE_HIGH_PR(0,,,USD,,,\"PRICE\",\"INTRA\",\"52W\")":0.95510817,"CC_TH^IMF_IFS_RCPI_Q(0)":null,"VNM^FMA_ROE(NTMA,-20AY,NOW,FY,\"PORTAGG\",\"MEANR\")":[null,null,null,null,null,12.2007678582522,16.4162915324944,16.394053839446,15.4303491131499,15.2759317822094,10.9403666714676,8.5756546844961,13.4991404349356,12.1231419211942,15.1097267855615,15.4807939433741,17.0889112010564,18.3844906020794,14.7334622550631,10.7481226516778],"EPHE^FMA_ROE(NTMA,-20AY,NOW,FY,\"PORTAGG\",\"MEANR\")":[null,null,null,null,null,null,14.7602970828313,15.1929773886247,13.700399154582,13.6976116734629,14.2196145027033,13.3322794237975,12.7182053290138,12.3434443766015,11.7069295115669,12.0539318289059,8.91575729825207,9.59945410192868,10.6731246353468,11.9407094450334],"UUP^P_PRICE(0,-200D)":[28.25,28.02,27.99,28.01,27.98,28.01,28.09,27.94,27.69,27.83,27.76,27.78,27.78,27.78,27.7,27.78,27.71,27.7,27.74,27.71,27.69,27.45,27.42,27.4,27.45,27.36,27.41,27.41,27.41,27.32,27.09,27.04,26.95,27.09,27.15,27.16,27.34,27.22,27.34,29.09,28.9,29.17,29.42,29.5,29.46,29.35,29.51,29.44,29.33,29.2,29.29,29.08,29.05,29.15,29.21,29.34,29.24,29.21,29.3,29.46,29.44,29.33,29.8,29.84,29.86,29.73,29.74,29.64,29.61,29.89,30.04,30.03,29.85,29.97,30.01,29.94,29.86,29.69,29.84,29.83,29.92,29.81,29.8,29.93,29.91,29.66,29.66,29.73,29.74,29.8,29.9,29.99,29.96,29.73,29.71,29.87,29.73,29.64,29.53,29.46,29.44,29.39,29.37,29.42,29.44,29.26,29.24,29.19,29.33,29.3,29.23,29.22,29.07,28.89,28.75,28.8,28.96,29.01,28.97,28.74,28.84,28.74,28.77,28.75,28.76,28.68,28.67,28.57,28.51,28.46,28.44,28.31,28.29,28.43,28.45,28.35,28.22,28.17,28.21,27.95,28.03,28.06,27.96,27.88,27.72,27.61,27.59,27.62,27.57,27.76,28.09,28.16,28.23,28.47,28.54,28.41,28.38,28.5,28.38,28.25,28.32,28.35,28.2,28.1,28.23,28.15,28.1,28.26,28.4,28.49,28.48,28.39,28.62,28.61,28.52,28.57,28.27,28.61,28.56,28.59,28.6,28.47,28.37,28.29,28.27,28.35,28.14,28.09,28.02,28.1,27.92,27.74,27.79,27.7,27.66,27.7,27.67,27.82,27.89,27.75,27.71],"GLD^P_PRICE_RETURNS_PR('52W',2,-10AY,0,AM)":[-21.100288,-13.95939,-15.968222,-9.9906025,-8.060419,3.6542177,-1.2055755,-7.276571,-3.3278942,-9.100527,-0.74393153,-2.3632407,-5.984539,-16.133427,-9.288586,-6.4606724,-7.672858,-13.814259,-15.324879,-11.142355,-5.6192994,-7.2624683,-12.388479,-11.374408,0.86927414,7.819414,3.1526804,4.427278,8.310509,15.614033,18.23666,18.453276,7.3037744,12.780499,7.1186066,9.062254,-1.3180137,-3.9108992,3.2247186,-3.5737872,-1.7612517,-9.741277,-3.8223505,-0.111329556,3.1575441,3.595221,7.894981,11.456406,7.945204,9.621752,3.9559484,7.296133,2.2493362,1.5455008,-8.005542,-9.433961,-6.2332153,-6.273186,-1.3761818,-2.9017866,-2.149427,-1.5423775,-3.7829757,-1.8640041,2.7680755,13.0364895,25.513458,23.197948,20.944893,21.354437,18.310225,19.720852,20.27235,15.697681,32.487892,31.719255,29.237854,26.862871,29.305971,29.36964,26.915657,28.395426,24.164999,18.893147,15.690672,9.269917,1.2514591,5.9103847,8.220959,-0.10625124,-9.240169,-8.062476,-5.6999803,-0.8581579,-3.1827986,-1.8515289,1.5185952,14.592611,12.984157,-1.3673902,-3.3060253,-4.5030117,2.3347974,-5.4846883,-7.5660825,-5.490464,0.90419054,5.0540566,-0.7652044,-3.9062083,2.7457356,9.778452,6.2437534,12.629938,6.7692757,11.694217,15.441227,9.692514,11.346519,7.399237,6.974721],"SPY^FG_TOTAL_RETURNC(-10AY,0,AM)":[0.7292867,1.1857271,-1.5477657,4.655397,2.1952033,1.7616391,-0.9002626,2.2018075,-5.445242,8.953691,-1.6161442,1.1451602,3.81037,-1.8842638,2.0346045,0.4447937,-0.0047683716,0.37379265,-0.52915215,-5.7126403,2.3222566,1.1435628,-0.3258586,-5.897677,-1.1650681,8.642769,3.1115532,-1.5580714,1.8017292,3.6426663,1.6471267,-2.3940384,0.40344,1.6008615,5.2398086,0.27695894,2.5192738,2.1652222,-1.802522,2.7826786,2.3307443,0.43418407,-0.122737885,2.4782896,2.4156094,1.3257504,3.2593966,4.7157288,-4.289007,4.0300727,-3.797859,2.9040217,1.8984795,1.0130644,0.8977413,3.0946374,-4.6865883,-1.4096797,-2.4590194,-1.8259525,6.1819315,2.3091793,3.587091,-3.2051325,3.1047463,4.3283463,-2.6941657,2.9191613,-1.1410773,4.3269873,2.6593328,3.8558364,2.7778625,-20.09731,2.982843,2.154827,8.029116,3.9524317,6.984496,-0.82237124,5.2350283,2.2763014,2.2898555,4.126525,3.3834456999999998,0.36164522,5.1145673,-0.624907,3.4196138,2.9988527,2.371502,0.14799833,-2.237451,7.373965,-0.14980435,-0.08294582,-5.1815805,-4.6292486,5.8567047,-9.381694,-6.6514015,1.4567375,12.741863,-7.960665,-6.516081,8.891439,0.868237,-0.4024744,3.595984,-6.654072,7.7088594,-0.45468807,6.0910106,3.3380628,-0.86973906,0.192976,-3.0165553,2.0139098,6.8856597,1.7249584,3.129983],"W-FDS^FG_PRICE_CHANGE(0,-1AM)":0.251677852348986,"NI-FDS^FG_PRICE_CHANGE(0,-1AM)":-1.99066874027993,"BRENT-FDS^FG_PRICE_CHANGE(0,-1AM)":0.0,"TIOS-FDS^FG_PRICE_CHANGE(0,-1AM)":-6.08511878734878,"EWN^FG_PRICE_MAVG(0,,,,60)":43.993034,"EWU^FG_PRICE_MAVG(0,,,,60)":32.531666,"EWC^FG_PRICE_MAVG(0,,,,60)":35.810833,"SPY^FG_COMPANY_NAME":"SPDR S&P 500 ETF Trust","EWJ^P_PRICE(0)/P_PRICE_LOW_PR(0,,,USD,,,\"PRICE\",\"INTRA\",\"52W\")-1":0.22041976,"EWI^P_PRICE(0)/P_PRICE_LOW_PR(0,,,USD,,,\"PRICE\",\"INTRA\",\"52W\")-1":0.19870651,"SPY^P_PRICE(0)/P_PRICE_LOW_PR(0,,,USD,,,\"PRICE\",\"INTRA\",\"52W\")-1":0.29147518,"ENZL^P_PRICE(0)/P_PRICE_LOW_PR(0,,,USD,,,\"PRICE\",\"INTRA\",\"52W\")-1":0.08408213,"INDA^PERCENT_CHANGE(FMA_EPS(+1,0,,,,\"PORTAGG\",\"MEAN\"),FMA_EPS(+1,-3AM,,,,\"PORTAGG\",\"MEAN\"))":-2.0462688028666,"VGK^PERCENT_CHANGE(FMA_EPS(+1,0,,,,\"PORTAGG\",\"MEAN\"),FMA_EPS(+1,-1AM,,,,\"PORTAGG\",\"MEAN\"))":0.0,"SPY^FMA_PCT_ABOVE_MAVG(200,0,,,,\"PORTAGG\")":70.7753479125249,"EWC^PERCENT_CHANGE(FMA_EPS(+1,0,,,,\"PORTAGG\",\"MEAN\"),FMA_EPS(+1,-3AM,,,,\"PORTAGG\",\"MEAN\"))":-4.27785100049021,"QQQ^FMA_COS_DOWN(\"EPS\",\"1M\",+1,0,,,\"PORTAGG\",\"MEANR\")":21.0,"URTH^FMA_COS_UP(\"EPS\",\"1M\",+1,0,,,\"PORTAGG\",\"MEANR\")":645.0,"EWQ^SIZE(FG_CONSTITUENTS)":63,"EWJ^FMA_COS_DOWN(\"EPS\",\"1M\",+1,0,,,\"PORTAGG\",\"MEANR\")":87.0,"EWJ^FG_TOTAL_RETURNC(0,-6AM)":10.018659,"USO^FG_TOTAL_RETURNC(0,-6AM)":-2.2356927,"GLD^FG_TOTAL_RETURNC(0,-6AM)":3.8907647,"CC_QA^IMF_IFS_RCPI_Q(0)":null,"VWO^FMA_EVAL_EBIT(LTMA,NOW,NOW,M,\"PORTAGG\",\"MEANR\")":14.2305122229297,"UAE^FMA_ROE(NTMA,-20AY,NOW,FY,\"PORTAGG\",\"MEANR\")":[null,null,null,null,null,null,null,null,null,null,11.0777984350957,12.3046871114493,11.0383578639711,12.0257898837902,10.3907544258318,8.12845515854192,6.7620176250091,11.2349425542518,12.9338493780006,13.2251182283574],"EIDO^FMA_ROE(NTMA,-20AY,NOW,FY,\"PORTAGG\",\"MEANR\")":[null,null,null,null,null,null,18.9279585586526,18.0738292901709,16.8092892463225,19.1020740705792,18.4086750507428,15.6625909554988,15.054606398618,15.7733994434049,15.5352440090718,14.4300103266056,11.4814604290421,13.6928560240483,15.6524440836665,14.0315214518572],"GLD^P_PRICE(0,-200D)":[184.51,187.11,187.6,188.33,188.5,188.55,187.57,188.61,190.41,188.45,188.59,188.33,187.01,187.14,186.4,187.95,187.22,187.93,187.37,185.84,187.91,189.71,187.87,187.5,187.93,187.87,189.35,189.32,189.13,190.72,191.17,191.47,192.59,191.72,190.27,189.43,188.1,189.13,187.85,187.0,188.73,187.63,183.49,183.59,185.64,188.15,187.84,187.15,187.86,192.01,188.75,189.54,189.26,186.77,185.52,184.56,185.35,183.37,183.67,183.69,181.64,182.12,180.51,179.51,181.49,180.77,182.59,183.35,184.79,184.12,183.51,184.09,185.1,186.15,184.01,183.72,182.95,182.97,183.59,183.09,180.87,178.29,177.96,178.83,173.26,173.79,172.53,172.82,169.7,168.83,169.14,169.16,169.65,171.45,173.23,174.1,176.28,177.7,178.62,178.05,179.35,179.22,179.39,178.34,177.17,177.08,177.49,178.41,178.08,178.02,177.83,178.64,180.11,180.02,180.32,179.87,178.13,177.62,177.85,177.89,176.1,175.81,175.33,175.3,175.57,176.59,177.06,177.6,177.6,177.79,178.64,179.78,180.19,179.54,179.6,180.46,182.35,181.86,180.42,183.3,182.41,181.4,182.18,182.74,183.67,183.64,181.56,181.43,182.01,181.88,179.45,178.78,178.64,177.31,177.84,178.47,178.27,177.09,177.28,177.69,178.51,178.2,177.71,179.49,179.75,181.63,181.91,180.64,180.54,181.88,182.04,182.53,180.15,182.34,182.14,181.05,183.76,182.32,182.04,180.92,180.2,181.95,183.43,183.21,183.64,181.84,184.23,184.87,187.21,186.81,187.13,188.75,189.02,187.69,187.46,190.44,189.11,187.52,183.97,184.8,184.75],"SPY^P_PRICE_RETURNS_PR('52W',2,-10AY,0,AM)":[22.709703,21.174967,16.319824,18.496943,20.604086,19.729614,17.133713,20.180428,12.211204,16.692947,14.968145,13.397169,16.86573,13.320017,17.443382,12.71826,10.627996,8.787584,9.19497,0.15053749,9.0145,1.2000084,0.87023973,-4.61185,-8.809787,1.2128592,1.6216159,-0.40470362,1.394558,4.696691,6.8541527,10.7528925,8.675981,6.4347386,15.263104,22.826218,27.404892,19.808733,14.098871,18.09188,19.74908,16.041994,13.922405,19.713234,22.112392,21.78173,19.490028,25.065697,16.4927,18.619072,16.208792,16.15156,15.854513,16.52229,17.712843,18.420815,10.342873,7.2334647,1.2949705,-4.4139266,5.3565383,3.6136866,11.240339,4.944098,6.1864257,9.757864,5.76725,5.587232,11.035895,15.887249,21.968306,29.027187,24.89072,-2.4612963,-3.0302584,2.3393989,7.6696634,6.840849,17.467928,13.514161,20.498371,18.129803,18.790268,18.011427,18.580128,61.84759,52.187836,48.04664,43.42694,40.42952,34.374428,35.689175,26.054228,34.169186,29.18074,23.958408,14.250398,8.180655,8.797908,-0.78920126,-10.450363,-11.791116,-2.6786447,-10.720926,-14.628273,-12.768346,-12.539017,-12.818718,-4.748142,-6.770438,-5.139226,6.6970587,18.430185,20.626247,7.8582883,15.458703,19.78085,12.21553,18.90992,21.921026,20.903551],"VWO^FG_TOTAL_RETURNC(-10AY,0,AM)":[-1.8795967,-2.2521436,9.718943,2.1055102,3.3657312,1.8303633,1.4324665,-0.7845819,-5.428976,0.6275654,-6.83617,3.486216,4.3977976,-6.175196,11.5486145,-0.32073855,-4.50471,-2.8781831,-8.179092,-7.191497,4.6794176,-4.2069316,-6.350154,-5.627137,-0.03373623,13.432336,5.806875,-7.436615,2.7693272,7.8805566,5.498767,-3.6406517,2.4215817,-5.2928567,4.3120623,1.7659664,4.8872113,0.20481348,1.7384052,2.9685497,0.19545555,3.275764,0.76026917,5.3289294,2.3305297,-1.5050888,0.20225048,9.213173,-3.7961602,3.216815,-3.1218886,-0.92393756,-3.1012774,-3.5931945,-2.6168227,-2.1353126,-3.9796948,-0.8522749,2.109933,2.1841288,2.6897907,3.3537388,3.7779212,-7.889324,2.4577975,4.273212,-6.153488,5.185735,-1.3881266,2.2882104,3.9742947,6.363499,-4.4236183,-18.148655,-2.4605513,3.290403,9.085882,9.324217,1.772809,-0.3208816,4.7670245,4.4547915,4.455757,7.4802995,6.8454027,-5.908525,-1.763922,-1.7543852,7.2605968,-2.4567068,-3.1108618,2.5491357,-1.977694,1.778388,-5.0307274,3.3073068,-1.937139,-11.590404,5.0715804,-9.727966,-0.24107695,-2.0437539,5.715704,-5.1951113,-9.056526,7.5987816,3.415513,6.3488483,-1.6611338,-5.6949735,4.6817303,-3.1066537,4.266596,2.720213,-3.2235026,-0.78374743,-2.8675258,1.0761023,3.346002,1.2494922,-1.1012137],"W-FDS^FG_PRICE_MAVG(0,,,,30)":5.9919167,"NI-FDS^FG_PRICE_MAVG(0,,,,30)":16000.5,"BRENT-FDS^FG_PRICE_MAVG(0,,,,30)":85.86,"TIOS-FDS^FG_PRICE_MAVG(0,,,,30)":134.968,"EWN^FG_PRICE_MAVG(0,,,,30)":44.758335,"EWU^FG_PRICE_MAVG(0,,,,30)":32.427334,"EWC^FG_PRICE_MAVG(0,,,,30)":36.217,"QQQ^FG_COMPANY_NAME":"Invesco QQQ Trust Series I","QQQ^P_PRICE(0)/P_PRICE_LOW_PR(0,,,USD,,,\"PRICE\",\"INTRA\",\"52W\")-1":0.49566913,"KSA^FG_FCF_YIELD_NTM(0)":4.01812428627538,"QQQ^FMA_COS_UP(\"EPS\",\"1M\",+1,0,,,\"PORTAGG\",\"MEANR\")":56.0,"USO^FG_TOTAL_RETURNC(0,-3AM)":-0.45255423,"VWO^FMA_EVAL_EBITDA(NTMA,0,,,\"PORTAGG\",\"MEANR\")":7.47388528442588,"KSA^FMA_DIV_YLD(NTMA,NOW,NOW,M,\"PORTAGG\",\"MEANR\")":3.50092524513295,"UAE^FMA_PE(LTM,0,,,\"PORTAGG\",\"MEANR\")":9.50111014135227,"QAT^FMA_EVAL_EBIT(LTMA,NOW,NOW,M,\"PORTAGG\",\"MEANR\")":16.384883617584,"INDA^FG_FCF_YIELD_NTM(0)":2.85832012537474,"EWN^JULIAN(FMA_DIV_YLD(NTMA,NOW,NOW,M,\"PORTAGG\",\"MEANR\").DATES)":45322,"QQQ^FMA_EVAL_EBITDA(NTMA,0,,,\"PORTAGG\",\"MEANR\")":16.2495390123611,"EWL^FMA_DIV_YLD(NTMA,NOW,NOW,M,\"PORTAGG\",\"MEANR\")":3.27877517216889,"EWG^FG_PE(0)":10.7899874974471,"ENZL^FMA_EVAL_EBIT(LTMA,NOW,NOW,M,\"PORTAGG\",\"MEANR\")":19.7872792381313,"EWG^FG_COMPANY_NAME":"iShares MSCI Germany ETF","CC_NZ^FDS_ECON_RCPI_Q(0)":4.6770573,"EWI^FMA_EVAL_EBITDA(NTMA,0,,,\"PORTAGG\",\"MEANR\")":7.26621763527954,"EWN^FMA_DIV_YLD(NTMA,NOW,NOW,M,\"PORTAGG\",\"MEANR\")":2.5911892548089,"EWL^FMA_EVAL_EBIT(LTMA,NOW,NOW,M,\"PORTAGG\",\"MEANR\")":16.7388987509017,"EWG^FG_FCF_YIELD_NTM(0)":6.57844342116821,"EWU^FG_COMPANY_NAME":"iShares MSCI United Kingdom ETF","EWM^FMA_DIV_YLD(NTMA,NOW,NOW,M,\"PORTAGG\",\"MEANR\")":4.23444746750948,"VWO^FG_PE_NTM(0,,,90,0)":10.6259248395197,"EWL^FG_PE(0)":15.9054503133222,"EWC^FMA_EVAL_EBIT(LTMA,NOW,NOW,M,\"PORTAGG\",\"MEANR\")":15.7902851803177,"VWO^FG_COMPANY_NAME":"Vanguard FTSE Emerging Markets ETF","EWN^FG_PE(0)":18.5338768909268,"EWG^FG_PE_NTM(0,,,90,0)":11.5477470878173,"EWJ^FG_COMPANY_NAME":"iShares MSCI Japan ETF","QAT^FMA_DIV_YLD(NTMA,NOW,NOW,M,\"PORTAGG\",\"MEANR\")":4.90779467463808,"EWD^FMA_EVAL_EBIT(LTMA,NOW,NOW,M,\"PORTAGG\",\"MEANR\")":15.5221305566814,"TUR^FMA_ROE(NTMA,-20AY,NOW,FY,\"PORTAGG\",\"MEANR\")":[null,null,null,null,14.5323662756041,15.0832531129689,15.8676026141806,14.4769185864537,15.0590425800443,13.6524897976729,12.866544620472,12.7726870869254,12.8458107179109,15.2051271731034,14.7086929252537,14.8395465769289,12.8830287056985,18.5724935361686,24.1409632075388,25.9292660335172],"ECH^FMA_ROE(NTMA,-20AY,NOW,FY,\"PORTAGG\",\"MEANR\")":[null,null,null,14.1776881603624,11.2798802315493,14.2628883913247,14.4661394368492,14.0754868016221,12.4952890187187,10.8480668279512,9.37758339699264,9.57060991333475,8.68386650455443,9.38392046774864,11.2778516938703,9.83590954451217,8.75463942854793,10.6038911838351,12.7874449833902,13.8055066340606],"SPY^P_PRICE(0,-200D)":[491.52,500.98,501.2,498.32,498.1,493.98,492.55,494.35,489.2,482.88,490.89,491.27,487.41,488.03,485.39,484.86,483.45,482.43,476.49,472.29,474.93,476.68,476.35,476.56,473.88,474.6,467.92,467.28,468.79,472.65,475.31,476.69,476.51,475.65,473.65,472.7,468.26,474.84,471.97,469.33,472.01,470.5,464.1,461.99,460.2,458.23,454.76,456.6,456.69,459.1,456.4,454.61,454.93,454.48,455.3,455.02,453.27,454.26,450.79,450.23,449.68,448.73,440.19,440.61,433.84,437.25,436.93,435.69,434.69,430.76,422.66,418.2,415.59,410.68,412.55,417.55,423.63,420.46,421.19,426.43,430.21,436.02,436.04,431.5,433.66,436.32,434.54,432.29,429.54,424.5,424.66,421.59,427.31,427.48,428.52,426.05,425.88,432.23,430.42,431.39,438.64,442.71,443.63,443.37,450.36,446.51,445.99,448.45,445.52,444.85,446.22,449.24,451.19,450.35,451.01,449.16,442.76,439.97,436.89,443.03,438.15,439.34,436.5,436.29,439.64,442.89,448.11,445.65,445.91,445.75,448.75,450.71,446.81,448.84,450.13,456.48,457.79,456.92,452.49,455.51,455.44,454.2,452.18,452.18,455.2,454.19,450.84,449.28,449.56,446.02,442.46,439.66,438.55,439.66,443.13,443.79,443.28,438.11,436.39,436.17,431.44,433.21,436.51,434.94,437.18,439.46,442.6,437.18,436.66,433.8,429.9,429.13,426.55,428.03,427.1,427.92,421.82,417.85,420.18,420.02,414.65,411.09,414.09,418.79,418.62,419.23,415.23,410.25,413.01,411.59,412.13,412.85,410.93,412.74,412.63,405.13,408.02,410.84,415.51,415.93,412.41],"VWO^P_PRICE_RETURNS_PR('52W',2,-10AY,0,AM)":[-10.696543,-10.351795,-0.6737232,-0.89417696,11.322939,13.941455,14.289797,11.94005,1.0822892,6.4917207,-0.68956614,4.426861,11.107719,6.648481,8.426964,5.850482,-1.8490374,-6.730902,-15.568918,-22.094833,-12.579328,-16.779316,-17.596912,-23.7121,-26.208609,-12.266386,-16.23034,-22.210472,-16.28511,-7.011533,6.6369057,10.927939,8.535326,4.7863603,19.521809,28.885067,35.229576,19.460238,14.86677,25.487793,24.578857,19.261301,13.45892,24.50745,24.396778,29.371977,24.274815,33.22613,22.327877,26.004864,19.985306,16.07344,11.650896,4.2249203,0.7317066,-6.4067545,-11.393726,-11.596131,-9.9130745,-14.814812,-10.0284815,-9.909117,-4.4982076,-10.27751,-5.130124,2.6828408,-1.1156499,6.281686,11.925209,12.607515,14.663542,19.353354,11.085642,-12.025351,-17.313831,-7.2779713,-1.183939,3.5023093,12.244129,7.592082,13.007271,15.400898,17.386139,17.152573,29.577017,61.095535,51.62549,44.21996,45.048107,26.525509,20.454062,23.922241,15.944338,14.405751,2.7135015,-1.2744069,-9.22798,-16.36402,-8.937025,-16.327667,-22.17961,-21.850157,-14.896345,-21.170055,-26.862877,-22.620964,-15.803856,-13.324976,-13.081026,-7.284999,-7.628995,1.5955448,3.6262631,8.665991,0.51698685,4.1060925,11.190844,4.4504046,4.3801904,0.039947033,-0.058943033],"VWO^JULIAN(FG_TOTAL_RETURNC(-10AY,0,AM).DATES)":[41683,41711,41740,41772,41803,41831,41864,41894,41925,41956,41985,42017,42048,42076,42107,42137,42167,42198,42229,42258,42290,42321,42349,42382,42412,42440,42473,42503,42534,42564,42594,42626,42656,42685,42717,42748,42779,42807,42838,42867,42899,42929,42958,42991,43021,43052,43082,43112,43144,43172,43203,43231,43264,43294,43325,43356,43385,43417,43447,43476,43509,43537,43567,43598,43629,43658,43690,43721,43749,43782,43812,43843,43874,43903,43934,43964,43994,44025,44056,44085,44117,44148,44176,44209,44239,44267,44299,44329,44358,44390,44421,44452,44482,44512,44543,44574,44603,44631,44664,44694,44725,44755,44785,44817,44847,44876,44908,44939,44970,44998,45029,45058,45090,45120,45149,45182,45212,45243,45273,45303,45335],"W-FDS^FG_PRICE(0)":5.975,"NI-FDS^FG_PRICE(0)":15755.0,"BRENT-FDS^FG_PRICE(0)":85.86,"TIOS-FDS^FG_PRICE(0)":128.87,"EWN^FG_PRICE(0)":45.87,"EWU^FG_PRICE(0)":31.6,"EWC^FG_PRICE(0)":35.1,"QQQ^P_PRICE(0)/P_PRICE_HIGH_PR(0,,,USD,,,\"PRICE\",\"INTRA\",\"52W\")":0.97133005,"EWI^P_PRICE(0)/P_PRICE_HIGH_PR(0,,,USD,,,\"PRICE\",\"INTRA\",\"52W\")":0.97316223,"ENZL^P_PRICE(0)/P_PRICE_HIGH_PR(0,,,USD,,,\"PRICE\",\"INTRA\",\"52W\")":0.8635803,"INDA^PERCENT_CHANGE(FMA_EPS(+1,0,,,,\"PORTAGG\",\"MEAN\"),FMA_EPS(+1,-1AM,,,,\"PORTAGG\",\"MEAN\"))":-1.01720796253756,"VGK^FMA_PCT_ABOVE_MAVG(200,0,,,,\"PORTAGG\")":64.5440251572327,"QQQ^PERCENT_CHANGE(FMA_EPS(+1,0,,,,\"PORTAGG\",\"MEAN\"),FMA_EPS(+1,-3AM,,,,\"PORTAGG\",\"MEAN\"))":1.06403645205293,"EWC^PERCENT_CHANGE(FMA_EPS(+1,0,,,,\"PORTAGG\",\"MEAN\"),FMA_EPS(+1,-1AM,,,,\"PORTAGG\",\"MEAN\"))":-2.57326679923233,"VWO^SIZE(FG_CONSTITUENTS)":4684,"EWQ^FMA_COS_DOWN(\"EPS\",\"1M\",+1,0,,,\"PORTAGG\",\"MEANR\")":32.0,"EWJ^FG_TOTAL_RETURNC(0,-3AM)":11.711526,"GLD^FG_TOTAL_RETURNC(0,-3AM)":2.2159457,"CC_CN^IMF_IFS_RCPI_Q(0)":-0.322581,"EZA^FMA_PE(NTMA,0,,,\"PORTAGG\",\"MEANR\")":9.39505183017214,"EWY^JULIAN(FMA_DIV_YLD(NTMA,NOW,NOW,M,\"PORTAGG\",\"MEANR\").DATES)":45322,"EWM^FMA_EVAL_EBITDA(NTMA,0,,,\"PORTAGG\",\"MEANR\")":8.85564093202209,"EPOL^FMA_DIV_YLD(NTMA,NOW,NOW,M,\"PORTAGG\",\"MEANR\")":4.99976472202555,"EIDO^FMA_PE(LTM,0,,,\"PORTAGG\",\"MEANR\")":14.5609086650012,"CC_US^IMF_IFS_RCPI_Q(0)":3.2433991,"VWO^FG_FCF_YIELD_NTM(0)":6.68133618499077,"EWI^FG_PE_NTM(0,,,90,0)":8.98832936775509,"SPY^FG_PE(0)":24.0044618425217,"EWA^FG_PE_NTM(0,,,90,0)":16.3826422075845,"EPOL^FMA_PE(LTM,0,,,\"PORTAGG\",\"MEANR\")":7.28729425200002,"EWI^JULIAN(FMA_DIV_YLD(NTMA,NOW,NOW,M,\"PORTAGG\",\"MEANR\").DATES)":45322,"QQQ^FMA_DIV_YLD(NTMA,NOW,NOW,M,\"PORTAGG\",\"MEANR\")":0.901276158476859,"ENZL^FG_FCF_YIELD_NTM(0)":1.09261018740958,"EWW^FG_FCF_YIELD_NTM(0)":7.69907636091451,"QQQ^FG_TOTAL_RETURNC(0,-6AM)":16.92847,"EWC^FMA_PCT_ABOVE_MAVG(200,0,,,,\"PORTAGG\")":59.5505617977528,"EMXC^SIZE(FG_CONSTITUENTS)":702,"EWQ^FMA_COS_UP(\"EPS\",\"1M\",+1,0,,,\"PORTAGG\",\"MEANR\")":23.0,"UAE^JULIAN(FMA_DIV_YLD(NTMA,NOW,NOW,M,\"PORTAGG\",\"MEANR\").DATES)":45322,"INDA^FMA_DIV_YLD(NTMA,NOW,NOW,M,\"PORTAGG\",\"MEANR\")":1.37663399119166,"EWM^FG_FCF_YIELD_NTM(0)":7.27279674305074,"CC_IT^FDS_ECON_RCPI_Q(0)":0.9836987,"VWO^FMA_DIV_YLD(NTMA,NOW,NOW,M,\"PORTAGG\",\"MEANR\")":3.05637582417096,"EWI^FG_PE(0)":9.54205347561757,"EWQ^FMA_EVAL_EBIT(LTMA,NOW,NOW,M,\"PORTAGG\",\"MEANR\")":12.9504837737628,"QQQ^FG_FCF_YIELD_NTM(0)":3.65298566034075,"EWL^FG_PE_NTM(0,,,90,0)":17.0828760530082,"EWG^JULIAN(FMA_DIV_YLD(NTMA,NOW,NOW,M,\"PORTAGG\",\"MEANR\").DATES)":45322,"EWC^FG_COMPANY_NAME":"iShares MSCI Canada ETF","EWI^FMA_DIV_YLD(NTMA,NOW,NOW,M,\"PORTAGG\",\"MEANR\")":5.3855755721274,"EWL^FG_FCF_YIELD_NTM(0)":5.0162652072727,"EWZ^FMA_EVAL_EBIT(LTMA,NOW,NOW,M,\"PORTAGG\",\"MEANR\")":6.89946735038058,"SET-BKK^FMA_ROE(NTMA,-20AY,NOW,FY,\"PORTAGG\",\"MEANR\")":[19.4775253074283,16.7129326073384,14.8656028990892,14.4266077076695,11.0560385715565,13.1789961604636,14.9486867959632,14.3192952203821,15.3579090829836,14.4834347566328,13.1977119976914,12.8261347373446,12.4445057567564,12.4919200136172,12.5523899281401,10.9395949228139,8.38849750011356,9.94747027119922,10.1243577085674,9.34939552368522],"CNYA^FMA_ROE(NTMA,-20AY,NOW,FY,\"PORTAGG\",\"MEANR\")":[null,null,null,null,null,null,null,null,null,null,null,null,12.0357109832906,13.2280587166858,12.9587909941324,13.4756717156392,12.9923016394021,13.7666448363476,13.371191955749,12.0461204621416],"VWO^P_PRICE(0,-200D)":[39.965,40.81,40.63,40.47,40.68,40.71,39.73,39.63,39.91,39.64,39.79,40.17,40.16,40.15,40.05,39.54,39.32,39.63,39.27,39.04,39.57,40.41,40.22,40.05,40.09,40.56,40.49,40.43,40.5,40.62,41.1,40.99,40.74,40.52,40.26,40.4,39.63,40.48,40.2,41.07,41.31,40.77,40.39,40.39,40.21,40.41,40.25,40.3,40.44,40.8,40.63,40.51,40.74,40.41,40.6,40.47,40.58,40.82,40.39,40.23,40.65,40.37,39.45,39.38,39.11,39.46,39.64,39.63,39.51,38.8,38.21,37.94,38.12,37.78,37.74,37.88,38.29,37.82,37.9,38.36,38.5,39.14,39.31,39.03,39.18,39.6,39.48,38.86,39.1,38.57,38.41,38.57,39.07,39.21,39.17,39.09,39.04,39.5,39.65,39.19,39.83,39.95,40.15,40.54,40.75,40.51,40.55,40.66,40.2,40.12,40.54,40.73,40.97,40.53,41.02,41.17,40.63,40.23,40.26,40.43,39.84,39.91,39.82,40.07,39.94,40.21,40.64,40.83,41.43,41.35,41.28,41.71,41.78,41.73,41.55,42.47,43.07,43.02,42.0,42.47,42.21,41.89,41.34,41.36,41.62,41.68,41.98,41.93,42.19,41.73,40.95,40.59,40.58,40.1,40.88,41.08,40.68,40.33,40.5,40.66,40.28,40.15,40.72,40.9,40.97,41.94,42.09,41.69,41.3,40.96,40.86,40.75,40.53,40.62,40.31,40.35,39.72,39.05,39.33,39.85,39.2,39.27,39.55,40.15,39.89,39.91,40.16,40.02,40.3,39.61,40.06,40.22,40.21,40.46,40.45,40.02,39.68,39.69,40.11,40.24,40.0],"VWO^JULIAN(P_PRICE_RETURNS_PR('52W',2,-10AY,0,AM).DATES)":[41683,41711,41740,41772,41803,41831,41864,41894,41925,41956,41985,42017,42048,42076,42107,42137,42167,42198,42229,42258,42290,42321,42349,42382,42412,42440,42473,42503,42534,42564,42594,42626,42656,42685,42717,42748,42779,42807,42838,42867,42899,42929,42958,42991,43021,43052,43082,43112,43144,43172,43203,43231,43264,43294,43325,43356,43385,43417,43447,43476,43509,43537,43567,43598,43629,43658,43690,43721,43749,43782,43812,43843,43874,43903,43934,43964,43994,44025,44056,44085,44117,44148,44176,44209,44239,44267,44299,44329,44358,44390,44421,44452,44482,44512,44543,44574,44603,44631,44664,44694,44725,44755,44785,44817,44847,44876,44908,44939,44970,44998,45029,45058,45090,45120,45149,45182,45212,45243,45273,45303,45335],"CPALM-FDS^MAX(FG_PRICE(0,-5AY))":8163.0,"PASP-FDS^MAX(FG_PRICE(0,-5AY))":3158.12,"PLATI-FDS^MAX(FG_PRICE(0,-5AY))":1272.59,"COPP-FDS^MAX(FG_PRICE(0,-5AY))":4.929,"FC0000JP^FG_PRICE(0)":170.1679,"FC0000NZ^FG_PRICE(0)":392.03592,"EWQ^FG_PRICE_MAVG(0,,,,200)":37.532276,"EWL^FG_PRICE_MAVG(0,,,,200)":45.9399,"EWA^FG_PRICE_MAVG(0,,,,200)":22.522526,"EWL^FG_COMPANY_NAME":"iShares MSCI Switzerland ETF","EWI^FG_TOTAL_RETURNC(0,-6AM)":5.7635307,"ENZL^FG_TOTAL_RETURNC(0,-6AM)":-3.5973787,"INDA^FMA_PCT_ABOVE_MAVG(200,0,,,,\"PORTAGG\")":77.8625954198473,"EWI^PERCENT_CHANGE(FMA_EPS(+1,0,,,,\"PORTAGG\",\"MEAN\"),FMA_EPS(+1,-3AM,,,,\"PORTAGG\",\"MEAN\"))":-2.04868690891841,"QQQ^PERCENT_CHANGE(FMA_EPS(+1,0,,,,\"PORTAGG\",\"MEAN\"),FMA_EPS(+1,-1AM,,,,\"PORTAGG\",\"MEAN\"))":-0.0841037471970391,"VWO^FMA_COS_DOWN(\"EPS\",\"1M\",+1,0,,,\"PORTAGG\",\"MEANR\")":1279.0,"EWG^SIZE(FG_CONSTITUENTS)":58,"EWJ^FG_TOTAL_RETURNC(0,-1AM)":0.22580624,"USO^FG_TOTAL_RETURNC(0,-1AM)":6.7186117,"GLD^FG_TOTAL_RETURNC(0,-1AM)":-2.7410328,"CC_IN^IMF_IFS_RCPI_Q(0)":null,"KSA^FMA_PE(NTMA,0,,,\"PORTAGG\",\"MEANR\")":18.5689288336225,"QAT^FMA_EVAL_EBITDA(NTMA,0,,,\"PORTAGG\",\"MEANR\")":8.97956376925642,"EZA^FMA_PE(LTM,0,,,\"PORTAGG\",\"MEANR\")":8.85072920886036,"EWW^FMA_EVAL_EBIT(LTMA,NOW,NOW,M,\"PORTAGG\",\"MEANR\")":10.6187533691714,"EPOL^FMA_PE(NTMA,0,,,\"PORTAGG\",\"MEANR\")":8.54151380560562,"EIDO^JULIAN(FMA_DIV_YLD(NTMA,NOW,NOW,M,\"PORTAGG\",\"MEANR\").DATES)":45322,"ENZL^FMA_EVAL_EBITDA(NTMA,0,,,\"PORTAGG\",\"MEANR\")":11.6735099748099,"EWI^FG_FCF_YIELD_NTM(0)":6.51482184905083,"EWN^FG_PE_NTM(0,,,90,0)":16.1095686062496,"SPY^JULIAN(FMA_DIV_YLD(NTMA,NOW,NOW,M,\"PORTAGG\",\"MEANR\").DATES)":45322,"EWL^FMA_EVAL_EBITDA(NTMA,0,,,\"PORTAGG\",\"MEANR\")":12.8940235755246,"EWG^FMA_DIV_YLD(NTMA,NOW,NOW,M,\"PORTAGG\",\"MEANR\")":3.56615429524043,"EWA^FG_PE(0)":15.7079246936435,"EZA^JULIAN(FMA_DIV_YLD(NTMA,NOW,NOW,M,\"PORTAGG\",\"MEANR\").DATES)":45322,"QQQ^FMA_EVAL_EBIT(LTMA,NOW,NOW,M,\"PORTAGG\",\"MEANR\")":24.0665389319553,"EPOL^JULIAN(FMA_DIV_YLD(NTMA,NOW,NOW,M,\"PORTAGG\",\"MEANR\").DATES)":45322,"QAT^FMA_ROE(NTMA,-20AY,NOW,FY,\"PORTAGG\",\"MEANR\")":[null,null,null,null,null,null,null,null,null,null,16.7779984816015,14.8814458142908,12.1435908718223,12.1306553272553,12.3947412104099,11.6446378155882,11.2380998666164,12.7317850147387,13.2901313577645,12.1192289718939],"EWM^JULIAN(FMA_ROE(NTMA,-20AY,NOW,FY,\"PORTAGG\",\"MEANR\").DATES)":[38352,38716,39080,39447,39813,40178,40543,40907,41274,41639,42004,42369,42734,43098,43465,43830,44196,44561,44925,45289],"VWO^JULIAN(P_PRICE(0,-200D).DATES)":[45335,45334,45331,45330,45329,45328,45327,45324,45323,45322,45321,45320,45317,45316,45315,45314,45313,45310,45309,45308,45307,45303,45302,45301,45300,45299,45296,45295,45294,45293,45289,45288,45287,45286,45282,45281,45280,45279,45278,45275,45274,45273,45272,45271,45268,45267,45266,45265,45264,45261,45260,45259,45258,45257,45254,45252,45251,45250,45247,45246,45245,45244,45243,45240,45239,45238,45237,45236,45233,45232,45231,45230,45229,45226,45225,45224,45223,45222,45219,45218,45217,45216,45215,45212,45211,45210,45209,45208,45205,45204,45203,45202,45201,45198,45197,45196,45195,45194,45191,45190,45189,45188,45187,45184,45183,45182,45181,45180,45177,45176,45175,45174,45170,45169,45168,45167,45166,45163,45162,45161,45160,45159,45156,45155,45154,45153,45152,45149,45148,45147,45146,45145,45142,45141,45140,45139,45138,45135,45134,45133,45132,45131,45128,45127,45126,45125,45124,45121,45120,45119,45118,45117,45114,45113,45112,45110,45107,45106,45105,45104,45103,45100,45099,45098,45097,45093,45092,45091,45090,45089,45086,45085,45084,45083,45082,45079,45078,45077,45076,45072,45071,45070,45069,45068,45065,45064,45063,45062,45061,45058,45057,45056,45055,45054,45051,45050,45049,45048,45047,45044,45043],"URTH^FG_TOTAL_RETURNC(-10AY,0,AM)":[0.08057356,0.36517382,-0.014317036,2.8653264,1.8653154,0.90829134,-1.8538833,1.6790271,-6.6740036,6.5726995,-2.1965325,-0.05096793,4.322517,-0.8356154,2.9147625,1.6510129,-0.9639561,-1.3921916,-0.2599895,-6.58074,1.8015027,0.5842447,-0.85105896,-6.5449657,-2.785164,10.445845,2.6960015,-2.0292342,1.0138988,3.2459855,2.4873495,-2.5092602,0.14064312,0.32303333,4.703903,1.2063742,1.8948436,1.8465161,-1.0158062,3.702259,2.3048878,0.51540136,-0.22153854,2.837062,2.506888,0.38614273,2.5760531,5.1269293,-4.768145,2.818513,-2.161795,2.3462415,0.656569,0.004196167,-0.26848316,2.1312356,-4.6238422,-1.5200377,-2.5140226,-0.98336935,5.1608205,2.6165843,3.207159,-3.4478962,2.9341578,3.8499713,-3.0410886,2.9362679,-0.64830184,4.1870594,2.4947762,2.8761268,1.7086267,-21.770317,3.378129,2.1622896,8.83472,3.8203835,6.547618,-0.8479655,4.205656,3.0027986,3.5526872,4.6259522,3.0762553,-0.14372468,4.2333364,-0.7472992,4.2963386,1.3128757,2.54488,0.13701916,-2.6759863,6.2568307,-1.9227266,0.44926405,-4.7676325,-6.1118126,5.8788896,-9.317655,-6.1050596,0.48941374,11.669946,-8.127153,-6.6003323,10.468185,1.4769793,0.825572,2.9006958,-6.0949802,7.653475,-0.56104064,4.544735,3.2777548,-1.6616821,-0.2802968,-3.083837,1.8229961,7.1533203,1.7988324,1.8280387],"CPALM-FDS^FG_PRICE(0)/MAX(FG_PRICE(0,-1AY))":0.905939449965334,"PASP-FDS^FG_PRICE(0)/MAX(FG_PRICE(0,-1AY))":0.554878048780488,"PLATI-FDS^FG_PRICE(0)/MAX(FG_PRICE(0,-1AY))":0.784140969162996,"COPP-FDS^FG_PRICE(0)/MAX(FG_PRICE(0,-1AY))":0.880505372535128,"EWQ^FG_PRICE_MAVG(0,,,,60)":38.31542,"EWL^FG_PRICE_MAVG(0,,,,60)":46.722168,"EWA^FG_PRICE_MAVG(0,,,,60)":23.36325,"QQQ^FG_TOTAL_RETURNC(0,-3AM)":13.364172,"EWI^FG_TOTAL_RETURNC(0,-3AM)":7.6509714,"ENZL^FG_TOTAL_RETURNC(0,-3AM)":5.2274227,"SPY^PERCENT_CHANGE(FMA_EPS(+1,0,,,,\"PORTAGG\",\"MEAN\"),FMA_EPS(+1,-3AM,,,,\"PORTAGG\",\"MEAN\"))":-0.923449211704923,"EWI^PERCENT_CHANGE(FMA_EPS(+1,0,,,,\"PORTAGG\",\"MEAN\"),FMA_EPS(+1,-1AM,,,,\"PORTAGG\",\"MEAN\"))":-0.603438244270429,"QQQ^FMA_PCT_ABOVE_MAVG(200,0,,,,\"PORTAGG\")":75.4901960784314,"EWA^PERCENT_CHANGE(FMA_EPS(+1,0,,,,\"PORTAGG\",\"MEAN\"),FMA_EPS(+1,-3AM,,,,\"PORTAGG\",\"MEAN\"))":-2.07062088471518,"EMXC^FMA_COS_DOWN(\"EPS\",\"1M\",+1,0,,,\"PORTAGG\",\"MEANR\")":309.0,"VWO^FMA_COS_UP(\"EPS\",\"1M\",+1,0,,,\"PORTAGG\",\"MEANR\")":728.0,"SPY^SIZE(FG_CONSTITUENTS)":504,"EWG^FMA_COS_DOWN(\"EPS\",\"1M\",+1,0,,,\"PORTAGG\",\"MEANR\")":27.0,"EMXC^P_PRICE(0)/P_PRICE_HIGH_PR(0,,,USD,,,\"PRICE\",\"INTRA\",\"52W\")":0.9735972,"DBA^P_PRICE(0)/P_PRICE_HIGH_PR(0,,,USD,,,\"PRICE\",\"INTRA\",\"52W\")":0.97799027,"CC_GR^IMF_IFS_RCPI_Q(0)":3.309465,"KSA^FMA_PE(LTM,0,,,\"PORTAGG\",\"MEANR\")":22.6365952853746,"TUR^FMA_EVAL_EBIT(LTMA,NOW,NOW,M,\"PORTAGG\",\"MEANR\")":6.58677583124406,"QAT^FG_FCF_YIELD_NTM(0)":null,"INDA^FMA_PE(NTMA,0,,,\"PORTAGG\",\"MEANR\")":22.4372041416185,"EWW^FMA_EVAL_EBITDA(NTMA,0,,,\"PORTAGG\",\"MEANR\")":6.31319997863635,"ECH^FMA_EVAL_EBIT(LTMA,NOW,NOW,M,\"PORTAGG\",\"MEANR\")":9.77083773203686,"CC_SE^FDS_ECON_RCPI_Q(0)":5.5508466,"EWQ^FMA_EVAL_EBITDA(NTMA,0,,,\"PORTAGG\",\"MEANR\")":9.10525610463412,"EWA^JULIAN(FMA_DIV_YLD(NTMA,NOW,NOW,M,\"PORTAGG\",\"MEANR\").DATES)":45322,"CC_NL^FDS_ECON_RCPI_Q(0)":0.8052127,"EWI^FG_TOTAL_RETURNC(-10AY,0,AM)":[4.6556115,1.523459,4.381752,-0.690043,3.995359,-4.922688,-8.076012,4.392767,-11.324257,-1.605022,-2.5531948,-4.948032,11.333847,-1.3850391,5.266857,4.336226,-0.5754471,-0.7904589,3.100264,-4.7984657,1.0752678,-6.781912,-2.0684779,-6.3456774,-13.650549,14.272809,-4.2687774,-2.0644069,-4.384482,-0.6879747,3.0136943,-1.4184356,-3.0575573,2.4582624,9.280216,2.636814,-2.9735208,4.0302277,-0.121068954,12.727272,1.5412211,3.509295,2.569449,4.5362115,0.32383204,-1.2911558,1.013732,7.6804996,-4.0810227,2.23763,3.0826092,0.29904842,-8.527136,-1.8219113,-5.836177,1.7035127,-7.9116163,-2.9798806,0.9174347,1.8382788,2.3977995,4.491365,4.4452667,-5.803728,2.240467,8.052993,-8.324594,6.8676114,-0.67833066,5.5715322,-0.40858388,2.176559,0.87600946,-30.494326,1.3935685,-3.8862526,17.209076,4.6170354,6.7858577,-2.3592114,-2.5331259,9.116352,6.3393116,4.161334,3.1687856,2.1985173,1.4235973,0.90454817,5.4745436,-4.924357,5.897033,-3.5061836,-1.1603057,4.788387,-5.12439,5.9249997,-4.403448,-16.433239,8.752335,-7.1575346,-7.3857727,-5.418718,10.28645,-6.8870544,-7.0160627,24.363636,2.6166677,7.0860505,3.2748103,-4.8708735,8.969069,-1.2298942,0.49101114,7.9752564,-3.708166,-2.0037591,-3.9297104,4.3565035,7.966864,1.2914896,-1.5638769],"CPALM-FDS^FG_PRICE_CHANGE(0,-1AY)":1.81818181818181,"PASP-FDS^FG_PRICE_CHANGE(0,-1AY)":-42.0382165605096,"PLATI-FDS^FG_PRICE_CHANGE(0,-1AY)":-6.31578947368421,"COPP-FDS^FG_PRICE_CHANGE(0,-1AY)":-8.7717151945192,"EWQ^FG_PRICE_MAVG(0,,,,30)":38.375668,"EWL^FG_PRICE_MAVG(0,,,,30)":47.305,"EWA^FG_PRICE_MAVG(0,,,,30)":23.5695,"EMXC^P_PRICE(0)/P_PRICE_LOW_PR(0,,,USD,,,\"PRICE\",\"INTRA\",\"52W\")-1":0.17861414,"URTH^P_PRICE(0)/P_PRICE_LOW_PR(0,,,USD,,,\"PRICE\",\"INTRA\",\"52W\")-1":0.23639023,"EWD^P_PRICE(0)/P_PRICE_LOW_PR(0,,,USD,,,\"PRICE\",\"INTRA\",\"52W\")-1":0.20058668,"EWG^P_PRICE(0)/P_PRICE_LOW_PR(0,,,USD,,,\"PRICE\",\"INTRA\",\"52W\")-1":0.16312492,"FXI^PERCENT_CHANGE(FMA_EPS(+1,0,,,,\"PORTAGG\",\"MEAN\"),FMA_EPS(+1,-3AM,,,,\"PORTAGG\",\"MEAN\"))":-6.78225685073716,"EWI^FMA_PCT_ABOVE_MAVG(200,0,,,,\"PORTAGG\")":64.0,"EWU^PERCENT_CHANGE(FMA_EPS(+1,0,,,,\"PORTAGG\",\"MEAN\"),FMA_EPS(+1,-3AM,,,,\"PORTAGG\",\"MEAN\"))":-5.72170825055405,"EWA^PERCENT_CHANGE(FMA_EPS(+1,0,,,,\"PORTAGG\",\"MEAN\"),FMA_EPS(+1,-1AM,,,,\"PORTAGG\",\"MEAN\"))":-2.21110654718674,"EMXC^FMA_COS_UP(\"EPS\",\"1M\",+1,0,,,\"PORTAGG\",\"MEANR\")":217.0,"VGK^SIZE(FG_CONSTITUENTS)":1294,"SPY^FMA_COS_DOWN(\"EPS\",\"1M\",+1,0,,,\"PORTAGG\",\"MEANR\")":133.0,"EWG^FMA_COS_UP(\"EPS\",\"1M\",+1,0,,,\"PORTAGG\",\"MEANR\")":25.0,"EMXC^FG_TOTAL_RETURNC(0,-6AM)":7.451427,"DBA^FG_TOTAL_RETURNC(0,-6AM)":7.4264407,"MCHI^FMA_ROE(NTMA,-20AY,NOW,FY,\"PORTAGG\",\"MEANR\")":[null,null,null,null,null,null,null,16.2489448712134,14.7844836511748,14.7477410048543,13.8220324417748,12.2640889399399,12.007707790005,13.3821124977803,13.2137488528733,12.8853123189466,12.3572005897253,11.9738066536331,11.5503940493997,11.5623515851697],"FXI^P_PRICE(0,-200D)":[22.165,22.72,22.36,22.1,22.62,23.13,21.88,21.41,21.86,21.76,21.93,22.29,22.6,22.75,22.77,22.11,21.14,21.68,21.53,21.45,22.02,22.73,22.83,22.49,22.48,22.94,23.23,23.36,23.67,23.24,24.03,23.88,23.25,23.22,23.05,23.71,22.91,24.2,23.88,24.13,24.18,23.87,23.95,23.79,23.7,24.03,23.95,23.94,24.31,24.89,25.16,25.06,25.71,26.02,26.36,26.29,26.16,26.69,26.12,26.1,27.21,26.58,26.02,25.68,25.76,26.12,26.31,26.43,26.35,25.75,25.48,25.52,25.94,25.67,25.58,25.53,26.06,25.25,25.03,25.56,26.01,26.45,26.65,26.48,26.68,27.15,26.89,26.22,26.23,25.69,25.53,25.75,26.37,26.53,26.26,26.41,26.35,26.72,27.14,26.21,26.79,26.98,27.05,27.18,27.3,27.07,27.3,27.24,26.88,26.92,27.71,27.63,28.04,27.4,27.76,27.95,27.41,26.77,26.82,26.7,26.14,26.15,26.19,26.85,26.65,27.21,27.66,27.92,28.83,28.6,28.48,29.02,29.13,29.55,28.77,29.68,30.42,30.08,28.5,28.97,28.56,28.21,27.62,27.6,27.7,27.52,28.15,28.29,28.8,28.16,27.34,27.16,27.18,26.6,27.39,27.71,27.19,26.94,27.37,27.6,27.01,26.87,27.44,27.5,27.67,28.91,29.08,28.45,28.07,27.75,27.82,27.79,27.5,27.99,27.39,27.43,26.63,25.97,26.04,26.83,26.39,26.94,27.49,28.35,27.9,28.05,28.44,28.74,29.04,27.79,28.54,28.24,28.44,28.89,28.67,28.3,27.56,27.69,28.22,28.33,28.19],"URTH^P_PRICE_RETURNS_PR('52W',2,-10AY,0,AM)":[18.61186,18.01015,13.3515835,11.909616,17.101013,18.143976,12.428045,14.121973,4.445541,8.294594,7.855022,3.0335665,7.4006677,6.115699,9.224379,7.9349875,5.1385164,2.5448084,4.2101264,-4.294753,4.439914,-1.4286816,-1.6174912,-6.565225,-12.55979,-2.5004327,-3.2318354,-6.735301,-4.872698,-0.39824247,2.2611141,6.8057895,5.0632954,2.7783751,10.661483,19.839954,25.609184,15.829218,11.642718,16.770231,19.684374,16.519047,13.377094,19.660198,22.487663,22.564745,20.073914,25.075853,16.569471,17.681969,16.319525,14.884877,12.9488945,12.374449,12.321579,11.550653,4.0464997,1.8199801,-3.2325745,-8.03417,0.64564943,0.4479885,5.6833267,-0.038570166,2.223289,6.3805223,3.203249,4.0167212,9.563613,14.631653,20.52139,25.219082,21.108448,-7.673061,-7.5201216,-2.146554,3.6345243,3.4332871,13.662279,10.042548,14.832699,13.52743,15.927065,16.65014,17.836643,63.130367,52.148567,47.815346,43.70829,38.230278,33.037304,34.358906,25.485981,31.05967,22.605537,17.71109,9.280157,2.3403287,3.867972,-5.100906,-14.565116,-15.259534,-7.436955,-15.334654,-18.748564,-14.877486,-12.6001835,-12.272769,-5.2087665,-5.191767,-3.6027431,8.421993,17.69513,20.960903,7.9964995,15.617954,19.970966,10.582089,16.767752,18.420982,16.665947],"CC_ZA^IMF_IFS_RCPI_Q(0)":5.633361,"KSA^JULIAN(FMA_DIV_YLD(NTMA,NOW,NOW,M,\"PORTAGG\",\"MEANR\").DATES)":45322,"TUR^FMA_EVAL_EBITDA(NTMA,0,,,\"PORTAGG\",\"MEANR\")":4.1662232081893,"INDA^FMA_PE(LTM,0,,,\"PORTAGG\",\"MEANR\")":26.0561601796812,"EWM^FMA_PE(NTMA,0,,,\"PORTAGG\",\"MEANR\")":13.8497827276937,"ECH^FMA_EVAL_EBITDA(NTMA,0,,,\"PORTAGG\",\"MEANR\")":6.25043754954788,"EWQ^FG_FCF_YIELD_NTM(0)":5.92768899374074,"INDA^FMA_ROE(NTMA,-20AY,NOW,FY,\"PORTAGG\",\"MEANR\")":[null,null,null,null,null,null,null,null,15.6108197056138,16.0962597956391,15.7612771435553,15.9055421047158,15.6930916584344,15.3154529754558,14.6122050459717,14.5354845941958,12.8423838581616,15.1612835327609,14.9254916699691,16.0763665032879],"IWM^P_PRICE(0,-200D)":[194.19,202.96,199.34,196.15,193.22,193.67,191.94,194.41,195.44,192.88,197.71,199.41,195.98,195.97,194.36,195.97,196.54,192.43,190.6,189.48,190.84,193.23,193.55,195.08,194.97,196.73,193.25,193.82,194.2,199.52,200.71,204.04,204.82,204.1,201.48,199.62,196.28,200.93,197.11,197.04,198.71,193.33,187.0,187.19,186.8,185.39,184.06,184.39,186.89,184.91,179.66,178.98,178.04,178.73,179.33,178.13,177.02,179.33,178.29,175.88,178.77,178.46,169.17,169.11,167.24,169.87,171.7,172.31,174.49,169.87,165.46,164.52,163.11,162.21,164.14,163.72,166.47,165.03,166.44,168.62,171.35,174.95,173.02,170.27,171.7,175.67,175.97,174.0,173.0,171.35,171.22,171.14,174.07,176.74,177.58,175.99,174.36,177.46,176.67,177.07,179.86,181.68,182.39,183.61,185.55,182.97,184.18,184.36,183.92,184.33,186.13,186.83,190.85,188.61,188.94,188.23,185.64,184.0,183.22,185.79,183.83,184.38,184.65,183.65,185.84,188.14,190.66,190.99,190.72,191.57,193.08,194.3,194.17,194.56,195.11,197.8,198.71,196.43,193.92,196.46,194.92,194.94,194.46,195.08,196.8,195.97,193.58,191.53,193.42,191.87,189.8,187.87,184.71,182.78,185.78,187.65,187.27,186.38,184.26,183.36,180.75,180.57,183.33,184.7,185.13,185.94,187.44,185.91,187.93,185.8,185.03,186.54,187.24,184.31,179.58,182.02,175.65,173.77,175.5,176.15,174.17,175.54,177.42,178.26,176.11,177.19,176.12,172.28,174.83,172.72,173.07,174.41,173.53,174.05,174.45,170.4,172.33,171.7,175.3,175.2,173.68],"EWI^P_PRICE_RETURNS_PR('52W',2,-10AY,0,AM)":[24.852085,38.557182,43.81328,33.471443,41.03261,39.275753,14.482856,19.685268,-4.1614475,-5.2651167,-3.3575594,-15.541583,-10.152167,-12.726188,-11.986142,-7.5315895,-11.595768,-7.753557,3.4619331,-6.054282,7.545972,1.8876314,-0.07815957,0.88882446,-21.479733,-9.896982,-17.541105,-22.59965,-25.56492,-25.488031,-25.645733,-22.907347,-26.059555,-20.764833,-9.312409,-0.61445236,11.674476,1.6647935,6.0695767,20.464611,29.656197,35.135902,35.031963,42.680584,47.657333,42.253876,31.493114,38.575745,36.380184,34.03013,38.32923,24.101437,10.874498,5.1639557,-3.4542918,-6.070471,-13.808846,-15.256065,-15.336859,-18.651522,-14.521986,-12.637699,-11.217367,-16.868752,-7.0830765,2.6831865,-0.43979287,4.6154737,12.832737,22.77788,21.16462,21.567095,19.760418,-20.33763,-22.66522,-21.090984,-8.738285,-12.414813,2.0214677,-5.02373,-8.527666,-5.456257,1.8901587,2.9105663,4.34345,72.124626,54.800842,62.516914,49.77491,32.908237,31.801987,30.253733,32.088352,29.993069,13.174475,15.090752,7.3375583,-12.605101,-6.4975796,-13.968247,-24.457937,-24.850727,-21.155035,-24.477959,-28.95226,-15.555531,-8.800197,-7.8005433,-0.39514303,13.386273,13.6122465,24.116528,31.145525,49.7175,31.808674,37.574886,42.14132,19.274176,25.492847,18.622185,13.140762],"EWD^FG_TOTAL_RETURNC(-10AY,0,AM)":[1.7739654,0.25302172,0.36455393,3.6043644,-0.701195,-4.009211,-1.367873,-1.7999411,-7.99278,7.1848392,-1.9805014,-3.774768,9.079075,-1.8794775,1.6722441,1.7344594,1.5873075,-2.592039,-1.2300193,-3.268987,-1.1586785,-5.0146523,-3.0167937,-4.3336926,-2.2559166,11.350739,3.0580997,-5.802834,-1.4700711,1.9648314,4.599774,-1.0387778,-1.6445041,-2.1344721,5.597961,1.6352296,3.7262917,1.8288732,-0.06414652,8.472395,1.6272187,4.206431,-3.4285724,3.8165689,2.6218295,-3.5823286,-1.6417027,6.235862,-5.874157,1.0056257,-3.6017656,3.9185882,-1.9877255,-3.86163,0.64935684,2.870965,-4.954529,-3.3322334,-1.9453943,1.4528394,2.7463078,0.4677534,7.349515,-7.4659166,3.0800104,3.3691406,-7.7821016,7.0675135,-2.8571427,7.7755213,4.203272,0.6744027,2.633977,-23.539824,1.1188269,2.0221353,13.01421,8.21476,9.815955,-0.8100569,1.8586278,5.8888674,3.1853795,5.311656,3.727901,5.344224,4.275584,0.3186822,4.4090867,-1.3491094,3.0296683,-2.6138484,-3.187251,5.414772,-5.7035327,3.134942,-10.873824,-12.004889,7.5298667,-10.49096,-4.382926,-5.0947485,10.736502,-10.434532,-8.811879,23.488962,2.0455003,2.1663785,1.2157202,-6.508374,8.75411,-1.0164917,0.0,2.331388,-7.648492,-4.8164425,2.715218,-0.600785,15.865814,0.9727359,-2.4880826],"CPALM-FDS^FG_PRICE_CHANGE(0,-6AM)":5.17842768983097,"PASP-FDS^FG_PRICE_CHANGE(0,-6AM)":-32.089552238806,"PLATI-FDS^FG_PRICE_CHANGE(0,-6AM)":-2.73224043715847,"COPP-FDS^FG_PRICE_CHANGE(0,-6AM)":0.376901332615431,"EWQ^FG_PRICE(0)":38.04,"EWL^FG_PRICE(0)":45.55,"EWA^FG_PRICE(0)":22.835,"EZA^FMA_ROE(NTMA,-20AY,NOW,FY,\"PORTAGG\",\"MEANR\")":[17.9443072677306,20.5348928156755,23.3962979706047,22.9309412159492,18.5257233943907,16.4229233067431,17.9081210683932,18.7154492714901,17.1811698307319,15.8177225487006,15.0179384562795,14.1296467541483,12.9857675631351,13.3471903111701,14.1097872522301,13.6185226454453,16.7115371927188,16.932589581546,16.8118349535848,14.5722752976358],"URTH^P_PRICE(0,-200D)":[135.36,138.0,137.9,137.23,137.15,136.37,135.84,136.45,135.75,134.2,135.99,136.11,135.07,134.95,134.42,134.11,133.94,133.63,132.25,131.15,132.01,132.93,132.82,132.83,132.06,132.59,130.86,130.7,130.85,131.91,133.02,133.28,133.36,132.98,132.43,132.16,130.63,133.48,132.56,131.95,132.36,131.67,129.75,129.41,128.92,128.46,127.54,127.84,128.04,128.76,127.78,127.43,127.41,127.31,127.52,127.23,126.8,127.07,126.3,125.66,125.66,125.46,122.88,122.84,121.31,122.02,121.99,121.89,121.93,120.72,118.32,117.11,116.43,115.01,115.58,116.77,118.3,117.5,117.65,118.98,120.06,121.84,121.85,120.68,121.38,122.32,121.78,120.79,120.25,118.88,118.63,117.94,119.51,120.17,120.52,119.58,119.67,121.39,121.17,121.36,123.43,124.34,124.52,124.62,125.72,124.52,124.48,125.09,124.12,124.09,124.45,125.21,125.91,125.7,125.89,125.4,123.64,122.7,121.87,123.51,122.21,122.57,121.82,121.85,122.7,123.68,125.17,124.87,125.17,125.01,125.65,126.29,125.22,125.52,125.9,127.91,128.54,128.44,127.22,128.01,127.92,127.59,127.4,127.33,128.1,127.93,126.92,126.64,126.98,125.53,124.18,123.25,122.87,122.77,124.16,124.8,124.52,123.18,122.82,122.8,121.54,121.79,122.89,122.91,123.24,124.29,124.7,123.18,122.95,122.03,121.09,120.95,120.16,121.98,121.46,121.83,120.03,118.6,119.52,119.91,118.41,117.91,119.03,120.47,120.39,120.33,119.56,118.43,119.46,118.75,118.92,119.2,118.91,119.4,119.35,117.29,117.86,118.37,119.67,119.79,119.18],"EWJ^P_PRICE_RETURNS_PR('52W',2,-10AY,0,AM)":[15.172863,7.8274965,-3.6507547,-4.01479,6.762016,1.9407988,4.5844793,3.6258698,-7.2362003,-0.015574694,-3.0926704,-5.6436596,5.707228,13.154518,20.500792,16.602898,11.516476,8.631599,9.485316,0.32684803,11.001884,6.0777545,5.855489,2.8661132,-10.613335,-4.3235006,-6.7208886,-10.280305,-10.637194,-5.832064,-2.353239,5.5918336,4.4909596,0.2713561,8.522606,14.206481,26.318598,14.092482,8.9735985,14.210153,21.586407,14.445745,11.090732,14.980102,18.369055,20.996452,19.274616,27.14405,16.836512,18.951118,20.577288,18.85146,12.720596,9.1579075,7.2566032,5.7265162,1.5479326,-6.5968156,-9.640426,-15.164638,-8.065737,-9.014148,-7.153267,-12.406975,-9.411555,-1.7686605,-4.53611,0.6288886,2.67874,12.113142,15.282213,15.671515,11.6835,-12.9453,-6.9619894,1.2369037,5.7610273,2.7579308,9.982336,6.9489717,6.068063,8.2862015,11.33436,16.986525,21.875525,55.725502,40.549873,27.403568,27.318108,24.652576,19.970226,27.486122,15.167308,13.411784,3.932035,-0.716275,-8.1916275,-12.180096,-14.21774,-12.859374,-20.883953,-21.13312,-14.7266445,-28.829962,-25.664484,-18.624657,-15.394574,-14.64448,-8.085251,-2.7734518,1.7557621,10.409665,20.353949,20.932007,10.0384,22.436846,22.298098,11.033797,15.275216,20.010471,17.042505],"EMXC^FG_TOTAL_RETURNC(-10AY,0,AM)":[null,null,null,null,null,null,null,null,null,null,null,null,null,null,null,null,null,null,null,null,null,null,null,null,null,null,null,null,null,null,null,null,null,null,null,null,null,null,null,null,null,null,null,4.2137146,2.824533,-1.9002855,0.6137371,7.3078036,-2.1796525,3.2837987,-3.5701573,-1.6025126,-3.8019419,-3.1690598,-1.8911779,-0.03092289,-2.866578,-1.6772747,0.842154,3.712988,1.5154719,0.53493977,3.250289,-6.8192663,4.1157484,3.31707,-6.9013653,4.1169286,0.16528368,2.2557735,3.6642432,4.70016,-4.604739,-22.437965,-2.5585055,1.6386628,12.63007,3.4193754,6.740093,-1.6241312,2.4879932,6.7355156,9.58271,9.038281,1.1275053,-2.5741994,0.6058574,-0.5687535,6.7056656,-2.5645077,-0.32494068,2.3308873,-2.8671563,1.9842505,-3.5489976,5.7157993,-3.1659722,-8.718628,4.576707,-10.067463,-4.5138597,-5.0650954,11.484898,-7.1689425,-6.4596233,11.022579,-1.5833378,4.4311523,-1.1643887,-4.3330727,5.69818,-2.1129549,7.2526097,1.8757105,-4.072899,-0.5040765,-3.2151222,1.9528866,6.4968467,2.3560405,0.4036665],"CPALM-FDS^FG_PRICE_CHANGE(0,-1AM)":3.7037037037037,"PASP-FDS^FG_PRICE_CHANGE(0,-1AM)":-9.45273631840796,"PLATI-FDS^FG_PRICE_CHANGE(0,-1AM)":-4.71092077087795,"COPP-FDS^FG_PRICE_CHANGE(0,-1AM)":-0.307486631016052,"FC0000GR^FG_PRICE(0)":9.517317,"EWI^FG_PRICE_MAVG(0,,,,60)":33.425167,"SPY^FG_PRICE_MAVG(0,,,,60)":473.39484,"EWJ^FG_PRICE_MAVG(0,,,,60)":64.269165,"ENZL^FG_PRICE_MAVG(0,,,,60)":46.734333,"ENZL^FG_COMPANY_NAME":"iShares MSCI New Zealand ETF","EMXC^FG_TOTAL_RETURNC(0,-3AM)":9.44599,"URTH^FG_TOTAL_RETURNC(0,-3AM)":11.074877,"EWY^FMA_ROE(NTMA,-20AY,NOW,FY,\"PORTAGG\",\"MEANR\")":[15.9616854074036,15.4849098528827,13.8927001282369,14.4039664402004,9.92456164609465,13.4147036931661,14.0364525270903,12.8930845102886,12.4745249796659,11.4149566191569,9.77047682396504,8.83276683126284,9.34985338936219,11.1969769851489,9.7866294798229,7.67648123982945,8.30770313390175,10.1458776210508,7.50979386649047,8.9018523713911],"EMXC^P_PRICE(0,-200D)":[54.7702,55.98,55.79,55.52,55.68,55.36,54.69,54.8,54.68,54.06,54.38,54.68,54.27,54.06,54.04,53.74,53.74,53.95,53.29,52.7,53.34,54.55,54.24,54.12,54.23,54.99,54.54,54.34,54.3,54.92,55.41,55.5,55.35,54.93,54.45,54.31,53.42,54.89,54.52,54.37,54.69,53.93,53.14,53.21,52.99,53.01,52.72,52.78,52.88,53.35,52.88,52.84,52.91,52.33,52.38,52.45,52.57,52.76,52.31,52.24,52.18,51.98,50.64,50.84,50.32,50.69,51.02,51.16,50.68,49.89,48.87,48.21,48.37,47.86,48.02,48.41,49.0,48.66,48.81,49.32,49.42,50.13,50.17,49.67,49.86,50.27,49.98,49.37,49.68,49.15,48.99,49.06,49.59,49.83,49.93,49.7,49.68,50.41,50.41,50.25,51.07,51.19,51.47,51.5,51.72,51.32,51.24,51.49,50.95,50.74,50.98,51.36,51.64,51.27,51.93,52.11,51.67,51.37,51.3,51.6,50.77,50.86,50.66,50.64,50.65,50.93,51.4,51.58,52.05,52.12,51.94,52.53,52.41,52.25,52.5,53.65,54.06,54.19,53.58,54.23,54.07,53.75,53.21,53.28,53.67,53.88,53.95,53.69,53.77,53.26,52.31,51.69,51.72,51.33,52.27,52.53,51.98,51.68,51.77,52.05,51.77,51.57,52.19,52.37,52.44,53.01,53.24,53.0,52.78,52.35,52.19,51.85,51.53,51.98,51.64,51.63,50.96,50.33,50.89,51.19,50.32,50.05,50.14,50.61,50.38,50.26,50.22,49.7,50.02,49.57,49.9,50.33,50.2,50.32,50.32,49.67,49.43,49.45,49.75,49.9,49.67],"VGK^P_PRICE_RETURNS_PR('52W',2,-10AY,0,AM)":[20.403458,19.53194,20.781898,21.593582,23.163689,20.519161,10.760248,10.786474,-2.1030843,-0.5840957,-1.8029749,-8.12934,-2.710253,-3.8703918,-1.3480425,-2.0317018,-4.5945587,-2.8199673,-0.13270378,-7.1698904,2.4297953,-3.8404346,-4.8808517,-6.7061663,-16.060453,-6.068116,-8.903289,-13.859755,-13.562304,-12.076163,-7.8197536,-2.8251648,-4.9192133,-6.1999917,1.2626648,9.589613,15.326918,8.079159,7.833004,17.968834,22.851955,22.56006,17.502522,23.176992,28.465593,27.068615,25.131475,30.218517,21.201157,19.848145,19.781483,12.856161,8.240008,5.506861,3.011167,0.37482977,-7.2152796,-6.5586624,-11.431104,-14.234042,-8.235979,-5.562544,-3.5882235,-8.592712,-4.0815773,-0.6020546,-2.6488364,0.6418586,6.4454675,12.243498,19.56793,19.929527,16.821503,-16.06601,-16.253328,-12.626308,-4.991478,-3.7362218,7.098055,2.841425,2.5526762,4.0305734,6.751573,8.5271,9.39933,58.918083,49.35342,52.408493,46.173656,35.807632,32.16877,31.489277,27.41934,27.476501,15.53055,14.166367,7.828486,-5.9099617,-2.5034726,-12.622934,-20.759148,-21.357882,-16.218,-22.94206,-27.056366,-17.07005,-10.00402,-8.993363,-3.354776,3.7069201,5.744374,17.74603,19.370508,27.541817,13.846647,19.681572,26.400448,8.943462,13.55418,9.591103,6.069398],"TLT^FG_TOTAL_RETURNC(-10AY,0,AM)":[1.7711878,2.1047592,2.320373,1.1637807,0.61900616,1.5382767,1.9653916,-1.6161084,6.787443,-1.3082623,6.456554,4.590559,-2.5563896,-0.9503186,2.64225,-8.222318,-0.56577325,-1.6970515,7.129121,-1.6323328,1.8827319,-2.8183103,3.6250591,1.204443,5.408621,-2.960962,3.3776999,0.8823037,2.5532484,4.8213363,-0.92571974,-4.1306553,-0.26034117,-8.382475,-2.9978156,2.9522061,-0.55069923,-3.025347,6.19545,-1.4777184,2.6801825,-0.7597685,2.859652,0.09624958,-0.14603734,-0.9755671,2.594304,-2.0015836,-4.2395234,0.36871433,1.6514301,-1.1630237,0.27534962,3.1170845,-1.6613424,-0.84688663,-3.687805,-0.15186071,3.790462,2.6636958,0.3681183,0.8175492,0.9147048,2.7086854,4.507172,-0.4985988,9.628344,-3.9996266,3.0358672,-2.635622,2.0379305,-0.57530403,4.448092,7.1214914,6.6087484,1.1307597,-1.8183827,2.9425263,-1.7238259,0.5149603,-1.5579998,-2.1149874,0.48958063,-3.754127,-3.5177767,-7.398796,1.9156098,-1.7843008,4.937184,2.1775484,2.4164438,0.6327033,-2.5297582,1.499486,2.655685,-4.3809414,-4.045415,-2.2883415,-8.52586,-5.7125034,-4.814023,5.869484,-0.5882263,-6.618798,-7.473135,-1.2693703,10.275531,-0.6431937,-2.08382,1.7584443,0.46052933,-1.4229536,-2.677673,0.9457588,-6.136501,-0.9157717,-6.706071,0.54255724,10.651422,-0.017935038,-3.89359],"CPALM-FDS^FG_PRICE(0)":3920.0,"PASP-FDS^FG_PRICE(0)":910.0,"PLATI-FDS^FG_PRICE(0)":890.0,"COPP-FDS^FG_PRICE(0)":3.7285,"EWI^FG_PRICE(0)":33.36,"SPY^FG_PRICE(0)":491.6,"EWJ^FG_PRICE(0)":66.58,"ENZL^FG_PRICE(0)":44.48,"EWW^FMA_ROE(NTMA,-20AY,NOW,FY,\"PORTAGG\",\"MEANR\")":[null,null,null,null,null,null,null,null,null,null,null,null,12.2361967072767,12.6640790394995,12.8972143418882,12.0869262436821,11.7827107614497,13.6871625425579,13.3394699375391,13.6990100990521],"VGK^P_PRICE(0,-200D)":[62.53,63.9,63.85,63.63,63.63,63.84,63.33,63.7,64.32,63.69,64.17,64.14,63.93,63.36,63.07,62.45,62.6,62.49,62.47,61.92,62.41,63.62,63.44,63.72,63.45,64.09,63.37,63.49,63.13,63.67,64.48,64.42,64.86,64.5,64.1,64.06,63.12,63.87,63.21,63.48,64.19,63.46,62.58,62.47,62.38,62.04,61.82,61.81,61.87,62.21,61.62,61.76,61.48,61.48,61.67,61.02,60.92,61.18,60.9,60.07,60.2,60.21,58.48,58.33,58.06,58.07,57.79,58.05,58.24,57.76,56.52,56.14,56.04,55.18,55.57,55.81,56.31,56.1,55.98,56.52,56.99,58.06,58.12,57.59,58.12,58.79,58.4,57.5,57.68,56.94,56.61,56.33,56.94,57.93,57.85,57.29,57.54,58.27,58.67,58.8,59.66,59.55,59.51,60.19,60.28,59.57,59.82,60.21,59.59,59.5,59.76,59.98,60.71,60.92,61.47,61.5,60.64,60.01,59.58,60.42,59.92,60.14,59.8,59.9,60.42,60.79,61.58,61.7,62.23,61.99,61.85,62.18,61.59,61.48,61.65,62.79,63.49,63.51,62.97,63.34,63.22,63.1,63.42,63.2,63.44,63.45,63.08,63.17,63.47,62.49,61.04,60.39,60.03,59.64,60.72,61.52,61.7,60.75,60.84,60.89,60.28,60.2,60.94,61.18,61.3,63.28,63.33,62.48,62.26,61.78,61.51,61.88,61.17,61.44,61.21,61.65,60.93,60.22,60.87,61.51,60.84,61.0,61.97,62.89,62.97,62.51,62.63,62.36,63.02,62.55,62.72,62.99,63.07,63.57,63.56,62.62,62.94,62.74,63.48,63.47,63.38],"TLT^P_PRICE_RETURNS_PR('52W',2,-10AY,0,AM)":[-5.1661673,-3.1924903,-4.9189863,-2.1406949,1.458323,8.772087,13.597811,13.451815,18.193924,18.096088,26.772808,29.363108,23.862255,20.156157,20.534157,9.350872,8.005487,4.6200395,9.918189,8.74908,4.852402,3.2480955,1.8649697,-2.7518272,4.1169643,2.672851,3.8002133,14.0975,17.67646,25.479519,15.670813,13.097656,10.718691,5.4811597,-2.2916257,-0.6042361,-6.223607,-6.2858224,-3.7314713,-5.072159,-5.867201,-10.879212,-6.6948295,-3.3946574,-3.2839417,4.5351624,10.56155,4.740834,1.3379335,4.884708,0.3967762,1.4781833,-1.6413927,2.2010207,-2.2910297,-3.2116592,-5.972266,-5.868137,-4.7706423,-0.06864667,4.5630455,5.030632,4.5114636,8.353925,12.926674,9.243,21.4769,17.614328,25.386965,22.695171,20.623434,16.817797,21.566486,29.167807,36.456024,34.359634,26.661861,30.592596,17.06953,19.171047,17.109907,17.736113,15.360475,12.242401,4.0798306,-12.39785,-14.317602,-16.787374,-11.919242,-11.722684,-8.003646,-7.8958807,-8.805073,-5.5630264,-3.3992946,-4.0284276,-5.7386756,-1.4230907,-9.60415,-13.219595,-21.283604,-18.439388,-19.581669,-26.536959,-30.262768,-32.46314,-27.129978,-24.281496,-22.733593,-19.53357,-11.62858,-8.973795,-5.534524,-9.927875,-14.092475,-9.76097,-9.012884,-7.343054,-7.0272264,-7.319033,-8.166385],"OIL^FG_TOTAL_RETURNC(-10AY,0,AM)":[8.00761,-0.7637203,3.8006186,0.18250942,5.430937,-3.887689,-2.7977526,-5.4213405,-7.3576093,-8.654362,-22.305023,-17.257792,12.643778,-11.049461,6.2336683,10.679603,-2.2540033,-11.974716,-17.375887,1.019311,3.0047774,-12.223268,-11.036712,-18.029177,0.4405856,18.042505,4.7833204,7.0409775,5.3064823,-9.444904,-2.4682462,-1.0120213,9.673691,-13.6793375,20.88046,-2.7289867,-2.2458553,-8.585257,7.903445,-10.756975,-3.3997297,-1.6708136,4.4830084,2.5536418,3.2458305,9.869278,-1.011306,13.281261,-7.9575596,5.1873207,9.369862,6.9639325,-5.3395867,3.2657146,-2.15621,4.456413,4.2428493,-21.812456,-4.285306,-1.8437445,4.322481,6.270838,6.7286253,-4.248661,-13.401783,14.197195,-5.9316635,-2.8086603,1.2007475,4.877758,4.30851,-1.4473915,-9.110981,-34.176125,-1.1161625,-20.325207,31.67218,7.7196,7.2589755,-11.390286,4.7115684,-1.2144327,14.101398,11.833466,11.52842,11.508047,-5.7247877,5.7610035,9.618044,6.054783,-7.3855877,4.7455907,13.545073,-0.8638382,-8.3817425,14.039862,12.39078,16.961134,1.7824769,3.6509395,11.197031,-19.727022,3.496945,-3.812766,1.730907,3.2403946,-12.120283,6.2849164,-1.4454663,-5.402666,9.305406,-12.991619,null,null,null,null,null,null,null,null,null],"W-FDS^MAX(FG_PRICE(0,-5AY))":14.2525,"NI-FDS^MAX(FG_PRICE(0,-5AY))":48241.0,"BRENT-FDS^MAX(FG_PRICE(0,-5AY))":140.85,"TIOS-FDS^MAX(FG_PRICE(0,-5AY))":219.77,"EWD^FG_PRICE_MAVG(0,,,,200)":35.18005,"QQQ^FG_PRICE_MAVG(0,,,,200)":374.95294,"EWG^FG_PRICE_MAVG(0,,,,200)":28.044775,"FXI^FG_TOTAL_RETURNC(0,-6AM)":-18.507565,"INDA^FG_TOTAL_RETURNC(0,-6AM)":14.293909,"VWO^FG_TOTAL_RETURNC(0,-6AM)":0.8029461,"EWN^FG_TOTAL_RETURNC(0,-6AM)":7.905841,"EWU^FG_TOTAL_RETURNC(0,-6AM)":-0.53082705,"EWC^FG_TOTAL_RETURNC(0,-6AM)":1.7684221,"URTH^PERCENT_CHANGE(FMA_EPS(+1,0,,,,\"PORTAGG\",\"MEAN\"),FMA_EPS(+1,-1AM,,,,\"PORTAGG\",\"MEAN\"))":-0.9753482148845,"EWN^FMA_PCT_ABOVE_MAVG(200,0,,,,\"PORTAGG\")":55.5555555555556,"EWJ^PERCENT_CHANGE(FMA_EPS(+1,0,,,,\"PORTAGG\",\"MEAN\"),FMA_EPS(+1,-3AM,,,,\"PORTAGG\",\"MEAN\"))":1.42647733658266,"FXI^FMA_COS_DOWN(\"EPS\",\"1M\",+1,0,,,\"PORTAGG\",\"MEANR\")":25.0,"SPY^FMA_COS_UP(\"EPS\",\"1M\",+1,0,,,\"PORTAGG\",\"MEANR\")":285.0,"EWD^SIZE(FG_CONSTITUENTS)":44,"EWU^FMA_COS_DOWN(\"EPS\",\"1M\",+1,0,,,\"PORTAGG\",\"MEANR\")":39.0,"EWA^FMA_COS_UP(\"EPS\",\"1M\",+1,0,,,\"PORTAGG\",\"MEANR\")":24.0,"VGK^FG_TOTAL_RETURNC(0,-1AM)":-1.7132998,"QQQ^FG_TOTAL_RETURNC(0,-1AM)":4.1483283,"VWO^FG_TOTAL_RETURNC(0,-1AM)":-1.1012137,"CC_PE^IMF_IFS_RCPI_Q(0)":3.9030175,"VGK^FMA_DIV_YLD(NTMA,NOW,NOW,M,\"PORTAGG\",\"MEANR\")":3.62641778699979,"VNM^FMA_PE(LTM,0,,,\"PORTAGG\",\"MEANR\")":20.0192730308059,"SET-BKK^FMA_EVAL_EBIT(LTMA,NOW,NOW,M,\"PORTAGG\",\"MEANR\")":19.4563674592377,"MCHI^FG_FCF_YIELD_NTM(0)":7.74019914899654,"GREK^FMA_PE(NTMA,0,,,\"PORTAGG\",\"MEANR\")":7.05919777121075,"EWZ^JULIAN(FMA_DIV_YLD(NTMA,NOW,NOW,M,\"PORTAGG\",\"MEANR\").DATES)":45322,"EWT^FMA_EVAL_EBITDA(NTMA,0,,,\"PORTAGG\",\"MEANR\")":9.29634273572439,"EPU^FMA_DIV_YLD(NTMA,NOW,NOW,M,\"PORTAGG\",\"MEANR\")":3.56893035319268,"EPHE^FMA_PE(LTM,0,,,\"PORTAGG\",\"MEANR\")":11.6048886270952,"CNYA^FMA_EVAL_EBIT(LTMA,NOW,NOW,M,\"PORTAGG\",\"MEANR\")":15.1237223588244,"CC_JP^FDS_ECON_RCPI_Q(0)":2.919474,"VGK^FG_PE_NTM(0,,,90,0)":11.6198720084479,"EWM^FMA_ROE(NTMA,-20AY,NOW,FY,\"PORTAGG\",\"MEANR\")":[13.3764235591454,13.2591008782889,13.5343642097079,14.6672633006441,11.7899739556718,12.6973987236168,14.629974764894,13.8590428625605,13.2332711485965,13.0689929250701,12.0884430441681,10.6772868053956,9.6001106335988,9.81766059257374,9.62847705365634,9.33280715475934,10.6153952262209,9.47363114651143,10.1683466984571,9.55728383141077],"USO^P_PRICE(0,-200D)":[72.59,72.11,71.67,71.52,69.42,68.81,68.18,67.51,69.07,70.92,72.81,72.05,73.1,72.23,70.54,69.66,69.69,68.82,69.06,67.94,67.25,68.02,67.65,66.56,67.39,66.4,69.03,67.57,68.19,65.77,66.65,67.18,68.92,70.21,68.69,69.03,68.79,69.36,68.09,67.15,67.16,65.33,64.25,66.8,66.53,65.11,64.76,67.58,68.47,69.24,70.14,72.52,71.26,69.96,70.82,71.61,72.53,72.3,70.75,68.05,71.34,72.69,72.92,71.79,70.25,70.19,71.8,74.91,74.85,76.18,74.75,75.02,76.05,78.36,76.89,78.46,76.93,78.89,80.7,81.68,79.84,78.8,78.39,78.99,75.42,75.67,76.71,77.13,74.16,73.99,75.59,79.93,79.39,80.86,81.57,82.9,80.88,80.39,80.63,80.41,80.14,81.5,81.45,81.29,81.12,79.68,79.7,78.37,78.3,77.95,78.52,77.76,76.92,75.06,73.66,73.32,72.41,72.45,71.41,71.36,72.28,72.58,72.79,71.98,71.37,72.62,73.81,74.25,74.2,75.1,74.06,73.82,73.79,73.14,71.48,72.96,73.17,72.09,71.43,70.66,71.16,70.69,68.99,68.05,67.69,67.96,66.58,67.47,69.09,67.87,67.03,65.54,65.85,64.44,64.63,63.39,63.55,62.96,62.52,61.3,62.73,62.42,62.52,65.04,63.92,64.35,63.41,61.83,62.14,60.24,62.93,63.46,64.71,63.79,64.03,64.15,62.55,60.63,62.3,64.8,64.09,65.66,64.87,63.91,63.9,64.04,64.6,62.54,62.99,62.07,63.25,64.39,64.87,64.26,63.03,60.7,60.31,63.05,66.55,67.5,65.81],"DBA^P_PRICE_RETURNS_PR('52W',2,-10AY,0,AM)":[-4.5318365,9.554625,10.783553,10.173405,8.830452,3.980887,4.328656,-0.50721765,3.2812476,4.477608,2.272737,0.6595254,-7.532364,-23.314804,-22.51401,-21.685904,-20.014555,-11.255747,-17.825592,-18.19244,-18.64599,-21.196907,-18.593567,-18.099916,-15.667809,-7.095045,-8.133751,-5.0022306,3.184712,-6.4710975,-1.9422054,-4.333335,-6.6480694,-1.6569197,-1.8057525,3.6499977,3.9086223,-3.6983669,-3.0988634,-5.5685577,-12.566137,-7.979703,-6.886518,-6.172222,-4.6812773,-4.4103026,-9.294235,-10.077518,-7.474345,-3.2917678,-4.0101585,-5.249995,-5.849719,-12.982458,-11.041671,-9.389925,-7.9706373,-10.679113,-4.602742,-6.327862,-10.037041,-14.678782,-10.072767,-17.07083,-9.223193,-1.9005597,-10.180616,-8.6422205,-7.224059,-4.979813,-3.988576,-3.3678472,-4.142147,-11.573744,-18.277353,-11.48355,-17.461157,-19.16774,-4.441017,-0.09908676,-5.3821564,-5.8175383,-4.2919517,-0.42682886,5.432725,21.233345,27.3196,36.752773,39.999996,34.375,35.36415,24.764479,28.629292,31.578945,27.71318,20.636868,26.650667,26.16985,31.174088,19.697784,14.285707,9.413075,7.1576715,11.542606,5.931759,2.448976,0.40465593,-0.3769338,-3.3198178,-8.298052,-7.529479,-4.7240853,-1.6341031,8.57625,4.3402553,7.439041,8.109164,11.900484,9.957075,10.521626,13.300503],"QQQ^FG_TOTAL_RETURNC(-10AY,0,AM)":[4.208803,0.020480156,-5.572641,4.9696803,4.5645,3.472495,1.2175918,3.1629205,-6.331831,10.692776,-0.22352338,-0.7534504,5.3093076,-1.4685333,2.264738,0.4838109,0.6944418,0.9594083,0.7303238,-4.323,0.7500887,3.524971,0.86489916,-7.7375116,-3.807658,8.6411,4.4588923,-4.8778296,2.3980975,3.2300234,5.3767323,-1.6296923,1.7374873,-1.025641,4.024172,2.5448322,4.011047,2.7400374,-0.7131219,6.2883496,1.2698412,0.73827505,0.7730007,3.040111,1.5336037,3.7279248,1.3777971,5.668032,-2.9181123,7.527089,-5.8662534,5.0133348,3.7531018,2.3746014,0.39530993,2.3347378,-5.363578,-4.5032144,-0.8229673,-2.3858309,6.422293,3.5085678,5.1735163,-3.901416,2.710271,5.744982,-2.6559174,2.2028685,-0.5425453,5.4837465,2.7779222,6.8716526,5.8927417,-17.792881,5.782461,8.033299,7.54081,9.795057,5.3918123,-0.7450104,9.0580225,-1.2189329,3.7534833,4.8912644,6.458044,-6.238675,8.103073,-6.2419295,6.857896,6.329155,1.7659068,2.0362139,-4.231,9.638893,-0.6181896,-3.5977483,-8.1025305,-6.5291286,6.898606,-12.8222885,-8.786511,3.9126992,15.662527,-11.105061,-8.308154,7.1200013,0.2396226,-2.4241567,8.374559,-4.5353055,9.966839,1.8360019,11.761999,4.5176506,-3.4049869,2.1761656,-2.2453249,3.2659888,7.033217,1.6962409,4.1483283],"W-FDS^FG_PRICE_CHANGE(0,-1AY)":-24.5580808080808,"NI-FDS^FG_PRICE_CHANGE(0,-1AY)":-41.1138105027098,"BRENT-FDS^FG_PRICE_CHANGE(0,-1AY)":-1.98630136986301,"TIOS-FDS^FG_PRICE_CHANGE(0,-1AY)":4.12895927601811,"EWD^FG_PRICE_MAVG(0,,,,30)":37.370335,"QQQ^FG_PRICE_MAVG(0,,,,30)":418.17432,"EWG^FG_PRICE_MAVG(0,,,,30)":29.134832,"IWM^P_PRICE(0)/P_PRICE_LOW_PR(0,,,USD,,,\"PRICE\",\"INTRA\",\"52W\")-1":0.20115054,"VGK^P_PRICE(0)/P_PRICE_LOW_PR(0,,,USD,,,\"PRICE\",\"INTRA\",\"52W\")-1":0.13567019,"EWQ^P_PRICE(0)/P_PRICE_LOW_PR(0,,,USD,,,\"PRICE\",\"INTRA\",\"52W\")-1":0.1301248,"EWL^P_PRICE(0)/P_PRICE_LOW_PR(0,,,USD,,,\"PRICE\",\"INTRA\",\"52W\")-1":0.09626961,"EWA^P_PRICE(0)/P_PRICE_LOW_PR(0,,,USD,,,\"PRICE\",\"INTRA\",\"52W\")-1":0.116080165,"VWO^PERCENT_CHANGE(FMA_EPS(+1,0,,,,\"PORTAGG\",\"MEAN\"),FMA_EPS(+1,-3AM,,,,\"PORTAGG\",\"MEAN\"))":0.142451990558968,"EWQ^PERCENT_CHANGE(FMA_EPS(+1,0,,,,\"PORTAGG\",\"MEAN\"),FMA_EPS(+1,-1AM,,,,\"PORTAGG\",\"MEAN\"))":-3.33668947877947,"EWJ^FMA_PCT_ABOVE_MAVG(200,0,,,,\"PORTAGG\")":71.6814159292035,"IWM^SIZE(FG_CONSTITUENTS)":1948,"EWD^FMA_COS_UP(\"EPS\",\"1M\",+1,0,,,\"PORTAGG\",\"MEANR\")":10.0,"EWL^SIZE(FG_CONSTITUENTS)":46,"ENZL^FMA_COS_DOWN(\"EPS\",\"1M\",+1,0,,,\"PORTAGG\",\"MEANR\")":8.0,"TLT^FG_TOTAL_RETURNC(0,-6AM)":-1.1812747,"UUP^FG_TOTAL_RETURNC(0,-6AM)":5.1929593,"CC_VN^IMF_IFS_RCPI_Q(0)":3.5401578,"CC_PH^IMF_IFS_RCPI_Q(0)":null,"VGK^FG_PE(0)":12.6284569939819,"UAE^FMA_EVAL_EBIT(LTMA,NOW,NOW,M,\"PORTAGG\",\"MEANR\")":10.076405626847,"SET-BKK^FG_FCF_YIELD_NTM(0)":4.43415854750693,"NI-FDS^FG_PRICE(0)/MAX(FG_PRICE(0,-1AY))":0.585687732342007,"EWN^P_PRICE(0)/P_PRICE_HIGH_PR(0,,,USD,,,\"PRICE\",\"INTRA\",\"52W\")":0.96629447,"EWD^PERCENT_CHANGE(FMA_EPS(+1,0,,,,\"PORTAGG\",\"MEAN\"),FMA_EPS(+1,-3AM,,,,\"PORTAGG\",\"MEAN\"))":-9.25790707866738,"ENZL^PERCENT_CHANGE(FMA_EPS(+1,0,,,,\"PORTAGG\",\"MEAN\"),FMA_EPS(+1,-3AM,,,,\"PORTAGG\",\"MEAN\"))":-5.71556238085831,"EWI^SIZE(FG_CONSTITUENTS)":26,"EWA^SIZE(FG_CONSTITUENTS)":59,"EPOL^FG_FCF_YIELD_NTM(0)":3.58849447742567,"CNYA^FG_FCF_YIELD_NTM(0)":6.22425593018501,"EWU^FMA_EVAL_EBIT(LTMA,NOW,NOW,M,\"PORTAGG\",\"MEANR\")":10.3847176629095,"CC_SA^IMF_IFS_RCPI_Q(0)":1.5943921,"SET-BKK^FMA_EVAL_EBITDA(NTMA,0,,,\"PORTAGG\",\"MEANR\")":9.64926468175776,"GREK^FMA_DIV_YLD(NTMA,NOW,NOW,M,\"PORTAGG\",\"MEANR\")":4.62658149844072,"EWW^FMA_PE(LTM,0,,,\"PORTAGG\",\"MEANR\")":12.8872644803769,"EPHE^FMA_EVAL_EBIT(LTMA,NOW,NOW,M,\"PORTAGG\",\"MEANR\")":12.8411583501958,"EWQ^FG_PE(0)":14.9935960024687,"EWC^JULIAN(FMA_DIV_YLD(NTMA,NOW,NOW,M,\"PORTAGG\",\"MEANR\").DATES)":45322,"INDA^FG_COMPANY_NAME":"iShares MSCI India ETF","VGK^FMA_EVAL_EBITDA(NTMA,0,,,\"PORTAGG\",\"MEANR\")":8.08589299912181,"EWD^PERCENT_CHANGE(FMA_EPS(+1,0,,,,\"PORTAGG\",\"MEAN\"),FMA_EPS(+1,-1AM,,,,\"PORTAGG\",\"MEAN\"))":-3.20554995334952,"ENZL^PERCENT_CHANGE(FMA_EPS(+1,0,,,,\"PORTAGG\",\"MEAN\"),FMA_EPS(+1,-1AM,,,,\"PORTAGG\",\"MEAN\"))":-2.08503242671743,"EWI^FMA_COS_DOWN(\"EPS\",\"1M\",+1,0,,,\"PORTAGG\",\"MEANR\")":11.0,"EWA^FMA_COS_DOWN(\"EPS\",\"1M\",+1,0,,,\"PORTAGG\",\"MEANR\")":23.0,"CNYA^FMA_PE(NTMA,0,,,\"PORTAGG\",\"MEANR\")":11.0504621879473,"EWU^FG_FCF_YIELD_NTM(0)":6.68329799880361,"EWC^FMA_EVAL_EBITDA(NTMA,0,,,\"PORTAGG\",\"MEANR\")":9.52666216701969,"INDA^P_PRICE(0)/P_PRICE_HIGH_PR(0,,,USD,,,\"PRICE\",\"INTRA\",\"52W\")":0.9777427,"ENZL^SIZE(FG_CONSTITUENTS)":16,"CC_BR^IMF_IFS_RCPI_Q(0)":4.7076507,"SET-BKK^FMA_PE(LTM,0,,,\"PORTAGG\",\"MEANR\")":17.4563323841678,"EWT^FMA_EVAL_EBIT(LTMA,NOW,NOW,M,\"PORTAGG\",\"MEANR\")":19.9614696216411,"EPHE^FG_FCF_YIELD_NTM(0)":6.65347088492693,"SPY^FMA_EVAL_EBIT(LTMA,NOW,NOW,M,\"PORTAGG\",\"MEANR\")":19.9607022235476,"EWJ^FMA_EVAL_EBIT(LTMA,NOW,NOW,M,\"PORTAGG\",\"MEANR\")":17.4345197221531,"EWA^FMA_EVAL_EBITDA(NTMA,0,,,\"PORTAGG\",\"MEANR\")":8.52682856842672,"EWC^FG_FCF_YIELD_NTM(0)":5.27339716003774,"EWD^FG_PE_NTM(0,,,90,0)":15.7165043525896,"SPY^FG_FCF_YIELD_NTM(0)":4.28524376148986,"EPU^FMA_EVAL_EBIT(LTMA,NOW,NOW,M,\"PORTAGG\",\"MEANR\")":13.7248933374472,"MCHI^FMA_PE(NTMA,0,,,\"PORTAGG\",\"MEANR\")":8.78305659088078,"EWL^PERCENT_CHANGE(FMA_EPS(+1,0,,,,\"PORTAGG\",\"MEAN\"),FMA_EPS(+1,-1AM,,,,\"PORTAGG\",\"MEAN\"))":-3.94144806292292,"EPU^FMA_EVAL_EBITDA(NTMA,0,,,\"PORTAGG\",\"MEANR\")":6.68041290742988,"INDA^JULIAN(FMA_DIV_YLD(NTMA,NOW,NOW,M,\"PORTAGG\",\"MEANR\").DATES)":45322,"VGK^FMA_COS_DOWN(\"EPS\",\"1M\",+1,0,,,\"PORTAGG\",\"MEANR\")":378.0,"QQQ^FG_PE(0)":32.9335766503848,"GREK^FMA_ROE(NTMA,-20AY,NOW,FY,\"PORTAGG\",\"MEANR\")":[null,null,null,null,null,null,null,null,5.18059570882845,5.02924580688049,6.28451178662672,5.47133635917723,4.56601797799517,3.94646034419328,4.24726660688599,5.810021541725,5.36711218261452,8.82576684666533,11.0341923380188,13.1253657894167],"EWD^FG_PRICE_MAVG(0,,,,60)":37.482166,"FXI^PERCENT_CHANGE(FMA_EPS(+1,0,,,,\"PORTAGG\",\"MEAN\"),FMA_EPS(+1,-1AM,,,,\"PORTAGG\",\"MEAN\"))":-2.3144201187151,"EWU^FMA_EVAL_EBITDA(NTMA,0,,,\"PORTAGG\",\"MEANR\")":7.28365765141145,"VNM^FMA_EVAL_EBIT(LTMA,NOW,NOW,M,\"PORTAGG\",\"MEANR\")":16.7451488048434,"CC_FR^FDS_ECON_RCPI_Q(0)":3.833343,"QQQ^FG_PE_NTM(0,,,90,0)":26.2423292844952,"UUP^FG_TOTAL_RETURNC(0,-1AM)":2.914381,"EWJ^FMA_DIV_YLD(NTMA,NOW,NOW,M,\"PORTAGG\",\"MEANR\")":2.2636889371995,"URTH^FMA_PCT_ABOVE_MAVG(200,0,,,,\"PORTAGG\")":65.1525423728814,"EWC^FG_PE_NTM(0,,,90,0)":13.8967027859164,"EPOL^FMA_EVAL_EBIT(LTMA,NOW,NOW,M,\"PORTAGG\",\"MEANR\")":6.97033957773249,"EWJ^FG_TOTAL_RETURNC(-10AY,0,AM)":[-4.749995,-2.274716,-3.3124447,4.629624,4.6902657,1.6206145,-0.083744526,-1.1735141,-7.3791323,7.78389,-3.4834385,-1.0053515,6.7084074,4.6102166,2.964747,1.2451291,-0.38431883,-0.50362945,0.70148706,-9.13313,2.1294713,3.0025125,-2.7530372,-4.723561,-8.362675,10.758888,2.6886463,-2.6182473,-0.78057647,4.846394,3.6134481,-0.97323656,1.0647058,0.28363466,3.7373662,0.26654005,1.3558745,0.03876686,-1.918602,3.4775734,4.1817904,-1.3111293,1.0654211,1.9974113,4.0435195,2.509582,2.261138,6.2098145,-6.2716665,1.8493652,-0.5777538,1.7433167,-0.9464741,-4.4303417,-0.69493055,0.54234266,-1.2876332,-4.5478525,-1.0711014,-0.59769154,1.8925071,0.7986665,1.4556885,-4.0138063,2.4408698,2.678585,-2.5957525,5.982113,0.4923582,4.461944,1.7252922,-0.26200414,-1.6204476,-21.429783,8.428788,4.444897,7.137406,-0.3474176,4.252255,1.192534,1.5029907,6.646478,4.054904,5.3391457,3.3959627,-3.6477983,1.0733962,-5.32434,5.177474,-0.6823361,0.33620596,7.532048,-8.305102,3.5461068,-3.2846272,0.62789917,-4.9769697,-8.474046,0.034165382,-3.82514,-4.508078,-0.9951174,8.15475,-9.977203,-4.2267265,11.734796,2.009976,1.5200377,2.3251653,-3.184712,4.694164,2.24185,6.2431097,-0.51959753,-2.8648317,1.4828086,-4.3352547,1.4434338,5.906689,5.2434325,0.22580624],"INDA^P_PRICE(0)/P_PRICE_LOW_PR(0,,,USD,,,\"PRICE\",\"INTRA\",\"52W\")-1":0.32013774,"EWN^FG_TOTAL_RETURNC(0,-3AM)":14.908195,"TLT^P_PRICE(0)/P_PRICE_HIGH_PR(0,,,USD,,,\"PRICE\",\"INTRA\",\"52W\")":0.8475711,"KSA^FMA_EVAL_EBIT(LTMA,NOW,NOW,M,\"PORTAGG\",\"MEANR\")":21.5901346651468,"EWW^JULIAN(FMA_DIV_YLD(NTMA,NOW,NOW,M,\"PORTAGG\",\"MEANR\").DATES)":45322,"EPHE^FMA_EVAL_EBITDA(NTMA,0,,,\"PORTAGG\",\"MEANR\")":8.92374546750612,"CNYA^FMA_PE(LTM,0,,,\"PORTAGG\",\"MEANR\")":13.6706985154962,"EWQ^JULIAN(FMA_DIV_YLD(NTMA,NOW,NOW,M,\"PORTAGG\",\"MEANR\").DATES)":45322,"EWA^FMA_EVAL_EBIT(LTMA,NOW,NOW,M,\"PORTAGG\",\"MEANR\")":12.5082595605986,"VGK^FG_FCF_YIELD_NTM(0)":6.34561937548131,"EWL^JULIAN(FMA_DIV_YLD(NTMA,NOW,NOW,M,\"PORTAGG\",\"MEANR\").DATES)":45322,"PLATI-FDS^FG_PRICE_CHANGE(0,-3AM)":3.97196261682242,"FXI^FMA_PCT_ABOVE_MAVG(200,0,,,,\"PORTAGG\")":26.9230769230769,"EWD^FMA_PCT_ABOVE_MAVG(200,0,,,,\"PORTAGG\")":67.4418604651163,"ENZL^FMA_PCT_ABOVE_MAVG(200,0,,,,\"PORTAGG\")":50.0,"EWI^FMA_COS_UP(\"EPS\",\"1M\",+1,0,,,\"PORTAGG\",\"MEANR\")":10.0,"CC_TR^IMF_IFS_RCPI_Q(0)":62.72422,"KSA^FMA_EVAL_EBITDA(NTMA,0,,,\"PORTAGG\",\"MEANR\")":10.8966642513099,"SET-BKK^FMA_PE(NTMA,0,,,\"PORTAGG\",\"MEANR\")":14.3399402388186,"GREK^FMA_PE(LTM,0,,,\"PORTAGG\",\"MEANR\")":7.67027976543453,"CNYA^JULIAN(FMA_DIV_YLD(NTMA,NOW,NOW,M,\"PORTAGG\",\"MEANR\").DATES)":45322,"GREK^JULIAN(FMA_DIV_YLD(NTMA,NOW,NOW,M,\"PORTAGG\",\"MEANR\").DATES)":45322,"ECH^FG_FCF_YIELD_NTM(0)":9.07905437526059,"EWG^FG_PRICE_MAVG(0,,,,60)":29.004417,"EWN^FMA_EVAL_EBITDA(NTMA,0,,,\"PORTAGG\",\"MEANR\")":13.4131630001747,"EWJ^PERCENT_CHANGE(FMA_EPS(+1,0,,,,\"PORTAGG\",\"MEAN\"),FMA_EPS(+1,-1AM,,,,\"PORTAGG\",\"MEAN\"))":-2.40290739162168,"EMXC^FG_TOTAL_RETURNC(0,-1AM)":0.4036665,"EWC^P_PRICE(0)/P_PRICE_HIGH_PR(0,,,USD,,,\"PRICE\",\"INTRA\",\"52W\")":0.94890505,"EWC^FMA_COS_DOWN(\"EPS\",\"1M\",+1,0,,,\"PORTAGG\",\"MEANR\")":34.0,"EWY^FMA_PE(LTM,0,,,\"PORTAGG\",\"MEANR\")":17.277710001607,"EWW^FMA_DIV_YLD(NTMA,NOW,NOW,M,\"PORTAGG\",\"MEANR\")":3.75061516366443,"EWA^FMA_PCT_ABOVE_MAVG(200,0,,,,\"PORTAGG\")":66.1016949152542,"QQQ^JULIAN(FMA_DIV_YLD(NTMA,NOW,NOW,M,\"PORTAGG\",\"MEANR\").DATES)":45322,"EWZ^FMA_ROE(NTMA,-20AY,NOW,FY,\"PORTAGG\",\"MEANR\")":[10.902459324937,15.1330068419745,12.2637569805604,16.9213337132468,15.0739650750282,15.0554926171621,15.5613461627174,13.5280238194533,11.6623907171401,12.921670812909,10.9002435918115,10.6345360348741,11.2231596394428,13.1487202255739,15.1975351275066,14.5230256357744,16.6004077805652,20.3585186127796,19.4095239083521,18.6294532976694],"SET-BKK^JULIAN(FMA_DIV_YLD(NTMA,NOW,NOW,M,\"PORTAGG\",\"MEANR\").DATES)":45322,"EWU^FMA_DIV_YLD(NTMA,NOW,NOW,M,\"PORTAGG\",\"MEANR\")":4.27602724132842,"EWQ^FMA_DIV_YLD(NTMA,NOW,NOW,M,\"PORTAGG\",\"MEANR\")":3.17629276731666,"EWZ^FMA_PE(LTM,0,,,\"PORTAGG\",\"MEANR\")":7.35608164930406,"EWG^FMA_EVAL_EBIT(LTMA,NOW,NOW,M,\"PORTAGG\",\"MEANR\")":13.1278181564876,"EWY^FMA_EVAL_EBITDA(NTMA,0,,,\"PORTAGG\",\"MEANR\")":6.72881850153964,"URTH^PERCENT_CHANGE(FMA_EPS(+1,0,,,,\"PORTAGG\",\"MEAN\"),FMA_EPS(+1,-3AM,,,,\"PORTAGG\",\"MEAN\"))":-1.6035512419857,"TUR^FMA_PE(LTM,0,,,\"PORTAGG\",\"MEANR\")":6.80893798561061,"EWD^JULIAN(FMA_DIV_YLD(NTMA,NOW,NOW,M,\"PORTAGG\",\"MEANR\").DATES)":45322,"EWU^FG_PE_NTM(0,,,90,0)":11.0222176105224,"VGK^FG_TOTAL_RETURNC(-10AY,0,AM)":[1.3250709,-1.6474187,2.0357609,4.1745424,0.6101608,-2.091211,-3.6753416,1.0775447,-9.200466,3.906405,-2.7359068,-1.4569402,7.3018312,-2.8202295,4.7130704,3.452611,-1.8772781,-0.4169643,-1.0117412,-6.0777545,0.22426844,-2.4542212,-1.5974522,-5.49981,-3.7731767,8.962584,1.6857743,-2.1761239,-1.5384555,1.295197,4.0833592,-1.2770712,-1.935482,-1.4431238,3.7252307,2.2710562,1.2645364,2.1147966,1.4541745,8.13135,1.4822841,1.0545135,-0.089377165,3.3637524,2.2749186,-2.514869,2.143979,5.972886,-5.3424,0.9748578,1.3977528,1.124537,-1.9419074,-1.4971852,-2.4527013,0.71839094,-5.5552664,-1.7247915,-3.1822503,1.3233423,2.5727391,3.916645,3.4306884,-4.04405,2.8974533,1.9151449,-4.3105006,4.122925,-0.44981837,3.9829612,3.1355739,1.6297579,-0.0854671,-25.337898,3.1998634,0.11175871,11.766016,3.3750653,6.459141,-0.9685695,0.22609234,5.4814816,3.9501429,5.1917076,1.3895631,1.4183283,3.032744,2.1595955,5.2024007,-2.137816,3.6066532,-1.4776945,-2.8761744,3.8984299,-4.312825,3.9495945,-4.8189282,-10.908252,6.695938,-8.443874,-4.5936346,-2.8772533,9.546959,-8.6972,-8.061844,17.816948,4.1095853,5.1169515,1.0783076,-4.398489,8.792114,-0.93443394,-0.46362877,3.7711263,-2.7887225,-3.4521878,-2.9004693,1.5454054,8.515728,0.977087,-1.7132998],"SPY^FG_PRICE_MAVG(0,,,,200)":446.14346,"IWM^PERCENT_CHANGE(FMA_EPS(+1,0,,,,\"PORTAGG\",\"MEAN\"),FMA_EPS(+1,-3AM,,,,\"PORTAGG\",\"MEAN\"))":-5.6017758324225,"EWN^PERCENT_CHANGE(FMA_EPS(+1,0,,,,\"PORTAGG\",\"MEAN\"),FMA_EPS(+1,-3AM,,,,\"PORTAGG\",\"MEAN\"))":-0.261055924524631,"FXI^SIZE(FG_CONSTITUENTS)":52,"TLT^FG_TOTAL_RETURNC(0,-1AM)":-3.89359,"PLATI-FDS^FG_PRICE_MAVG(0,,,,30)":921.4667,"EWD^FMA_COS_DOWN(\"EPS\",\"1M\",+1,0,,,\"PORTAGG\",\"MEANR\")":25.0,"DBA^FG_TOTAL_RETURNC(0,-3AM)":2.8622508,"CC_KR^IMF_IFS_RCPI_Q(0)":3.404687,"VNM^FMA_EVAL_EBITDA(NTMA,0,,,\"PORTAGG\",\"MEANR\")":9.36395310186876,"QAT^FMA_PE(NTMA,0,,,\"PORTAGG\",\"MEANR\")":10.2139322759616,"EPHE^FMA_DIV_YLD(NTMA,NOW,NOW,M,\"PORTAGG\",\"MEANR\")":2.89837980095751,"CC_US^FDS_ECON_RCPI_Q(0)":3.2361505,"SPY^FMA_EVAL_EBITDA(NTMA,0,,,\"PORTAGG\",\"MEANR\")":13.9059627392046,"EWJ^FMA_EVAL_EBITDA(NTMA,0,,,\"PORTAGG\",\"MEANR\")":10.3600380300984,"EWA^FG_FCF_YIELD_NTM(0)":4.69010388721939,"INDA^FG_TOTAL_RETURNC(0,-3AM)":12.235486999999999,"IWM^PERCENT_CHANGE(FMA_EPS(+1,0,,,,\"PORTAGG\",\"MEAN\"),FMA_EPS(+1,-1AM,,,,\"PORTAGG\",\"MEAN\"))":-0.689098613452678,"EWN^PERCENT_CHANGE(FMA_EPS(+1,0,,,,\"PORTAGG\",\"MEAN\"),FMA_EPS(+1,-1AM,,,,\"PORTAGG\",\"MEAN\"))":-2.55875221664414,"EZA^FMA_EVAL_EBITDA(NTMA,0,,,\"PORTAGG\",\"MEANR\")":7.04575418793499,"EWT^FG_FCF_YIELD_NTM(0)":4.0211679427439,"EWU^FG_PE(0)":9.09958279565988,"EWC^FMA_DIV_YLD(NTMA,NOW,NOW,M,\"PORTAGG\",\"MEANR\")":3.3344469777331,"EWL^PERCENT_CHANGE(FMA_EPS(+1,0,,,,\"PORTAGG\",\"MEAN\"),FMA_EPS(+1,-3AM,,,,\"PORTAGG\",\"MEAN\"))":-2.83786134676335,"EWD^FG_FCF_YIELD_NTM(0)":5.48484016811327,"W-FDS^FG_PRICE(0)/MAX(FG_PRICE(0,-1AY))":0.754419191919192,"TUR^FMA_DIV_YLD(NTMA,NOW,NOW,M,\"PORTAGG\",\"MEANR\")":4.41554574340865,"EWC^P_PRICE(0)/P_PRICE_LOW_PR(0,,,USD,,,\"PRICE\",\"INTRA\",\"52W\")-1":0.11747849,"VWO^FG_PE(0)":13.3668245835043,"EWJ^JULIAN(FMA_DIV_YLD(NTMA,NOW,NOW,M,\"PORTAGG\",\"MEANR\").DATES)":45322,"EWG^PERCENT_CHANGE(FMA_EPS(+1,0,,,,\"PORTAGG\",\"MEAN\"),FMA_EPS(+1,-1AM,,,,\"PORTAGG\",\"MEAN\"))":-4.44089996906085,"EWT^FMA_ROE(NTMA,-20AY,NOW,FY,\"PORTAGG\",\"MEANR\")":[14.2091388164968,14.0985457137066,14.4590710347444,16.4807805647515,6.19596421132224,11.6376050166428,14.2189185035578,11.6486429529888,11.5182166875632,11.7877597873521,13.127345554296,12.3828245738855,11.7924660472797,12.5855614416921,11.5125837952604,10.8983134823894,11.6209108675926,14.724411980088,12.9407920839873,11.9152161134332],"SPY^FG_PRICE_MAVG(0,,,,30)":483.84366,"FXI^FMA_COS_UP(\"EPS\",\"1M\",+1,0,,,\"PORTAGG\",\"MEANR\")":17.0,"DBA^FG_TOTAL_RETURNC(0,-1AM)":6.720042,"CC_MX^IMF_IFS_RCPI_Q(0)":4.4145546,"VNM^FG_FCF_YIELD_NTM(0)":7.52955106394237,"QAT^FMA_PE(LTM,0,,,\"PORTAGG\",\"MEANR\")":12.2890031032347,"EZA^FG_FCF_YIELD_NTM(0)":4.85258035608783,"EPHE^FMA_PE(NTMA,0,,,\"PORTAGG\",\"MEANR\")":9.85692418906605,"EWJ^FG_FCF_YIELD_NTM(0)":4.14546679091487,"EWQ^FG_PE_NTM(0,,,90,0)":13.7785197094028,"EWM^FMA_PE(LTM,0,,,\"PORTAGG\",\"MEANR\")":19.560208021077,"EWJ^FG_PE(0)":15.9954799486644,"EWJ^P_PRICE(0,-200D)":[66.575,66.97,66.63,66.39,66.56,66.18,66.19,66.51,66.92,66.21,65.93,66.17,65.39,65.92,66.17,66.09,66.68,65.9,65.73,65.12,65.94,66.43,65.8,65.22,64.07,64.46,63.53,63.06,63.21,63.56,64.14,64.04,63.66,63.31,63.33,63.13,62.05,63.24,63.05,63.17,63.72,64.01,63.05,63.14,62.78,63.15,62.67,62.02,62.25,63.21,62.61,62.49,62.55,62.56,62.61,62.49,62.1,62.36,62.35,61.39,61.18,61.64,60.44,60.47,59.89,59.64,60.64,61.2,62.0,60.95,59.97,58.96,58.25,57.82,57.34,58.13,58.36,57.99,58.13,58.52,58.95,59.89,59.77,59.58,60.33,60.18,60.33,59.55,59.38,59.23,58.09,58.73,59.77,60.29,61.15,61.03,60.77,61.72,61.8,61.63,62.6,63.45,63.14,62.99,63.34,62.28,62.31,62.32,61.61,62.23,62.23,62.07,62.04,61.64,60.99,61.1,60.68,59.97,59.66,60.45,59.66,59.37,59.32,59.17,59.42,60.17,60.82,61.37,61.47,61.21,61.75,62.3,61.78,61.19,61.49,62.67,63.42,63.7,63.34,62.83,62.58,62.5,62.41,62.48,63.32,63.31,62.45,62.42,63.18,62.25,61.82,61.55,61.64,60.77,61.58,62.09,61.9,61.51,61.82,61.14,60.91,60.91,62.45,62.97,62.23,63.1,63.71,63.8,63.51,62.61,62.22,61.52,61.0,63.04,61.78,62.0,60.83,59.34,59.86,60.25,60.05,59.71,60.35,61.23,60.96,60.86,60.85,60.44,60.56,60.2,59.91,59.74,60.04,59.4,59.53,58.74,58.63,58.28,58.77,58.84,59.31],"EWU^SIZE(FG_CONSTITUENTS)":85,"EWG^P_PRICE(0)/P_PRICE_HIGH_PR(0,,,USD,,,\"PRICE\",\"INTRA\",\"52W\")":0.9610368,"FXI^P_PRICE(0)/P_PRICE_HIGH_PR(0,,,USD,,,\"PRICE\",\"INTRA\",\"52W\")":0.7257695,"EWG^FG_TOTAL_RETURNC(0,-3AM)":8.809185,"ENZL^FMA_DIV_YLD(NTMA,NOW,NOW,M,\"PORTAGG\",\"MEANR\")":3.00519985198877,"EWC^SIZE(FG_CONSTITUENTS)":89,"ENZL^FG_PRICE_MAVG(0,,,,200)":46.74679,"VWO^FG_TOTAL_RETURNC(0,-3AM)":3.485024,"DBA^FG_TOTAL_RETURNC(-10AY,0,AM)":[5.0700665,12.907028,-0.7644236,0.105047226,-3.0080497,-5.805981,-0.34456253,-2.0361125,3.686273,-2.042365,-2.702701,-3.0952394,-3.4807563,-6.3640237,0.27185678,1.1748791,-1.8311739,5.4595113,-7.7221813,-1.8232763,2.4285674,-5.1138997,0.39196014,-2.3914099,-1.4999986,5.68527,-2.3535073,4.623711,6.62905,-4.40917,-4.5202913,-2.9468656,-0.04977584,0.49800873,-0.2973199,3.0318022,-1.2542248,-2.0517826,-1.7456293,2.4365425,-1.7343938,0.6051421,-3.759396,-1.8229187,1.5384555,0.7837057,-5.3914013,1.6986251,2.0474195,2.3759127,-2.4755,0.21153688,-1.4775753,-7.016599,-1.6129076,0.0,2.7517557,-1.8233597,1.0446906,0.07476807,-2.2041738,-2.9062867,3.1154394,-7.8791437,7.845664,0.71555376,-10.124331,1.7127752,2.9792786,1.886797,2.098763,0.7217765,-2.987802,-10.433685,-4.7017574,-0.2209127,0.4428029,-1.2490809,6.25,4.0616274,-0.33646822,1.4179587,3.062582,5.4909587,2.2045374,3.6548734,-0.057792664,7.171774,2.7522922,-5.1470637,7.03212,-4.0869055,2.750802,3.674543,0.10126829,-0.35406947,7.106602,3.5071135,3.8461566,-2.204585,-1.8935978,-9.191179,4.554653,0.096809864,-2.4177969,-0.4955411,-1.1454165,-1.1297524,3.9426446,-1.8226564,4.7165155,-0.1916647,2.2563577,0.23474693,0.28102398,3.2695055,-1.809144,2.9940248,-2.8622627,-0.77477694,6.720042],"IWM^FMA_PCT_ABOVE_MAVG(200,0,,,,\"PORTAGG\")":59.8237428719544,"EWN^FMA_COS_DOWN(\"EPS\",\"1M\",+1,0,,,\"PORTAGG\",\"MEANR\")":27.0,"EZA^FMA_DIV_YLD(NTMA,NOW,NOW,M,\"PORTAGG\",\"MEANR\")":4.27586786554541,"EWT^FMA_DIV_YLD(NTMA,NOW,NOW,M,\"PORTAGG\",\"MEANR\")":3.41076065477925,"EWD^FMA_EVAL_EBITDA(NTMA,0,,,\"PORTAGG\",\"MEANR\")":10.9908294479161,"EWZ^FMA_EVAL_EBITDA(NTMA,0,,,\"PORTAGG\",\"MEANR\")":4.8671933901731,"CC_CH^FDS_ECON_RCPI_Q(0)":1.6172597,"CC_GB^FDS_ECON_RCPI_Q(0)":4.1831098,"EWU^PERCENT_CHANGE(FMA_EPS(+1,0,,,,\"PORTAGG\",\"MEAN\"),FMA_EPS(+1,-1AM,,,,\"PORTAGG\",\"MEAN\"))":-2.10584239413306,"INDA^FMA_COS_DOWN(\"EPS\",\"1M\",+1,0,,,\"PORTAGG\",\"MEANR\")":63.0,"MCHI^FMA_EVAL_EBITDA(NTMA,0,,,\"PORTAGG\",\"MEANR\")":7.82388563223936,"VWO^P_PRICE(0)/P_PRICE_LOW_PR(0,,,USD,,,\"PRICE\",\"INTRA\",\"52W\")-1":0.06701374,"ECH^FMA_DIV_YLD(NTMA,NOW,NOW,M,\"PORTAGG\",\"MEANR\")":6.78055602961946,"EWD^P_PRICE(0)/P_PRICE_HIGH_PR(0,,,USD,,,\"PRICE\",\"INTRA\",\"52W\")":0.92035806,"EWL^FMA_COS_UP(\"EPS\",\"1M\",+1,0,,,\"PORTAGG\",\"MEANR\")":14.0,"EPU^FMA_PE(NTMA,0,,,\"PORTAGG\",\"MEANR\")":11.4469791559327,"PASP-FDS^FG_PRICE_MAVG(0,,,,30)":975.6667,"GREK^FMA_EVAL_EBITDA(NTMA,0,,,\"PORTAGG\",\"MEANR\")":5.25415557233222,"EWI^FG_PRICE_MAVG(0,,,,30)":33.565334,"BRENT-FDS^FG_PRICE(0)/MAX(FG_PRICE(0,-1AY))":0.870614479821537,"URTH^P_PRICE(0)/P_PRICE_HIGH_PR(0,,,USD,,,\"PRICE\",\"INTRA\",\"52W\")":0.9769286,"EWQ^PERCENT_CHANGE(FMA_EPS(+1,0,,,,\"PORTAGG\",\"MEAN\"),FMA_EPS(+1,-3AM,,,,\"PORTAGG\",\"MEAN\"))":-3.43137562287118,"CC_TW^IMF_IFS_RCPI_Q(0)":null,"VNM^FMA_DIV_YLD(NTMA,NOW,NOW,M,\"PORTAGG\",\"MEANR\")":2.79774072506923,"QAT^JULIAN(FMA_DIV_YLD(NTMA,NOW,NOW,M,\"PORTAGG\",\"MEANR\").DATES)":45322,"SPY^FMA_DIV_YLD(NTMA,NOW,NOW,M,\"PORTAGG\",\"MEANR\")":1.52671982359584,"EWT^JULIAN(FMA_DIV_YLD(NTMA,NOW,NOW,M,\"PORTAGG\",\"MEANR\").DATES)":45322,"COPP-FDS^FG_PRICE_CHANGE(0,-3AM)":1.80204778156996,"EMXC^PERCENT_CHANGE(FMA_EPS(+1,0,,,,\"PORTAGG\",\"MEAN\"),FMA_EPS(+1,-1AM,,,,\"PORTAGG\",\"MEAN\"))":-2.25934755751139,"CC_DE^FDS_ECON_RCPI_Q(0)":3.520094,"CC_CA^FDS_ECON_RCPI_Q(0)":3.1790657,"EWA^FG_COMPANY_NAME":"iShares MSCI Australia ETF","CC_CL^IMF_IFS_RCPI_Q(0)":4.586063,"UAE^FMA_PE(NTMA,0,,,\"PORTAGG\",\"MEANR\")":10.0733804939412,"INDA^FMA_EVAL_EBITDA(NTMA,0,,,\"PORTAGG\",\"MEANR\")":14.9292244408335,"EWY^FMA_DIV_YLD(NTMA,NOW,NOW,M,\"PORTAGG\",\"MEANR\")":2.39201420131506,"EWU^P_PRICE(0)/P_PRICE_LOW_PR(0,,,USD,,,\"PRICE\",\"INTRA\",\"52W\")-1":0.0533334,"IWM^FMA_COS_UP(\"EPS\",\"1M\",+1,0,,,\"PORTAGG\",\"MEANR\")":486.0,"EWT^FMA_PE(LTM,0,,,\"PORTAGG\",\"MEANR\")":21.4324867501564,"EPHE^JULIAN(FMA_DIV_YLD(NTMA,NOW,NOW,M,\"PORTAGG\",\"MEANR\").DATES)":45322,"EWC^FG_PE(0)":16.575521051214,"CC_MY^IMF_IFS_RCPI_Q(0)":null,"VNM^FMA_PE(NTMA,0,,,\"PORTAGG\",\"MEANR\")":14.6261563109456,"MCHI^FMA_EVAL_EBIT(LTMA,NOW,NOW,M,\"PORTAGG\",\"MEANR\")":12.6575008439993,"EWZ^FG_FCF_YIELD_NTM(0)":9.91361868699478,"EWJ^FG_PE_NTM(0,,,90,0)":15.085196652901,"ENZL^FG_PE_NTM(0,,,90,0)":22.2869260457695,"EWZ^FMA_DIV_YLD(NTMA,NOW,NOW,M,\"PORTAGG\",\"MEANR\")":5.87982729139727,"ENZL^FG_PE(0)":23.6207030436029,"VNM^JULIAN(FMA_DIV_YLD(NTMA,NOW,NOW,M,\"PORTAGG\",\"MEANR\").DATES)":45322,"EIDO^FG_FCF_YIELD_NTM(0)":null,"MCHI^FMA_DIV_YLD(NTMA,NOW,NOW,M,\"PORTAGG\",\"MEANR\")":2.98300620266355,"EIDO^FMA_PE(NTMA,0,,,\"PORTAGG\",\"MEANR\")":12.9193203964769,"EWD^FG_PE(0)":14.7430353142228,"VWO^JULIAN(FMA_DIV_YLD(NTMA,NOW,NOW,M,\"PORTAGG\",\"MEANR\").DATES)":45289,"PASP-FDS^FG_PRICE_CHANGE(0,-3AM)":-6.85772773797338,"EPU^FMA_PE(LTM,0,,,\"PORTAGG\",\"MEANR\")":15.2099970095596,"EWN^FMA_EVAL_EBIT(LTMA,NOW,NOW,M,\"PORTAGG\",\"MEANR\")":21.0935705256721,"INDA^P_PRICE(0,-200D)":[49.855,50.28,50.72,50.5,50.89,50.78,50.11,50.375,50.23,49.89,49.52,49.98,49.19,49.11,49.2,48.68,49.77,49.59,49.08,48.83,49.4,49.96,49.19,49.15,48.85,49.09,49.09,49.01,48.59,48.67,48.81,49.02,48.84,48.53,48.36,48.16,47.4,48.72,48.455,48.3,48.35,47.96,47.38,47.56,47.31,47.46,47.34,47.27,46.84,46.4,46.02,45.63,45.49,45.09,45.19,45.21,45.06,45.05,45.045,44.98,44.94,45.08,44.42,44.49,44.04,44.33,44.21,44.19,44.15,43.83,43.4,43.24,43.33,42.96,42.73,43.25,43.75,43.62,43.98,44.33,44.22,44.77,44.76,44.46,44.32,44.68,44.59,44.09,44.58,44.16,43.87,43.95,44.21,44.22,44.25,44.59,44.32,44.63,44.48,44.45,44.88,45.0,45.17,45.12,45.245,45.11,45.06,45.46,45.02,44.55,44.17,44.35,44.24,43.97,44.13,44.19,43.88,43.76,43.77,44.19,43.51,43.6,43.33,43.2,43.36,43.23,43.47,43.62,43.87,43.94,43.93,44.19,44.03,43.6,43.71,44.48,44.76,44.5,44.23,44.68,44.51,44.53,44.36,44.55,44.65,44.53,44.56,44.26,44.17,44.26,43.97,43.66,43.6,43.58,43.77,43.79,43.7,43.34,43.35,43.02,42.77,42.58,42.96,43.075,43.01,43.13,43.01,42.78,42.64,42.28,42.11,42.23,42.33,42.26,42.16,42.28,42.125,41.7,41.81,42.02,41.41,41.19,41.13,41.26,40.88,40.93,41.23,41.29,41.66,41.32,41.46,41.71,41.47,41.53,41.4,41.26,40.92,41.06,41.12,41.12,40.75],"QQQ^FG_PRICE_MAVG(0,,,,60)":407.50882,"URTH^FG_TOTAL_RETURNC(0,-6AM)":9.304726,"INDA^SIZE(FG_CONSTITUENTS)":132,"EWJ^FG_PRICE_MAVG(0,,,,30)":65.650665,"SPY^FG_TOTAL_RETURNC(0,-1AM)":3.129983,"VWO^P_PRICE(0)/P_PRICE_HIGH_PR(0,,,USD,,,\"PRICE\",\"INTRA\",\"52W\")":0.92726225,"EWD^FG_TOTAL_RETURNC(0,-3AM)":14.082003,"VGK^FMA_COS_UP(\"EPS\",\"1M\",+1,0,,,\"PORTAGG\",\"MEANR\")":383.0,"CPALM-FDS^FG_PRICE_CHANGE(0,-3AM)":6.72474816226518,"EWU^P_PRICE(0)/P_PRICE_HIGH_PR(0,,,USD,,,\"PRICE\",\"INTRA\",\"52W\")":0.9281834,"EWM^FMA_EVAL_EBIT(LTMA,NOW,NOW,M,\"PORTAGG\",\"MEANR\")":17.6069866887006,"EIDO^FMA_EVAL_EBIT(LTMA,NOW,NOW,M,\"PORTAGG\",\"MEANR\")":9.61081080329558,"EWD^FMA_DIV_YLD(NTMA,NOW,NOW,M,\"PORTAGG\",\"MEANR\")":3.3228123367483,"CC_PL^IMF_IFS_RCPI_Q(0)":6.202308,"UAE^FG_FCF_YIELD_NTM(0)":null,"UAE^FMA_DIV_YLD(NTMA,NOW,NOW,M,\"PORTAGG\",\"MEANR\")":4.64085475416123,"TUR^FMA_PE(NTMA,0,,,\"PORTAGG\",\"MEANR\")":5.21493878166399,"CPALM-FDS^FG_PRICE_MAVG(0,,,,30)":3843.9333,"EWJ^FG_PRICE_MAVG(0,,,,200)":61.9562,"EWU^FG_TOTAL_RETURNC(0,-3AM)":3.3817768,"EWU^FMA_PCT_ABOVE_MAVG(200,0,,,,\"PORTAGG\")":58.3333333333333,"INDA^FMA_COS_UP(\"EPS\",\"1M\",+1,0,,,\"PORTAGG\",\"MEANR\")":54.0,"EWZ^FMA_PE(NTMA,0,,,\"PORTAGG\",\"MEANR\")":7.86703788121138,"EWM^JULIAN(FMA_DIV_YLD(NTMA,NOW,NOW,M,\"PORTAGG\",\"MEANR\").DATES)":45322,"EIDO^FMA_DIV_YLD(NTMA,NOW,NOW,M,\"PORTAGG\",\"MEANR\")":4.15638595925514,"ENZL^JULIAN(FMA_DIV_YLD(NTMA,NOW,NOW,M,\"PORTAGG\",\"MEANR\").DATES)":45322,"COPP-FDS^FG_PRICE_MAVG(0,,,,30)":3.7956,"UUP^P_PRICE(0)/P_PRICE_HIGH_PR(0,,,USD,,,\"PRICE\",\"INTRA\",\"52W\")":0.9365158,"ECH^FMA_PE(LTM,0,,,\"PORTAGG\",\"MEANR\")":7.51017402124443,"EWD^FG_TOTAL_RETURNC(0,-6AM)":10.865617,"EWC^FMA_COS_UP(\"EPS\",\"1M\",+1,0,,,\"PORTAGG\",\"MEANR\")":32.0,"TLT^P_PRICE(0,-200D)":[92.475,93.96,93.85,94.04,94.59,95.05,94.13,96.07,98.24,96.66,95.72,94.86,93.78,93.96,93.35,93.9,94.65,94.09,93.79,94.67,94.82,96.52,96.71,96.17,96.62,97.24,96.29,97.22,98.72,98.31,98.88,99.78,100.51,98.76,98.475,98.93,99.56,98.89,98.36,99.15,99.04,96.84,94.62,94.34,94.54,95.32,95.87,94.61,92.615,92.99,91.56,92.63,91.48,91.3,89.8,90.87,90.55,90.59,90.04,89.62,88.52,89.78,87.79,87.99,87.5,89.56,88.06,86.78,87.63,87.04,85.1,83.58,83.99,84.37,84.73,83.45,85.35,84.24,83.24,82.77,84.5,85.25,86.2,87.61,86.07,88.47,86.66,86.78,84.79,85.83,86.26,85.06,86.93,88.69,88.68,88.41,88.87,89.18,91.43,90.7,93.09,92.8,93.49,92.96,93.53,94.21,94.23,93.69,94.37,94.01,93.75,93.52,94.85,96.64,96.21,96.31,95.32,95.22,94.91,95.54,93.23,92.52,93.77,93.44,93.84,94.58,95.16,95.37,95.59,97.19,96.69,95.58,96.53,94.85,97.09,98.14,100.05,99.81,99.3,101.27,101.17,101.36,101.73,101.7,102.95,101.8,101.34,101.29,101.89,100.83,99.72,99.21,99.08,99.68,101.11,102.08,102.94,101.74,103.61,103.17,103.44,103.33,102.31,103.56,103.31,102.6,103.0,102.02,101.21,102.22,101.92,102.06,100.88,102.4,101.8,101.99,103.12,102.99,102.1,101.09,100.28,100.53,101.03,100.74,101.1,101.82,102.58,102.88,103.19,104.27,105.15,104.05,103.05,103.42,104.89,105.24,106.29,105.7,103.13,106.46,104.77],"TIOS-FDS^FG_PRICE(0)/MAX(FG_PRICE(0,-1AY))":0.893937291897891,"FXI^P_PRICE(0)/P_PRICE_LOW_PR(0,,,USD,,,\"PRICE\",\"INTRA\",\"52W\")-1":0.06255996,"EWG^FG_TOTAL_RETURNC(0,-6AM)":2.2287607,"EWU^FMA_COS_UP(\"EPS\",\"1M\",+1,0,,,\"PORTAGG\",\"MEANR\")":34.0,"TUR^FG_FCF_YIELD_NTM(0)":13.321577934391,"MCHI^JULIAN(FMA_DIV_YLD(NTMA,NOW,NOW,M,\"PORTAGG\",\"MEANR\").DATES)":45322,"EWY^FMA_EVAL_EBIT(LTMA,NOW,NOW,M,\"PORTAGG\",\"MEANR\")":20.8181465669046,"EWL^FMA_PCT_ABOVE_MAVG(200,0,,,,\"PORTAGG\")":57.7777777777778,"FXI^FG_TOTAL_RETURNC(0,-1AM)":-2.4856985,"INDA^FMA_EVAL_EBIT(LTMA,NOW,NOW,M,\"PORTAGG\",\"MEANR\")":22.6024397647548,"EPU^FG_FCF_YIELD_NTM(0)":4.94649533094228,"ECH^FMA_PE(NTMA,0,,,\"PORTAGG\",\"MEANR\")":8.0089827873617,"EWN^P_PRICE(0)/P_PRICE_LOW_PR(0,,,USD,,,\"PRICE\",\"INTRA\",\"52W\")-1":0.26398456,"CNYA^FMA_EVAL_EBITDA(NTMA,0,,,\"PORTAGG\",\"MEANR\")":9.22284240714428,"EMXC^P_PRICE_RETURNS_PR('52W',2,-10AY,0,AM)":[null,null,null,null,null,null,null,null,null,null,null,null,null,null,null,null,null,null,null,null,null,null,null,null,null,null,null,null,null,null,null,null,null,null,null,null,null,null,null,null,null,null,null,null,null,null,null,null,null,null,null,null,null,null,-0.56865215,-4.618496,-9.076511,-9.69283,-9.487808,-11.943823,-9.215445,-11.63165,-5.8344364,-10.397804,-3.0229867,3.829956,-1.8111825,2.262807,6.927228,9.67313,12.7423525,13.8154745,6.9537044,-17.485928,-22.128117,-15.059757,-8.28352,-8.022589,5.454576,0.90756416,1.9502878,6.4166307,14.990055,17.153215,23.288036,68.47402,61.064888,57.566845,53.25384,40.641415,31.332493,36.612465,29.47427,25.65651,8.886087,5.56823,1.3119698,-6.531745,-1.550889,-10.955774,-20.318287,-22.363245,-13.277674,-21.225899,-24.139368,-17.16317,-15.7332,-16.757202,-15.036553,-10.954535,-9.999609,0.13737679,10.03232,18.076933,2.9847383,8.893585,12.670636,3.466308,11.961079,9.888136,11.477351],"EWI^FG_PRICE_MAVG(0,,,,200)":31.8926,"URTH^SIZE(FG_CONSTITUENTS)":1482,"GREK^FMA_EVAL_EBIT(LTMA,NOW,NOW,M,\"PORTAGG\",\"MEANR\")":7.09539174842116,"EWY^FMA_PE(NTMA,0,,,\"PORTAGG\",\"MEANR\")":10.4863035631523,"ECH^JULIAN(FMA_DIV_YLD(NTMA,NOW,NOW,M,\"PORTAGG\",\"MEANR\").DATES)":45322,"OIL^P_PRICE_RETURNS_PR('52W',2,-10AY,0,AM)":[4.352629,10.622131,13.591599,12.481427,16.360891,6.4338684,0.66325665,-7.2019935,-11.274457,-14.205003,-35.310246,-43.51269,-41.088,-47.194176,-45.95643,-40.293755,-44.759136,-49.30337,-56.90672,-54.511417,-48.82375,-50.823223,-45.893616,-44.215942,-49.656845,-36.38764,-34.89236,-37.032795,-32.16239,-30.21276,-19.182104,-19.277752,-14.051491,-19.922089,14.846813,36.28346,32.638336,2.718091,5.7767153,-12.526285,-19.102049,-12.157017,-4.05429,-2.506578,-8.220559,16.817225,-4.3386755,10.557186,4.897213,20.701063,22.341394,45.883156,43.690014,50.903847,41.314877,43.936836,46.668877,3.4205914,0.0,-13.46649,-1.791358,-0.7797241,-1.8351912,-13.32553,-20.707571,-10.644036,-15.69736,-21.56071,-23.523039,2.1449566,11.316109,11.765599,-2.6262999,-39.686985,-44.12013,-53.502296,-27.781279,-33.310745,-23.959309,-31.818121,-28.26836,-32.435143,-24.965752,-16.132105,3.114891,82.53634,66.21294,120.632484,86.97214,80.839386,56.14854,84.58328,100.154785,96.6384,61.285614,64.46767,69.766045,72.84595,87.688,83.94339,86.592995,41.232445,55.39498,44.93228,29.852331,34.336353,29.710138,20.889591,6.0070753,-14.262229,-7.9251947,-20.430422,null,null,null,null,null,null,null,null,null],"ENZL^FG_PRICE_MAVG(0,,,,30)":46.831665,"EWC^FG_TOTAL_RETURNC(0,-3AM)":6.330669,"VWO^FMA_PCT_ABOVE_MAVG(200,0,,,,\"PORTAGG\")":43.1467606875275,"GREK^FG_FCF_YIELD_NTM(0)":2.90961024994862,"EWW^FMA_PE(NTMA,0,,,\"PORTAGG\",\"MEANR\")":13.0295042052313,"EPOL^FMA_EVAL_EBITDA(NTMA,0,,,\"PORTAGG\",\"MEANR\")":4.39911002338416,"VGK^FMA_EVAL_EBIT(LTMA,NOW,NOW,M,\"PORTAGG\",\"MEANR\")":12.8162051158573,"EWD^P_PRICE_RETURNS_PR('52W',2,-10AY,0,AM)":[11.878836,12.4678135,11.659706,15.683985,16.727638,11.52178,4.028535,0.95881224,-7.0561466,1.8980861,1.7658949,-8.892738,-2.353245,-4.430312,-3.1850994,-4.932475,-2.5297105,-1.305598,-1.1676431,-2.4409533,4.5850873,-7.3185086,-10.114515,-8.831024,-17.59193,-7.5143695,-6.0257015,-12.988061,-15.606779,-11.658752,-5.1750603,-4.287505,-4.7579584,-4.1375694,6.8466306,13.513124,20.460451,10.159599,6.8221807,21.64818,26.877546,29.666828,19.425034,25.588072,31.035662,29.09708,20.246338,27.023363,14.056182,13.134074,9.129262,5.013907,0.829041,-6.9775343,-3.049463,-3.9325297,-11.000281,-10.794199,-11.069637,-14.31014,-7.2955728,-7.7892303,2.6551485,-8.563173,-3.8354218,3.4644961,-5.264342,-1.3996661,1.0428548,12.355995,19.401443,18.485296,18.355751,-9.926313,-15.154296,-6.454575,2.8613925,7.3684573,27.857708,20.548702,24.20063,22.026455,23.47343,26.400316,26.515984,90.48357,81.50086,78.47036,68.848274,50.30931,41.020668,38.456177,31.597317,32.46068,19.722414,17.247831,1.357913,-15.792447,-13.22217,-22.57275,-29.092693,-31.784946,-26.184887,-32.570152,-36.487698,-25.26018,-19.483858,-20.239998,-9.420931,-3.763014,-2.6673377,11.43111,12.56907,21.377373,0.9869218,7.575214,21.1738,-2.4643123,10.745239,9.420431,5.4461956],"TUR^JULIAN(FMA_DIV_YLD(NTMA,NOW,NOW,M,\"PORTAGG\",\"MEANR\").DATES)":45322}]]></FdsFormulaCache>
</file>

<file path=customXml/itemProps1.xml><?xml version="1.0" encoding="utf-8"?>
<ds:datastoreItem xmlns:ds="http://schemas.openxmlformats.org/officeDocument/2006/customXml" ds:itemID="{3DF00D41-58FE-4AA3-BA90-DB1005EECEE0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Charts</vt:lpstr>
      </vt:variant>
      <vt:variant>
        <vt:i4>1</vt:i4>
      </vt:variant>
    </vt:vector>
  </HeadingPairs>
  <TitlesOfParts>
    <vt:vector size="16" baseType="lpstr">
      <vt:lpstr>Aset class Rankings</vt:lpstr>
      <vt:lpstr>Gloval value </vt:lpstr>
      <vt:lpstr>EM value </vt:lpstr>
      <vt:lpstr>Value -2 </vt:lpstr>
      <vt:lpstr>Asset class</vt:lpstr>
      <vt:lpstr>Momnetum ranking</vt:lpstr>
      <vt:lpstr>Risk</vt:lpstr>
      <vt:lpstr>Timing</vt:lpstr>
      <vt:lpstr>Commodities</vt:lpstr>
      <vt:lpstr>Monthly Returns</vt:lpstr>
      <vt:lpstr>Yearly returns</vt:lpstr>
      <vt:lpstr>Factset Price Data</vt:lpstr>
      <vt:lpstr>Index ROE</vt:lpstr>
      <vt:lpstr>LIQIDITY 2</vt:lpstr>
      <vt:lpstr>GDP_GROWTH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Rizael Castro</cp:lastModifiedBy>
  <cp:lastPrinted>2023-12-28T02:21:32Z</cp:lastPrinted>
  <dcterms:created xsi:type="dcterms:W3CDTF">2023-02-28T05:25:38Z</dcterms:created>
  <dcterms:modified xsi:type="dcterms:W3CDTF">2024-02-16T02:12:53Z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