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29549145-3553-4EFB-ADD4-6F72BB725336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 a="1"/>
  <c r="O7" i="1" l="1"/>
  <c r="O5" i="1" a="1"/>
  <c r="O5" i="1" l="1"/>
  <c r="O4" i="1" a="1"/>
  <c r="O4" i="1" l="1"/>
  <c r="O3" i="1" a="1"/>
  <c r="O3" i="1" l="1"/>
  <c r="O9" i="1" a="1"/>
  <c r="O9" i="1" l="1"/>
  <c r="O15" i="1" a="1"/>
  <c r="G17" i="57" a="1"/>
  <c r="D14" i="57" a="1"/>
  <c r="G14" i="57" a="1"/>
  <c r="D13" i="57" a="1"/>
  <c r="G13" i="57" a="1"/>
  <c r="D12" i="57" a="1"/>
  <c r="G12" i="57" a="1"/>
  <c r="D11" i="57" a="1"/>
  <c r="G11" i="57" a="1"/>
  <c r="D10" i="57" a="1"/>
  <c r="G10" i="57" a="1"/>
  <c r="D9" i="57" a="1"/>
  <c r="G9" i="57" a="1"/>
  <c r="D8" i="57" a="1"/>
  <c r="G8" i="57" a="1"/>
  <c r="G7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D7" i="57" a="1"/>
  <c r="D6" i="57" a="1"/>
  <c r="O15" i="1" l="1"/>
  <c r="D6" i="57"/>
  <c r="D7" i="57"/>
  <c r="D17" i="57"/>
  <c r="E17" i="57"/>
  <c r="B17" i="57"/>
  <c r="G2" i="57"/>
  <c r="D2" i="57"/>
  <c r="G3" i="57"/>
  <c r="D3" i="57"/>
  <c r="G4" i="57"/>
  <c r="D4" i="57"/>
  <c r="G5" i="57"/>
  <c r="D5" i="57"/>
  <c r="G6" i="57"/>
  <c r="G7" i="57"/>
  <c r="G8" i="57"/>
  <c r="D8" i="57"/>
  <c r="G9" i="57"/>
  <c r="D9" i="57"/>
  <c r="G10" i="57"/>
  <c r="D10" i="57"/>
  <c r="G11" i="57"/>
  <c r="D11" i="57"/>
  <c r="G12" i="57"/>
  <c r="D12" i="57"/>
  <c r="G13" i="57"/>
  <c r="D13" i="57"/>
  <c r="G14" i="57"/>
  <c r="D14" i="57"/>
  <c r="G17" i="57"/>
  <c r="M16" i="48" a="1"/>
  <c r="M14" i="48" a="1"/>
  <c r="M13" i="48" a="1"/>
  <c r="M12" i="48" a="1"/>
  <c r="M11" i="48" a="1"/>
  <c r="M10" i="48" a="1"/>
  <c r="M9" i="48" a="1"/>
  <c r="M8" i="48" a="1"/>
  <c r="M7" i="48" a="1"/>
  <c r="M6" i="48" a="1"/>
  <c r="M5" i="48" a="1"/>
  <c r="M4" i="48" a="1"/>
  <c r="M4" i="48" l="1"/>
  <c r="M5" i="48"/>
  <c r="M6" i="48"/>
  <c r="M7" i="48"/>
  <c r="M8" i="48"/>
  <c r="M9" i="48"/>
  <c r="M10" i="48"/>
  <c r="M11" i="48"/>
  <c r="M12" i="48"/>
  <c r="M13" i="48"/>
  <c r="M14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14" i="39" a="1"/>
  <c r="H11" i="39" a="1"/>
  <c r="F8" i="39" a="1"/>
  <c r="C5" i="39" a="1"/>
  <c r="M11" i="28" a="1"/>
  <c r="L6" i="28" a="1"/>
  <c r="G13" i="28" a="1"/>
  <c r="G5" i="28" a="1"/>
  <c r="D11" i="28" a="1"/>
  <c r="D3" i="28" a="1"/>
  <c r="J20" i="1" a="1"/>
  <c r="H15" i="1" a="1"/>
  <c r="F13" i="1" a="1"/>
  <c r="K10" i="1" a="1"/>
  <c r="I8" i="1" a="1"/>
  <c r="G6" i="1" a="1"/>
  <c r="L3" i="1" a="1"/>
  <c r="C7" i="1" a="1"/>
  <c r="D5" i="49" a="1"/>
  <c r="C17" i="40" a="1"/>
  <c r="H11" i="60" a="1"/>
  <c r="H7" i="60" a="1"/>
  <c r="H3" i="60" a="1"/>
  <c r="J20" i="48" a="1"/>
  <c r="M2" i="38" a="1"/>
  <c r="AK4" i="9" a="1"/>
  <c r="U4" i="9" a="1"/>
  <c r="E4" i="9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8" i="56" a="1"/>
  <c r="C26" i="56" a="1"/>
  <c r="B5" i="56" a="1"/>
  <c r="Q23" i="12" a="1"/>
  <c r="S21" i="12" a="1"/>
  <c r="L20" i="12" a="1"/>
  <c r="N18" i="12" a="1"/>
  <c r="P14" i="12" a="1"/>
  <c r="R12" i="12" a="1"/>
  <c r="K11" i="12" a="1"/>
  <c r="M9" i="12" a="1"/>
  <c r="O7" i="12" a="1"/>
  <c r="Q5" i="12" a="1"/>
  <c r="S3" i="12" a="1"/>
  <c r="F21" i="12" a="1"/>
  <c r="E14" i="12" a="1"/>
  <c r="G8" i="12" a="1"/>
  <c r="F3" i="12" a="1"/>
  <c r="J13" i="39" a="1"/>
  <c r="H10" i="39" a="1"/>
  <c r="F7" i="39" a="1"/>
  <c r="C4" i="39" a="1"/>
  <c r="L11" i="28" a="1"/>
  <c r="K6" i="28" a="1"/>
  <c r="H12" i="28" a="1"/>
  <c r="H4" i="28" a="1"/>
  <c r="E10" i="28" a="1"/>
  <c r="I20" i="1" a="1"/>
  <c r="G15" i="1" a="1"/>
  <c r="L12" i="1" a="1"/>
  <c r="J10" i="1" a="1"/>
  <c r="H8" i="1" a="1"/>
  <c r="F6" i="1" a="1"/>
  <c r="K3" i="1" a="1"/>
  <c r="C6" i="1" a="1"/>
  <c r="D4" i="49" a="1"/>
  <c r="C16" i="40" a="1"/>
  <c r="G11" i="60" a="1"/>
  <c r="G7" i="60" a="1"/>
  <c r="G3" i="60" a="1"/>
  <c r="J19" i="48" a="1"/>
  <c r="L2" i="38" a="1"/>
  <c r="A4" i="9" a="1"/>
  <c r="G8" i="43" a="1"/>
  <c r="C6" i="43" a="1"/>
  <c r="F14" i="42" a="1"/>
  <c r="F12" i="42" a="1"/>
  <c r="F10" i="42" a="1"/>
  <c r="F8" i="42" a="1"/>
  <c r="F6" i="42" a="1"/>
  <c r="F4" i="42" a="1"/>
  <c r="J2" i="18" a="1"/>
  <c r="H2" i="15" a="1"/>
  <c r="F2" i="5" a="1"/>
  <c r="D2" i="7" a="1"/>
  <c r="B2" i="47" a="1"/>
  <c r="J12" i="52" a="1"/>
  <c r="J10" i="52" a="1"/>
  <c r="J9" i="48" a="1"/>
  <c r="D2" i="38" a="1"/>
  <c r="AB4" i="9" a="1"/>
  <c r="L4" i="9" a="1"/>
  <c r="H15" i="43" a="1"/>
  <c r="H7" i="43" a="1"/>
  <c r="H2" i="38" a="1"/>
  <c r="AC4" i="9" a="1"/>
  <c r="H14" i="42" a="1"/>
  <c r="J9" i="42" a="1"/>
  <c r="M2" i="18" a="1"/>
  <c r="C2" i="5" a="1"/>
  <c r="F11" i="52" a="1"/>
  <c r="I6" i="52" a="1"/>
  <c r="G4" i="52" a="1"/>
  <c r="U16" i="56" a="1"/>
  <c r="I6" i="56" a="1"/>
  <c r="B10" i="56" a="1"/>
  <c r="C4" i="13" a="1"/>
  <c r="R11" i="12" a="1"/>
  <c r="R9" i="12" a="1"/>
  <c r="R7" i="12" a="1"/>
  <c r="G5" i="12" a="1"/>
  <c r="B6" i="12" a="1"/>
  <c r="H13" i="39" a="1"/>
  <c r="G8" i="28" a="1"/>
  <c r="D13" i="28" a="1"/>
  <c r="D4" i="28" a="1"/>
  <c r="I12" i="1" a="1"/>
  <c r="I7" i="1" a="1"/>
  <c r="D9" i="49" a="1"/>
  <c r="E12" i="60" a="1"/>
  <c r="E3" i="60" a="1"/>
  <c r="C9" i="55" a="1"/>
  <c r="F7" i="60" a="1"/>
  <c r="J16" i="48" a="1"/>
  <c r="AA4" i="9" a="1"/>
  <c r="H4" i="9" a="1"/>
  <c r="H11" i="43" a="1"/>
  <c r="C10" i="43" a="1"/>
  <c r="D12" i="42" a="1"/>
  <c r="C5" i="42" a="1"/>
  <c r="G2" i="15" a="1"/>
  <c r="L2" i="47" a="1"/>
  <c r="F2" i="46" a="1"/>
  <c r="C9" i="52" a="1"/>
  <c r="U11" i="56" a="1"/>
  <c r="S7" i="56" a="1"/>
  <c r="I15" i="56" a="1"/>
  <c r="G11" i="56" a="1"/>
  <c r="R21" i="12" a="1"/>
  <c r="R19" i="12" a="1"/>
  <c r="R15" i="12" a="1"/>
  <c r="R13" i="12" a="1"/>
  <c r="P5" i="12" a="1"/>
  <c r="P3" i="12" a="1"/>
  <c r="G19" i="12" a="1"/>
  <c r="G11" i="12" a="1"/>
  <c r="F6" i="39" a="1"/>
  <c r="M15" i="28" a="1"/>
  <c r="M9" i="28" a="1"/>
  <c r="M3" i="28" a="1"/>
  <c r="L14" i="1" a="1"/>
  <c r="L9" i="1" a="1"/>
  <c r="L4" i="1" a="1"/>
  <c r="C12" i="1" a="1"/>
  <c r="J6" i="48" a="1"/>
  <c r="AJ4" i="9" a="1"/>
  <c r="Q4" i="9" a="1"/>
  <c r="H6" i="43" a="1"/>
  <c r="J10" i="42" a="1"/>
  <c r="D6" i="42" a="1"/>
  <c r="K2" i="5" a="1"/>
  <c r="A2" i="47" a="1"/>
  <c r="D10" i="52" a="1"/>
  <c r="T9" i="56" a="1"/>
  <c r="J17" i="56" a="1"/>
  <c r="H13" i="56" a="1"/>
  <c r="R20" i="12" a="1"/>
  <c r="R18" i="12" a="1"/>
  <c r="R14" i="12" a="1"/>
  <c r="P4" i="12" a="1"/>
  <c r="G22" i="12" a="1"/>
  <c r="G14" i="12" a="1"/>
  <c r="C10" i="39" a="1"/>
  <c r="M12" i="28" a="1"/>
  <c r="M6" i="28" a="1"/>
  <c r="J13" i="1" a="1"/>
  <c r="J8" i="1" a="1"/>
  <c r="I3" i="1" a="1"/>
  <c r="C17" i="55" a="1"/>
  <c r="G9" i="60" a="1"/>
  <c r="E5" i="60" a="1"/>
  <c r="H15" i="42" a="1"/>
  <c r="D13" i="42" a="1"/>
  <c r="G8" i="42" a="1"/>
  <c r="I3" i="42" a="1"/>
  <c r="A2" i="18" a="1"/>
  <c r="F2" i="7" a="1"/>
  <c r="F12" i="52" a="1"/>
  <c r="H7" i="52" a="1"/>
  <c r="F5" i="52" a="1"/>
  <c r="D3" i="52" a="1"/>
  <c r="V13" i="56" a="1"/>
  <c r="H8" i="56" a="1"/>
  <c r="B17" i="56" a="1"/>
  <c r="C11" i="13" a="1"/>
  <c r="R22" i="12" a="1"/>
  <c r="P12" i="12" a="1"/>
  <c r="P10" i="12" a="1"/>
  <c r="P8" i="12" a="1"/>
  <c r="P6" i="12" a="1"/>
  <c r="E8" i="12" a="1"/>
  <c r="B13" i="12" a="1"/>
  <c r="J7" i="39" a="1"/>
  <c r="E2" i="38" a="1"/>
  <c r="G6" i="43" a="1"/>
  <c r="D15" i="42" a="1"/>
  <c r="I9" i="42" a="1"/>
  <c r="C7" i="42" a="1"/>
  <c r="E2" i="18" a="1"/>
  <c r="J2" i="5" a="1"/>
  <c r="J2" i="46" a="1"/>
  <c r="E11" i="52" a="1"/>
  <c r="H8" i="52" a="1"/>
  <c r="D6" i="52" a="1"/>
  <c r="U13" i="56" a="1"/>
  <c r="U8" i="56" a="1"/>
  <c r="J5" i="56" a="1"/>
  <c r="Q20" i="12" a="1"/>
  <c r="Q11" i="12" a="1"/>
  <c r="O9" i="12" a="1"/>
  <c r="F22" i="12" a="1"/>
  <c r="B5" i="12" a="1"/>
  <c r="F2" i="39" a="1"/>
  <c r="M13" i="28" a="1"/>
  <c r="H11" i="28" a="1"/>
  <c r="L20" i="1" a="1"/>
  <c r="F15" i="1" a="1"/>
  <c r="G12" i="1" a="1"/>
  <c r="I9" i="1" a="1"/>
  <c r="C16" i="55" a="1"/>
  <c r="F6" i="12" a="1"/>
  <c r="H8" i="39" a="1"/>
  <c r="K7" i="28" a="1"/>
  <c r="E5" i="28" a="1"/>
  <c r="H9" i="1" a="1"/>
  <c r="J6" i="1" a="1"/>
  <c r="C3" i="1" a="1"/>
  <c r="C6" i="40" a="1"/>
  <c r="F8" i="60" a="1"/>
  <c r="F3" i="60" a="1"/>
  <c r="T4" i="9" a="1"/>
  <c r="H5" i="43" a="1"/>
  <c r="C15" i="42" a="1"/>
  <c r="H9" i="42" a="1"/>
  <c r="J6" i="42" a="1"/>
  <c r="D2" i="18" a="1"/>
  <c r="T8" i="56" a="1"/>
  <c r="I5" i="56" a="1"/>
  <c r="E22" i="12" a="1"/>
  <c r="B4" i="12" a="1"/>
  <c r="C14" i="39" a="1"/>
  <c r="G11" i="28" a="1"/>
  <c r="K14" i="1" a="1"/>
  <c r="J15" i="48" a="1"/>
  <c r="C2" i="38" a="1"/>
  <c r="V4" i="9" a="1"/>
  <c r="G12" i="42" a="1"/>
  <c r="E4" i="42" a="1"/>
  <c r="B2" i="7" a="1"/>
  <c r="F3" i="52" a="1"/>
  <c r="G16" i="56" a="1"/>
  <c r="J10" i="56" a="1"/>
  <c r="C15" i="13" a="1"/>
  <c r="K23" i="12" a="1"/>
  <c r="M18" i="12" a="1"/>
  <c r="K14" i="12" a="1"/>
  <c r="K7" i="12" a="1"/>
  <c r="R4" i="12" a="1"/>
  <c r="E13" i="12" a="1"/>
  <c r="E15" i="28" a="1"/>
  <c r="I2" i="5" a="1"/>
  <c r="D11" i="52" a="1"/>
  <c r="G8" i="52" a="1"/>
  <c r="T13" i="56" a="1"/>
  <c r="I10" i="56" a="1"/>
  <c r="P20" i="12" a="1"/>
  <c r="P11" i="12" a="1"/>
  <c r="Q4" i="12" a="1"/>
  <c r="L13" i="28" a="1"/>
  <c r="K20" i="1" a="1"/>
  <c r="J4" i="48" a="1"/>
  <c r="AF4" i="9" a="1"/>
  <c r="I13" i="42" a="1"/>
  <c r="C11" i="42" a="1"/>
  <c r="H5" i="42" a="1"/>
  <c r="N2" i="18" a="1"/>
  <c r="E2" i="47" a="1"/>
  <c r="H4" i="52" a="1"/>
  <c r="U5" i="56" a="1"/>
  <c r="I13" i="56" a="1"/>
  <c r="C5" i="13" a="1"/>
  <c r="L15" i="12" a="1"/>
  <c r="L8" i="12" a="1"/>
  <c r="S5" i="12" a="1"/>
  <c r="F18" i="12" a="1"/>
  <c r="G9" i="12" a="1"/>
  <c r="K10" i="28" a="1"/>
  <c r="K3" i="28" a="1"/>
  <c r="O10" i="1" a="1"/>
  <c r="H19" i="1" a="1"/>
  <c r="I13" i="1" a="1"/>
  <c r="L7" i="1" a="1"/>
  <c r="G5" i="1" a="1"/>
  <c r="I4" i="9" a="1"/>
  <c r="H10" i="43" a="1"/>
  <c r="C5" i="43" a="1"/>
  <c r="D8" i="42" a="1"/>
  <c r="E2" i="15" a="1"/>
  <c r="K2" i="7" a="1"/>
  <c r="G12" i="52" a="1"/>
  <c r="H9" i="52" a="1"/>
  <c r="D7" i="52" a="1"/>
  <c r="U15" i="56" a="1"/>
  <c r="U10" i="56" a="1"/>
  <c r="J7" i="56" a="1"/>
  <c r="B13" i="56" a="1"/>
  <c r="P21" i="12" a="1"/>
  <c r="N19" i="12" a="1"/>
  <c r="Q12" i="12" a="1"/>
  <c r="N10" i="12" a="1"/>
  <c r="N3" i="12" a="1"/>
  <c r="B14" i="12" a="1"/>
  <c r="J5" i="39" a="1"/>
  <c r="F11" i="39" a="1"/>
  <c r="C3" i="39" a="1"/>
  <c r="G6" i="28" a="1"/>
  <c r="E9" i="28" a="1"/>
  <c r="G19" i="1" a="1"/>
  <c r="C11" i="1" a="1"/>
  <c r="D6" i="49" a="1"/>
  <c r="C14" i="40" a="1"/>
  <c r="F10" i="60" a="1"/>
  <c r="G5" i="60" a="1"/>
  <c r="N2" i="38" a="1"/>
  <c r="AE4" i="9" a="1"/>
  <c r="H13" i="42" a="1"/>
  <c r="I10" i="42" a="1"/>
  <c r="L2" i="18" a="1"/>
  <c r="D2" i="47" a="1"/>
  <c r="F4" i="52" a="1"/>
  <c r="T5" i="56" a="1"/>
  <c r="B12" i="56" a="1"/>
  <c r="S23" i="12" a="1"/>
  <c r="K15" i="12" a="1"/>
  <c r="K8" i="12" a="1"/>
  <c r="E18" i="12" a="1"/>
  <c r="F9" i="12" a="1"/>
  <c r="J4" i="39" a="1"/>
  <c r="L9" i="28" a="1"/>
  <c r="H15" i="28" a="1"/>
  <c r="F19" i="1" a="1"/>
  <c r="H13" i="1" a="1"/>
  <c r="I10" i="1" a="1"/>
  <c r="K7" i="1" a="1"/>
  <c r="F5" i="1" a="1"/>
  <c r="F5" i="60" a="1"/>
  <c r="G4" i="9" a="1"/>
  <c r="G10" i="43" a="1"/>
  <c r="C4" i="43" a="1"/>
  <c r="C8" i="42" a="1"/>
  <c r="E5" i="42" a="1"/>
  <c r="D2" i="15" a="1"/>
  <c r="J2" i="7" a="1"/>
  <c r="E12" i="52" a="1"/>
  <c r="G9" i="52" a="1"/>
  <c r="C7" i="52" a="1"/>
  <c r="T15" i="56" a="1"/>
  <c r="T10" i="56" a="1"/>
  <c r="I12" i="56" a="1"/>
  <c r="I7" i="56" a="1"/>
  <c r="O21" i="12" a="1"/>
  <c r="M19" i="12" a="1"/>
  <c r="O12" i="12" a="1"/>
  <c r="M10" i="12" a="1"/>
  <c r="O5" i="12" a="1"/>
  <c r="M3" i="12" a="1"/>
  <c r="B12" i="12" a="1"/>
  <c r="F10" i="39" a="1"/>
  <c r="C2" i="39" a="1"/>
  <c r="H5" i="28" a="1"/>
  <c r="D9" i="28" a="1"/>
  <c r="J14" i="48" a="1"/>
  <c r="J4" i="9" a="1"/>
  <c r="I14" i="42" a="1"/>
  <c r="G4" i="42" a="1"/>
  <c r="L2" i="15" a="1"/>
  <c r="N2" i="7" a="1"/>
  <c r="L19" i="12" a="1"/>
  <c r="M14" i="12" a="1"/>
  <c r="M5" i="12" a="1"/>
  <c r="E11" i="12" a="1"/>
  <c r="B15" i="12" a="1"/>
  <c r="H12" i="39" a="1"/>
  <c r="C12" i="39" a="1"/>
  <c r="H14" i="28" a="1"/>
  <c r="D18" i="28" a="1"/>
  <c r="I19" i="1" a="1"/>
  <c r="D23" i="1" a="1"/>
  <c r="D7" i="49" a="1"/>
  <c r="C11" i="40" a="1"/>
  <c r="AI4" i="9" a="1"/>
  <c r="E21" i="12" a="1"/>
  <c r="L15" i="1" a="1"/>
  <c r="D11" i="42" a="1"/>
  <c r="K2" i="46" a="1"/>
  <c r="F7" i="52" a="1"/>
  <c r="U6" i="56" a="1"/>
  <c r="C12" i="13" a="1"/>
  <c r="S13" i="12" a="1"/>
  <c r="H9" i="39" a="1"/>
  <c r="L10" i="28" a="1"/>
  <c r="O13" i="1" a="1"/>
  <c r="H12" i="1" a="1"/>
  <c r="F9" i="1" a="1"/>
  <c r="C21" i="55" a="1"/>
  <c r="J12" i="48" a="1"/>
  <c r="AL4" i="9" a="1"/>
  <c r="E11" i="42" a="1"/>
  <c r="I7" i="42" a="1"/>
  <c r="D4" i="42" a="1"/>
  <c r="L2" i="46" a="1"/>
  <c r="I10" i="52" a="1"/>
  <c r="G7" i="52" a="1"/>
  <c r="D4" i="52" a="1"/>
  <c r="S14" i="56" a="1"/>
  <c r="V6" i="56" a="1"/>
  <c r="J13" i="56" a="1"/>
  <c r="J6" i="56" a="1"/>
  <c r="C13" i="13" a="1"/>
  <c r="M22" i="12" a="1"/>
  <c r="M11" i="12" a="1"/>
  <c r="N8" i="12" a="1"/>
  <c r="C11" i="39" a="1"/>
  <c r="M10" i="28" a="1"/>
  <c r="D15" i="28" a="1"/>
  <c r="O14" i="1" a="1"/>
  <c r="J12" i="1" a="1"/>
  <c r="G9" i="1" a="1"/>
  <c r="L5" i="1" a="1"/>
  <c r="G8" i="60" a="1"/>
  <c r="J13" i="48" a="1"/>
  <c r="F4" i="9" a="1"/>
  <c r="G7" i="43" a="1"/>
  <c r="G14" i="42" a="1"/>
  <c r="K2" i="15" a="1"/>
  <c r="H6" i="56" a="1"/>
  <c r="K19" i="12" a="1"/>
  <c r="L14" i="12" a="1"/>
  <c r="M8" i="12" a="1"/>
  <c r="L5" i="12" a="1"/>
  <c r="G10" i="12" a="1"/>
  <c r="B11" i="12" a="1"/>
  <c r="G14" i="28" a="1"/>
  <c r="C15" i="1" a="1"/>
  <c r="C10" i="40" a="1"/>
  <c r="D4" i="9" a="1"/>
  <c r="H7" i="42" a="1"/>
  <c r="C4" i="42" a="1"/>
  <c r="I2" i="7" a="1"/>
  <c r="H10" i="52" a="1"/>
  <c r="S13" i="56" a="1"/>
  <c r="L22" i="12" a="1"/>
  <c r="E14" i="28" a="1"/>
  <c r="K5" i="1" a="1"/>
  <c r="C9" i="40" a="1"/>
  <c r="E8" i="60" a="1"/>
  <c r="AH4" i="9" a="1"/>
  <c r="E14" i="42" a="1"/>
  <c r="E7" i="42" a="1"/>
  <c r="J2" i="15" a="1"/>
  <c r="G14" i="43" a="1"/>
  <c r="C7" i="43" a="1"/>
  <c r="I2" i="18" a="1"/>
  <c r="D9" i="52" a="1"/>
  <c r="H5" i="52" a="1"/>
  <c r="S17" i="56" a="1"/>
  <c r="S10" i="56" a="1"/>
  <c r="J9" i="56" a="1"/>
  <c r="B15" i="56" a="1"/>
  <c r="O20" i="12" a="1"/>
  <c r="P15" i="12" a="1"/>
  <c r="Q6" i="12" a="1"/>
  <c r="E6" i="12" a="1"/>
  <c r="F12" i="39" a="1"/>
  <c r="H7" i="28" a="1"/>
  <c r="E11" i="60" a="1"/>
  <c r="I2" i="38" a="1"/>
  <c r="S4" i="9" a="1"/>
  <c r="I12" i="42" a="1"/>
  <c r="D9" i="42" a="1"/>
  <c r="J5" i="42" a="1"/>
  <c r="I2" i="47" a="1"/>
  <c r="H12" i="52" a="1"/>
  <c r="H16" i="56" a="1"/>
  <c r="N23" i="12" a="1"/>
  <c r="N12" i="12" a="1"/>
  <c r="P9" i="12" a="1"/>
  <c r="O6" i="12" a="1"/>
  <c r="Q3" i="12" a="1"/>
  <c r="E15" i="12" a="1"/>
  <c r="F5" i="12" a="1"/>
  <c r="J10" i="39" a="1"/>
  <c r="L14" i="28" a="1"/>
  <c r="L5" i="28" a="1"/>
  <c r="D8" i="28" a="1"/>
  <c r="G14" i="1" a="1"/>
  <c r="L10" i="1" a="1"/>
  <c r="H7" i="1" a="1"/>
  <c r="G4" i="1" a="1"/>
  <c r="D15" i="49" a="1"/>
  <c r="C11" i="55" a="1"/>
  <c r="H13" i="43" a="1"/>
  <c r="C3" i="43" a="1"/>
  <c r="H2" i="18" a="1"/>
  <c r="H2" i="5" a="1"/>
  <c r="J8" i="52" a="1"/>
  <c r="G5" i="52" a="1"/>
  <c r="V16" i="56" a="1"/>
  <c r="V9" i="56" a="1"/>
  <c r="J15" i="56" a="1"/>
  <c r="I9" i="56" a="1"/>
  <c r="B14" i="56" a="1"/>
  <c r="N20" i="12" a="1"/>
  <c r="O15" i="12" a="1"/>
  <c r="F9" i="39" a="1"/>
  <c r="G7" i="28" a="1"/>
  <c r="E7" i="28" a="1"/>
  <c r="H20" i="1" a="1"/>
  <c r="H10" i="60" a="1"/>
  <c r="H4" i="60" a="1"/>
  <c r="G2" i="38" a="1"/>
  <c r="R4" i="9" a="1"/>
  <c r="H12" i="42" a="1"/>
  <c r="C9" i="42" a="1"/>
  <c r="I5" i="42" a="1"/>
  <c r="H2" i="47" a="1"/>
  <c r="D12" i="52" a="1"/>
  <c r="I8" i="52" a="1"/>
  <c r="U9" i="56" a="1"/>
  <c r="B11" i="56" a="1"/>
  <c r="M23" i="12" a="1"/>
  <c r="N15" i="12" a="1"/>
  <c r="M12" i="12" a="1"/>
  <c r="L9" i="12" a="1"/>
  <c r="N6" i="12" a="1"/>
  <c r="O3" i="12" a="1"/>
  <c r="E5" i="12" a="1"/>
  <c r="J9" i="39" a="1"/>
  <c r="K14" i="28" a="1"/>
  <c r="K5" i="28" a="1"/>
  <c r="F14" i="1" a="1"/>
  <c r="G7" i="1" a="1"/>
  <c r="F4" i="1" a="1"/>
  <c r="D14" i="49" a="1"/>
  <c r="C10" i="55" a="1"/>
  <c r="G13" i="43" a="1"/>
  <c r="J15" i="42" a="1"/>
  <c r="E12" i="42" a="1"/>
  <c r="G2" i="18" a="1"/>
  <c r="G2" i="5" a="1"/>
  <c r="E5" i="52" a="1"/>
  <c r="T16" i="56" a="1"/>
  <c r="H15" i="56" a="1"/>
  <c r="H9" i="56" a="1"/>
  <c r="G13" i="12" a="1"/>
  <c r="H6" i="28" a="1"/>
  <c r="D7" i="28" a="1"/>
  <c r="G20" i="1" a="1"/>
  <c r="L13" i="1" a="1"/>
  <c r="H10" i="1" a="1"/>
  <c r="F7" i="1" a="1"/>
  <c r="G10" i="60" a="1"/>
  <c r="G4" i="60" a="1"/>
  <c r="F2" i="38" a="1"/>
  <c r="P4" i="9" a="1"/>
  <c r="J8" i="42" a="1"/>
  <c r="G2" i="47" a="1"/>
  <c r="S9" i="56" a="1"/>
  <c r="B9" i="56" a="1"/>
  <c r="L23" i="12" a="1"/>
  <c r="K20" i="12" a="1"/>
  <c r="M15" i="12" a="1"/>
  <c r="L12" i="12" a="1"/>
  <c r="K9" i="12" a="1"/>
  <c r="M6" i="12" a="1"/>
  <c r="L3" i="12" a="1"/>
  <c r="G4" i="12" a="1"/>
  <c r="J8" i="39" a="1"/>
  <c r="F5" i="39" a="1"/>
  <c r="K13" i="28" a="1"/>
  <c r="M4" i="28" a="1"/>
  <c r="J3" i="1" a="1"/>
  <c r="D13" i="49" a="1"/>
  <c r="C18" i="40" a="1"/>
  <c r="E10" i="60" a="1"/>
  <c r="J12" i="42" a="1"/>
  <c r="F2" i="18" a="1"/>
  <c r="S15" i="56" a="1"/>
  <c r="S6" i="56" a="1"/>
  <c r="C10" i="13" a="1"/>
  <c r="S20" i="12" a="1"/>
  <c r="K10" i="12" a="1"/>
  <c r="E4" i="12" a="1"/>
  <c r="G12" i="28" a="1"/>
  <c r="E8" i="28" a="1"/>
  <c r="G6" i="60" a="1"/>
  <c r="G11" i="52" a="1"/>
  <c r="P13" i="12" a="1"/>
  <c r="K5" i="12" a="1"/>
  <c r="E3" i="12" a="1"/>
  <c r="H3" i="39" a="1"/>
  <c r="K12" i="28" a="1"/>
  <c r="D5" i="28" a="1"/>
  <c r="G10" i="1" a="1"/>
  <c r="C4" i="1" a="1"/>
  <c r="H6" i="42" a="1"/>
  <c r="A2" i="7" a="1"/>
  <c r="U14" i="56" a="1"/>
  <c r="G8" i="56" a="1"/>
  <c r="G15" i="12" a="1"/>
  <c r="H2" i="39" a="1"/>
  <c r="D16" i="49" a="1"/>
  <c r="E6" i="60" a="1"/>
  <c r="N4" i="9" a="1"/>
  <c r="E6" i="52" a="1"/>
  <c r="I17" i="56" a="1"/>
  <c r="C7" i="13" a="1"/>
  <c r="O13" i="12" a="1"/>
  <c r="F14" i="39" a="1"/>
  <c r="F10" i="1" a="1"/>
  <c r="J7" i="48" a="1"/>
  <c r="C11" i="43" a="1"/>
  <c r="C11" i="52" a="1"/>
  <c r="S8" i="12" a="1"/>
  <c r="F15" i="12" a="1"/>
  <c r="H9" i="28" a="1"/>
  <c r="H5" i="1" a="1"/>
  <c r="H5" i="60" a="1"/>
  <c r="H11" i="42" a="1"/>
  <c r="G10" i="52" a="1"/>
  <c r="C6" i="13" a="1"/>
  <c r="N13" i="12" a="1"/>
  <c r="F13" i="12" a="1"/>
  <c r="F13" i="39" a="1"/>
  <c r="D11" i="49" a="1"/>
  <c r="H12" i="60" a="1"/>
  <c r="F4" i="60" a="1"/>
  <c r="J5" i="48" a="1"/>
  <c r="V12" i="56" a="1"/>
  <c r="G7" i="56" a="1"/>
  <c r="P19" i="12" a="1"/>
  <c r="R8" i="12" a="1"/>
  <c r="B8" i="12" a="1"/>
  <c r="K9" i="28" a="1"/>
  <c r="D5" i="52" a="1"/>
  <c r="M13" i="12" a="1"/>
  <c r="N4" i="12" a="1"/>
  <c r="G12" i="60" a="1"/>
  <c r="K2" i="38" a="1"/>
  <c r="C8" i="43" a="1"/>
  <c r="C6" i="42" a="1"/>
  <c r="U12" i="56" a="1"/>
  <c r="I16" i="56" a="1"/>
  <c r="P23" i="12" a="1"/>
  <c r="B7" i="12" a="1"/>
  <c r="F4" i="39" a="1"/>
  <c r="H8" i="28" a="1"/>
  <c r="G10" i="42" a="1"/>
  <c r="F2" i="15" a="1"/>
  <c r="F2" i="47" a="1"/>
  <c r="E10" i="52" a="1"/>
  <c r="G15" i="56" a="1"/>
  <c r="S18" i="12" a="1"/>
  <c r="M4" i="12" a="1"/>
  <c r="F12" i="60" a="1"/>
  <c r="J2" i="38" a="1"/>
  <c r="I15" i="42" a="1"/>
  <c r="T12" i="56" a="1"/>
  <c r="H5" i="56" a="1"/>
  <c r="O23" i="12" a="1"/>
  <c r="O8" i="12" a="1"/>
  <c r="G4" i="28" a="1"/>
  <c r="O11" i="1" a="1"/>
  <c r="L8" i="1" a="1"/>
  <c r="I4" i="1" a="1"/>
  <c r="E10" i="42" a="1"/>
  <c r="J11" i="48" a="1"/>
  <c r="W4" i="9" a="1"/>
  <c r="C12" i="42" a="1"/>
  <c r="E2" i="7" a="1"/>
  <c r="H11" i="52" a="1"/>
  <c r="G6" i="52" a="1"/>
  <c r="N5" i="12" a="1"/>
  <c r="E19" i="12" a="1"/>
  <c r="H4" i="39" a="1"/>
  <c r="L12" i="28" a="1"/>
  <c r="E6" i="28" a="1"/>
  <c r="J15" i="1" a="1"/>
  <c r="G11" i="1" a="1"/>
  <c r="C5" i="1" a="1"/>
  <c r="C12" i="40" a="1"/>
  <c r="H3" i="43" a="1"/>
  <c r="I6" i="42" a="1"/>
  <c r="V14" i="56" a="1"/>
  <c r="V5" i="56" a="1"/>
  <c r="I8" i="56" a="1"/>
  <c r="C9" i="13" a="1"/>
  <c r="Q13" i="12" a="1"/>
  <c r="S9" i="12" a="1"/>
  <c r="H10" i="28" a="1"/>
  <c r="D6" i="28" a="1"/>
  <c r="F11" i="1" a="1"/>
  <c r="J5" i="1" a="1"/>
  <c r="F6" i="60" a="1"/>
  <c r="J10" i="48" a="1"/>
  <c r="O4" i="9" a="1"/>
  <c r="J11" i="42" a="1"/>
  <c r="C2" i="7" a="1"/>
  <c r="F6" i="52" a="1"/>
  <c r="S5" i="56" a="1"/>
  <c r="C8" i="13" a="1"/>
  <c r="G18" i="12" a="1"/>
  <c r="I15" i="1" a="1"/>
  <c r="J8" i="48" a="1"/>
  <c r="G3" i="43" a="1"/>
  <c r="N2" i="15" a="1"/>
  <c r="S19" i="12" a="1"/>
  <c r="Q9" i="12" a="1"/>
  <c r="G10" i="28" a="1"/>
  <c r="I5" i="1" a="1"/>
  <c r="C8" i="40" a="1"/>
  <c r="I11" i="42" a="1"/>
  <c r="S4" i="12" a="1"/>
  <c r="B10" i="12" a="1"/>
  <c r="E4" i="28" a="1"/>
  <c r="C7" i="40" a="1"/>
  <c r="G6" i="42" a="1"/>
  <c r="M2" i="15" a="1"/>
  <c r="N2" i="47" a="1"/>
  <c r="T14" i="56" a="1"/>
  <c r="H7" i="56" a="1"/>
  <c r="Q19" i="12" a="1"/>
  <c r="K11" i="28" a="1"/>
  <c r="D12" i="49" a="1"/>
  <c r="M4" i="9" a="1"/>
  <c r="I5" i="52" a="1"/>
  <c r="H17" i="56" a="1"/>
  <c r="O4" i="12" a="1"/>
  <c r="B9" i="12" a="1"/>
  <c r="E3" i="28" a="1"/>
  <c r="K9" i="1" a="1"/>
  <c r="K4" i="9" a="1"/>
  <c r="C9" i="43" a="1"/>
  <c r="E6" i="42" a="1"/>
  <c r="M2" i="47" a="1"/>
  <c r="G12" i="12" a="1"/>
  <c r="G9" i="28" a="1"/>
  <c r="J14" i="1" a="1"/>
  <c r="K4" i="1" a="1"/>
  <c r="H10" i="42" a="1"/>
  <c r="I2" i="15" a="1"/>
  <c r="F10" i="52" a="1"/>
  <c r="G6" i="56" a="1"/>
  <c r="J9" i="1" a="1"/>
  <c r="D10" i="49" a="1"/>
  <c r="E4" i="60" a="1"/>
  <c r="C4" i="9" a="1"/>
  <c r="O19" i="12" a="1"/>
  <c r="Q8" i="12" a="1"/>
  <c r="F12" i="12" a="1"/>
  <c r="M8" i="28" a="1"/>
  <c r="O12" i="1" a="1"/>
  <c r="I14" i="1" a="1"/>
  <c r="J4" i="1" a="1"/>
  <c r="D5" i="42" a="1"/>
  <c r="C5" i="52" a="1"/>
  <c r="L13" i="12" a="1"/>
  <c r="L8" i="28" a="1"/>
  <c r="D8" i="49" a="1"/>
  <c r="B4" i="9" a="1"/>
  <c r="E12" i="12" a="1"/>
  <c r="F3" i="39" a="1"/>
  <c r="H14" i="1" a="1"/>
  <c r="J4" i="42" a="1"/>
  <c r="C2" i="15" a="1"/>
  <c r="C2" i="47" a="1"/>
  <c r="J4" i="52" a="1"/>
  <c r="AN4" i="9" a="1"/>
  <c r="J14" i="42" a="1"/>
  <c r="M2" i="5" a="1"/>
  <c r="G2" i="46" a="1"/>
  <c r="E9" i="52" a="1"/>
  <c r="G14" i="56" a="1"/>
  <c r="O22" i="12" a="1"/>
  <c r="S11" i="12" a="1"/>
  <c r="N7" i="12" a="1"/>
  <c r="K3" i="12" a="1"/>
  <c r="J11" i="39" a="1"/>
  <c r="C18" i="55" a="1"/>
  <c r="H9" i="60" a="1"/>
  <c r="G15" i="43" a="1"/>
  <c r="J3" i="42" a="1"/>
  <c r="H3" i="52" a="1"/>
  <c r="V10" i="56" a="1"/>
  <c r="H12" i="56" a="1"/>
  <c r="C23" i="56" a="1"/>
  <c r="K18" i="12" a="1"/>
  <c r="G23" i="12" a="1"/>
  <c r="C8" i="39" a="1"/>
  <c r="D14" i="28" a="1"/>
  <c r="G8" i="1" a="1"/>
  <c r="G3" i="1" a="1"/>
  <c r="AM4" i="9" a="1"/>
  <c r="L2" i="5" a="1"/>
  <c r="E2" i="46" a="1"/>
  <c r="F8" i="52" a="1"/>
  <c r="N22" i="12" a="1"/>
  <c r="O11" i="12" a="1"/>
  <c r="M7" i="12" a="1"/>
  <c r="F8" i="12" a="1"/>
  <c r="J6" i="39" a="1"/>
  <c r="M5" i="28" a="1"/>
  <c r="K12" i="1" a="1"/>
  <c r="F9" i="60" a="1"/>
  <c r="H14" i="43" a="1"/>
  <c r="D14" i="42" a="1"/>
  <c r="E9" i="42" a="1"/>
  <c r="H3" i="42" a="1"/>
  <c r="E2" i="5" a="1"/>
  <c r="G3" i="52" a="1"/>
  <c r="G12" i="56" a="1"/>
  <c r="B16" i="56" a="1"/>
  <c r="S15" i="12" a="1"/>
  <c r="F23" i="12" a="1"/>
  <c r="J3" i="39" a="1"/>
  <c r="C7" i="39" a="1"/>
  <c r="E13" i="28" a="1"/>
  <c r="F8" i="1" a="1"/>
  <c r="F3" i="1" a="1"/>
  <c r="C15" i="55" a="1"/>
  <c r="AG4" i="9" a="1"/>
  <c r="D2" i="46" a="1"/>
  <c r="E8" i="52" a="1"/>
  <c r="E3" i="52" a="1"/>
  <c r="V8" i="56" a="1"/>
  <c r="N11" i="12" a="1"/>
  <c r="L7" i="12" a="1"/>
  <c r="G7" i="12" a="1"/>
  <c r="L4" i="28" a="1"/>
  <c r="F12" i="1" a="1"/>
  <c r="E9" i="60" a="1"/>
  <c r="C14" i="42" a="1"/>
  <c r="I8" i="42" a="1"/>
  <c r="D2" i="5" a="1"/>
  <c r="J11" i="56" a="1"/>
  <c r="Q21" i="12" a="1"/>
  <c r="Q15" i="12" a="1"/>
  <c r="S10" i="12" a="1"/>
  <c r="S6" i="12" a="1"/>
  <c r="E23" i="12" a="1"/>
  <c r="J2" i="39" a="1"/>
  <c r="C6" i="39" a="1"/>
  <c r="E12" i="28" a="1"/>
  <c r="F20" i="1" a="1"/>
  <c r="C14" i="1" a="1"/>
  <c r="C14" i="55" a="1"/>
  <c r="AD4" i="9" a="1"/>
  <c r="G11" i="43" a="1"/>
  <c r="E3" i="42" a="1"/>
  <c r="C2" i="46" a="1"/>
  <c r="D8" i="52" a="1"/>
  <c r="C3" i="52" a="1"/>
  <c r="B8" i="56" a="1"/>
  <c r="F7" i="12" a="1"/>
  <c r="K4" i="28" a="1"/>
  <c r="L11" i="1" a="1"/>
  <c r="J7" i="1" a="1"/>
  <c r="C13" i="1" a="1"/>
  <c r="C13" i="55" a="1"/>
  <c r="H8" i="60" a="1"/>
  <c r="J13" i="42" a="1"/>
  <c r="H8" i="42" a="1"/>
  <c r="B2" i="5" a="1"/>
  <c r="I11" i="56" a="1"/>
  <c r="N21" i="12" a="1"/>
  <c r="R10" i="12" a="1"/>
  <c r="R6" i="12" a="1"/>
  <c r="G20" i="12" a="1"/>
  <c r="H14" i="39" a="1"/>
  <c r="D12" i="28" a="1"/>
  <c r="L19" i="1" a="1"/>
  <c r="L6" i="1" a="1"/>
  <c r="C10" i="1" a="1"/>
  <c r="H9" i="43" a="1"/>
  <c r="D3" i="42" a="1"/>
  <c r="B2" i="46" a="1"/>
  <c r="V17" i="56" a="1"/>
  <c r="U7" i="56" a="1"/>
  <c r="B7" i="56" a="1"/>
  <c r="S14" i="12" a="1"/>
  <c r="E7" i="12" a="1"/>
  <c r="L15" i="28" a="1"/>
  <c r="L3" i="28" a="1"/>
  <c r="K11" i="1" a="1"/>
  <c r="C12" i="55" a="1"/>
  <c r="Z4" i="9" a="1"/>
  <c r="E8" i="42" a="1"/>
  <c r="A2" i="5" a="1"/>
  <c r="I7" i="52" a="1"/>
  <c r="U17" i="56" a="1"/>
  <c r="H11" i="56" a="1"/>
  <c r="M21" i="12" a="1"/>
  <c r="Q10" i="12" a="1"/>
  <c r="F20" i="12" a="1"/>
  <c r="H7" i="39" a="1"/>
  <c r="G15" i="28" a="1"/>
  <c r="E11" i="28" a="1"/>
  <c r="K19" i="1" a="1"/>
  <c r="J11" i="1" a="1"/>
  <c r="K6" i="1" a="1"/>
  <c r="C9" i="1" a="1"/>
  <c r="G9" i="43" a="1"/>
  <c r="E13" i="42" a="1"/>
  <c r="C3" i="42" a="1"/>
  <c r="A2" i="46" a="1"/>
  <c r="E7" i="52" a="1"/>
  <c r="T7" i="56" a="1"/>
  <c r="L6" i="12" a="1"/>
  <c r="G6" i="12" a="1"/>
  <c r="K15" i="28" a="1"/>
  <c r="E7" i="60" a="1"/>
  <c r="B2" i="38" a="1"/>
  <c r="T11" i="56" a="1"/>
  <c r="P18" i="12" a="1"/>
  <c r="F10" i="12" a="1"/>
  <c r="G3" i="28" a="1"/>
  <c r="A2" i="38" a="1"/>
  <c r="S11" i="56" a="1"/>
  <c r="L18" i="12" a="1"/>
  <c r="E10" i="12" a="1"/>
  <c r="H3" i="1" a="1"/>
  <c r="O14" i="12" a="1"/>
  <c r="C8" i="1" a="1"/>
  <c r="B2" i="15" a="1"/>
  <c r="N14" i="12" a="1"/>
  <c r="I14" i="56" a="1"/>
  <c r="O8" i="1" a="1"/>
  <c r="G2" i="7" a="1"/>
  <c r="H14" i="56" a="1"/>
  <c r="K12" i="12" a="1"/>
  <c r="J12" i="39" a="1"/>
  <c r="O6" i="1" a="1"/>
  <c r="C19" i="55" a="1"/>
  <c r="H10" i="56" a="1"/>
  <c r="O10" i="12" a="1"/>
  <c r="J19" i="1" a="1"/>
  <c r="G5" i="43" a="1"/>
  <c r="G10" i="56" a="1"/>
  <c r="L10" i="12" a="1"/>
  <c r="H5" i="39" a="1"/>
  <c r="K15" i="1" a="1"/>
  <c r="S7" i="12" a="1"/>
  <c r="K13" i="1" a="1"/>
  <c r="E15" i="42" a="1"/>
  <c r="I11" i="52" a="1"/>
  <c r="F11" i="60" a="1"/>
  <c r="H6" i="1" a="1"/>
  <c r="H4" i="1" a="1"/>
  <c r="K2" i="18" a="1"/>
  <c r="E18" i="28" a="1"/>
  <c r="Y4" i="9" a="1"/>
  <c r="T6" i="56" a="1"/>
  <c r="F4" i="12" a="1"/>
  <c r="D10" i="28" a="1"/>
  <c r="X4" i="9" a="1"/>
  <c r="J14" i="56" a="1"/>
  <c r="K13" i="12" a="1"/>
  <c r="B3" i="12" a="1"/>
  <c r="H2" i="7" a="1"/>
  <c r="C20" i="55" a="1"/>
  <c r="N2" i="46" a="1"/>
  <c r="H6" i="39" a="1"/>
  <c r="H8" i="43" a="1"/>
  <c r="C15" i="40" a="1"/>
  <c r="M2" i="46" a="1"/>
  <c r="C13" i="40" a="1"/>
  <c r="I12" i="52" a="1"/>
  <c r="C25" i="56" a="1"/>
  <c r="Q7" i="12" a="1"/>
  <c r="C13" i="39" a="1"/>
  <c r="I9" i="52" a="1"/>
  <c r="G13" i="1" a="1"/>
  <c r="I4" i="42" a="1"/>
  <c r="Q18" i="12" a="1"/>
  <c r="F11" i="12" a="1"/>
  <c r="C24" i="56" a="1"/>
  <c r="C9" i="39" a="1"/>
  <c r="C13" i="42" a="1"/>
  <c r="F9" i="52" a="1"/>
  <c r="C16" i="13" a="1"/>
  <c r="I11" i="1" a="1"/>
  <c r="C14" i="13" a="1"/>
  <c r="K6" i="12" a="1"/>
  <c r="M14" i="28" a="1"/>
  <c r="H6" i="60" a="1"/>
  <c r="H11" i="1" a="1"/>
  <c r="D10" i="42" a="1"/>
  <c r="J6" i="52" a="1"/>
  <c r="S22" i="12" a="1"/>
  <c r="L4" i="12" a="1"/>
  <c r="K8" i="28" a="1"/>
  <c r="H6" i="52" a="1"/>
  <c r="Q22" i="12" a="1"/>
  <c r="K8" i="1" a="1"/>
  <c r="C10" i="42" a="1"/>
  <c r="I4" i="52" a="1"/>
  <c r="M7" i="28" a="1"/>
  <c r="J7" i="42" a="1"/>
  <c r="P22" i="12" a="1"/>
  <c r="R3" i="12" a="1"/>
  <c r="E4" i="52" a="1"/>
  <c r="L7" i="28" a="1"/>
  <c r="D7" i="42" a="1"/>
  <c r="I3" i="52" a="1"/>
  <c r="L21" i="12" a="1"/>
  <c r="E20" i="12" a="1"/>
  <c r="H13" i="28" a="1"/>
  <c r="I6" i="1" a="1"/>
  <c r="T17" i="56" a="1"/>
  <c r="K21" i="12" a="1"/>
  <c r="F19" i="12" a="1"/>
  <c r="H4" i="42" a="1"/>
  <c r="H3" i="28" a="1"/>
  <c r="H3" i="28" l="1"/>
  <c r="H4" i="42"/>
  <c r="F19" i="12"/>
  <c r="K21" i="12"/>
  <c r="T17" i="56"/>
  <c r="I6" i="1"/>
  <c r="H13" i="28"/>
  <c r="E20" i="12"/>
  <c r="L21" i="12"/>
  <c r="I3" i="52"/>
  <c r="D7" i="42"/>
  <c r="L7" i="28"/>
  <c r="E4" i="52"/>
  <c r="R3" i="12"/>
  <c r="P22" i="12"/>
  <c r="J7" i="42"/>
  <c r="M7" i="28"/>
  <c r="I4" i="52"/>
  <c r="C10" i="42"/>
  <c r="K8" i="1"/>
  <c r="Q22" i="12"/>
  <c r="H6" i="52"/>
  <c r="K8" i="28"/>
  <c r="L4" i="12"/>
  <c r="S22" i="12"/>
  <c r="J6" i="52"/>
  <c r="D10" i="42"/>
  <c r="H11" i="1"/>
  <c r="H6" i="60"/>
  <c r="M14" i="28"/>
  <c r="K6" i="12"/>
  <c r="C14" i="13"/>
  <c r="I11" i="1"/>
  <c r="C16" i="13"/>
  <c r="F9" i="52"/>
  <c r="C13" i="42"/>
  <c r="C9" i="39"/>
  <c r="C24" i="56"/>
  <c r="F11" i="12"/>
  <c r="Q18" i="12"/>
  <c r="I4" i="42"/>
  <c r="G13" i="1"/>
  <c r="I9" i="52"/>
  <c r="C13" i="39"/>
  <c r="Q7" i="12"/>
  <c r="C25" i="56"/>
  <c r="I12" i="52"/>
  <c r="C13" i="40"/>
  <c r="M2" i="46"/>
  <c r="C15" i="40"/>
  <c r="H8" i="43"/>
  <c r="H6" i="39"/>
  <c r="N2" i="46"/>
  <c r="C20" i="55"/>
  <c r="H2" i="7"/>
  <c r="B3" i="12"/>
  <c r="K13" i="12"/>
  <c r="J14" i="56"/>
  <c r="X4" i="9"/>
  <c r="D10" i="28"/>
  <c r="F4" i="12"/>
  <c r="T6" i="56"/>
  <c r="Y4" i="9"/>
  <c r="E18" i="28"/>
  <c r="K2" i="18"/>
  <c r="H4" i="1"/>
  <c r="H6" i="1"/>
  <c r="F11" i="60"/>
  <c r="I11" i="52"/>
  <c r="E15" i="42"/>
  <c r="K13" i="1"/>
  <c r="S7" i="12"/>
  <c r="K15" i="1"/>
  <c r="H5" i="39"/>
  <c r="L10" i="12"/>
  <c r="G10" i="56"/>
  <c r="G5" i="43"/>
  <c r="J19" i="1"/>
  <c r="O10" i="12"/>
  <c r="H10" i="56"/>
  <c r="C19" i="55"/>
  <c r="O6" i="1"/>
  <c r="J12" i="39"/>
  <c r="K12" i="12"/>
  <c r="H14" i="56"/>
  <c r="G2" i="7"/>
  <c r="O8" i="1"/>
  <c r="I14" i="56"/>
  <c r="N14" i="12"/>
  <c r="B2" i="15"/>
  <c r="C8" i="1"/>
  <c r="O14" i="12"/>
  <c r="H3" i="1"/>
  <c r="E10" i="12"/>
  <c r="L18" i="12"/>
  <c r="S11" i="56"/>
  <c r="A2" i="38"/>
  <c r="G3" i="28"/>
  <c r="F10" i="12"/>
  <c r="P18" i="12"/>
  <c r="T11" i="56"/>
  <c r="B2" i="38"/>
  <c r="E7" i="60"/>
  <c r="K15" i="28"/>
  <c r="G6" i="12"/>
  <c r="L6" i="12"/>
  <c r="T7" i="56"/>
  <c r="E7" i="52"/>
  <c r="A2" i="46"/>
  <c r="C3" i="42"/>
  <c r="E13" i="42"/>
  <c r="G9" i="43"/>
  <c r="C9" i="1"/>
  <c r="K6" i="1"/>
  <c r="J11" i="1"/>
  <c r="K19" i="1"/>
  <c r="E11" i="28"/>
  <c r="G15" i="28"/>
  <c r="H7" i="39"/>
  <c r="F20" i="12"/>
  <c r="Q10" i="12"/>
  <c r="M21" i="12"/>
  <c r="H11" i="56"/>
  <c r="U17" i="56"/>
  <c r="I7" i="52"/>
  <c r="A2" i="5"/>
  <c r="E8" i="42"/>
  <c r="Z4" i="9"/>
  <c r="C12" i="55"/>
  <c r="K11" i="1"/>
  <c r="L3" i="28"/>
  <c r="L15" i="28"/>
  <c r="E7" i="12"/>
  <c r="S14" i="12"/>
  <c r="B7" i="56"/>
  <c r="U7" i="56"/>
  <c r="V17" i="56"/>
  <c r="B2" i="46"/>
  <c r="D3" i="42"/>
  <c r="H9" i="43"/>
  <c r="C10" i="1"/>
  <c r="L6" i="1"/>
  <c r="L19" i="1"/>
  <c r="D12" i="28"/>
  <c r="H14" i="39"/>
  <c r="G20" i="12"/>
  <c r="R6" i="12"/>
  <c r="R10" i="12"/>
  <c r="N21" i="12"/>
  <c r="I11" i="56"/>
  <c r="B2" i="5"/>
  <c r="H8" i="42"/>
  <c r="J13" i="42"/>
  <c r="H8" i="60"/>
  <c r="C13" i="55"/>
  <c r="C13" i="1"/>
  <c r="J7" i="1"/>
  <c r="L11" i="1"/>
  <c r="K4" i="28"/>
  <c r="F7" i="12"/>
  <c r="B8" i="56"/>
  <c r="C3" i="52"/>
  <c r="D8" i="52"/>
  <c r="C2" i="46"/>
  <c r="E3" i="42"/>
  <c r="G11" i="43"/>
  <c r="AD4" i="9"/>
  <c r="C14" i="55"/>
  <c r="C14" i="1"/>
  <c r="F20" i="1"/>
  <c r="E12" i="28"/>
  <c r="C6" i="39"/>
  <c r="J2" i="39"/>
  <c r="E23" i="12"/>
  <c r="S6" i="12"/>
  <c r="S10" i="12"/>
  <c r="Q15" i="12"/>
  <c r="Q21" i="12"/>
  <c r="J11" i="56"/>
  <c r="D2" i="5"/>
  <c r="I8" i="42"/>
  <c r="C14" i="42"/>
  <c r="E9" i="60"/>
  <c r="F12" i="1"/>
  <c r="L4" i="28"/>
  <c r="G7" i="12"/>
  <c r="L7" i="12"/>
  <c r="N11" i="12"/>
  <c r="V8" i="56"/>
  <c r="E3" i="52"/>
  <c r="E8" i="52"/>
  <c r="D2" i="46"/>
  <c r="AG4" i="9"/>
  <c r="C15" i="55"/>
  <c r="F3" i="1"/>
  <c r="F8" i="1"/>
  <c r="E13" i="28"/>
  <c r="C7" i="39"/>
  <c r="J3" i="39"/>
  <c r="F23" i="12"/>
  <c r="S15" i="12"/>
  <c r="B16" i="56"/>
  <c r="G12" i="56"/>
  <c r="G3" i="52"/>
  <c r="E2" i="5"/>
  <c r="H3" i="42"/>
  <c r="E9" i="42"/>
  <c r="D14" i="42"/>
  <c r="H14" i="43"/>
  <c r="F9" i="60"/>
  <c r="K12" i="1"/>
  <c r="M5" i="28"/>
  <c r="J6" i="39"/>
  <c r="F8" i="12"/>
  <c r="M7" i="12"/>
  <c r="O11" i="12"/>
  <c r="N22" i="12"/>
  <c r="F8" i="52"/>
  <c r="E2" i="46"/>
  <c r="L2" i="5"/>
  <c r="AM4" i="9"/>
  <c r="G3" i="1"/>
  <c r="G8" i="1"/>
  <c r="D14" i="28"/>
  <c r="C8" i="39"/>
  <c r="G23" i="12"/>
  <c r="K18" i="12"/>
  <c r="C23" i="56"/>
  <c r="H12" i="56"/>
  <c r="V10" i="56"/>
  <c r="H3" i="52"/>
  <c r="J3" i="42"/>
  <c r="G15" i="43"/>
  <c r="H9" i="60"/>
  <c r="C18" i="55"/>
  <c r="J11" i="39"/>
  <c r="K3" i="12"/>
  <c r="N7" i="12"/>
  <c r="S11" i="12"/>
  <c r="O22" i="12"/>
  <c r="G14" i="56"/>
  <c r="E9" i="52"/>
  <c r="G2" i="46"/>
  <c r="M2" i="5"/>
  <c r="J14" i="42"/>
  <c r="AN4" i="9"/>
  <c r="J4" i="52"/>
  <c r="C2" i="47"/>
  <c r="C2" i="15"/>
  <c r="J4" i="42"/>
  <c r="H14" i="1"/>
  <c r="F3" i="39"/>
  <c r="E12" i="12"/>
  <c r="B4" i="9"/>
  <c r="D8" i="49"/>
  <c r="L8" i="28"/>
  <c r="L13" i="12"/>
  <c r="C5" i="52"/>
  <c r="D5" i="42"/>
  <c r="J4" i="1"/>
  <c r="I14" i="1"/>
  <c r="O12" i="1"/>
  <c r="M8" i="28"/>
  <c r="F12" i="12"/>
  <c r="Q8" i="12"/>
  <c r="O19" i="12"/>
  <c r="C4" i="9"/>
  <c r="E4" i="60"/>
  <c r="D10" i="49"/>
  <c r="J9" i="1"/>
  <c r="G6" i="56"/>
  <c r="F10" i="52"/>
  <c r="I2" i="15"/>
  <c r="H10" i="42"/>
  <c r="K4" i="1"/>
  <c r="J14" i="1"/>
  <c r="G9" i="28"/>
  <c r="G12" i="12"/>
  <c r="M2" i="47"/>
  <c r="E6" i="42"/>
  <c r="C9" i="43"/>
  <c r="K4" i="9"/>
  <c r="K9" i="1"/>
  <c r="E3" i="28"/>
  <c r="B9" i="12"/>
  <c r="O4" i="12"/>
  <c r="H17" i="56"/>
  <c r="I5" i="52"/>
  <c r="M4" i="9"/>
  <c r="D12" i="49"/>
  <c r="K11" i="28"/>
  <c r="Q19" i="12"/>
  <c r="H7" i="56"/>
  <c r="T14" i="56"/>
  <c r="N2" i="47"/>
  <c r="M2" i="15"/>
  <c r="G6" i="42"/>
  <c r="C7" i="40"/>
  <c r="E4" i="28"/>
  <c r="B10" i="12"/>
  <c r="S4" i="12"/>
  <c r="I11" i="42"/>
  <c r="C8" i="40"/>
  <c r="I5" i="1"/>
  <c r="G10" i="28"/>
  <c r="Q9" i="12"/>
  <c r="S19" i="12"/>
  <c r="N2" i="15"/>
  <c r="G3" i="43"/>
  <c r="J8" i="48"/>
  <c r="I15" i="1"/>
  <c r="G18" i="12"/>
  <c r="C8" i="13"/>
  <c r="S5" i="56"/>
  <c r="F6" i="52"/>
  <c r="C2" i="7"/>
  <c r="J11" i="42"/>
  <c r="O4" i="9"/>
  <c r="J10" i="48"/>
  <c r="F6" i="60"/>
  <c r="J5" i="1"/>
  <c r="F11" i="1"/>
  <c r="D6" i="28"/>
  <c r="H10" i="28"/>
  <c r="S9" i="12"/>
  <c r="Q13" i="12"/>
  <c r="C9" i="13"/>
  <c r="I8" i="56"/>
  <c r="V5" i="56"/>
  <c r="V14" i="56"/>
  <c r="I6" i="42"/>
  <c r="H3" i="43"/>
  <c r="C12" i="40"/>
  <c r="C5" i="1"/>
  <c r="G11" i="1"/>
  <c r="J15" i="1"/>
  <c r="E6" i="28"/>
  <c r="L12" i="28"/>
  <c r="H4" i="39"/>
  <c r="E19" i="12"/>
  <c r="N5" i="12"/>
  <c r="G6" i="52"/>
  <c r="H11" i="52"/>
  <c r="E2" i="7"/>
  <c r="C12" i="42"/>
  <c r="W4" i="9"/>
  <c r="J11" i="48"/>
  <c r="E10" i="42"/>
  <c r="I4" i="1"/>
  <c r="L8" i="1"/>
  <c r="O11" i="1"/>
  <c r="G4" i="28"/>
  <c r="O8" i="12"/>
  <c r="O23" i="12"/>
  <c r="H5" i="56"/>
  <c r="T12" i="56"/>
  <c r="I15" i="42"/>
  <c r="J2" i="38"/>
  <c r="F12" i="60"/>
  <c r="M4" i="12"/>
  <c r="S18" i="12"/>
  <c r="G15" i="56"/>
  <c r="E10" i="52"/>
  <c r="F2" i="47"/>
  <c r="F2" i="15"/>
  <c r="G10" i="42"/>
  <c r="H8" i="28"/>
  <c r="F4" i="39"/>
  <c r="B7" i="12"/>
  <c r="P23" i="12"/>
  <c r="I16" i="56"/>
  <c r="U12" i="56"/>
  <c r="C6" i="42"/>
  <c r="C8" i="43"/>
  <c r="K2" i="38"/>
  <c r="G12" i="60"/>
  <c r="N4" i="12"/>
  <c r="M13" i="12"/>
  <c r="D5" i="52"/>
  <c r="K9" i="28"/>
  <c r="B8" i="12"/>
  <c r="R8" i="12"/>
  <c r="P19" i="12"/>
  <c r="G7" i="56"/>
  <c r="V12" i="56"/>
  <c r="J5" i="48"/>
  <c r="F4" i="60"/>
  <c r="H12" i="60"/>
  <c r="D11" i="49"/>
  <c r="F13" i="39"/>
  <c r="F13" i="12"/>
  <c r="N13" i="12"/>
  <c r="C6" i="13"/>
  <c r="G10" i="52"/>
  <c r="H11" i="42"/>
  <c r="H5" i="60"/>
  <c r="H5" i="1"/>
  <c r="H9" i="28"/>
  <c r="F15" i="12"/>
  <c r="S8" i="12"/>
  <c r="C11" i="52"/>
  <c r="C11" i="43"/>
  <c r="J7" i="48"/>
  <c r="F10" i="1"/>
  <c r="F14" i="39"/>
  <c r="O13" i="12"/>
  <c r="C7" i="13"/>
  <c r="I17" i="56"/>
  <c r="E6" i="52"/>
  <c r="N4" i="9"/>
  <c r="E6" i="60"/>
  <c r="D16" i="49"/>
  <c r="H2" i="39"/>
  <c r="G15" i="12"/>
  <c r="G8" i="56"/>
  <c r="U14" i="56"/>
  <c r="A2" i="7"/>
  <c r="H6" i="42"/>
  <c r="C4" i="1"/>
  <c r="G10" i="1"/>
  <c r="D5" i="28"/>
  <c r="K12" i="28"/>
  <c r="H3" i="39"/>
  <c r="E3" i="12"/>
  <c r="K5" i="12"/>
  <c r="P13" i="12"/>
  <c r="G11" i="52"/>
  <c r="G6" i="60"/>
  <c r="E8" i="28"/>
  <c r="G12" i="28"/>
  <c r="E4" i="12"/>
  <c r="K10" i="12"/>
  <c r="S20" i="12"/>
  <c r="C10" i="13"/>
  <c r="S6" i="56"/>
  <c r="S15" i="56"/>
  <c r="F2" i="18"/>
  <c r="J12" i="42"/>
  <c r="E10" i="60"/>
  <c r="C18" i="40"/>
  <c r="D13" i="49"/>
  <c r="J3" i="1"/>
  <c r="M4" i="28"/>
  <c r="K13" i="28"/>
  <c r="F5" i="39"/>
  <c r="J8" i="39"/>
  <c r="G4" i="12"/>
  <c r="L3" i="12"/>
  <c r="M6" i="12"/>
  <c r="K9" i="12"/>
  <c r="L12" i="12"/>
  <c r="M15" i="12"/>
  <c r="K20" i="12"/>
  <c r="L23" i="12"/>
  <c r="B9" i="56"/>
  <c r="S9" i="56"/>
  <c r="G2" i="47"/>
  <c r="J8" i="42"/>
  <c r="P4" i="9"/>
  <c r="F2" i="38"/>
  <c r="G4" i="60"/>
  <c r="G10" i="60"/>
  <c r="F7" i="1"/>
  <c r="H10" i="1"/>
  <c r="L13" i="1"/>
  <c r="G20" i="1"/>
  <c r="D7" i="28"/>
  <c r="H6" i="28"/>
  <c r="G13" i="12"/>
  <c r="H9" i="56"/>
  <c r="H15" i="56"/>
  <c r="T16" i="56"/>
  <c r="E5" i="52"/>
  <c r="G2" i="5"/>
  <c r="G2" i="18"/>
  <c r="E12" i="42"/>
  <c r="J15" i="42"/>
  <c r="G13" i="43"/>
  <c r="C10" i="55"/>
  <c r="D14" i="49"/>
  <c r="F4" i="1"/>
  <c r="G7" i="1"/>
  <c r="F14" i="1"/>
  <c r="K5" i="28"/>
  <c r="K14" i="28"/>
  <c r="J9" i="39"/>
  <c r="E5" i="12"/>
  <c r="O3" i="12"/>
  <c r="N6" i="12"/>
  <c r="L9" i="12"/>
  <c r="M12" i="12"/>
  <c r="N15" i="12"/>
  <c r="M23" i="12"/>
  <c r="B11" i="56"/>
  <c r="U9" i="56"/>
  <c r="I8" i="52"/>
  <c r="D12" i="52"/>
  <c r="H2" i="47"/>
  <c r="I5" i="42"/>
  <c r="C9" i="42"/>
  <c r="H12" i="42"/>
  <c r="R4" i="9"/>
  <c r="G2" i="38"/>
  <c r="H4" i="60"/>
  <c r="H10" i="60"/>
  <c r="H20" i="1"/>
  <c r="E7" i="28"/>
  <c r="G7" i="28"/>
  <c r="F9" i="39"/>
  <c r="O15" i="12"/>
  <c r="N20" i="12"/>
  <c r="B14" i="56"/>
  <c r="I9" i="56"/>
  <c r="J15" i="56"/>
  <c r="V9" i="56"/>
  <c r="V16" i="56"/>
  <c r="G5" i="52"/>
  <c r="J8" i="52"/>
  <c r="H2" i="5"/>
  <c r="H2" i="18"/>
  <c r="C3" i="43"/>
  <c r="H13" i="43"/>
  <c r="C11" i="55"/>
  <c r="D15" i="49"/>
  <c r="G4" i="1"/>
  <c r="H7" i="1"/>
  <c r="L10" i="1"/>
  <c r="G14" i="1"/>
  <c r="D8" i="28"/>
  <c r="L5" i="28"/>
  <c r="L14" i="28"/>
  <c r="J10" i="39"/>
  <c r="F5" i="12"/>
  <c r="E15" i="12"/>
  <c r="Q3" i="12"/>
  <c r="O6" i="12"/>
  <c r="P9" i="12"/>
  <c r="N12" i="12"/>
  <c r="N23" i="12"/>
  <c r="H16" i="56"/>
  <c r="H12" i="52"/>
  <c r="I2" i="47"/>
  <c r="J5" i="42"/>
  <c r="D9" i="42"/>
  <c r="I12" i="42"/>
  <c r="S4" i="9"/>
  <c r="I2" i="38"/>
  <c r="E11" i="60"/>
  <c r="H7" i="28"/>
  <c r="F12" i="39"/>
  <c r="E6" i="12"/>
  <c r="Q6" i="12"/>
  <c r="P15" i="12"/>
  <c r="O20" i="12"/>
  <c r="B15" i="56"/>
  <c r="J9" i="56"/>
  <c r="S10" i="56"/>
  <c r="S17" i="56"/>
  <c r="H5" i="52"/>
  <c r="D9" i="52"/>
  <c r="I2" i="18"/>
  <c r="C7" i="43"/>
  <c r="G14" i="43"/>
  <c r="J2" i="15"/>
  <c r="E7" i="42"/>
  <c r="E14" i="42"/>
  <c r="AH4" i="9"/>
  <c r="E8" i="60"/>
  <c r="C9" i="40"/>
  <c r="K5" i="1"/>
  <c r="E14" i="28"/>
  <c r="L22" i="12"/>
  <c r="S13" i="56"/>
  <c r="H10" i="52"/>
  <c r="I2" i="7"/>
  <c r="C4" i="42"/>
  <c r="H7" i="42"/>
  <c r="D4" i="9"/>
  <c r="C10" i="40"/>
  <c r="C15" i="1"/>
  <c r="G14" i="28"/>
  <c r="B11" i="12"/>
  <c r="G10" i="12"/>
  <c r="L5" i="12"/>
  <c r="M8" i="12"/>
  <c r="L14" i="12"/>
  <c r="K19" i="12"/>
  <c r="H6" i="56"/>
  <c r="K2" i="15"/>
  <c r="G14" i="42"/>
  <c r="G7" i="43"/>
  <c r="F4" i="9"/>
  <c r="J13" i="48"/>
  <c r="G8" i="60"/>
  <c r="L5" i="1"/>
  <c r="G9" i="1"/>
  <c r="J12" i="1"/>
  <c r="O14" i="1"/>
  <c r="D15" i="28"/>
  <c r="M10" i="28"/>
  <c r="C11" i="39"/>
  <c r="N8" i="12"/>
  <c r="M11" i="12"/>
  <c r="M22" i="12"/>
  <c r="C13" i="13"/>
  <c r="J6" i="56"/>
  <c r="J13" i="56"/>
  <c r="V6" i="56"/>
  <c r="S14" i="56"/>
  <c r="D4" i="52"/>
  <c r="G7" i="52"/>
  <c r="I10" i="52"/>
  <c r="L2" i="46"/>
  <c r="D4" i="42"/>
  <c r="I7" i="42"/>
  <c r="E11" i="42"/>
  <c r="AL4" i="9"/>
  <c r="J12" i="48"/>
  <c r="C21" i="55"/>
  <c r="F9" i="1"/>
  <c r="H12" i="1"/>
  <c r="O13" i="1"/>
  <c r="L10" i="28"/>
  <c r="H9" i="39"/>
  <c r="S13" i="12"/>
  <c r="C12" i="13"/>
  <c r="U6" i="56"/>
  <c r="F7" i="52"/>
  <c r="K2" i="46"/>
  <c r="D11" i="42"/>
  <c r="L15" i="1"/>
  <c r="E21" i="12"/>
  <c r="AI4" i="9"/>
  <c r="C11" i="40"/>
  <c r="D7" i="49"/>
  <c r="D23" i="1"/>
  <c r="I19" i="1"/>
  <c r="D18" i="28"/>
  <c r="H14" i="28"/>
  <c r="C12" i="39"/>
  <c r="H12" i="39"/>
  <c r="B15" i="12"/>
  <c r="E11" i="12"/>
  <c r="M5" i="12"/>
  <c r="M14" i="12"/>
  <c r="L19" i="12"/>
  <c r="N2" i="7"/>
  <c r="L2" i="15"/>
  <c r="G4" i="42"/>
  <c r="I14" i="42"/>
  <c r="J4" i="9"/>
  <c r="J14" i="48"/>
  <c r="D9" i="28"/>
  <c r="H5" i="28"/>
  <c r="C2" i="39"/>
  <c r="F10" i="39"/>
  <c r="B12" i="12"/>
  <c r="M3" i="12"/>
  <c r="O5" i="12"/>
  <c r="M10" i="12"/>
  <c r="O12" i="12"/>
  <c r="M19" i="12"/>
  <c r="O21" i="12"/>
  <c r="I7" i="56"/>
  <c r="I12" i="56"/>
  <c r="T10" i="56"/>
  <c r="T15" i="56"/>
  <c r="C7" i="52"/>
  <c r="G9" i="52"/>
  <c r="E12" i="52"/>
  <c r="J2" i="7"/>
  <c r="D2" i="15"/>
  <c r="E5" i="42"/>
  <c r="C8" i="42"/>
  <c r="C4" i="43"/>
  <c r="G10" i="43"/>
  <c r="G4" i="9"/>
  <c r="F5" i="60"/>
  <c r="F5" i="1"/>
  <c r="K7" i="1"/>
  <c r="I10" i="1"/>
  <c r="H13" i="1"/>
  <c r="F19" i="1"/>
  <c r="H15" i="28"/>
  <c r="L9" i="28"/>
  <c r="J4" i="39"/>
  <c r="F9" i="12"/>
  <c r="E18" i="12"/>
  <c r="K8" i="12"/>
  <c r="K15" i="12"/>
  <c r="S23" i="12"/>
  <c r="B12" i="56"/>
  <c r="T5" i="56"/>
  <c r="F4" i="52"/>
  <c r="D2" i="47"/>
  <c r="L2" i="18"/>
  <c r="I10" i="42"/>
  <c r="H13" i="42"/>
  <c r="AE4" i="9"/>
  <c r="N2" i="38"/>
  <c r="G5" i="60"/>
  <c r="F10" i="60"/>
  <c r="C14" i="40"/>
  <c r="D6" i="49"/>
  <c r="C11" i="1"/>
  <c r="G19" i="1"/>
  <c r="E9" i="28"/>
  <c r="G6" i="28"/>
  <c r="C3" i="39"/>
  <c r="F11" i="39"/>
  <c r="J5" i="39"/>
  <c r="B14" i="12"/>
  <c r="N3" i="12"/>
  <c r="N10" i="12"/>
  <c r="Q12" i="12"/>
  <c r="N19" i="12"/>
  <c r="P21" i="12"/>
  <c r="B13" i="56"/>
  <c r="J7" i="56"/>
  <c r="U10" i="56"/>
  <c r="U15" i="56"/>
  <c r="D7" i="52"/>
  <c r="H9" i="52"/>
  <c r="G12" i="52"/>
  <c r="K2" i="7"/>
  <c r="E2" i="15"/>
  <c r="D8" i="42"/>
  <c r="C5" i="43"/>
  <c r="H10" i="43"/>
  <c r="I4" i="9"/>
  <c r="G5" i="1"/>
  <c r="L7" i="1"/>
  <c r="I13" i="1"/>
  <c r="H19" i="1"/>
  <c r="O10" i="1"/>
  <c r="K3" i="28"/>
  <c r="K10" i="28"/>
  <c r="G9" i="12"/>
  <c r="F18" i="12"/>
  <c r="S5" i="12"/>
  <c r="L8" i="12"/>
  <c r="L15" i="12"/>
  <c r="C5" i="13"/>
  <c r="I13" i="56"/>
  <c r="U5" i="56"/>
  <c r="H4" i="52"/>
  <c r="E2" i="47"/>
  <c r="N2" i="18"/>
  <c r="H5" i="42"/>
  <c r="C11" i="42"/>
  <c r="I13" i="42"/>
  <c r="AF4" i="9"/>
  <c r="J4" i="48"/>
  <c r="K20" i="1"/>
  <c r="L13" i="28"/>
  <c r="Q4" i="12"/>
  <c r="P11" i="12"/>
  <c r="P20" i="12"/>
  <c r="I10" i="56"/>
  <c r="T13" i="56"/>
  <c r="G8" i="52"/>
  <c r="D11" i="52"/>
  <c r="I2" i="5"/>
  <c r="E15" i="28"/>
  <c r="E13" i="12"/>
  <c r="R4" i="12"/>
  <c r="K7" i="12"/>
  <c r="K14" i="12"/>
  <c r="M18" i="12"/>
  <c r="K23" i="12"/>
  <c r="C15" i="13"/>
  <c r="J10" i="56"/>
  <c r="G16" i="56"/>
  <c r="F3" i="52"/>
  <c r="B2" i="7"/>
  <c r="E4" i="42"/>
  <c r="G12" i="42"/>
  <c r="V4" i="9"/>
  <c r="C2" i="38"/>
  <c r="J15" i="48"/>
  <c r="K14" i="1"/>
  <c r="G11" i="28"/>
  <c r="C14" i="39"/>
  <c r="B4" i="12"/>
  <c r="E22" i="12"/>
  <c r="I5" i="56"/>
  <c r="T8" i="56"/>
  <c r="D2" i="18"/>
  <c r="J6" i="42"/>
  <c r="H9" i="42"/>
  <c r="C15" i="42"/>
  <c r="H5" i="43"/>
  <c r="T4" i="9"/>
  <c r="F3" i="60"/>
  <c r="F8" i="60"/>
  <c r="C6" i="40"/>
  <c r="C3" i="1"/>
  <c r="J6" i="1"/>
  <c r="H9" i="1"/>
  <c r="E5" i="28"/>
  <c r="K7" i="28"/>
  <c r="H8" i="39"/>
  <c r="F6" i="12"/>
  <c r="C16" i="55"/>
  <c r="I9" i="1"/>
  <c r="G12" i="1"/>
  <c r="F15" i="1"/>
  <c r="L20" i="1"/>
  <c r="H11" i="28"/>
  <c r="M13" i="28"/>
  <c r="F2" i="39"/>
  <c r="B5" i="12"/>
  <c r="F22" i="12"/>
  <c r="O9" i="12"/>
  <c r="Q11" i="12"/>
  <c r="Q20" i="12"/>
  <c r="J5" i="56"/>
  <c r="U8" i="56"/>
  <c r="U13" i="56"/>
  <c r="D6" i="52"/>
  <c r="H8" i="52"/>
  <c r="E11" i="52"/>
  <c r="J2" i="46"/>
  <c r="J2" i="5"/>
  <c r="E2" i="18"/>
  <c r="C7" i="42"/>
  <c r="I9" i="42"/>
  <c r="D15" i="42"/>
  <c r="G6" i="43"/>
  <c r="E2" i="38"/>
  <c r="J7" i="39"/>
  <c r="B13" i="12"/>
  <c r="E8" i="12"/>
  <c r="P6" i="12"/>
  <c r="P8" i="12"/>
  <c r="P10" i="12"/>
  <c r="P12" i="12"/>
  <c r="R22" i="12"/>
  <c r="C11" i="13"/>
  <c r="B17" i="56"/>
  <c r="H8" i="56"/>
  <c r="V13" i="56"/>
  <c r="D3" i="52"/>
  <c r="F5" i="52"/>
  <c r="H7" i="52"/>
  <c r="F12" i="52"/>
  <c r="F2" i="7"/>
  <c r="A2" i="18"/>
  <c r="I3" i="42"/>
  <c r="G8" i="42"/>
  <c r="D13" i="42"/>
  <c r="H15" i="42"/>
  <c r="E5" i="60"/>
  <c r="G9" i="60"/>
  <c r="C17" i="55"/>
  <c r="I3" i="1"/>
  <c r="J8" i="1"/>
  <c r="J13" i="1"/>
  <c r="M6" i="28"/>
  <c r="M12" i="28"/>
  <c r="C10" i="39"/>
  <c r="G14" i="12"/>
  <c r="G22" i="12"/>
  <c r="P4" i="12"/>
  <c r="R14" i="12"/>
  <c r="R18" i="12"/>
  <c r="R20" i="12"/>
  <c r="H13" i="56"/>
  <c r="J17" i="56"/>
  <c r="T9" i="56"/>
  <c r="D10" i="52"/>
  <c r="A2" i="47"/>
  <c r="K2" i="5"/>
  <c r="D6" i="42"/>
  <c r="J10" i="42"/>
  <c r="H6" i="43"/>
  <c r="Q4" i="9"/>
  <c r="AJ4" i="9"/>
  <c r="J6" i="48"/>
  <c r="C12" i="1"/>
  <c r="L4" i="1"/>
  <c r="L9" i="1"/>
  <c r="L14" i="1"/>
  <c r="M3" i="28"/>
  <c r="M9" i="28"/>
  <c r="M15" i="28"/>
  <c r="F6" i="39"/>
  <c r="G11" i="12"/>
  <c r="G19" i="12"/>
  <c r="P3" i="12"/>
  <c r="P5" i="12"/>
  <c r="R13" i="12"/>
  <c r="R15" i="12"/>
  <c r="R19" i="12"/>
  <c r="R21" i="12"/>
  <c r="G11" i="56"/>
  <c r="I15" i="56"/>
  <c r="S7" i="56"/>
  <c r="U11" i="56"/>
  <c r="C9" i="52"/>
  <c r="F2" i="46"/>
  <c r="L2" i="47"/>
  <c r="G2" i="15"/>
  <c r="C5" i="42"/>
  <c r="D12" i="42"/>
  <c r="C10" i="43"/>
  <c r="H11" i="43"/>
  <c r="H4" i="9"/>
  <c r="AA4" i="9"/>
  <c r="J16" i="48"/>
  <c r="F7" i="60"/>
  <c r="C9" i="55"/>
  <c r="E3" i="60"/>
  <c r="E12" i="60"/>
  <c r="D9" i="49"/>
  <c r="I7" i="1"/>
  <c r="I12" i="1"/>
  <c r="D4" i="28"/>
  <c r="D13" i="28"/>
  <c r="G8" i="28"/>
  <c r="H13" i="39"/>
  <c r="B6" i="12"/>
  <c r="G5" i="12"/>
  <c r="R7" i="12"/>
  <c r="R9" i="12"/>
  <c r="R11" i="12"/>
  <c r="C4" i="13"/>
  <c r="B10" i="56"/>
  <c r="I6" i="56"/>
  <c r="U16" i="56"/>
  <c r="G4" i="52"/>
  <c r="I6" i="52"/>
  <c r="F11" i="52"/>
  <c r="C2" i="5"/>
  <c r="M2" i="18"/>
  <c r="J9" i="42"/>
  <c r="H14" i="42"/>
  <c r="AC4" i="9"/>
  <c r="H2" i="38"/>
  <c r="H7" i="43"/>
  <c r="H15" i="43"/>
  <c r="L4" i="9"/>
  <c r="AB4" i="9"/>
  <c r="D2" i="38"/>
  <c r="J9" i="48"/>
  <c r="J10" i="52"/>
  <c r="J12" i="52"/>
  <c r="B2" i="47"/>
  <c r="D2" i="7"/>
  <c r="F2" i="5"/>
  <c r="H2" i="15"/>
  <c r="J2" i="18"/>
  <c r="F4" i="42"/>
  <c r="F6" i="42"/>
  <c r="F8" i="42"/>
  <c r="F10" i="42"/>
  <c r="F12" i="42"/>
  <c r="F14" i="42"/>
  <c r="C6" i="43"/>
  <c r="G8" i="43"/>
  <c r="A6" i="9"/>
  <c r="A5" i="9"/>
  <c r="A10" i="9"/>
  <c r="A8" i="9"/>
  <c r="A9" i="9"/>
  <c r="A13" i="9"/>
  <c r="A11" i="9"/>
  <c r="A7" i="9"/>
  <c r="A4" i="9"/>
  <c r="A12" i="9"/>
  <c r="L2" i="38"/>
  <c r="J19" i="48"/>
  <c r="G3" i="60"/>
  <c r="G7" i="60"/>
  <c r="G11" i="60"/>
  <c r="C16" i="40"/>
  <c r="D4" i="49"/>
  <c r="C6" i="1"/>
  <c r="K3" i="1"/>
  <c r="F6" i="1"/>
  <c r="H8" i="1"/>
  <c r="J10" i="1"/>
  <c r="L12" i="1"/>
  <c r="G15" i="1"/>
  <c r="I20" i="1"/>
  <c r="E10" i="28"/>
  <c r="H4" i="28"/>
  <c r="H12" i="28"/>
  <c r="K6" i="28"/>
  <c r="L11" i="28"/>
  <c r="C4" i="39"/>
  <c r="F7" i="39"/>
  <c r="H10" i="39"/>
  <c r="J13" i="39"/>
  <c r="F3" i="12"/>
  <c r="G8" i="12"/>
  <c r="E14" i="12"/>
  <c r="F21" i="12"/>
  <c r="S3" i="12"/>
  <c r="Y13" i="12" s="1" a="1"/>
  <c r="Y13" i="12" s="1"/>
  <c r="Q5" i="12"/>
  <c r="O7" i="12"/>
  <c r="M9" i="12"/>
  <c r="K11" i="12"/>
  <c r="R12" i="12"/>
  <c r="P14" i="12"/>
  <c r="N18" i="12"/>
  <c r="L20" i="12"/>
  <c r="S21" i="12"/>
  <c r="Q23" i="12"/>
  <c r="B5" i="56"/>
  <c r="C26" i="56"/>
  <c r="J8" i="56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E4" i="9"/>
  <c r="U4" i="9"/>
  <c r="AK4" i="9"/>
  <c r="M2" i="38"/>
  <c r="J20" i="48"/>
  <c r="H3" i="60"/>
  <c r="H7" i="60"/>
  <c r="H11" i="60"/>
  <c r="C17" i="40"/>
  <c r="D5" i="49"/>
  <c r="C7" i="1"/>
  <c r="L3" i="1"/>
  <c r="G6" i="1"/>
  <c r="I8" i="1"/>
  <c r="K10" i="1"/>
  <c r="F13" i="1"/>
  <c r="H15" i="1"/>
  <c r="J20" i="1"/>
  <c r="D3" i="28"/>
  <c r="D11" i="28"/>
  <c r="G5" i="28"/>
  <c r="G13" i="28"/>
  <c r="L6" i="28"/>
  <c r="M11" i="28"/>
  <c r="C5" i="39"/>
  <c r="F8" i="39"/>
  <c r="H11" i="39"/>
  <c r="J14" i="39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M15" i="48" l="1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7" i="13" l="1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J14" i="49" l="1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14C111B-9E5C-4182-875B-169C7DFCCBD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Timestamp="1722226015"&gt;&lt;FQL&gt;&lt;Q&gt;FC0000ZA^FG_MCAP_IDX(0,,,USD)&lt;/Q&gt;&lt;R&gt;1&lt;/R&gt;&lt;C&gt;1&lt;/C&gt;&lt;D xsi:type="xsd:double"&gt;333017.1&lt;/D&gt;&lt;/FQL&gt;&lt;FQL&gt;&lt;Q&gt;EWI^FREF_MARKET_VALUE_COMPANY(0,,,USD,,0,,"LEGACY")&lt;/Q&gt;&lt;R&gt;1&lt;/R&gt;&lt;C&gt;1&lt;/C&gt;&lt;D xsi:type="xsd:double"&gt;461.25&lt;/D&gt;&lt;/FQL&gt;&lt;FQL&gt;&lt;Q&gt;FC0000IT^FMA_MCAP(0,,,USD,"PORTAGG")&lt;/Q&gt;&lt;R&gt;1&lt;/R&gt;&lt;C&gt;1&lt;/C&gt;&lt;D xsi:type="xsd:double"&gt;871803.25&lt;/D&gt;&lt;/FQL&gt;&lt;FQL&gt;&lt;Q&gt;EWD^FREF_MARKET_VALUE_COMPANY(0,,,USD,,0,,"LEGACY")&lt;/Q&gt;&lt;R&gt;1&lt;/R&gt;&lt;C&gt;1&lt;/C&gt;&lt;D xsi:type="xsd:double"&gt;309.348&lt;/D&gt;&lt;/FQL&gt;&lt;FQL&gt;&lt;Q&gt;FC0000SE^FMA_MCAP(0,,,USD,"PORTAGG")&lt;/Q&gt;&lt;R&gt;1&lt;/R&gt;&lt;C&gt;1&lt;/C&gt;&lt;D xsi:type="xsd:double"&gt;1009585.7&lt;/D&gt;&lt;/FQL&gt;&lt;FQL&gt;&lt;Q&gt;EWN^FREF_MARKET_VALUE_COMPANY(0,,,USD,,0,,"LEGACY")&lt;/Q&gt;&lt;R&gt;1&lt;/R&gt;&lt;C&gt;1&lt;/C&gt;&lt;D xsi:type="xsd:double"&gt;265.7965&lt;/D&gt;&lt;/FQL&gt;&lt;FQL&gt;&lt;Q&gt;FC0000NL^FMA_MCAP(0,,,USD,"PORTAGG")&lt;/Q&gt;&lt;R&gt;1&lt;/R&gt;&lt;C&gt;1&lt;/C&gt;&lt;D xsi:type="xsd:double"&gt;1095033&lt;/D&gt;&lt;/FQL&gt;&lt;FQL&gt;&lt;Q&gt;EWQ^FREF_MARKET_VALUE_COMPANY(0,,,USD,,0,,"LEGACY")&lt;/Q&gt;&lt;R&gt;1&lt;/R&gt;&lt;C&gt;1&lt;/C&gt;&lt;D xsi:type="xsd:double"&gt;649.824&lt;/D&gt;&lt;/FQL&gt;&lt;FQL&gt;&lt;Q&gt;FC0000FR^FMA_MCAP(0,,,USD,"PORTAGG")&lt;/Q&gt;&lt;R&gt;1&lt;/R&gt;&lt;C&gt;1&lt;/C&gt;&lt;D xsi:type="xsd:double"&gt;3147640.5&lt;/D&gt;&lt;/FQL&gt;&lt;FQL&gt;&lt;Q&gt;SPY^FREF_MARKET_VALUE_COMPANY(0,,,USD,,0,,"LEGACY")&lt;/Q&gt;&lt;R&gt;1&lt;/R&gt;&lt;C&gt;1&lt;/C&gt;&lt;D xsi:type="xsd:double"&gt;558640.192968&lt;/D&gt;&lt;/FQL&gt;&lt;FQL&gt;&lt;Q&gt;FC0000US^FMA_MCAP(0,,,USD,"PORTAGG")&lt;/Q&gt;&lt;R&gt;1&lt;/R&gt;&lt;C&gt;1&lt;/C&gt;&lt;D xsi:type="xsd:double"&gt;56951612&lt;/D&gt;&lt;/FQL&gt;&lt;FQL&gt;&lt;Q&gt;QQQ^FREF_MARKET_VALUE_COMPANY(0,,,USD,,0,,"LEGACY")&lt;/Q&gt;&lt;R&gt;1&lt;/R&gt;&lt;C&gt;1&lt;/C&gt;&lt;D xsi:type="xsd:double"&gt;283569.125&lt;/D&gt;&lt;/FQL&gt;&lt;FQL&gt;&lt;Q&gt;EWU^FREF_MARKET_VALUE_COMPANY(0,,,USD,,0,,"LEGACY")&lt;/Q&gt;&lt;R&gt;1&lt;/R&gt;&lt;C&gt;1&lt;/C&gt;&lt;D xsi:type="xsd:double"&gt;3036.486&lt;/D&gt;&lt;/FQL&gt;&lt;FQL&gt;&lt;Q&gt;FC0000GB^FMA_MCAP(0,,,USD,"PORTAGG")&lt;/Q&gt;&lt;R&gt;1&lt;/R&gt;&lt;C&gt;1&lt;/C&gt;&lt;D xsi:type="xsd:double"&gt;3309482.3&lt;/D&gt;&lt;/FQL&gt;&lt;FQL&gt;&lt;Q&gt;FC0000CH^FMA_MCAP(0,,,USD,"PORTAGG")&lt;/Q&gt;&lt;R&gt;1&lt;/R&gt;&lt;C&gt;1&lt;/C&gt;&lt;D xsi:type="xsd:double"&gt;2248412.8&lt;/D&gt;&lt;/FQL&gt;&lt;FQL&gt;&lt;Q&gt;FC0000JP^FMA_MCAP(0,,,USD,"PORTAGG")&lt;/Q&gt;&lt;R&gt;1&lt;/R&gt;&lt;C&gt;1&lt;/C&gt;&lt;D xsi:type="xsd:double"&gt;6395283.5&lt;/D&gt;&lt;/FQL&gt;&lt;FQL&gt;&lt;Q&gt;EWG^FREF_MARKET_VALUE_COMPANY(0,,,USD,,0,,"LEGACY")&lt;/Q&gt;&lt;R&gt;1&lt;/R&gt;&lt;C&gt;1&lt;/C&gt;&lt;D xsi:type="xsd:double"&gt;929.907&lt;/D&gt;&lt;/FQL&gt;&lt;FQL&gt;&lt;Q&gt;FC0000DE^FMA_MCAP(0,,,USD,"PORTAGG")&lt;/Q&gt;&lt;R&gt;1&lt;/R&gt;&lt;C&gt;1&lt;/C&gt;&lt;D xsi:type="xsd:double"&gt;2260596&lt;/D&gt;&lt;/FQL&gt;&lt;FQL&gt;&lt;Q&gt;EWC^FREF_MARKET_VALUE_COMPANY(0,,,USD,,0,,"LEGACY")&lt;/Q&gt;&lt;R&gt;1&lt;/R&gt;&lt;C&gt;1&lt;/C&gt;&lt;D xsi:type="xsd:double"&gt;2483.784&lt;/D&gt;&lt;/FQL&gt;&lt;FQL&gt;&lt;Q&gt;FC0000CA^FMA_MCAP(0,,,USD,"PORTAGG")&lt;/Q&gt;&lt;R&gt;1&lt;/R&gt;&lt;C&gt;1&lt;/C&gt;&lt;D xsi:type="xsd:double"&gt;2778568.8&lt;/D&gt;&lt;/FQL&gt;&lt;FQL&gt;&lt;Q&gt;EWA^FREF_MARKET_VALUE_COMPANY(0,,,USD,,0,,"LEGACY")&lt;/Q&gt;&lt;R&gt;1&lt;/R&gt;&lt;C&gt;1&lt;/C&gt;&lt;D xsi:type="xsd:double"&gt;1490.672&lt;/D&gt;&lt;/FQL&gt;&lt;FQL&gt;&lt;Q&gt;FC0000AU^FMA_MCAP(0,,,USD,"PORTAGG")&lt;/Q&gt;&lt;R&gt;1&lt;/R&gt;&lt;C&gt;1&lt;/C&gt;&lt;D xsi:type="xsd:double"&gt;1694565.5&lt;/D&gt;&lt;/FQL&gt;&lt;FQL&gt;&lt;Q&gt;ENZL^FREF_MARKET_VALUE_COMPANY(0,,,USD,,0,,"LEGACY")&lt;/Q&gt;&lt;R&gt;1&lt;/R&gt;&lt;C&gt;1&lt;/C&gt;&lt;D xsi:type="xsd:double"&gt;84.545&lt;/D&gt;&lt;/FQL&gt;&lt;FQL&gt;&lt;Q&gt;FC0000NZ^FMA_MCAP(0,,,USD,"PORTAGG")&lt;/Q&gt;&lt;R&gt;1&lt;/R&gt;&lt;C&gt;1&lt;/C&gt;&lt;D xsi:type="xsd:double"&gt;93169.89&lt;/D&gt;&lt;/FQL&gt;&lt;FQL&gt;&lt;Q&gt;NQG00809^FG_COMPANY_NAME&lt;/Q&gt;&lt;R&gt;1&lt;/R&gt;&lt;C&gt;1&lt;/C&gt;&lt;D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Africa&lt;/D&gt;&lt;/FQL&gt;&lt;FQL&gt;&lt;Q&gt;NQG00809^FMA_MCAP(0,,,USD,"PORTAGG")&lt;/Q&gt;&lt;R&gt;0&lt;/R&gt;&lt;C&gt;0&lt;/C&gt;&lt;/FQL&gt;&lt;FQL&gt;&lt;Q&gt;EWL^FREF_MARKET_VALUE_COMPANY(0,,,USD,,0,,"LEGACY")&lt;/Q&gt;&lt;R&gt;1&lt;/R&gt;&lt;C&gt;1&lt;/C&gt;&lt;D xsi:type="xsd:double"&gt;1238.985&lt;/D&gt;&lt;/FQL&gt;&lt;FQL&gt;&lt;Q&gt;EWJ^FREF_MARKET_VALUE_COMPANY(0,,,USD,,0,,"LEGACY")&lt;/Q&gt;&lt;R&gt;1&lt;/R&gt;&lt;C&gt;1&lt;/C&gt;&lt;D xsi:type="xsd:double"&gt;15784.962&lt;/D&gt;&lt;/FQL&gt;&lt;FQL&gt;&lt;Q&gt;DUMMY^ECON_EXPR_DATA('FDS_ECON[]',,,M)&lt;/Q&gt;&lt;R&gt;0&lt;/R&gt;&lt;C&gt;0&lt;/C&gt;&lt;/FQL&gt;&lt;FQL&gt;&lt;Q&gt;DUMMY^ECON_EXPR_DATA('FDS_ECON[NTCPMIMFGSA@IT]',,,M)&lt;/Q&gt;&lt;R&gt;1&lt;/R&gt;&lt;C&gt;1&lt;/C&gt;&lt;D xsi:type="xsd:double"&gt;45.728035&lt;/D&gt;&lt;/FQL&gt;&lt;FQL&gt;&lt;Q&gt;DUMMY^ECON_EXPR_DATA('FDS_ECON[NTCPMIMFGSA@NL]',,,M)&lt;/Q&gt;&lt;R&gt;1&lt;/R&gt;&lt;C&gt;1&lt;/C&gt;&lt;D xsi:type="xsd:double"&gt;50.6796&lt;/D&gt;&lt;/FQL&gt;&lt;FQL&gt;&lt;Q&gt;DUMMY^ECON_EXPR_DATA('FDS_ECON[NTCPMIMFGSA@FR]',,,M)&lt;/Q&gt;&lt;R&gt;1&lt;/R&gt;&lt;C&gt;1&lt;/C&gt;&lt;D xsi:type="xsd:double"&gt;45.352627&lt;/D&gt;&lt;/FQL&gt;&lt;FQL&gt;&lt;Q&gt;DUMMY^ECON_EXPR_DATA('FDS_ECON[NTCPMIMFGMESA@US]',,,M)&lt;/Q&gt;&lt;R&gt;1&lt;/R&gt;&lt;C&gt;1&lt;/C&gt;&lt;D xsi:type="xsd:double"&gt;51.57308&lt;/D&gt;&lt;/FQL&gt;&lt;FQL&gt;&lt;Q&gt;DUMMY^ECON_EXPR_DATA('FDS_ECON[NTCPMIMFGSA@GB]',,,M)&lt;/Q&gt;&lt;R&gt;1&lt;/R&gt;&lt;C&gt;1&lt;/C&gt;&lt;D xsi:type="xsd:double"&gt;50.900154&lt;/D&gt;&lt;/FQL&gt;&lt;FQL&gt;&lt;Q&gt;DUMMY^ECON_EXPR_DATA('FDS_ECON[NTCPMIMFGSA@CH]',,,M)&lt;/Q&gt;&lt;R&gt;1&lt;/R&gt;&lt;C&gt;1&lt;/C&gt;&lt;D xsi:type="xsd:double"&gt;43.87095&lt;/D&gt;&lt;/FQL&gt;&lt;FQL&gt;&lt;Q&gt;DUMMY^ECON_EXPR_DATA('FDS_ECON[NTCPMIMFGSA@JP]',,,M)&lt;/Q&gt;&lt;R&gt;1&lt;/R&gt;&lt;C&gt;1&lt;/C&gt;&lt;D xsi:type="xsd:double"&gt;50.046066&lt;/D&gt;&lt;/FQL&gt;&lt;FQL&gt;&lt;Q&gt;DUMMY^ECON_EXPR_DATA('FDS_ECON[NTCPMIMFGSA@DE]',,,M)&lt;/Q&gt;&lt;R&gt;1&lt;/R&gt;&lt;C&gt;1&lt;/C&gt;&lt;D xsi:type="xsd:double"&gt;43.50151&lt;/D&gt;&lt;/FQL&gt;&lt;FQL&gt;&lt;Q&gt;DUMMY^ECON_EXPR_DATA('FDS_ECON[NTCPMIMFGSA@CA]',,,M)&lt;/Q&gt;&lt;R&gt;1&lt;/R&gt;&lt;C&gt;1&lt;/C&gt;&lt;D xsi:type="xsd:double"&gt;49.28048&lt;/D&gt;&lt;/FQL&gt;&lt;FQL&gt;&lt;Q&gt;DUMMY^ECON_EXPR_DATA('FDS_ECON[NTCPMIMFGSA@AU]',,,M)&lt;/Q&gt;&lt;R&gt;1&lt;/R&gt;&lt;C&gt;1&lt;/C&gt;&lt;D xsi:type="xsd:double"&gt;47.17306&lt;/D&gt;&lt;/FQL&gt;&lt;FQL&gt;&lt;Q&gt;DUMMY^ECON_EXPR_DATA('FDS_ECON[NTCPMIMFGSA@NZ]',,,M)&lt;/Q&gt;&lt;R&gt;1&lt;/R&gt;&lt;C&gt;1&lt;/C&gt;&lt;D xsi:type="xsd:double"&gt;41.100586&lt;/D&gt;&lt;/FQL&gt;&lt;FQL&gt;&lt;Q&gt;CAGDPY@FR^EE_ACTUAL_ANNUAL(MED,+1)&lt;/Q&gt;&lt;R&gt;1&lt;/R&gt;&lt;C&gt;1&lt;/C&gt;&lt;D xsi:type="xsd:double"&gt;-0.45&lt;/D&gt;&lt;/FQL&gt;&lt;FQL&gt;&lt;Q&gt;CAGDPY@AU^EE_ACTUAL_ANNUAL(MED,+1)&lt;/Q&gt;&lt;R&gt;1&lt;/R&gt;&lt;C&gt;1&lt;/C&gt;&lt;D xsi:type="xsd:double"&gt;-0.5&lt;/D&gt;&lt;/FQL&gt;&lt;FQL&gt;&lt;Q&gt;USDITL^FG_PRICE_CHANGE(0,-3AM)&lt;/Q&gt;&lt;R&gt;1&lt;/R&gt;&lt;C&gt;1&lt;/C&gt;&lt;D xsi:type="xsd:double"&gt;-1.6212225&lt;/D&gt;&lt;/FQL&gt;&lt;FQL&gt;&lt;Q&gt;USDANG^FG_PRICE_CHANGE(0,-3AM)&lt;/Q&gt;&lt;R&gt;1&lt;/R&gt;&lt;C&gt;1&lt;/C&gt;&lt;D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xsi:type="xsd:double"&gt;-3.049755&lt;/D&gt;&lt;/FQL&gt;&lt;FQL&gt;&lt;Q&gt;USDJPY^FG_PRICE_CHANGE(0,-3AM)&lt;/Q&gt;&lt;R&gt;1&lt;/R&gt;&lt;C&gt;1&lt;/C&gt;&lt;D xsi:type="xsd:double"&gt;-2.3810983&lt;/D&gt;&lt;/FQL&gt;&lt;FQL&gt;&lt;Q&gt;USDCAD^FG_PRICE_CHANGE(0,-3AM)&lt;/Q&gt;&lt;R&gt;1&lt;/R&gt;&lt;C&gt;1&lt;/C&gt;&lt;D xsi:type="xsd:double"&gt;1.1326194&lt;/D&gt;&lt;/FQL&gt;&lt;FQL&gt;&lt;Q&gt;USDNZD^FG_PRICE_CHANGE(0,-3AM)&lt;/Q&gt;&lt;R&gt;1&lt;/R&gt;&lt;C&gt;1&lt;/C&gt;&lt;D xsi:type="xsd:double"&gt;0.7977605&lt;/D&gt;&lt;/FQL&gt;&lt;FQL&gt;&lt;Q&gt;EWA^FMA_EPS(NTMA,-20AY,0,CY,,"PORTAGG","MEANR")&lt;/Q&gt;&lt;R&gt;20&lt;/R&gt;&lt;C&gt;1&lt;/C&gt;&lt;D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xsi:type="xsd:long"&gt;45408&lt;/D&gt;&lt;D xsi:type="xsd:long"&gt;45436&lt;/D&gt;&lt;D xsi:type="xsd:long"&gt;45469&lt;/D&gt;&lt;D xsi:type="xsd:long"&gt;45499&lt;/D&gt;&lt;/FQL&gt;&lt;FQL&gt;&lt;Q&gt;EWD^FMA_DIV_YLD(NTMA,-10AY,0,AM,"PORTAGG","MEANR")&lt;/Q&gt;&lt;R&gt;121&lt;/R&gt;&lt;C&gt;1&lt;/C&gt;&lt;D xsi:type="xsd:double"&gt;4.14377588294978&lt;/D&gt;&lt;D xsi:type="xsd:double"&gt;4.17879466241533&lt;/D&gt;&lt;D xsi:type="xsd:double"&gt;4.22701266814486&lt;/D&gt;&lt;D xsi:type="xsd:double"&gt;4.33889252011293&lt;/D&gt;&lt;D xsi:type="xsd:double"&gt;4.08077005658878&lt;/D&gt;&lt;D xsi:type="xsd:double"&gt;4.08193514473521&lt;/D&gt;&lt;D xsi:type="xsd:double"&gt;3.87285536400263&lt;/D&gt;&lt;D xsi:type="xsd:double"&gt;3.60376742155122&lt;/D&gt;&lt;D xsi:type="xsd:double"&gt;3.6525218909793&lt;/D&gt;&lt;D xsi:type="xsd:double"&gt;3.6198930694176&lt;/D&gt;&lt;D xsi:type="xsd:double"&gt;3.80542048172922&lt;/D&gt;&lt;D xsi:type="xsd:double"&gt;3.90332220593368&lt;/D&gt;&lt;D xsi:type="xsd:double"&gt;3.94782299828166&lt;/D&gt;&lt;D xsi:type="xsd:double"&gt;4.41709231729391&lt;/D&gt;&lt;D xsi:type="xsd:double"&gt;4.56500447507667&lt;/D&gt;&lt;D xsi:type="xsd:double"&gt;4.19608367348736&lt;/D&gt;&lt;D xsi:type="xsd:double"&gt;4.18450813766404&lt;/D&gt;&lt;D xsi:type="xsd:double"&gt;4.31624167016494&lt;/D&gt;&lt;D xsi:type="xsd:double"&gt;4.46245119281606&lt;/D&gt;&lt;D xsi:type="xsd:double"&gt;4.38417959520216&lt;/D&gt;&lt;D xsi:type="xsd:double"&gt;4.45407153538038&lt;/D&gt;&lt;D xsi:type="xsd:double"&gt;4.26524854343643&lt;/D&gt;&lt;D xsi:type="xsd:double"&gt;4.347704943634&lt;/D&gt;&lt;D xsi:type="xsd:double"&gt;4.39293207340543&lt;/D&gt;&lt;D xsi:type="xsd:double"&gt;4.31934638679809&lt;/D&gt;&lt;D xsi:type="xsd:double"&gt;4.24310777583996&lt;/D&gt;&lt;D xsi:type="xsd:double"&gt;4.25186850626918&lt;/D&gt;&lt;D xsi:type="xsd:double"&gt;4.09401403467996&lt;/D&gt;&lt;D xsi:type="xsd:double"&gt;4.00713622666794&lt;/D&gt;&lt;D xsi:type="xsd:double"&gt;3.88540003504128&lt;/D&gt;&lt;D xsi:type="xsd:double"&gt;3.70086481972156&lt;/D&gt;&lt;D xsi:type="xsd:double"&gt;3.64532815663437&lt;/D&gt;&lt;D xsi:type="xsd:double"&gt;3.6540459869121&lt;/D&gt;&lt;D xsi:type="xsd:double"&gt;3.54741869595835&lt;/D&gt;&lt;D xsi:type="xsd:double"&gt;3.3724479854966&lt;/D&gt;&lt;D xsi:type="xsd:double"&gt;3.51638515509274&lt;/D&gt;&lt;D xsi:type="xsd:double"&gt;3.6674501959788&lt;/D&gt;&lt;D xsi:type="xsd:double"&gt;3.79148095509113&lt;/D&gt;&lt;D xsi:type="xsd:double"&gt;3.61938303903699&lt;/D&gt;&lt;D xsi:type="xsd:double"&gt;3.54560797651826&lt;/D&gt;&lt;D xsi:type="xsd:double"&gt;3.6480463889722&lt;/D&gt;&lt;D xsi:type="xsd:double"&gt;3.70450360392225&lt;/D&gt;&lt;D xsi:type="xsd:double"&gt;3.69100088675786&lt;/D&gt;&lt;D xsi:type="xsd:double"&gt;3.82754901641444&lt;/D&gt;&lt;D xsi:type="xsd:double"&gt;4.1404431844449&lt;/D&gt;&lt;D xsi:type="xsd:double"&gt;4.01104536148076&lt;/D&gt;&lt;D xsi:type="xsd:double"&gt;4.03765198311249&lt;/D&gt;&lt;D xsi:type="xsd:double"&gt;4.20913336980938&lt;/D&gt;&lt;D xsi:type="xsd:double"&gt;4.10431669397795&lt;/D&gt;&lt;D xsi:type="xsd:double"&gt;4.05318234243644&lt;/D&gt;&lt;D xsi:type="xsd:double"&gt;4.03516601222688&lt;/D&gt;&lt;D xsi:type="xsd:double"&gt;4.50752086522776&lt;/D&gt;&lt;D xsi:type="xsd:double"&gt;4.51249287761824&lt;/D&gt;&lt;D xsi:type="xsd:double"&gt;4.77521837303289&lt;/D&gt;&lt;D xsi:type="xsd:double"&gt;4.40452565800553&lt;/D&gt;&lt;D xsi:type="xsd:double"&gt;4.13888334826473&lt;/D&gt;&lt;D xsi:type="xsd:double"&gt;4.15025811734384&lt;/D&gt;&lt;D xsi:type="xsd:double"&gt;3.96308358728241&lt;/D&gt;&lt;D xsi:type="xsd:double"&gt;4.28879930023065&lt;/D&gt;&lt;D xsi:type="xsd:double"&gt;4.16897619811084&lt;/D&gt;&lt;D xsi:type="xsd:double"&gt;4.02384674555949&lt;/D&gt;&lt;D xsi:type="xsd:double"&gt;4.31557230345324&lt;/D&gt;&lt;D xsi:type="xsd:double"&gt;3.93524575603694&lt;/D&gt;&lt;D xsi:type="xsd:double"&gt;3.70676108967169&lt;/D&gt;&lt;D xsi:type="xsd:double"&gt;3.675889447749&lt;/D&gt;&lt;D xsi:type="xsd:double"&gt;3.57429731535756&lt;/D&gt;&lt;D xsi:type="xsd:double"&gt;3.53881178958419&lt;/D&gt;&lt;D xsi:type="xsd:double"&gt;3.59485199405931&lt;/D&gt;&lt;D xsi:type="xsd:double"&gt;4.22208423215289&lt;/D&gt;&lt;D xsi:type="xsd:double"&gt;3.43700456679259&lt;/D&gt;&lt;D xsi:type="xsd:double"&gt;3.21100983308188&lt;/D&gt;&lt;D xsi:type="xsd:double"&gt;3.07075310818974&lt;/D&gt;&lt;D xsi:type="xsd:double"&gt;2.98727331274062&lt;/D&gt;&lt;D xsi:type="xsd:double"&gt;2.95949527300414&lt;/D&gt;&lt;D xsi:type="xsd:double"&gt;3.06814180548772&lt;/D&gt;&lt;D xsi:type="xsd:double"&gt;3.20504272868247&lt;/D&gt;&lt;D xsi:type="xsd:double"&gt;2.99927459652352&lt;/D&gt;&lt;D xsi:type="xsd:double"&gt;3.1131626665844&lt;/D&gt;&lt;D xsi:type="xsd:double"&gt;2.97823529565243&lt;/D&gt;&lt;D xsi:type="xsd:double"&gt;2.9905458544825&lt;/D&gt;&lt;D xsi:type="xsd:double"&gt;2.75954887939403&lt;/D&gt;&lt;D xsi:type="xsd:double"&gt;2.75082432335463&lt;/D&gt;&lt;D xsi:type="xsd:double"&gt;2.87940823111331&lt;/D&gt;&lt;D xsi:type="xsd:double"&gt;2.69047662946293&lt;/D&gt;&lt;D xsi:type="xsd:double"&gt;2.70052258699262&lt;/D&gt;&lt;D xsi:type="xsd:double"&gt;2.72403237154999&lt;/D&gt;&lt;D xsi:type="xsd:double"&gt;2.81797272195957&lt;/D&gt;&lt;D xsi:type="xsd:double"&gt;2.98590047106512&lt;/D&gt;&lt;D xsi:type="xsd:double"&gt;3.11929356956791&lt;/D&gt;&lt;D xsi:type="xsd:double"&gt;2.88022764565264&lt;/D&gt;&lt;D xsi:type="xsd:double"&gt;2.88305961903857&lt;/D&gt;&lt;D xsi:type="xsd:double"&gt;3.13937606671455&lt;/D&gt;&lt;D xsi:type="xsd:double"&gt;3.15383140186068&lt;/D&gt;&lt;D xsi:type="xsd:double"&gt;3.30718515559612&lt;/D&gt;&lt;D xsi:type="xsd:double"&gt;3.46553473578702&lt;/D&gt;&lt;D xsi:type="xsd:double"&gt;3.64007261748239&lt;/D&gt;&lt;D xsi:type="xsd:double"&gt;3.59602691469574&lt;/D&gt;&lt;D xsi:type="xsd:double"&gt;3.63903179423528&lt;/D&gt;&lt;D xsi:type="xsd:double"&gt;3.83590349689148&lt;/D&gt;&lt;D xsi:type="xsd:double"&gt;3.72886094707945&lt;/D&gt;&lt;D xsi:type="xsd:double"&gt;3.56145945120859&lt;/D&gt;&lt;D xsi:type="xsd:double"&gt;3.73853465609951&lt;/D&gt;&lt;D xsi:type="xsd:double"&gt;3.56283488613594&lt;/D&gt;&lt;D xsi:type="xsd:double"&gt;3.5914094714568&lt;/D&gt;&lt;D xsi:type="xsd:double"&gt;3.85840732423663&lt;/D&gt;&lt;D xsi:type="xsd:double"&gt;3.67352849492699&lt;/D&gt;&lt;D xsi:type="xsd:double"&gt;3.75381128990307&lt;/D&gt;&lt;D xsi:type="xsd:double"&gt;3.82236023081799&lt;/D&gt;&lt;D xsi:type="xsd:double"&gt;3.79902687380146&lt;/D&gt;&lt;D xsi:type="xsd:double"&gt;4.01477227125006&lt;/D&gt;&lt;D xsi:type="xsd:double"&gt;4.05069911583351&lt;/D&gt;&lt;D xsi:type="xsd:double"&gt;4.00158141807225&lt;/D&gt;&lt;D xsi:type="xsd:double"&gt;3.64445345093218&lt;/D&gt;&lt;D xsi:type="xsd:double"&gt;2.93932547551352&lt;/D&gt;&lt;D xsi:type="xsd:double"&gt;3.33853646170127&lt;/D&gt;&lt;D xsi:type="xsd:double"&gt;3.31529893004124&lt;/D&gt;&lt;D xsi:type="xsd:double"&gt;3.16738365373876&lt;/D&gt;&lt;D xsi:type="xsd:double"&gt;3.27893195417718&lt;/D&gt;&lt;D xsi:type="xsd:double"&gt;3.16297344774642&lt;/D&gt;&lt;D xsi:type="xsd:double"&gt;3.24509845993265&lt;/D&gt;&lt;D xsi:type="xsd:double"&gt;3.23545032184116&lt;/D&gt;&lt;/FQL&gt;&lt;FQL&gt;&lt;Q&gt;EWQ^FMA_PE(NTMA,-10AY,0,AM,"PORTAGG","MEANR")&lt;/Q&gt;&lt;R&gt;121&lt;/R&gt;&lt;C&gt;1&lt;/C&gt;&lt;D xsi:type="xsd:double"&gt;13.6037170230082&lt;/D&gt;&lt;D xsi:type="xsd:double"&gt;13.7126773853271&lt;/D&gt;&lt;D xsi:type="xsd:double"&gt;13.5612155928874&lt;/D&gt;&lt;D xsi:type="xsd:double"&gt;12.8572942173471&lt;/D&gt;&lt;D xsi:type="xsd:double"&gt;13.6937614828169&lt;/D&gt;&lt;D xsi:type="xsd:double"&gt;13.8024253492795&lt;/D&gt;&lt;D xsi:type="xsd:double"&gt;15.4808129672122&lt;/D&gt;&lt;D xsi:type="xsd:double"&gt;16.2760013981828&lt;/D&gt;&lt;D xsi:type="xsd:double"&gt;16.4287658459436&lt;/D&gt;&lt;D xsi:type="xsd:double"&gt;16.8041574073129&lt;/D&gt;&lt;D xsi:type="xsd:double"&gt;16.3180425998205&lt;/D&gt;&lt;D xsi:type="xsd:double"&gt;16.0871155859939&lt;/D&gt;&lt;D xsi:type="xsd:double"&gt;15.8671356098714&lt;/D&gt;&lt;D xsi:type="xsd:double"&gt;13.9108435721323&lt;/D&gt;&lt;D xsi:type="xsd:double"&gt;13.9622849365278&lt;/D&gt;&lt;D xsi:type="xsd:double"&gt;15.1406435419599&lt;/D&gt;&lt;D xsi:type="xsd:double"&gt;15.1899891905856&lt;/D&gt;&lt;D xsi:type="xsd:double"&gt;14.6268093163316&lt;/D&gt;&lt;D xsi:type="xsd:double"&gt;14.0473689691091&lt;/D&gt;&lt;D xsi:type="xsd:double"&gt;14.089952151828&lt;/D&gt;&lt;D xsi:type="xsd:double"&gt;14.1620791105493&lt;/D&gt;&lt;D xsi:type="xsd:double"&gt;14.8003619425901&lt;/D&gt;&lt;D xsi:type="xsd:double"&gt;14.6275632106678&lt;/D&gt;&lt;D xsi:type="xsd:double"&gt;13.1990124801724&lt;/D&gt;&lt;D xsi:type="xsd:double"&gt;14.0662111089333&lt;/D&gt;&lt;D xsi:type="xsd:double"&gt;13.9714251082896&lt;/D&gt;&lt;D xsi:type="xsd:double"&gt;13.7606873699357&lt;/D&gt;&lt;D xsi:type="xsd:double"&gt;13.9868124476104&lt;/D&gt;&lt;D xsi:type="xsd:double"&gt;13.8017871146069&lt;/D&gt;&lt;D xsi:type="xsd:double"&gt;14.5255982089951&lt;/D&gt;&lt;D xsi:type="xsd:double"&gt;14.4907222927089&lt;/D&gt;&lt;D xsi:type="xsd:double"&gt;14.1610110965115&lt;/D&gt;&lt;D xsi:type="xsd:double"&gt;14.674100621242&lt;/D&gt;&lt;D xsi:type="xsd:double"&gt;15.3200893797455&lt;/D&gt;&lt;D xsi:type="xsd:double"&gt;15.235447872678&lt;/D&gt;&lt;D xsi:type="xsd:double"&gt;15.0319732841372&lt;/D&gt;&lt;D xsi:type="xsd:double"&gt;14.8373220299817&lt;/D&gt;&lt;D xsi:type="xsd:double"&gt;14.4613857225405&lt;/D&gt;&lt;D xsi:type="xsd:double"&gt;14.9513349167429&lt;/D&gt;&lt;D xsi:type="xsd:double"&gt;15.3466944405805&lt;/D&gt;&lt;D xsi:type="xsd:double"&gt;15.0532913579901&lt;/D&gt;&lt;D xsi:type="xsd:double"&gt;14.9218111211466&lt;/D&gt;&lt;D xsi:type="xsd:double"&gt;15.3227740976272&lt;/D&gt;&lt;D xsi:type="xsd:double"&gt;14.7197159461208&lt;/D&gt;&lt;D xsi:type="xsd:double"&gt;13.9573080952712&lt;/D&gt;&lt;D xsi:type="xsd:double"&gt;14.6758014424721&lt;/D&gt;&lt;D xsi:type="xsd:double"&gt;14.7040720812829&lt;/D&gt;&lt;D xsi:type="xsd:double"&gt;13.9016730638566&lt;/D&gt;&lt;D xsi:type="xsd:double"&gt;14.1550189244262&lt;/D&gt;&lt;D xsi:type="xsd:double"&gt;13.8701698678315&lt;/D&gt;&lt;D xsi:type="xsd:double"&gt;13.9418727073563&lt;/D&gt;&lt;D xsi:type="xsd:double"&gt;12.5029569648839&lt;/D&gt;&lt;D xsi:type="xsd:double"&gt;12.495766378111&lt;/D&gt;&lt;D xsi:type="xsd:double"&gt;11.6341800814503&lt;/D&gt;&lt;D xsi:type="xsd:double"&gt;12.6846410356428&lt;/D&gt;&lt;D xsi:type="xsd:double"&gt;13.4345093136836&lt;/D&gt;&lt;D xsi:type="xsd:double"&gt;13.5104970379874&lt;/D&gt;&lt;D xsi:type="xsd:double"&gt;14.0997020785202&lt;/D&gt;&lt;D xsi:type="xsd:double"&gt;13.4359249598246&lt;/D&gt;&lt;D xsi:type="xsd:double"&gt;13.8011665517904&lt;/D&gt;&lt;D xsi:type="xsd:double"&gt;14.210611540928&lt;/D&gt;&lt;D xsi:type="xsd:double"&gt;13.494434446186&lt;/D&gt;&lt;D xsi:type="xsd:double"&gt;14.0621256954592&lt;/D&gt;&lt;D xsi:type="xsd:double"&gt;14.4277029342724&lt;/D&gt;&lt;D xsi:type="xsd:double"&gt;14.8302521770848&lt;/D&gt;&lt;D xsi:type="xsd:double"&gt;15.02028626923&lt;/D&gt;&lt;D xsi:type="xsd:double"&gt;15.0110666322888&lt;/D&gt;&lt;D xsi:type="xsd:double"&gt;14.3381195523087&lt;/D&gt;&lt;D xsi:type="xsd:double"&gt;12.6797304348856&lt;/D&gt;&lt;D xsi:type="xsd:double"&gt;15.4062957533293&lt;/D&gt;&lt;D xsi:type="xsd:double"&gt;17.1927467766975&lt;/D&gt;&lt;D xsi:type="xsd:double"&gt;18.62925378242&lt;/D&gt;&lt;D xsi:type="xsd:double"&gt;19.4460128950597&lt;/D&gt;&lt;D xsi:type="xsd:double"&gt;19.7708046817277&lt;/D&gt;&lt;D xsi:type="xsd:double"&gt;17.7649641341603&lt;/D&gt;&lt;D xsi:type="xsd:double"&gt;17.527819576142&lt;/D&gt;&lt;D xsi:type="xsd:double"&gt;19.1781316350676&lt;/D&gt;&lt;D xsi:type="xsd:double"&gt;18.0728492245357&lt;/D&gt;&lt;D xsi:type="xsd:double"&gt;17.6927910618377&lt;/D&gt;&lt;D xsi:type="xsd:double"&gt;17.7312658944218&lt;/D&gt;&lt;D xsi:type="xsd:double"&gt;18.1280030318589&lt;/D&gt;&lt;D xsi:type="xsd:double"&gt;18.1976550587977&lt;/D&gt;&lt;D xsi:type="xsd:double"&gt;17.7188364082567&lt;/D&gt;&lt;D xsi:type="xsd:double"&gt;17.8398580887029&lt;/D&gt;&lt;D xsi:type="xsd:double"&gt;17.0546462392379&lt;/D&gt;&lt;D xsi:type="xsd:double"&gt;16.2935399154051&lt;/D&gt;&lt;D xsi:type="xsd:double"&gt;15.9815123967285&lt;/D&gt;&lt;D xsi:type="xsd:double"&gt;15.6540780459645&lt;/D&gt;&lt;D xsi:type="xsd:double"&gt;15.1145108309173&lt;/D&gt;&lt;D xsi:type="xsd:double"&gt;15.7266543111376&lt;/D&gt;&lt;D xsi:type="xsd:double"&gt;15.0291608891153&lt;/D&gt;&lt;D xsi:type="xsd:double"&gt;14.0781248691941&lt;/D&gt;&lt;D xsi:type="xsd:double"&gt;13.3755721369529&lt;/D&gt;&lt;D xsi:type="xsd:double"&gt;12.7824497649015&lt;/D&gt;&lt;D xsi:type="xsd:double"&gt;12.2723142507661&lt;/D&gt;&lt;D xsi:type="xsd:double"&gt;11.5439469809487&lt;/D&gt;&lt;D xsi:type="xsd:double"&gt;11.5241079637646&lt;/D&gt;&lt;D xsi:type="xsd:double"&gt;11.2848215826281&lt;/D&gt;&lt;D xsi:type="xsd:double"&gt;10.2132693281533&lt;/D&gt;&lt;D xsi:type="xsd:double"&gt;11.236498143995&lt;/D&gt;&lt;D xsi:type="xsd:double"&gt;12.0874630667134&lt;/D&gt;&lt;D xsi:type="xsd:double"&gt;11.8622601847513&lt;/D&gt;&lt;D xsi:type="xsd:double"&gt;13.1608111967332&lt;/D&gt;&lt;D xsi:type="xsd:double"&gt;13.0485014845303&lt;/D&gt;&lt;D xsi:type="xsd:double"&gt;12.7335332484041&lt;/D&gt;&lt;D xsi:type="xsd:double"&gt;13.6799570116854&lt;/D&gt;&lt;D xsi:type="xsd:double"&gt;13.138907797509&lt;/D&gt;&lt;D xsi:type="xsd:double"&gt;12.9283929475819&lt;/D&gt;&lt;D xsi:type="xsd:double"&gt;13.1284972412356&lt;/D&gt;&lt;D xsi:type="xsd:double"&gt;12.7628352522744&lt;/D&gt;&lt;D xsi:type="xsd:double"&gt;12.4160230958428&lt;/D&gt;&lt;D xsi:type="xsd:double"&gt;12.0457596597854&lt;/D&gt;&lt;D xsi:type="xsd:double"&gt;12.9332467332846&lt;/D&gt;&lt;D xsi:type="xsd:double"&gt;13.4506611455595&lt;/D&gt;&lt;D xsi:type="xsd:double"&gt;13.730600731457&lt;/D&gt;&lt;D xsi:type="xsd:double"&gt;14.2745901713659&lt;/D&gt;&lt;D xsi:type="xsd:double"&gt;14.6563854326517&lt;/D&gt;&lt;D xsi:type="xsd:double"&gt;14.5275950540182&lt;/D&gt;&lt;D xsi:type="xsd:double"&gt;14.4947625298308&lt;/D&gt;&lt;D xsi:type="xsd:double"&gt;13.6081706896969&lt;/D&gt;&lt;D xsi:type="xsd:double"&gt;13.4634987209684&lt;/D&gt;&lt;/FQL&gt;&lt;FQL&gt;&lt;Q&gt;QQQ^FMA_PE(LTMA,-10AY,0,AM,"PORTAGG","MEANR")&lt;/Q&gt;&lt;R&gt;121&lt;/R&gt;&lt;C&gt;1&lt;/C&gt;&lt;D xsi:type="xsd:double"&gt;19.1471857167012&lt;/D&gt;&lt;D xsi:type="xsd:double"&gt;19.4436995182119&lt;/D&gt;&lt;D xsi:type="xsd:double"&gt;19.3297191370039&lt;/D&gt;&lt;D xsi:type="xsd:double"&gt;19.2337236661063&lt;/D&gt;&lt;D xsi:type="xsd:double"&gt;20.4437009867452&lt;/D&gt;&lt;D xsi:type="xsd:double"&gt;20.4750692443012&lt;/D&gt;&lt;D xsi:type="xsd:double"&gt;20.1084809573927&lt;/D&gt;&lt;D xsi:type="xsd:double"&gt;20.9043572909377&lt;/D&gt;&lt;D xsi:type="xsd:double"&gt;20.4888117344122&lt;/D&gt;&lt;D xsi:type="xsd:double"&gt;20.5717507338301&lt;/D&gt;&lt;D xsi:type="xsd:double"&gt;20.2333793843007&lt;/D&gt;&lt;D xsi:type="xsd:double"&gt;20.0829378723056&lt;/D&gt;&lt;D xsi:type="xsd:double"&gt;20.2529213855427&lt;/D&gt;&lt;D xsi:type="xsd:double"&gt;19.3146021165335&lt;/D&gt;&lt;D xsi:type="xsd:double"&gt;19.1333734821261&lt;/D&gt;&lt;D xsi:type="xsd:double"&gt;20.3355503942378&lt;/D&gt;&lt;D xsi:type="xsd:double"&gt;20.4078746434525&lt;/D&gt;&lt;D xsi:type="xsd:double"&gt;20.2407096445189&lt;/D&gt;&lt;D xsi:type="xsd:double"&gt;18.6327879105549&lt;/D&gt;&lt;D xsi:type="xsd:double"&gt;18.3305613531365&lt;/D&gt;&lt;D xsi:type="xsd:double"&gt;18.3128738266988&lt;/D&gt;&lt;D xsi:type="xsd:double"&gt;18.3966752925211&lt;/D&gt;&lt;D xsi:type="xsd:double"&gt;18.5670533580451&lt;/D&gt;&lt;D xsi:type="xsd:double"&gt;18.3134986663735&lt;/D&gt;&lt;D xsi:type="xsd:double"&gt;19.2596565878787&lt;/D&gt;&lt;D xsi:type="xsd:double"&gt;19.5341477318184&lt;/D&gt;&lt;D xsi:type="xsd:double"&gt;19.7708122248675&lt;/D&gt;&lt;D xsi:type="xsd:double"&gt;19.9678594115767&lt;/D&gt;&lt;D xsi:type="xsd:double"&gt;20.0967406451956&lt;/D&gt;&lt;D xsi:type="xsd:double"&gt;20.5712874187743&lt;/D&gt;&lt;D xsi:type="xsd:double"&gt;21.2950506977073&lt;/D&gt;&lt;D xsi:type="xsd:double"&gt;21.789158600801&lt;/D&gt;&lt;D xsi:type="xsd:double"&gt;21.624156427887&lt;/D&gt;&lt;D xsi:type="xsd:double"&gt;21.6844423895108&lt;/D&gt;&lt;D xsi:type="xsd:double"&gt;21.9680667752675&lt;/D&gt;&lt;D xsi:type="xsd:double"&gt;21.9027796986317&lt;/D&gt;&lt;D xsi:type="xsd:double"&gt;22.2834301280806&lt;/D&gt;&lt;D xsi:type="xsd:double"&gt;21.8977762969064&lt;/D&gt;&lt;D xsi:type="xsd:double"&gt;22.0658091833785&lt;/D&gt;&lt;D xsi:type="xsd:double"&gt;22.4570901038742&lt;/D&gt;&lt;D xsi:type="xsd:double"&gt;23.318335846675&lt;/D&gt;&lt;D xsi:type="xsd:double"&gt;23.6509973360595&lt;/D&gt;&lt;D xsi:type="xsd:double"&gt;25.4918676147698&lt;/D&gt;&lt;D xsi:type="xsd:double"&gt;24.6288615754096&lt;/D&gt;&lt;D xsi:type="xsd:double"&gt;23.7988861583844&lt;/D&gt;&lt;D xsi:type="xsd:double"&gt;23.3280248070931&lt;/D&gt;&lt;D xsi:type="xsd:double"&gt;23.2120399352541&lt;/D&gt;&lt;D xsi:type="xsd:double"&gt;23.0432850889502&lt;/D&gt;&lt;D xsi:type="xsd:double"&gt;23.3569788872728&lt;/D&gt;&lt;D xsi:type="xsd:double"&gt;23.1716946930873&lt;/D&gt;&lt;D xsi:type="xsd:double"&gt;23.1375448333331&lt;/D&gt;&lt;D xsi:type="xsd:double"&gt;20.9812123471486&lt;/D&gt;&lt;D xsi:type="xsd:double"&gt;20.0822898838836&lt;/D&gt;&lt;D xsi:type="xsd:double"&gt;18.6084825260521&lt;/D&gt;&lt;D xsi:type="xsd:double"&gt;20.0432632847245&lt;/D&gt;&lt;D xsi:type="xsd:double"&gt;20.926496095874&lt;/D&gt;&lt;D xsi:type="xsd:double"&gt;21.0184955664077&lt;/D&gt;&lt;D xsi:type="xsd:double"&gt;21.4597946368253&lt;/D&gt;&lt;D xsi:type="xsd:double"&gt;20.9971913511962&lt;/D&gt;&lt;D xsi:type="xsd:double"&gt;21.5356815331781&lt;/D&gt;&lt;D xsi:type="xsd:double"&gt;22.2538715795227&lt;/D&gt;&lt;D xsi:type="xsd:double"&gt;21.6005036197023&lt;/D&gt;&lt;D xsi:type="xsd:double"&gt;22.1368262039937&lt;/D&gt;&lt;D xsi:type="xsd:double"&gt;22.7848821841873&lt;/D&gt;&lt;D xsi:type="xsd:double"&gt;24.0883673835696&lt;/D&gt;&lt;D xsi:type="xsd:double"&gt;25.5428824289684&lt;/D&gt;&lt;D xsi:type="xsd:double"&gt;26.3150802023468&lt;/D&gt;&lt;D xsi:type="xsd:double"&gt;25.0140329761632&lt;/D&gt;&lt;D xsi:type="xsd:double"&gt;23.5379724045365&lt;/D&gt;&lt;D xsi:type="xsd:double"&gt;24.7009918815422&lt;/D&gt;&lt;D xsi:type="xsd:double"&gt;26.2114172900673&lt;/D&gt;&lt;D xsi:type="xsd:double"&gt;27.1492679213422&lt;/D&gt;&lt;D xsi:type="xsd:double"&gt;28.4990635742403&lt;/D&gt;&lt;D xsi:type="xsd:double"&gt;31.1191625968188&lt;/D&gt;&lt;D xsi:type="xsd:double"&gt;30.1664211079023&lt;/D&gt;&lt;D xsi:type="xsd:double"&gt;31.5035254105218&lt;/D&gt;&lt;D xsi:type="xsd:double"&gt;32.732818190978&lt;/D&gt;&lt;D xsi:type="xsd:double"&gt;34.564272147437&lt;/D&gt;&lt;D xsi:type="xsd:double"&gt;36.1965828824641&lt;/D&gt;&lt;D xsi:type="xsd:double"&gt;32.9457007618791&lt;/D&gt;&lt;D xsi:type="xsd:double"&gt;32.5759048268673&lt;/D&gt;&lt;D xsi:type="xsd:double"&gt;32.8035885954491&lt;/D&gt;&lt;D xsi:type="xsd:double"&gt;31.5971866666349&lt;/D&gt;&lt;D xsi:type="xsd:double"&gt;31.7214566306552&lt;/D&gt;&lt;D xsi:type="xsd:double"&gt;32.2039799504037&lt;/D&gt;&lt;D xsi:type="xsd:double"&gt;31.3952144249606&lt;/D&gt;&lt;D xsi:type="xsd:double"&gt;31.2107126506114&lt;/D&gt;&lt;D xsi:type="xsd:double"&gt;31.1093605858123&lt;/D&gt;&lt;D xsi:type="xsd:double"&gt;31.464374665934&lt;/D&gt;&lt;D xsi:type="xsd:double"&gt;31.9321812997434&lt;/D&gt;&lt;D xsi:type="xsd:double"&gt;27.3926374226402&lt;/D&gt;&lt;D xsi:type="xsd:double"&gt;26.6272146023721&lt;/D&gt;&lt;D xsi:type="xsd:double"&gt;26.8096956887189&lt;/D&gt;&lt;D xsi:type="xsd:double"&gt;25.7726834293099&lt;/D&gt;&lt;D xsi:type="xsd:double"&gt;25.1277314865315&lt;/D&gt;&lt;D xsi:type="xsd:double"&gt;24.6537281442161&lt;/D&gt;&lt;D xsi:type="xsd:double"&gt;24.4282149040464&lt;/D&gt;&lt;D xsi:type="xsd:double"&gt;25.2338284513304&lt;/D&gt;&lt;D xsi:type="xsd:double"&gt;23.1096727353772&lt;/D&gt;&lt;D xsi:type="xsd:double"&gt;23.2528998140001&lt;/D&gt;&lt;D xsi:type="xsd:double"&gt;23.6839318531657&lt;/D&gt;&lt;D xsi:type="xsd:double"&gt;22.901926934774&lt;/D&gt;&lt;D xsi:type="xsd:double"&gt;24.9542700661723&lt;/D&gt;&lt;D xsi:type="xsd:double"&gt;25.1136181266509&lt;/D&gt;&lt;D xsi:type="xsd:double"&gt;25.4606070014833&lt;/D&gt;&lt;D xsi:type="xsd:double"&gt;25.4710788295251&lt;/D&gt;&lt;D xsi:type="xsd:double"&gt;26.3439779433573&lt;/D&gt;&lt;D xsi:type="xsd:double"&gt;26.7682873747636&lt;/D&gt;&lt;D xsi:type="xsd:double"&gt;27.009748884579&lt;/D&gt;&lt;D xsi:type="xsd:double"&gt;26.151240390286&lt;/D&gt;&lt;D xsi:type="xsd:double"&gt;25.705038441116&lt;/D&gt;&lt;D xsi:type="xsd:double"&gt;25.0294375667024&lt;/D&gt;&lt;D xsi:type="xsd:double"&gt;27.6814718020813&lt;/D&gt;&lt;D xsi:type="xsd:double"&gt;29.2416765862862&lt;/D&gt;&lt;D xsi:type="xsd:double"&gt;29.8686549134515&lt;/D&gt;&lt;D xsi:type="xsd:double"&gt;30.1767878225382&lt;/D&gt;&lt;D xsi:type="xsd:double"&gt;30.0814659943874&lt;/D&gt;&lt;D xsi:type="xsd:double"&gt;29.5470563133445&lt;/D&gt;&lt;D xsi:type="xsd:double"&gt;29.7789058557709&lt;/D&gt;&lt;D xsi:type="xsd:double"&gt;30.191891391173&lt;/D&gt;&lt;D xsi:type="xsd:double"&gt;29.4745303470572&lt;/D&gt;&lt;/FQL&gt;&lt;FQL&gt;&lt;Q&gt;DDR3512M-FDS^FG_PRICE(0)&lt;/Q&gt;&lt;R&gt;1&lt;/R&gt;&lt;C&gt;1&lt;/C&gt;&lt;D xsi:type="xsd:double"&gt;0.9113853&lt;/D&gt;&lt;/FQL&gt;&lt;FQL&gt;&lt;Q&gt;PASP-FDS^FG_PRICE(0)&lt;/Q&gt;&lt;R&gt;1&lt;/R&gt;&lt;C&gt;1&lt;/C&gt;&lt;D xsi:type="xsd:double"&gt;915&lt;/D&gt;&lt;/FQL&gt;&lt;FQL&gt;&lt;Q&gt;PLATI-FDS^FG_PRICE(0)&lt;/Q&gt;&lt;R&gt;1&lt;/R&gt;&lt;C&gt;1&lt;/C&gt;&lt;D xsi:type="xsd:double"&gt;941&lt;/D&gt;&lt;/FQL&gt;&lt;FQL&gt;&lt;Q&gt;W-FDS^FG_PRICE(0)&lt;/Q&gt;&lt;R&gt;1&lt;/R&gt;&lt;C&gt;1&lt;/C&gt;&lt;D xsi:type="xsd:double"&gt;5.235&lt;/D&gt;&lt;/FQL&gt;&lt;FQL&gt;&lt;Q&gt;COPP-FDS^FG_PRICE(0)&lt;/Q&gt;&lt;R&gt;1&lt;/R&gt;&lt;C&gt;1&lt;/C&gt;&lt;D xsi:type="xsd:double"&gt;4.1045&lt;/D&gt;&lt;/FQL&gt;&lt;FQL&gt;&lt;Q&gt;FC0000US^FG_PRICE(0)&lt;/Q&gt;&lt;R&gt;1&lt;/R&gt;&lt;C&gt;1&lt;/C&gt;&lt;D xsi:type="xsd:double"&gt;410.4003&lt;/D&gt;&lt;/FQL&gt;&lt;FQL&gt;&lt;Q&gt;FC0000GR^FG_PRICE(0)&lt;/Q&gt;&lt;R&gt;1&lt;/R&gt;&lt;C&gt;1&lt;/C&gt;&lt;D xsi:type="xsd:double"&gt;9.881537&lt;/D&gt;&lt;/FQL&gt;&lt;FQL&gt;&lt;Q&gt;EWI^FG_PRICE(0)&lt;/Q&gt;&lt;R&gt;1&lt;/R&gt;&lt;C&gt;1&lt;/C&gt;&lt;D xsi:type="xsd:double"&gt;37.5&lt;/D&gt;&lt;/FQL&gt;&lt;FQL&gt;&lt;Q&gt;SPY^FG_PRICE(0)&lt;/Q&gt;&lt;R&gt;1&lt;/R&gt;&lt;C&gt;1&lt;/C&gt;&lt;D xsi:type="xsd:double"&gt;544.44&lt;/D&gt;&lt;/FQL&gt;&lt;FQL&gt;&lt;Q&gt;EWJ^FG_PRICE(0)&lt;/Q&gt;&lt;R&gt;1&lt;/R&gt;&lt;C&gt;1&lt;/C&gt;&lt;D xsi:type="xsd:double"&gt;68.69&lt;/D&gt;&lt;/FQL&gt;&lt;FQL&gt;&lt;Q&gt;ENZL^FG_PRICE(0)&lt;/Q&gt;&lt;R&gt;1&lt;/R&gt;&lt;C&gt;1&lt;/C&gt;&lt;D xsi:type="xsd:double"&gt;45.7&lt;/D&gt;&lt;/FQL&gt;&lt;FQL&gt;&lt;Q&gt;EWA^FG_COMPANY_NAME&lt;/Q&gt;&lt;R&gt;1&lt;/R&gt;&lt;C&gt;1&lt;/C&gt;&lt;D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xsi:type="xsd:double"&gt;0.22339404&lt;/D&gt;&lt;/FQL&gt;&lt;FQL&gt;&lt;Q&gt;SPY^FMA_PCT_ABOVE_MAVG(200,0,,,,"PORTAGG")&lt;/Q&gt;&lt;R&gt;1&lt;/R&gt;&lt;C&gt;1&lt;/C&gt;&lt;D xsi:type="xsd:double"&gt;69.4610778443114&lt;/D&gt;&lt;/FQL&gt;&lt;FQL&gt;&lt;Q&gt;URTH^PERCENT_CHANGE(FMA_EPS(+1,0,,,,"PORTAGG","MEAN"),FMA_EPS(+1,-3AM,,,,"PORTAGG","MEAN"))&lt;/Q&gt;&lt;R&gt;1&lt;/R&gt;&lt;C&gt;1&lt;/C&gt;&lt;D xsi:type="xsd:double"&gt;-0.49376654191326&lt;/D&gt;&lt;/FQL&gt;&lt;FQL&gt;&lt;Q&gt;VGK^FG_TOTAL_RETURNC(0,-3AM)&lt;/Q&gt;&lt;R&gt;1&lt;/R&gt;&lt;C&gt;1&lt;/C&gt;&lt;D xsi:type="xsd:double"&gt;4.184389&lt;/D&gt;&lt;/FQL&gt;&lt;FQL&gt;&lt;Q&gt;EWD^P_PRICE(0)/P_PRICE_HIGH_PR(0,,,,,,"PRICE","INTRA","52W")&lt;/Q&gt;&lt;R&gt;1&lt;/R&gt;&lt;C&gt;1&lt;/C&gt;&lt;D xsi:type="xsd:double"&gt;0.92989445&lt;/D&gt;&lt;/FQL&gt;&lt;FQL&gt;&lt;Q&gt;EWQ^FG_TOTAL_RETURNC(0,-12AM)&lt;/Q&gt;&lt;R&gt;1&lt;/R&gt;&lt;C&gt;1&lt;/C&gt;&lt;D xsi:type="xsd:double"&gt;2.8565645&lt;/D&gt;&lt;/FQL&gt;&lt;FQL&gt;&lt;Q&gt;SPY^PERCENT_CHANGE(FMA_EPS(+1,0,,,,"PORTAGG","MEAN"),FMA_EPS(+1,-1AM,,,,"PORTAGG","MEAN"))&lt;/Q&gt;&lt;R&gt;1&lt;/R&gt;&lt;C&gt;1&lt;/C&gt;&lt;D xsi:type="xsd:double"&gt;-0.128395106046291&lt;/D&gt;&lt;/FQL&gt;&lt;FQL&gt;&lt;Q&gt;EWU^FG_TOTAL_RETURNC(0,-1AM)&lt;/Q&gt;&lt;R&gt;1&lt;/R&gt;&lt;C&gt;1&lt;/C&gt;&lt;D xsi:type="xsd:double"&gt;2.796805&lt;/D&gt;&lt;/FQL&gt;&lt;FQL&gt;&lt;Q&gt;EWJ^FG_TOTAL_RETURNC(0,-6AM)&lt;/Q&gt;&lt;R&gt;1&lt;/R&gt;&lt;C&gt;1&lt;/C&gt;&lt;D xsi:type="xsd:double"&gt;5.8317184&lt;/D&gt;&lt;/FQL&gt;&lt;FQL&gt;&lt;Q&gt;EWC^P_PRICE(0)/P_PRICE_LOW_PR(0,,,,,,"PRICE","INTRA","52W")-1&lt;/Q&gt;&lt;R&gt;1&lt;/R&gt;&lt;C&gt;1&lt;/C&gt;&lt;D xsi:type="xsd:double"&gt;0.22031212&lt;/D&gt;&lt;/FQL&gt;&lt;FQL&gt;&lt;Q&gt;EWA^FMA_PCT_ABOVE_MAVG(200,0,,,,"PORTAGG")&lt;/Q&gt;&lt;R&gt;1&lt;/R&gt;&lt;C&gt;1&lt;/C&gt;&lt;D xsi:type="xsd:double"&gt;64.4067796610169&lt;/D&gt;&lt;/FQL&gt;&lt;FQL&gt;&lt;Q&gt;EWJ^SIZE(FG_CONSTITUENTS)&lt;/Q&gt;&lt;R&gt;1&lt;/R&gt;&lt;C&gt;1&lt;/C&gt;&lt;D xsi:type="xsd:long"&gt;205&lt;/D&gt;&lt;/FQL&gt;&lt;FQL&gt;&lt;Q&gt;EWD^FMA_COS_DOWN("EPS","1M",+1,0,,,"PORTAGG","MEANR")&lt;/Q&gt;&lt;R&gt;1&lt;/R&gt;&lt;C&gt;1&lt;/C&gt;&lt;D xsi:type="xsd:double"&gt;25&lt;/D&gt;&lt;/FQL&gt;&lt;FQL&gt;&lt;Q&gt;EWU^FMA_COS_UP("EPS","1M",+1,0,,,"PORTAGG","MEANR")&lt;/Q&gt;&lt;R&gt;1&lt;/R&gt;&lt;C&gt;1&lt;/C&gt;&lt;D xsi:type="xsd:double"&gt;22&lt;/D&gt;&lt;/FQL&gt;&lt;FQL&gt;&lt;Q&gt;ENZL^SIZE(FG_CONSTITUENTS)&lt;/Q&gt;&lt;R&gt;1&lt;/R&gt;&lt;C&gt;1&lt;/C&gt;&lt;D xsi:type="xsd:long"&gt;14&lt;/D&gt;&lt;/FQL&gt;&lt;FQL&gt;&lt;Q&gt;EWI^FMA_RBICS_REV_CURRENT(30, LOC, "PORTAGG")&lt;/Q&gt;&lt;R&gt;1&lt;/R&gt;&lt;C&gt;1&lt;/C&gt;&lt;D xsi:type="xsd:double"&gt;37.0297073578115&lt;/D&gt;&lt;/FQL&gt;&lt;FQL&gt;&lt;Q&gt;EWQ^FG_ROE(0)&lt;/Q&gt;&lt;R&gt;1&lt;/R&gt;&lt;C&gt;1&lt;/C&gt;&lt;D xsi:type="xsd:double"&gt;12.6749381090967&lt;/D&gt;&lt;/FQL&gt;&lt;FQL&gt;&lt;Q&gt;TRYGB10Y-FDS^FG_YIELD_NAME&lt;/Q&gt;&lt;R&gt;1&lt;/R&gt;&lt;C&gt;1&lt;/C&gt;&lt;D xsi:type="xsd:string"&gt;United Kingdom Benchmark Bond - 10 Year&lt;/D&gt;&lt;/FQL&gt;&lt;FQL&gt;&lt;Q&gt;EWG^FG_COMPANY_NAME&lt;/Q&gt;&lt;R&gt;1&lt;/R&gt;&lt;C&gt;1&lt;/C&gt;&lt;D xsi:type="xsd:string"&gt;iShares MSCI Germany ETF&lt;/D&gt;&lt;/FQL&gt;&lt;FQL&gt;&lt;Q&gt;REFFFUND-FDS^(SUBARRAY(NOT_NA(NO_REPEAT_F(FG_YIELD(NOW,-10AY,D))),0,1)-SUBARRAY(NOT_NA(NO_REPEAT_F(FG_YIELD(NOW,-10AY,D))),1,1))*100&lt;/Q&gt;&lt;R&gt;1&lt;/R&gt;&lt;C&gt;1&lt;/C&gt;&lt;D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xsi:type="xsd:double"&gt;4.25&lt;/D&gt;&lt;/FQL&gt;&lt;FQL&gt;&lt;Q&gt;TRYNL10Y-FDS^PCTCHG(FG_YIELD(0,,,,"YTM"),FG_YIELD(-1AM,,,,"YTM"))&lt;/Q&gt;&lt;R&gt;1&lt;/R&gt;&lt;C&gt;1&lt;/C&gt;&lt;D xsi:type="xsd:double"&gt;-3.9784968&lt;/D&gt;&lt;/FQL&gt;&lt;FQL&gt;&lt;Q&gt;TRYCA10Y-FDS^PCTCHG(FG_YIELD(0,,,,"YTM"),FG_YIELD(-1AM,,,,"YTM"))&lt;/Q&gt;&lt;R&gt;1&lt;/R&gt;&lt;C&gt;1&lt;/C&gt;&lt;D xsi:type="xsd:double"&gt;-4.359461&lt;/D&gt;&lt;/FQL&gt;&lt;FQL&gt;&lt;Q&gt;TRYUS10Y-FDS^FG_YIELD_NAME&lt;/Q&gt;&lt;R&gt;1&lt;/R&gt;&lt;C&gt;1&lt;/C&gt;&lt;D xsi:type="xsd:string"&gt;US Benchmark Bond - 10 Year&lt;/D&gt;&lt;/FQL&gt;&lt;FQL&gt;&lt;Q&gt;TRYNZ10Y-FDS^FG_YIELD_NAME&lt;/Q&gt;&lt;R&gt;1&lt;/R&gt;&lt;C&gt;1&lt;/C&gt;&lt;D xsi:type="xsd:string"&gt;New Zealand Benchmark Bond - 10 Year&lt;/D&gt;&lt;/FQL&gt;&lt;FQL&gt;&lt;Q&gt;VWO^FG_FCF_YIELD_NTM(0)&lt;/Q&gt;&lt;R&gt;1&lt;/R&gt;&lt;C&gt;1&lt;/C&gt;&lt;D xsi:type="xsd:double"&gt;5.35799702690336&lt;/D&gt;&lt;/FQL&gt;&lt;FQL&gt;&lt;Q&gt;EWI^FMA_PE(NTMA,0,,,"PORTAGG","MEANR")&lt;/Q&gt;&lt;R&gt;1&lt;/R&gt;&lt;C&gt;1&lt;/C&gt;&lt;D xsi:type="xsd:double"&gt;9.61692247940046&lt;/D&gt;&lt;/FQL&gt;&lt;FQL&gt;&lt;Q&gt;EWN^JULIAN(FMA_DIV_YLD(NTMA,NOW,NOW,M,"PORTAGG","MEANR").DATES)&lt;/Q&gt;&lt;R&gt;1&lt;/R&gt;&lt;C&gt;1&lt;/C&gt;&lt;D xsi:type="xsd:long"&gt;45471&lt;/D&gt;&lt;/FQL&gt;&lt;FQL&gt;&lt;Q&gt;QQQ^FMA_EVAL_EBITDA(NTMA,0,,,"PORTAGG","MEANR")&lt;/Q&gt;&lt;R&gt;1&lt;/R&gt;&lt;C&gt;1&lt;/C&gt;&lt;D xsi:type="xsd:double"&gt;16.222636216566&lt;/D&gt;&lt;/FQL&gt;&lt;FQL&gt;&lt;Q&gt;EWL^FMA_DIV_YLD(NTMA,NOW,NOW,M,"PORTAGG","MEANR")&lt;/Q&gt;&lt;R&gt;1&lt;/R&gt;&lt;C&gt;1&lt;/C&gt;&lt;D xsi:type="xsd:double"&gt;3.23833990452955&lt;/D&gt;&lt;/FQL&gt;&lt;FQL&gt;&lt;Q&gt;EWG^FMA_PE(LTM,0,,,"PORTAGG","MEANR")&lt;/Q&gt;&lt;R&gt;1&lt;/R&gt;&lt;C&gt;1&lt;/C&gt;&lt;D xsi:type="xsd:double"&gt;16.3814547579522&lt;/D&gt;&lt;/FQL&gt;&lt;FQL&gt;&lt;Q&gt;ENZL^FMA_EVAL_EBIT(LTMA,NOW,NOW,M,"PORTAGG","MEANR")&lt;/Q&gt;&lt;R&gt;1&lt;/R&gt;&lt;C&gt;1&lt;/C&gt;&lt;D xsi:type="xsd:double"&gt;20.3806771257827&lt;/D&gt;&lt;/FQL&gt;&lt;FQL&gt;&lt;Q&gt;EWJ^FG_COMPANY_NAME&lt;/Q&gt;&lt;R&gt;1&lt;/R&gt;&lt;C&gt;1&lt;/C&gt;&lt;D xsi:type="xsd:string"&gt;iShares MSCI Japan ETF&lt;/D&gt;&lt;/FQL&gt;&lt;FQL&gt;&lt;Q&gt;EWD^FG_COMPANY_NAME&lt;/Q&gt;&lt;R&gt;1&lt;/R&gt;&lt;C&gt;1&lt;/C&gt;&lt;D xsi:type="xsd:string"&gt;iShares MSCI Sweden ETF&lt;/D&gt;&lt;/FQL&gt;&lt;FQL&gt;&lt;Q&gt;VGK^P_PRICE(0)/P_PRICE_HIGH_PR(0,,,USD,,,"PRICE","INTRA","52W")&lt;/Q&gt;&lt;R&gt;1&lt;/R&gt;&lt;C&gt;1&lt;/C&gt;&lt;D xsi:type="xsd:double"&gt;0.9638486&lt;/D&gt;&lt;/FQL&gt;&lt;FQL&gt;&lt;Q&gt;QQQ^P_PRICE(0)/P_PRICE_HIGH_PR(0,,,USD,,,"PRICE","INTRA","52W")&lt;/Q&gt;&lt;R&gt;1&lt;/R&gt;&lt;C&gt;1&lt;/C&gt;&lt;D xsi:type="xsd:double"&gt;0.919467&lt;/D&gt;&lt;/FQL&gt;&lt;FQL&gt;&lt;Q&gt;VWO^P_PRICE(0)/P_PRICE_HIGH_PR(0,,,USD,,,"PRICE","INTRA","</t>
        </r>
      </text>
    </comment>
    <comment ref="A2" authorId="0" shapeId="0" xr:uid="{BC1251EF-981C-4787-B7A7-78AE92F8DC8C}">
      <text>
        <r>
          <rPr>
            <b/>
            <sz val="9"/>
            <color indexed="81"/>
            <rFont val="Tahoma"/>
            <charset val="1"/>
          </rPr>
          <t>52W")&lt;/Q&gt;&lt;R&gt;1&lt;/R&gt;&lt;C&gt;1&lt;/C&gt;&lt;D xsi:type="xsd:double"&gt;0.95615095&lt;/D&gt;&lt;/FQL&gt;&lt;FQL&gt;&lt;Q&gt;DUMMY^ECON_EXPR_DATA('FDS_ECON[NTCPMIMFGSA@EME]',,,M)&lt;/Q&gt;&lt;R&gt;1&lt;/R&gt;&lt;C&gt;1&lt;/C&gt;&lt;D xsi:type="xsd:double"&gt;52.09547&lt;/D&gt;&lt;/FQL&gt;&lt;FQL&gt;&lt;Q&gt;EWD^FMA_ROE(NTMA,-20AY,NOW,FY,"PORTAGG","MEANR")&lt;/Q&gt;&lt;R&gt;20&lt;/R&gt;&lt;C&gt;1&lt;/C&gt;&lt;D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xsi:type="xsd:double"&gt;2.004&lt;/D&gt;&lt;/FQL&gt;&lt;FQL&gt;&lt;Q&gt;CAGDPY@FR^EE_ACTUAL_ANNUAL(MED,0)&lt;/Q&gt;&lt;R&gt;1&lt;/R&gt;&lt;C&gt;1&lt;/C&gt;&lt;D xsi:type="xsd:double"&gt;-1.02152093746395&lt;/D&gt;&lt;/FQL&gt;&lt;FQL&gt;&lt;Q&gt;CAGDPY@AU^EE_ACTUAL_ANNUAL(MED,0)&lt;/Q&gt;&lt;R&gt;1&lt;/R&gt;&lt;C&gt;1&lt;/C&gt;&lt;D xsi:type="xsd:double"&gt;0.275776825503169&lt;/D&gt;&lt;/FQL&gt;&lt;FQL&gt;&lt;Q&gt;USDITL^FG_PRICE_CHANGE(0,-1AM)&lt;/Q&gt;&lt;R&gt;1&lt;/R&gt;&lt;C&gt;1&lt;/C&gt;&lt;D xsi:type="xsd:double"&gt;-1.6074061&lt;/D&gt;&lt;/FQL&gt;&lt;FQL&gt;&lt;Q&gt;USDANG^FG_PRICE_CHANGE(0,-1AM)&lt;/Q&gt;&lt;R&gt;1&lt;/R&gt;&lt;C&gt;1&lt;/C&gt;&lt;D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xsi:type="xsd:double"&gt;-1.789397&lt;/D&gt;&lt;/FQL&gt;&lt;FQL&gt;&lt;Q&gt;USDJPY^FG_PRICE_CHANGE(0,-1AM)&lt;/Q&gt;&lt;R&gt;1&lt;/R&gt;&lt;C&gt;1&lt;/C&gt;&lt;D xsi:type="xsd:double"&gt;-4.4080553&lt;/D&gt;&lt;/FQL&gt;&lt;FQL&gt;&lt;Q&gt;USDCAD^FG_PRICE_CHANGE(0,-1AM)&lt;/Q&gt;&lt;R&gt;1&lt;/R&gt;&lt;C&gt;1&lt;/C&gt;&lt;D xsi:type="xsd:double"&gt;1.0624647&lt;/D&gt;&lt;/FQL&gt;&lt;FQL&gt;&lt;Q&gt;USDNZD^FG_PRICE_CHANGE(0,-1AM)&lt;/Q&gt;&lt;R&gt;1&lt;/R&gt;&lt;C&gt;1&lt;/C&gt;&lt;D xsi:type="xsd:double"&gt;3.3098578&lt;/D&gt;&lt;/FQL&gt;&lt;FQL&gt;&lt;Q&gt;ENZL^FMA_EPS(NTMA,-20AY,0,CY,,"PORTAGG","MEANR")&lt;/Q&gt;&lt;R&gt;20&lt;/R&gt;&lt;C&gt;1&lt;/C&gt;&lt;D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xsi:type="xsd:double"&gt;-2.7507246&lt;/D&gt;&lt;D xsi:type="xsd:double"&gt;-5.0677595&lt;/D&gt;&lt;D xsi:type="xsd:double"&gt;-1.9242704&lt;/D&gt;&lt;D xsi:type="xsd:double"&gt;-6.0126543&lt;/D&gt;&lt;D xsi:type="xsd:double"&gt;0.8754134&lt;/D&gt;&lt;D xsi:type="xsd:double"&gt;-5.489212&lt;/D&gt;&lt;D xsi:type="xsd:double"&gt;-0.8534908&lt;/D&gt;&lt;D xsi:type="xsd:double"&gt;6.169307&lt;/D&gt;&lt;D xsi:type="xsd:double"&gt;0.40540695&lt;/D&gt;&lt;D xsi:type="xsd:double"&gt;2.1534324&lt;/D&gt;&lt;D xsi:type="xsd:double"&gt;0.92226267&lt;/D&gt;&lt;D xsi:type="xsd:double"&gt;4.817271&lt;/D&gt;&lt;D xsi:type="xsd:double"&gt;-2.7249634&lt;/D&gt;&lt;D xsi:type="xsd:double"&gt;-3.3224761&lt;/D&gt;&lt;D xsi:type="xsd:double"&gt;-4.3800592&lt;/D&gt;&lt;D xsi:type="xsd:double"&gt;5.8491945&lt;/D&gt;&lt;D xsi:type="xsd:double"&gt;-5.3928137&lt;/D&gt;&lt;D xsi:type="xsd:double"&gt;-0.544852&lt;/D&gt;&lt;D xsi:type="xsd:double"&gt;-13.058907&lt;/D&gt;&lt;D xsi:type="xsd:double"&gt;-7.591838&lt;/D&gt;&lt;D xsi:type="xsd:double"&gt;6.890464&lt;/D&gt;&lt;D xsi:type="xsd:double"&gt;4.0495872&lt;/D&gt;&lt;D xsi:type="xsd:double"&gt;-2.2239864&lt;/D&gt;&lt;D xsi:type="xsd:double"&gt;-13.526487&lt;/D&gt;&lt;D xsi:type="xsd:double"&gt;5.5072427&lt;/D&gt;&lt;D xsi:type="xsd:double"&gt;2.4725199&lt;/D&gt;&lt;D xsi:type="xsd:double"&gt;-2.6809573&lt;/D&gt;&lt;D xsi:type="xsd:double"&gt;3.4894466&lt;/D&gt;&lt;D xsi:type="xsd:double"&gt;-5.5456934&lt;/D&gt;&lt;D xsi:type="xsd:double"&gt;14.480209&lt;/D&gt;&lt;D xsi:type="xsd:double"&gt;1.2008309&lt;/D&gt;&lt;D xsi:type="xsd:double"&gt;-5.0736485&lt;/D&gt;&lt;D xsi:type="xsd:double"&gt;10.387934&lt;/D&gt;&lt;D xsi:type="xsd:double"&gt;4.099953&lt;/D&gt;&lt;D xsi:type="xsd:double"&gt;6.301582&lt;/D&gt;&lt;D xsi:type="xsd:double"&gt;-0.4793167&lt;/D&gt;&lt;D xsi:type="xsd:double"&gt;6.7508936&lt;/D&gt;&lt;D xsi:type="xsd:double"&gt;2.6039958&lt;/D&gt;&lt;D xsi:type="xsd:double"&gt;2.2412658&lt;/D&gt;&lt;D xsi:type="xsd:double"&gt;-0.22565722&lt;/D&gt;&lt;D xsi:type="xsd:double"&gt;0.6461978&lt;/D&gt;&lt;D xsi:type="xsd:double"&gt;-0.6103575&lt;/D&gt;&lt;D xsi:type="xsd:double"&gt;11.854494&lt;/D&gt;&lt;D xsi:type="xsd:double"&gt;-5.5458784&lt;/D&gt;&lt;D xsi:type="xsd:double"&gt;-1.567781&lt;/D&gt;&lt;D xsi:type="xsd:double"&gt;5.9650183&lt;/D&gt;&lt;D xsi:type="xsd:double"&gt;-9.784847&lt;/D&gt;&lt;D xsi:type="xsd:double"&gt;-3.7468016&lt;/D&gt;&lt;D xsi:type="xsd:double"&gt;2.0586133&lt;/D&gt;&lt;D xsi:type="xsd:double"&gt;-5.025637&lt;/D&gt;&lt;D xsi:type="xsd:double"&gt;5.3275704&lt;/D&gt;&lt;D xsi:type="xsd:double"&gt;-14.798361&lt;/D&gt;&lt;D xsi:type="xsd:double"&gt;2.0056129&lt;/D&gt;&lt;D xsi:type="xsd:double"&gt;-4.8553886&lt;/D&gt;&lt;D xsi:type="xsd:double"&gt;8.70657&lt;/D&gt;&lt;D xsi:type="xsd:double"&gt;3.6195636&lt;/D&gt;&lt;D xsi:type="xsd:double"&gt;2.749908&lt;/D&gt;&lt;D xsi:type="xsd:double"&gt;1.0126591&lt;/D&gt;&lt;D xsi:type="xsd:double"&gt;-3.4371674&lt;/D&gt;&lt;D xsi:type="xsd:double"&gt;4.8228145&lt;/D&gt;&lt;D xsi:type="xsd:double"&gt;1.5007257&lt;/D&gt;&lt;D xsi:type="xsd:double"&gt;-5.3371787&lt;/D&gt;&lt;D xsi:type="xsd:double"&gt;4.7619104&lt;/D&gt;&lt;D xsi:type="xsd:double"&gt;3.7454605&lt;/D&gt;&lt;D xsi:type="xsd:double"&gt;2.8741717&lt;/D&gt;&lt;D xsi:type="xsd:double"&gt;1.8284202&lt;/D&gt;&lt;D xsi:type="xsd:double"&gt;-1.0444701&lt;/D&gt;&lt;D xsi:type="xsd:double"&gt;-5.2093983&lt;/D&gt;&lt;D xsi:type="xsd:double"&gt;-22.41379&lt;/D&gt;&lt;D xsi:type="xsd:double"&gt;-6.851852&lt;/D&gt;&lt;D xsi:type="xsd:double"&gt;7.25646&lt;/D&gt;&lt;D xsi:type="xsd:double"&gt;10.69194&lt;/D&gt;&lt;D xsi:type="xsd:double"&gt;8.5025425&lt;/D&gt;&lt;D xsi:type="xsd:double"&gt;2.027297&lt;/D&gt;&lt;D xsi:type="xsd:double"&gt;-7.9098167&lt;/D&gt;&lt;D xsi:type="xsd:double"&gt;1.6597509&lt;/D&gt;&lt;D xsi:type="xsd:double"&gt;18.693876&lt;/D&gt;&lt;D xsi:type="xsd:double"&gt;2.1781564&lt;/D&gt;&lt;D xsi:type="xsd:double"&gt;-0.9501159&lt;/D&gt;&lt;D xsi:type="xsd:double"&gt;2.500856&lt;/D&gt;&lt;D xsi:type="xsd:double"&gt;5.080211&lt;/D&gt;&lt;D xsi:type="xsd:double"&gt;2.7989745&lt;/D&gt;&lt;D xsi:type="xsd:double"&gt;2.2586584&lt;/D&gt;&lt;D xsi:type="xsd:double"&gt;1.2498975&lt;/D&gt;&lt;D xsi:type="xsd:double"&gt;-2.147621&lt;/D&gt;&lt;D xsi:type="xsd:double"&gt;0.6491542&lt;/D&gt;&lt;D xsi:type="xsd:double"&gt;-0.15357137&lt;/D&gt;&lt;D xsi:type="xsd:double"&gt;3.3835769&lt;/D&gt;&lt;D xsi:type="xsd:double"&gt;-5.8911085&lt;/D&gt;&lt;D xsi:type="xsd:double"&gt;4.1494966&lt;/D&gt;&lt;D xsi:type="xsd:double"&gt;-1.8780768&lt;/D&gt;&lt;D xsi:type="xsd:double"&gt;-1.5688717&lt;/D&gt;&lt;D xsi:type="xsd:double"&gt;-7.4593544&lt;/D&gt;&lt;D xsi:type="xsd:double"&gt;-6.3382683&lt;/D&gt;&lt;D xsi:type="xsd:double"&gt;6.1419606&lt;/D&gt;&lt;D xsi:type="xsd:double"&gt;-10.144586&lt;/D&gt;&lt;D xsi:type="xsd:double"&gt;-9.062004&lt;/D&gt;&lt;D xsi:type="xsd:double"&gt;1.8356681&lt;/D&gt;&lt;D xsi:type="xsd:double"&gt;-6.60944&lt;/D&gt;&lt;D xsi:type="xsd:double"&gt;10.340071&lt;/D&gt;&lt;D xsi:type="xsd:double"&gt;15.326953&lt;/D&gt;&lt;D xsi:type="xsd:double"&gt;-1.0623097&lt;/D&gt;&lt;D xsi:type="xsd:double"&gt;10.892927&lt;/D&gt;&lt;D xsi:type="xsd:double"&gt;-1.0023415&lt;/D&gt;&lt;D xsi:type="xsd:double"&gt;-1.8562257&lt;/D&gt;&lt;D xsi:type="xsd:double"&gt;7.668495&lt;/D&gt;&lt;D xsi:type="xsd:double"&gt;-2.6828468&lt;/D&gt;&lt;D xsi:type="xsd:double"&gt;3.1598449&lt;/D&gt;&lt;D xsi:type="xsd:double"&gt;8.213818&lt;/D&gt;&lt;D xsi:type="xsd:double"&gt;-5.0903616&lt;/D&gt;&lt;D xsi:type="xsd:double"&gt;-3.9987326&lt;/D&gt;&lt;D xsi:type="xsd:double"&gt;-3.041321&lt;/D&gt;&lt;D xsi:type="xsd:double"&gt;11.830891&lt;/D&gt;&lt;D xsi:type="xsd:double"&gt;4.9663067&lt;/D&gt;&lt;D xsi:type="xsd:double"&gt;-1.5882373&lt;/D&gt;&lt;D xsi:type="xsd:double"&gt;6.5152407&lt;/D&gt;&lt;D xsi:type="xsd:double"&gt;5.9483647&lt;/D&gt;&lt;D xsi:type="xsd:double"&gt;-1.3771117&lt;/D&gt;&lt;D xsi:type="xsd:double"&gt;3.759396&lt;/D&gt;&lt;D xsi:type="xsd:double"&gt;-4.0210724&lt;/D&gt;&lt;D xsi:type="xsd:double"&gt;3.61979&lt;/D&gt;&lt;/FQL&gt;&lt;FQL&gt;&lt;Q&gt;EWN^FMA_DIV_YLD(NTMA,-10AY,0,AM,"PORTAGG","MEANR")&lt;/Q&gt;&lt;R&gt;121&lt;/R&gt;&lt;C&gt;1&lt;/C&gt;&lt;D xsi:type="xsd:double"&gt;2.91687450925508&lt;/D&gt;&lt;D xsi:type="xsd:double"&gt;2.98046254905221&lt;/D&gt;&lt;D xsi:type="xsd:double"&gt;3.00692373312957&lt;/D&gt;&lt;D xsi:type="xsd:double"&gt;3.22191112906619&lt;/D&gt;&lt;D xsi:type="xsd:double"&gt;3.06207322976612&lt;/D&gt;&lt;D xsi:type="xsd:double"&gt;3.06613499294765&lt;/D&gt;&lt;D xsi:type="xsd:double"&gt;2.88255326070717&lt;/D&gt;&lt;D xsi:type="xsd:double"&gt;2.71178659433586&lt;/D&gt;&lt;D xsi:type="xsd:double"&gt;2.70432864717066&lt;/D&gt;&lt;D xsi:type="xsd:double"&gt;2.64387745414348&lt;/D&gt;&lt;D xsi:type="xsd:double"&gt;2.80969541740024&lt;/D&gt;&lt;D xsi:type="xsd:double"&gt;2.83154020248197&lt;/D&gt;&lt;D xsi:type="xsd:double"&gt;2.86581141871375&lt;/D&gt;&lt;D xsi:type="xsd:double"&gt;3.51580552964021&lt;/D&gt;&lt;D xsi:type="xsd:double"&gt;3.55718138646594&lt;/D&gt;&lt;D xsi:type="xsd:double"&gt;3.26659274729213&lt;/D&gt;&lt;D xsi:type="xsd:double"&gt;3.13220370449875&lt;/D&gt;&lt;D xsi:type="xsd:double"&gt;3.2779092314833&lt;/D&gt;&lt;D xsi:type="xsd:double"&gt;3.28246106924806&lt;/D&gt;&lt;D xsi:type="xsd:double"&gt;3.38990219841549&lt;/D&gt;&lt;D xsi:type="xsd:double"&gt;3.3183560123189&lt;/D&gt;&lt;D xsi:type="xsd:double"&gt;3.29992827799026&lt;/D&gt;&lt;D xsi:type="xsd:double"&gt;3.27726361154177&lt;/D&gt;&lt;D xsi:type="xsd:double"&gt;3.40947757350974&lt;/D&gt;&lt;D xsi:type="xsd:double"&gt;3.1799788673489&lt;/D&gt;&lt;D xsi:type="xsd:double"&gt;3.13844750914302&lt;/D&gt;&lt;D xsi:type="xsd:double"&gt;3.16907041952073&lt;/D&gt;&lt;D xsi:type="xsd:double"&gt;3.10260695567502&lt;/D&gt;&lt;D xsi:type="xsd:double"&gt;3.1067661406875&lt;/D&gt;&lt;D xsi:type="xsd:double"&gt;2.95868088927089&lt;/D&gt;&lt;D xsi:type="xsd:double"&gt;2.94997841439881&lt;/D&gt;&lt;D xsi:type="xsd:double"&gt;2.86556255234166&lt;/D&gt;&lt;D xsi:type="xsd:double"&gt;2.78272725558025&lt;/D&gt;&lt;D xsi:type="xsd:double"&gt;2.72786840533086&lt;/D&gt;&lt;D xsi:type="xsd:double"&gt;2.72590854398477&lt;/D&gt;&lt;D xsi:type="xsd:double"&gt;2.7377402062553&lt;/D&gt;&lt;D xsi:type="xsd:double"&gt;2.74673274703521&lt;/D&gt;&lt;D xsi:type="xsd:double"&gt;2.83224646980785&lt;/D&gt;&lt;D xsi:type="xsd:double"&gt;2.83358880471276&lt;/D&gt;&lt;D xsi:type="xsd:double"&gt;2.75330285817347&lt;/D&gt;&lt;D xsi:type="xsd:double"&gt;2.81784855226271&lt;/D&gt;&lt;D xsi:type="xsd:double"&gt;2.83644428846113&lt;/D&gt;&lt;D xsi:type="xsd:double"&gt;2.77665802260765&lt;/D&gt;&lt;D xsi:type="xsd:double"&gt;2.91167550522532&lt;/D&gt;&lt;D xsi:type="xsd:double"&gt;3.03903956440998&lt;/D&gt;&lt;D xsi:type="xsd:double"&gt;2.94782843272646&lt;/D&gt;&lt;D xsi:type="xsd:double"&gt;2.88086523098899&lt;/D&gt;&lt;D xsi:type="xsd:double"&gt;2.95646735803552&lt;/D&gt;&lt;D xsi:type="xsd:double"&gt;2.86528904312325&lt;/D&gt;&lt;D xsi:type="xsd:double"&gt;2.91037542204666&lt;/D&gt;&lt;D xsi:type="xsd:double"&gt;3.00458557325183&lt;/D&gt;&lt;D xsi:type="xsd:double"&gt;3.26781195888478&lt;/D&gt;&lt;D xsi:type="xsd:double"&gt;3.23782456407811&lt;/D&gt;&lt;D xsi:type="xsd:double"&gt;3.52510836097175&lt;/D&gt;&lt;D xsi:type="xsd:double"&gt;3.28332140808705&lt;/D&gt;&lt;D xsi:type="xsd:double"&gt;3.10811484442735&lt;/D&gt;&lt;D xsi:type="xsd:double"&gt;3.09552043105048&lt;/D&gt;&lt;D xsi:type="xsd:double"&gt;2.9731074703266&lt;/D&gt;&lt;D xsi:type="xsd:double"&gt;3.1098546512918&lt;/D&gt;&lt;D xsi:type="xsd:double"&gt;3.04285246314164&lt;/D&gt;&lt;D xsi:type="xsd:double"&gt;2.88271115152012&lt;/D&gt;&lt;D xsi:type="xsd:double"&gt;3.04358070875108&lt;/D&gt;&lt;D xsi:type="xsd:double"&gt;2.74357257157335&lt;/D&gt;&lt;D xsi:type="xsd:double"&gt;2.73067988036975&lt;/D&gt;&lt;D xsi:type="xsd:double"&gt;2.64506577295124&lt;/D&gt;&lt;D xsi:type="xsd:double"&gt;2.57860961953547&lt;/D&gt;&lt;D xsi:type="xsd:double"&gt;2.5909488187061&lt;/D&gt;&lt;D xsi:type="xsd:double"&gt;2.68150476410655&lt;/D&gt;&lt;D xsi:type="xsd:double"&gt;3.28648247419524&lt;/D&gt;&lt;D xsi:type="xsd:double"&gt;2.81163483164238&lt;/D&gt;&lt;D xsi:type="xsd:double"&gt;2.49907974574995&lt;/D&gt;&lt;D xsi:type="xsd:double"&gt;2.39351188293154&lt;/D&gt;&lt;D xsi:type="xsd:double"&gt;2.3377938059022&lt;/D&gt;&lt;D xsi:type="xsd:double"&gt;2.27883675612983&lt;/D&gt;&lt;D xsi:type="xsd:double"&gt;2.39909832465643&lt;/D&gt;&lt;D xsi:type="xsd:double"&gt;2.3535303326156&lt;/D&gt;&lt;D xsi:type="xsd:double"&gt;2.17412153340356&lt;/D&gt;&lt;D xsi:type="xsd:double"&gt;2.01115245007685&lt;/D&gt;&lt;D xsi:type="xsd:double"&gt;1.96447274498546&lt;/D&gt;&lt;D xsi:type="xsd:double"&gt;2.00890154501115&lt;/D&gt;&lt;D xsi:type="xsd:double"&gt;1.96464460993529&lt;/D&gt;&lt;D xsi:type="xsd:double"&gt;1.90895425029281&lt;/D&gt;&lt;D xsi:type="xsd:double"&gt;1.97863251388464&lt;/D&gt;&lt;D xsi:type="xsd:double"&gt;1.99093713507646&lt;/D&gt;&lt;D xsi:type="xsd:double"&gt;1.96345914391101&lt;/D&gt;&lt;D xsi:type="xsd:double"&gt;1.84735197727911&lt;/D&gt;&lt;D xsi:type="xsd:double"&gt;1.87616809251901&lt;/D&gt;&lt;D xsi:type="xsd:double"&gt;1.90360398093176&lt;/D&gt;&lt;D xsi:type="xsd:double"&gt;1.96408127467891&lt;/D&gt;&lt;D xsi:type="xsd:double"&gt;1.94498694828229&lt;/D&gt;&lt;D xsi:type="xsd:double"&gt;2.20076732090702&lt;/D&gt;&lt;D xsi:type="xsd:double"&gt;2.33143064200421&lt;/D&gt;&lt;D xsi:type="xsd:double"&gt;2.25249176939939&lt;/D&gt;&lt;D xsi:type="xsd:double"&gt;2.43923504237428&lt;/D&gt;&lt;D xsi:type="xsd:double"&gt;2.58005361662135&lt;/D&gt;&lt;D xsi:type="xsd:double"&gt;3.43271506605597&lt;/D&gt;&lt;D xsi:type="xsd:double"&gt;3.17553261498151&lt;/D&gt;&lt;D xsi:type="xsd:double"&gt;3.65377868406087&lt;/D&gt;&lt;D xsi:type="xsd:double"&gt;3.08028996324185&lt;/D&gt;&lt;D xsi:type="xsd:double"&gt;2.90536969677902&lt;/D&gt;&lt;D xsi:type="xsd:double"&gt;2.65360364261274&lt;/D&gt;&lt;D xsi:type="xsd:double"&gt;2.7791725748076&lt;/D&gt;&lt;D xsi:type="xsd:double"&gt;2.52809744567764&lt;/D&gt;&lt;D xsi:type="xsd:double"&gt;2.66100283930509&lt;/D&gt;&lt;D xsi:type="xsd:double"&gt;2.74613936673364&lt;/D&gt;&lt;D xsi:type="xsd:double"&gt;2.71617151233928&lt;/D&gt;&lt;D xsi:type="xsd:double"&gt;2.63115429164613&lt;/D&gt;&lt;D xsi:type="xsd:double"&gt;2.78626374191287&lt;/D&gt;&lt;D xsi:type="xsd:double"&gt;2.70843323950576&lt;/D&gt;&lt;D xsi:type="xsd:double"&gt;2.91803335000293&lt;/D&gt;&lt;D xsi:type="xsd:double"&gt;3.07684248082447&lt;/D&gt;&lt;D xsi:type="xsd:double"&gt;3.10914149634796&lt;/D&gt;&lt;D xsi:type="xsd:double"&gt;2.78999470612131&lt;/D&gt;&lt;D xsi:type="xsd:double"&gt;2.68982328928574&lt;/D&gt;&lt;D xsi:type="xsd:double"&gt;2.58088213735721&lt;/D&gt;&lt;D xsi:type="xsd:double"&gt;2.47704648733035&lt;/D&gt;&lt;D xsi:type="xsd:double"&gt;2.53107256588633&lt;/D&gt;&lt;D xsi:type="xsd:double"&gt;2.57084156661884&lt;/D&gt;&lt;D xsi:type="xsd:double"&gt;2.46729414547972&lt;/D&gt;&lt;D xsi:type="xsd:double"&gt;2.50790112152012&lt;/D&gt;&lt;D xsi:type="xsd:double"&gt;2.5828744997913&lt;/D&gt;&lt;/FQL&gt;&lt;FQL&gt;&lt;Q&gt;SPY^FMA_PE(NTMA,-10AY,0,AM,"PORTAGG","MEANR")&lt;/Q&gt;&lt;R&gt;121&lt;/R&gt;&lt;C&gt;1&lt;/C&gt;&lt;D xsi:type="xsd:double"&gt;15.2860538079194&lt;/D&gt;&lt;D xsi:type="xsd:double"&gt;15.3506120184121&lt;/D&gt;&lt;D xsi:type="xsd:double"&gt;15.0996256442277&lt;/D&gt;&lt;D xsi:type="xsd:double"&gt;15.0722706654006&lt;/D&gt;&lt;D xsi:type="xsd:double"&gt;15.8755455907236&lt;/D&gt;&lt;D xsi:type="xsd:double"&gt;16.2067799251663&lt;/D&gt;&lt;D xsi:type="xsd:double"&gt;16.4535352099074&lt;/D&gt;&lt;D xsi:type="xsd:double"&gt;16.9505228671181&lt;/D&gt;&lt;D xsi:type="xsd:double"&gt;16.4494175890899&lt;/D&gt;&lt;D xsi:type="xsd:double"&gt;16.8733078308341&lt;/D&gt;&lt;D xsi:type="xsd:double"&gt;16.5315124795549&lt;/D&gt;&lt;D xsi:type="xsd:double"&gt;16.4037494531471&lt;/D&gt;&lt;D xsi:type="xsd:double"&gt;16.2397131434392&lt;/D&gt;&lt;D xsi:type="xsd:double"&gt;15.1065767552094&lt;/D&gt;&lt;D xsi:type="xsd:double"&gt;15.0352963666916&lt;/D&gt;&lt;D xsi:type="xsd:double"&gt;16.2230740361855&lt;/D&gt;&lt;D xsi:type="xsd:double"&gt;16.341280422695&lt;/D&gt;&lt;D xsi:type="xsd:double"&gt;16.1143801392714&lt;/D&gt;&lt;D xsi:type="xsd:double"&gt;15.1599918184023&lt;/D&gt;&lt;D xsi:type="xsd:double"&gt;15.5099438140132&lt;/D&gt;&lt;D xsi:type="xsd:double"&gt;15.5167363536305&lt;/D&gt;&lt;D xsi:type="xsd:double"&gt;16.5004635460184&lt;/D&gt;&lt;D xsi:type="xsd:double"&gt;16.5638174510687&lt;/D&gt;&lt;D xsi:type="xsd:double"&gt;16.0259653434406&lt;/D&gt;&lt;D xsi:type="xsd:double"&gt;16.9519572655534&lt;/D&gt;&lt;D xsi:type="xsd:double"&gt;16.7898861437351&lt;/D&gt;&lt;D xsi:type="xsd:double"&gt;16.5004725873095&lt;/D&gt;&lt;D xsi:type="xsd:double"&gt;16.3103012058637&lt;/D&gt;&lt;D xsi:type="xsd:double"&gt;16.8205936265308&lt;/D&gt;&lt;D xsi:type="xsd:double"&gt;17.0350040670959&lt;/D&gt;&lt;D xsi:type="xsd:double"&gt;17.115865134153&lt;/D&gt;&lt;D xsi:type="xsd:double"&gt;17.6808800778429&lt;/D&gt;&lt;D xsi:type="xsd:double"&gt;17.4077830196572&lt;/D&gt;&lt;D xsi:type="xsd:double"&gt;17.5138448163685&lt;/D&gt;&lt;D xsi:type="xsd:double"&gt;17.5333988469441&lt;/D&gt;&lt;D xsi:type="xsd:double"&gt;17.5472482162797&lt;/D&gt;&lt;D xsi:type="xsd:double"&gt;17.7295274607976&lt;/D&gt;&lt;D xsi:type="xsd:double"&gt;17.3317034033234&lt;/D&gt;&lt;D xsi:type="xsd:double"&gt;17.5973981568471&lt;/D&gt;&lt;D xsi:type="xsd:double"&gt;17.8935705029766&lt;/D&gt;&lt;D xsi:type="xsd:double"&gt;17.9738460237401&lt;/D&gt;&lt;D xsi:type="xsd:double"&gt;18.216936469024&lt;/D&gt;&lt;D xsi:type="xsd:double"&gt;18.4548114831502&lt;/D&gt;&lt;D xsi:type="xsd:double"&gt;17.2978771219508&lt;/D&gt;&lt;D xsi:type="xsd:double"&gt;16.4555044484663&lt;/D&gt;&lt;D xsi:type="xsd:double"&gt;16.2575551070454&lt;/D&gt;&lt;D xsi:type="xsd:double"&gt;16.2864337875311&lt;/D&gt;&lt;D xsi:type="xsd:double"&gt;16.1635077869746&lt;/D&gt;&lt;D xsi:type="xsd:double"&gt;16.6545070567098&lt;/D&gt;&lt;D xsi:type="xsd:double"&gt;16.6862148657091&lt;/D&gt;&lt;D xsi:type="xsd:double"&gt;16.7402580029484&lt;/D&gt;&lt;D xsi:type="xsd:double"&gt;15.1753382120886&lt;/D&gt;&lt;D xsi:type="xsd:double"&gt;15.2584565176561&lt;/D&gt;&lt;D xsi:type="xsd:double"&gt;14.1859494165639&lt;/D&gt;&lt;D xsi:type="xsd:double"&gt;15.480909018284&lt;/D&gt;&lt;D xsi:type="xsd:double"&gt;16.2721574431263&lt;/D&gt;&lt;D xsi:type="xsd:double"&gt;16.3441513086333&lt;/D&gt;&lt;D xsi:type="xsd:double"&gt;16.9022021743168&lt;/D&gt;&lt;D xsi:type="xsd:double"&gt;16.1355335153301&lt;/D&gt;&lt;D xsi:type="xsd:double"&gt;16.5706857828689&lt;/D&gt;&lt;D xsi:type="xsd:double"&gt;17.214526634446&lt;/D&gt;&lt;D xsi:type="xsd:double"&gt;16.3099234082959&lt;/D&gt;&lt;D xsi:type="xsd:double"&gt;16.8111324148475&lt;/D&gt;&lt;D xsi:type="xsd:double"&gt;17.0992710538207&lt;/D&gt;&lt;D xsi:type="xsd:double"&gt;17.7189061194988&lt;/D&gt;&lt;D xsi:type="xsd:double"&gt;18.232753628205&lt;/D&gt;&lt;D xsi:type="xsd:double"&gt;18.4383985129935&lt;/D&gt;&lt;D xsi:type="xsd:double"&gt;17.4653213821155&lt;/D&gt;&lt;D xsi:type="xsd:double"&gt;15.5875919389755&lt;/D&gt;&lt;D xsi:type="xsd:double"&gt;19.569945942764&lt;/D&gt;&lt;D xsi:type="xsd:double"&gt;21.2901233666503&lt;/D&gt;&lt;D xsi:type="xsd:double"&gt;21.1139260292987&lt;/D&gt;&lt;D xsi:type="xsd:double"&gt;22.0023332526977&lt;/D&gt;&lt;D xsi:type="xsd:double"&gt;22.8027035993994&lt;/D&gt;&lt;D xsi:type="xsd:double"&gt;21.1675885879487&lt;/D&gt;&lt;D xsi:type="xsd:double"&gt;21.2445297978474&lt;/D&gt;&lt;D xsi:type="xsd:double"&gt;21.8929418988194&lt;/D&gt;&lt;D xsi:type="xsd:double"&gt;22.2300869344889&lt;/D&gt;&lt;D xsi:type="xsd:double"&gt;22.3748592844242&lt;/D&gt;&lt;D xsi:type="xsd:double"&gt;21.3859405331153&lt;/D&gt;&lt;D xsi:type="xsd:double"&gt;21.9523869336805&lt;/D&gt;&lt;D xsi:type="xsd:double"&gt;22.2483108797061&lt;/D&gt;&lt;D xsi:type="xsd:double"&gt;21.2615817410716&lt;/D&gt;&lt;D xsi:type="xsd:double"&gt;21.3345212329714&lt;/D&gt;&lt;D xsi:type="xsd:double"&gt;21.4445839696081&lt;/D&gt;&lt;D xsi:type="xsd:double"&gt;21.0049003568579&lt;/D&gt;&lt;D xsi:type="xsd:double"&gt;20.8223333814955&lt;/D&gt;&lt;D xsi:type="xsd:double"&gt;21.1056958793511&lt;/D&gt;&lt;D xsi:type="xsd:double"&gt;20.8352854061085&lt;/D&gt;&lt;D xsi:type="xsd:double"&gt;21.2329810168221&lt;/D&gt;&lt;D xsi:type="xsd:double"&gt;19.2896692079328&lt;/D&gt;&lt;D xsi:type="xsd:double"&gt;19.1590222781866&lt;/D&gt;&lt;D xsi:type="xsd:double"&gt;19.5591761261418&lt;/D&gt;&lt;D xsi:type="xsd:double"&gt;17.6271229687659&lt;/D&gt;&lt;D xsi:type="xsd:double"&gt;17.0603219585055&lt;/D&gt;&lt;D xsi:type="xsd:double"&gt;16.3254370181965&lt;/D&gt;&lt;D xsi:type="xsd:double"&gt;16.4306396162302&lt;/D&gt;&lt;D xsi:type="xsd:double"&gt;17.1003655336165&lt;/D&gt;&lt;D xsi:type="xsd:double"&gt;15.4192501328869&lt;/D&gt;&lt;D xsi:type="xsd:double"&gt;16.39960441275&lt;/D&gt;&lt;D xsi:type="xsd:double"&gt;17.4056015429303&lt;/D&gt;&lt;D xsi:type="xsd:double"&gt;16.6703125466722&lt;/D&gt;&lt;D xsi:type="xsd:double"&gt;17.8503350533662&lt;/D&gt;&lt;D xsi:type="xsd:double"&gt;17.501510065557&lt;/D&gt;&lt;D xsi:type="xsd:double"&gt;17.4299953050262&lt;/D&gt;&lt;D xsi:type="xsd:double"&gt;17.7621902441037&lt;/D&gt;&lt;D xsi:type="xsd:double"&gt;18.1577603715991&lt;/D&gt;&lt;D xsi:type="xsd:double"&gt;18.5998429399556&lt;/D&gt;&lt;D xsi:type="xsd:double"&gt;19.5549241847063&lt;/D&gt;&lt;D xsi:type="xsd:double"&gt;18.4655223532145&lt;/D&gt;&lt;D xsi:type="xsd:double"&gt;17.7830347950967&lt;/D&gt;&lt;D xsi:type="xsd:double"&gt;17.1549599008589&lt;/D&gt;&lt;D xsi:type="xsd:double"&gt;18.7348407637839&lt;/D&gt;&lt;D xsi:type="xsd:double"&gt;19.5485856720819&lt;/D&gt;&lt;D xsi:type="xsd:double"&gt;20.0333249377528&lt;/D&gt;&lt;D xsi:type="xsd:double"&gt;20.4053649780157&lt;/D&gt;&lt;D xsi:type="xsd:double"&gt;20.7670621616059&lt;/D&gt;&lt;D xsi:type="xsd:double"&gt;20.1045751092184&lt;/D&gt;&lt;D xsi:type="xsd:double"&gt;20.6298571188767&lt;/D&gt;&lt;D xsi:type="xsd:double"&gt;21.0852822573217&lt;/D&gt;&lt;D xsi:type="xsd:double"&gt;20.5995979863517&lt;/D&gt;&lt;/FQL&gt;&lt;FQL&gt;&lt;Q&gt;EWU^FMA_PE(LTMA,-10AY,0,AM,"PORTAGG","MEANR")&lt;/Q&gt;&lt;R&gt;121&lt;/R&gt;&lt;C&gt;1&lt;/C&gt;&lt;D xsi:type="xsd:double"&gt;14.406239591782&lt;/D&gt;&lt;D xsi:type="xsd:double"&gt;14.2852588188202&lt;/D&gt;&lt;D xsi:type="xsd:double"&gt;13.9623481142743&lt;/D&gt;&lt;D xsi:type="xsd:double"&gt;13.5498083837324&lt;/D&gt;&lt;D xsi:type="xsd:double"&gt;14.0674602822874&lt;/D&gt;&lt;D xsi:type="xsd:double"&gt;13.8644898471586&lt;/D&gt;&lt;D xsi:type="xsd:double"&gt;14.3208953986805&lt;/D&gt;&lt;D xsi:type="xsd:double"&gt;15.1514197760525&lt;/D&gt;&lt;D xsi:type="xsd:double"&gt;15.2651256973647&lt;/D&gt;&lt;D xsi:type="xsd:double"&gt;15.6287004278507&lt;/D&gt;&lt;D xsi:type="xsd:double"&gt;15.7185536485261&lt;/D&gt;&lt;D xsi:type="xsd:double"&gt;15.6923925093541&lt;/D&gt;&lt;D xsi:type="xsd:double"&gt;15.5453302379798&lt;/D&gt;&lt;D xsi:type="xsd:double"&gt;14.7271494097559&lt;/D&gt;&lt;D xsi:type="xsd:double"&gt;14.9964452295813&lt;/D&gt;&lt;D xsi:type="xsd:double"&gt;15.846958699655&lt;/D&gt;&lt;D xsi:type="xsd:double"&gt;15.8892580185249&lt;/D&gt;&lt;D xsi:type="xsd:double"&gt;15.7596319513903&lt;/D&gt;&lt;D xsi:type="xsd:double"&gt;14.8943692335715&lt;/D&gt;&lt;D xsi:type="xsd:double"&gt;15.4662677386287&lt;/D&gt;&lt;D xsi:type="xsd:double"&gt;15.6566241433498&lt;/D&gt;&lt;D xsi:type="xsd:double"&gt;15.9897566331872&lt;/D&gt;&lt;D xsi:type="xsd:double"&gt;16.0616572501301&lt;/D&gt;&lt;D xsi:type="xsd:double"&gt;15.8379451262284&lt;/D&gt;&lt;D xsi:type="xsd:double"&gt;16.6179905148143&lt;/D&gt;&lt;D xsi:type="xsd:double"&gt;16.9559030916199&lt;/D&gt;&lt;D xsi:type="xsd:double"&gt;16.8593001417795&lt;/D&gt;&lt;D xsi:type="xsd:double"&gt;16.8130754612975&lt;/D&gt;&lt;D xsi:type="xsd:double"&gt;16.5194722770753&lt;/D&gt;&lt;D xsi:type="xsd:double"&gt;16.9863977375723&lt;/D&gt;&lt;D xsi:type="xsd:double"&gt;17.0976662636026&lt;/D&gt;&lt;D xsi:type="xsd:double"&gt;17.4128639766472&lt;/D&gt;&lt;D xsi:type="xsd:double"&gt;17.1815962094259&lt;/D&gt;&lt;D xsi:type="xsd:double"&gt;16.9402831487679&lt;/D&gt;&lt;D xsi:type="xsd:double"&gt;16.8136230856051&lt;/D&gt;&lt;D xsi:type="xsd:double"&gt;16.4990731587892&lt;/D&gt;&lt;D xsi:type="xsd:double"&gt;16.5095034788944&lt;/D&gt;&lt;D xsi:type="xsd:double"&gt;16.1108223394197&lt;/D&gt;&lt;D xsi:type="xsd:double"&gt;15.7514996060367&lt;/D&gt;&lt;D xsi:type="xsd:double"&gt;15.618879788861&lt;/D&gt;&lt;D xsi:type="xsd:double"&gt;15.2669974341472&lt;/D&gt;&lt;D xsi:type="xsd:double"&gt;15.3208482902482&lt;/D&gt;&lt;D xsi:type="xsd:double"&gt;15.6340012196857&lt;/D&gt;&lt;D xsi:type="xsd:double"&gt;14.1049502725639&lt;/D&gt;&lt;D xsi:type="xsd:double"&gt;13.8430653531936&lt;/D&gt;&lt;D xsi:type="xsd:double"&gt;14.0251169679562&lt;/D&gt;&lt;D xsi:type="xsd:double"&gt;14.0316553883031&lt;/D&gt;&lt;D xsi:type="xsd:double"&gt;13.8045689353615&lt;/D&gt;&lt;D xsi:type="xsd:double"&gt;13.8507577462765&lt;/D&gt;&lt;D xsi:type="xsd:double"&gt;13.6501580691262&lt;/D&gt;&lt;D xsi:type="xsd:double"&gt;13.678232133262&lt;/D&gt;&lt;D xsi:type="xsd:double"&gt;12.6539028754221&lt;/D&gt;&lt;D xsi:type="xsd:double"&gt;12.6823627905379&lt;/D&gt;&lt;D xsi:type="xsd:double"&gt;11.9108705760532&lt;/D&gt;&lt;D xsi:type="xsd:double"&gt;12.3215879560705&lt;/D&gt;&lt;D xsi:type="xsd:double"&gt;13.0786399045543&lt;/D&gt;&lt;D xsi:type="xsd:double"&gt;12.9358688721883&lt;/D&gt;&lt;D xsi:type="xsd:double"&gt;13.0001250357299&lt;/D&gt;&lt;D xsi:type="xsd:double"&gt;12.855863226542&lt;/D&gt;&lt;D xsi:type="xsd:double"&gt;13.0280929520013&lt;/D&gt;&lt;D xsi:type="xsd:double"&gt;13.1407658101612&lt;/D&gt;&lt;D xsi:type="xsd:double"&gt;12.6855837134558&lt;/D&gt;&lt;D xsi:type="xsd:double"&gt;13.0837832643643&lt;/D&gt;&lt;D xsi:type="xsd:double"&gt;13.3175853990811&lt;/D&gt;&lt;D xsi:type="xsd:double"&gt;13.543726262863&lt;/D&gt;&lt;D xsi:type="xsd:double"&gt;14.1679071106869&lt;/D&gt;&lt;D xsi:type="xsd:double"&gt;14.2198467901806&lt;/D&gt;&lt;D xsi:type="xsd:double"&gt;13.2478309266393&lt;/D&gt;&lt;D xsi:type="xsd:double"&gt;12.311373171796&lt;/D&gt;&lt;D xsi:type="xsd:double"&gt;13.1807308919348&lt;/D&gt;&lt;D xsi:type="xsd:double"&gt;14.4672413823834&lt;/D&gt;&lt;D xsi:type="xsd:double"&gt;15.0646900096502&lt;/D&gt;&lt;D xsi:type="xsd:double"&gt;15.6198990673148&lt;/D&gt;&lt;D xsi:type="xsd:double"&gt;16.4282283317792&lt;/D&gt;&lt;D xsi:type="xsd:double"&gt;16.5259738952338&lt;/D&gt;&lt;D xsi:type="xsd:double"&gt;16.7931290419317&lt;/D&gt;&lt;D xsi:type="xsd:double"&gt;18.7113438664236&lt;/D&gt;&lt;D xsi:type="xsd:double"&gt;19.616764364025&lt;/D&gt;&lt;D xsi:type="xsd:double"&gt;19.8579863605719&lt;/D&gt;&lt;D xsi:type="xsd:double"&gt;18.808343681971&lt;/D&gt;&lt;D xsi:type="xsd:double"&gt;18.3630477875942&lt;/D&gt;&lt;D xsi:type="xsd:double"&gt;17.8256084574242&lt;/D&gt;&lt;D xsi:type="xsd:double"&gt;17.2000362516144&lt;/D&gt;&lt;D xsi:type="xsd:double"&gt;16.6376794136554&lt;/D&gt;&lt;D xsi:type="xsd:double"&gt;15.6699101231352&lt;/D&gt;&lt;D xsi:type="xsd:double"&gt;14.8130755698662&lt;/D&gt;&lt;D xsi:type="xsd:double"&gt;14.0800921115357&lt;/D&gt;&lt;D xsi:type="xsd:double"&gt;13.7860550264308&lt;/D&gt;&lt;D xsi:type="xsd:double"&gt;12.5323337685648&lt;/D&gt;&lt;D xsi:type="xsd:double"&gt;12.4627713586144&lt;/D&gt;&lt;D xsi:type="xsd:double"&gt;12.5607026924297&lt;/D&gt;&lt;D xsi:type="xsd:double"&gt;12.5995102900464&lt;/D&gt;&lt;D xsi:type="xsd:double"&gt;12.4140001042741&lt;/D&gt;&lt;D xsi:type="xsd:double"&gt;12.0366564612935&lt;/D&gt;&lt;D xsi:type="xsd:double"&gt;11.7898406180636&lt;/D&gt;&lt;D xsi:type="xsd:double"&gt;11.3023700297953&lt;/D&gt;&lt;D xsi:type="xsd:double"&gt;10.9987995571658&lt;/D&gt;&lt;D xsi:type="xsd:double"&gt;10.5408347081364&lt;/D&gt;&lt;D xsi:type="xsd:double"&gt;9.51538275653533&lt;/D&gt;&lt;D xsi:type="xsd:double"&gt;9.57199243850387&lt;/D&gt;&lt;D xsi:type="xsd:double"&gt;9.89483924575086&lt;/D&gt;&lt;D xsi:type="xsd:double"&gt;9.64127680533663&lt;/D&gt;&lt;D xsi:type="xsd:double"&gt;10.1464458310153&lt;/D&gt;&lt;D xsi:type="xsd:double"&gt;10.1632402345501&lt;/D&gt;&lt;D xsi:type="xsd:double"&gt;10.1465468062534&lt;/D&gt;&lt;D xsi:type="xsd:double"&gt;10.4157822862703&lt;/D&gt;&lt;D xsi:type="xsd:double"&gt;10.266998333644&lt;/D&gt;&lt;D xsi:type="xsd:double"&gt;10.2670933750716&lt;/D&gt;&lt;D xsi:type="xsd:double"&gt;10.6330221682924&lt;/D&gt;&lt;D xsi:type="xsd:double"&gt;10.3387903090312&lt;/D&gt;&lt;D xsi:type="xsd:double"&gt;10.6095278728527&lt;/D&gt;&lt;D xsi:type="xsd:double"&gt;10.3043874818867&lt;/D&gt;&lt;D xsi:type="xsd:double"&gt;10.7987644053942&lt;/D&gt;&lt;D xsi:type="xsd:double"&gt;11.2220745794944&lt;/D&gt;&lt;D xsi:type="xsd:double"&gt;11.3663186587574&lt;/D&gt;&lt;D xsi:type="xsd:double"&gt;11.525255674846&lt;/D&gt;&lt;D xsi:type="xsd:double"&gt;11.5260698373641&lt;/D&gt;&lt;D xsi:type="xsd:double"&gt;11.6035534160393&lt;/D&gt;&lt;D xsi:type="xsd:double"&gt;11.7476147730204&lt;/D&gt;&lt;D xsi:type="xsd:double"&gt;11.661421882332&lt;/D&gt;&lt;D xsi:type="xsd:double"&gt;11.8051375112492&lt;/D&gt;&lt;/FQL&gt;&lt;FQL&gt;&lt;Q&gt;WL-FDS^MAX(FG_PRICE(0,-5AY))&lt;/Q&gt;&lt;R&gt;1&lt;/R&gt;&lt;C&gt;1&lt;/C&gt;&lt;D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xsi:type="xsd:double"&gt;130.86403&lt;/D&gt;&lt;/FQL&gt;&lt;FQL&gt;&lt;Q&gt;FC0000CA^FG_PRICE(0)&lt;/Q&gt;&lt;R&gt;1&lt;/R&gt;&lt;C&gt;1&lt;/C&gt;&lt;D xsi:type="xsd:double"&gt;296.13333&lt;/D&gt;&lt;/FQL&gt;&lt;FQL&gt;&lt;Q&gt;EWD^FG_PRICE_MAVG(0,,,,200)&lt;/Q&gt;&lt;R&gt;1&lt;/R&gt;&lt;C&gt;1&lt;/C&gt;&lt;D xsi:type="xsd:double"&gt;38.385124&lt;/D&gt;&lt;/FQL&gt;&lt;FQL&gt;&lt;Q&gt;QQQ^FG_PRICE_MAVG(0,,,,200)&lt;/Q&gt;&lt;R&gt;1&lt;/R&gt;&lt;C&gt;1&lt;/C&gt;&lt;D xsi:type="xsd:double"&gt;427.27734&lt;/D&gt;&lt;/FQL&gt;&lt;FQL&gt;&lt;Q&gt;EWG^FG_PRICE_MAVG(0,,,,200)&lt;/Q&gt;&lt;R&gt;1&lt;/R&gt;&lt;C&gt;1&lt;/C&gt;&lt;D xsi:type="xsd:double"&gt;29.768&lt;/D&gt;&lt;/FQL&gt;&lt;FQL&gt;&lt;Q&gt;EWI^FG_COMPANY_NAME&lt;/Q&gt;&lt;R&gt;1&lt;/R&gt;&lt;C&gt;1&lt;/C&gt;&lt;D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xsi:type="xsd:double"&gt;0.8356254&lt;/D&gt;&lt;/FQL&gt;&lt;FQL&gt;&lt;Q&gt;EWJ^FG_TOTAL_RETURNC(0,-12AM)&lt;/Q&gt;&lt;R&gt;1&lt;/R&gt;&lt;C&gt;1&lt;/C&gt;&lt;D xsi:type="xsd:double"&gt;11.69628&lt;/D&gt;&lt;/FQL&gt;&lt;FQL&gt;&lt;Q&gt;URTH^PERCENT_CHANGE(FMA_EPS(+1,0,,,,"PORTAGG","MEAN"),FMA_EPS(+1,-1AM,,,,"PORTAGG","MEAN"))&lt;/Q&gt;&lt;R&gt;1&lt;/R&gt;&lt;C&gt;1&lt;/C&gt;&lt;D xsi:type="xsd:double"&gt;0.0266636553384657&lt;/D&gt;&lt;/FQL&gt;&lt;FQL&gt;&lt;Q&gt;VGK^FG_TOTAL_RETURNC(0,-1AM)&lt;/Q&gt;&lt;R&gt;1&lt;/R&gt;&lt;C&gt;1&lt;/C&gt;&lt;D xsi:type="xsd:double"&gt;1.7779827&lt;/D&gt;&lt;/FQL&gt;&lt;FQL&gt;&lt;Q&gt;EWD^FG_TOTAL_RETURNC(0,-6AM)&lt;/Q&gt;&lt;R&gt;1&lt;/R&gt;&lt;C&gt;1&lt;/C&gt;&lt;D xsi:type="xsd:double"&gt;8.098328&lt;/D&gt;&lt;/FQL&gt;&lt;FQL&gt;&lt;Q&gt;EWQ^P_PRICE(0)/P_PRICE_LOW_PR(0,,,,,,"PRICE","INTRA","52W")-1&lt;/Q&gt;&lt;R&gt;1&lt;/R&gt;&lt;C&gt;1&lt;/C&gt;&lt;D xsi:type="xsd:double"&gt;0.14913845&lt;/D&gt;&lt;/FQL&gt;&lt;FQL&gt;&lt;Q&gt;EWU^PERCENT_CHANGE(FMA_EPS(+1,0,,,,"PORTAGG","MEAN"),FMA_EPS(+1,-3AM,,,,"PORTAGG","MEAN"))&lt;/Q&gt;&lt;R&gt;1&lt;/R&gt;&lt;C&gt;1&lt;/C&gt;&lt;D xsi:type="xsd:double"&gt;-0.0135858940419601&lt;/D&gt;&lt;/FQL&gt;&lt;FQL&gt;&lt;Q&gt;EWJ^FG_TOTAL_RETURNC(0,-3AM)&lt;/Q&gt;&lt;R&gt;1&lt;/R&gt;&lt;C&gt;1&lt;/C&gt;&lt;D xsi:type="xsd:double"&gt;3.0885696&lt;/D&gt;&lt;/FQL&gt;&lt;FQL&gt;&lt;Q&gt;EWC^P_PRICE(0)/P_PRICE_HIGH_PR(0,,,,,,"PRICE","INTRA","52W")&lt;/Q&gt;&lt;R&gt;1&lt;/R&gt;&lt;C&gt;1&lt;/C&gt;&lt;D xsi:type="xsd:double"&gt;0.98206514&lt;/D&gt;&lt;/FQL&gt;&lt;FQL&gt;&lt;Q&gt;ENZL^FG_TOTAL_RETURNC(0,-12AM)&lt;/Q&gt;&lt;R&gt;1&lt;/R&gt;&lt;C&gt;1&lt;/C&gt;&lt;D xsi:type="xsd:double"&gt;-5.0525246&lt;/D&gt;&lt;/FQL&gt;&lt;FQL&gt;&lt;Q&gt;EWJ^FMA_COS_DOWN("EPS","1M",+1,0,,,"PORTAGG","MEANR")&lt;/Q&gt;&lt;R&gt;1&lt;/R&gt;&lt;C&gt;1&lt;/C&gt;&lt;D xsi:type="xsd:double"&gt;57&lt;/D&gt;&lt;/FQL&gt;&lt;FQL&gt;&lt;Q&gt;EWD^FMA_COS_UP("EPS","1M",+1,0,,,"PORTAGG","MEANR")&lt;/Q&gt;&lt;R&gt;1&lt;/R&gt;&lt;C&gt;1&lt;/C&gt;&lt;D xsi:type="xsd:double"&gt;12&lt;/D&gt;&lt;/FQL&gt;&lt;FQL&gt;&lt;Q&gt;EWL^SIZE(FG_CONSTITUENTS)&lt;/Q&gt;&lt;R&gt;1&lt;/R&gt;&lt;C&gt;1&lt;/C&gt;&lt;D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xsi:type="xsd:double"&gt;4&lt;/D&gt;&lt;/FQL&gt;&lt;FQL&gt;&lt;Q&gt;EWD^FMA_RBICS_REV_CURRENT(30, LOC, "PORTAGG")&lt;/Q&gt;&lt;R&gt;1&lt;/R&gt;&lt;C&gt;1&lt;/C&gt;&lt;D xsi:type="xsd:double"&gt;26.6826894897005&lt;/D&gt;&lt;/FQL&gt;&lt;FQL&gt;&lt;Q&gt;SPY^FG_ROE(0)&lt;/Q&gt;&lt;R&gt;1&lt;/R&gt;&lt;C&gt;1&lt;/C&gt;&lt;D xsi:type="xsd:double"&gt;18.6833094503973&lt;/D&gt;&lt;/FQL&gt;&lt;FQL&gt;&lt;Q&gt;TRYCH10Y-FDS^FG_YIELD_NAME&lt;/Q&gt;&lt;R&gt;1&lt;/R&gt;&lt;C&gt;1&lt;/C&gt;&lt;D xsi:type="xsd:string"&gt;Treasury - Switzerland Benchmark Bond 10Y&lt;/D&gt;&lt;/FQL&gt;&lt;FQL&gt;&lt;Q&gt;EWC^FG_COMPANY_NAME&lt;/Q&gt;&lt;R&gt;1&lt;/R&gt;&lt;C&gt;1&lt;/C&gt;&lt;D xsi:type="xsd:string"&gt;iShares MSCI Canada ETF&lt;/D&gt;&lt;/FQL&gt;&lt;FQL&gt;&lt;Q&gt;REFFFUND-FDS^FG_YIELD(NOW,,,0)&lt;/Q&gt;&lt;R&gt;1&lt;/R&gt;&lt;C&gt;1&lt;/C&gt;&lt;D xsi:type="xsd:double"&gt;5.5&lt;/D&gt;&lt;/FQL&gt;&lt;FQL&gt;&lt;Q&gt;REFEUREFI-FDS^PROPER_NAME(0,,,"SECURITY","NAME")&lt;/Q&gt;&lt;R&gt;1&lt;/R&gt;&lt;C&gt;1&lt;/C&gt;&lt;D xsi:type="xsd:string"&gt;Eurozone Main Refinancing Operations Minimum Bid Rate&lt;/D&gt;&lt;/FQL&gt;&lt;FQL&gt;&lt;Q&gt;TRYFR10Y-FDS^PCTCHG(FG_YIELD(0,,,,"YTM"),FG_YIELD(-3AM,,,,"YTM"))&lt;/Q&gt;&lt;R&gt;1&lt;/R&gt;&lt;C&gt;1&lt;/C&gt;&lt;D xsi:type="xsd:double"&gt;2.3997355&lt;/D&gt;&lt;/FQL&gt;&lt;FQL&gt;&lt;Q&gt;TRYAU10Y-FDS^PCTCHG(FG_YIELD(0,,,,"YTM"),FG_YIELD(-3AM,,,,"YTM"))&lt;/Q&gt;&lt;R&gt;1&lt;/R&gt;&lt;C&gt;1&lt;/C&gt;&lt;D xsi:type="xsd:double"&gt;-4.753475&lt;/D&gt;&lt;/FQL&gt;&lt;FQL&gt;&lt;Q&gt;TRYUS10Y-FDS^FG_YIELD(0,,,,"YTM")&lt;/Q&gt;&lt;R&gt;1&lt;/R&gt;&lt;C&gt;1&lt;/C&gt;&lt;D xsi:type="xsd:double"&gt;4.1953&lt;/D&gt;&lt;/FQL&gt;&lt;FQL&gt;&lt;Q&gt;CC_IT^IMF_IFS_RCPI_Q(0)&lt;/Q&gt;&lt;R&gt;0&lt;/R&gt;&lt;C&gt;0&lt;/C&gt;&lt;/FQL&gt;&lt;FQL&gt;&lt;Q&gt;VWO^FMA_DIV_YLD(NTMA,NOW,NOW,M,"PORTAGG","MEANR")&lt;/Q&gt;&lt;R&gt;1&lt;/R&gt;&lt;C&gt;1&lt;/C&gt;&lt;D xsi:type="xsd:double"&gt;4.15554678031482&lt;/D&gt;&lt;/FQL&gt;&lt;FQL&gt;&lt;Q&gt;EWI^FMA_PE(LTM,0,,,"PORTAGG","MEANR")&lt;/Q&gt;&lt;R&gt;1&lt;/R&gt;&lt;C&gt;1&lt;/C&gt;&lt;D xsi:type="xsd:double"&gt;10.0709223995973&lt;/D&gt;&lt;/FQL&gt;&lt;FQL&gt;&lt;Q&gt;EWQ^FMA_EVAL_EBIT(LTMA,NOW,NOW,M,"PORTAGG","MEANR")&lt;/Q&gt;&lt;R&gt;1&lt;/R&gt;&lt;C&gt;1&lt;/C&gt;&lt;D xsi:type="xsd:double"&gt;13.018368982019&lt;/D&gt;&lt;/FQL&gt;&lt;FQL&gt;&lt;Q&gt;QQQ^FG_FCF_YIELD_NTM(0)&lt;/Q&gt;&lt;R&gt;1&lt;/R&gt;&lt;C&gt;1&lt;/C&gt;&lt;D xsi:type="xsd:double"&gt;3.63563533924483&lt;/D&gt;&lt;/FQL&gt;&lt;FQL&gt;&lt;Q&gt;EWL^FMA_PE(NTMA,0,,,"PORTAGG","MEANR")&lt;/Q&gt;&lt;R&gt;1&lt;/R&gt;&lt;C&gt;1&lt;/C&gt;&lt;D xsi:type="xsd:double"&gt;17.3211090149457&lt;/D&gt;&lt;/FQL&gt;&lt;FQL&gt;&lt;Q&gt;EWG^JULIAN(FMA_DIV_YLD(NTMA,NOW,NOW,M,"PORTAGG","MEANR").DATES)&lt;/Q&gt;&lt;R&gt;1&lt;/R&gt;&lt;C&gt;1&lt;/C&gt;&lt;D xsi:type="xsd:long"&gt;45471&lt;/D&gt;&lt;/FQL&gt;&lt;FQL&gt;&lt;Q&gt;ENZL^FMA_EVAL_EBITDA(NTMA,0,,,"PORTAGG","MEANR")&lt;/Q&gt;&lt;R&gt;1&lt;/R&gt;&lt;C&gt;1&lt;/C&gt;&lt;D xsi:type="xsd:double"&gt;12.3804738743532&lt;/D&gt;&lt;/FQL&gt;&lt;FQL&gt;&lt;Q&gt;EWL^FG_COMPANY_NAME&lt;/Q&gt;&lt;R&gt;1&lt;/R&gt;&lt;C&gt;1&lt;/C&gt;&lt;D xsi:type="xsd:string"&gt;iShares MSCI Switzerland ETF&lt;/D&gt;&lt;/FQL&gt;&lt;FQL&gt;&lt;Q&gt;EWN^FG_COMPANY_NAME&lt;/Q&gt;&lt;R&gt;1&lt;/R&gt;&lt;C&gt;1&lt;/C&gt;&lt;D xsi:type="xsd:string"&gt;iShares MSCI Netherlands ETF&lt;/D&gt;&lt;/FQL&gt;&lt;FQL&gt;&lt;Q&gt;VGK^FG_TOTAL_RETURNC(0,-6AM)&lt;/Q&gt;&lt;R&gt;1&lt;/R&gt;&lt;C&gt;1&lt;/C&gt;&lt;D xsi:type="xsd:double"&gt;8.79426&lt;/D&gt;&lt;/FQL&gt;&lt;FQL&gt;&lt;Q&gt;QQQ^FG_TOTAL_RETURNC(0,-6AM)&lt;/Q&gt;&lt;R&gt;1&lt;/R&gt;&lt;C&gt;1&lt;/C&gt;&lt;D xsi:type="xsd:double"&gt;9.558928&lt;/D&gt;&lt;/FQL&gt;&lt;FQL&gt;&lt;Q&gt;VWO^FG_TOTAL_RETURNC(0,-6AM)&lt;/Q&gt;&lt;R&gt;1&lt;/R&gt;&lt;C&gt;1&lt;/C&gt;&lt;D xsi:type="xsd:double"&gt;9.387755&lt;/D&gt;&lt;/FQL&gt;&lt;FQL&gt;&lt;Q&gt;DUMMY^ECON_EXPR_DATA('FDS_ECON[PMIDMMANHE]',,,M)&lt;/Q&gt;&lt;R&gt;1&lt;/R&gt;&lt;C&gt;1&lt;/C&gt;&lt;D xsi:type="xsd:double"&gt;49.659245&lt;/D&gt;&lt;/FQL&gt;&lt;FQL&gt;&lt;Q&gt;EWN^FMA_ROE(NTMA,-20AY,NOW,FY,"PORTAGG","MEANR")&lt;/Q&gt;&lt;R&gt;20&lt;/R&gt;&lt;C&gt;1&lt;/C&gt;&lt;D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xsi:type="xsd:double"&gt;6.98087557861584&lt;/D&gt;&lt;/FQL&gt;&lt;FQL&gt;&lt;Q&gt;CC_DE^FG_COMPANY_NAME&lt;/Q&gt;&lt;R&gt;1&lt;/R&gt;&lt;C&gt;1&lt;/C&gt;&lt;D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xsi:type="xsd:double"&gt;2.3504496&lt;/D&gt;&lt;/FQL&gt;&lt;FQL&gt;&lt;Q&gt;USDCHF^FG_PRICE_CHANGE(0,-1AM)&lt;/Q&gt;&lt;R&gt;1&lt;/R&gt;&lt;C&gt;1&lt;/C&gt;&lt;D xsi:type="xsd:double"&gt;-1.5716374&lt;/D&gt;&lt;/FQL&gt;&lt;FQL&gt;&lt;Q&gt;USDEUR^FG_PRICE</t>
        </r>
      </text>
    </comment>
    <comment ref="A3" authorId="0" shapeId="0" xr:uid="{F334DAE9-0830-43DA-A172-18200F2D406E}">
      <text>
        <r>
          <rPr>
            <b/>
            <sz val="9"/>
            <color indexed="81"/>
            <rFont val="Tahoma"/>
            <charset val="1"/>
          </rPr>
          <t>_CHANGE(0,-1AM)&lt;/Q&gt;&lt;R&gt;1&lt;/R&gt;&lt;C&gt;1&lt;/C&gt;&lt;D xsi:type="xsd:double"&gt;-1.6074061&lt;/D&gt;&lt;/FQL&gt;&lt;FQL&gt;&lt;Q&gt;USDAUD^FG_PRICE_CHANGE(0,-1AM)&lt;/Q&gt;&lt;R&gt;1&lt;/R&gt;&lt;C&gt;1&lt;/C&gt;&lt;D xsi:type="xsd:double"&gt;1.4953852&lt;/D&gt;&lt;/FQL&gt;&lt;FQL&gt;&lt;Q&gt;SPY^FMA_EPS(NTMA,-20AY,0,CY,,"PORTAGG","MEANR")&lt;/Q&gt;&lt;R&gt;20&lt;/R&gt;&lt;C&gt;1&lt;/C&gt;&lt;D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xsi:type="xsd:double"&gt;22.2767073851686&lt;/D&gt;&lt;D xsi:type="xsd:double"&gt;22.9687104615331&lt;/D&gt;&lt;D xsi:type="xsd:double"&gt;24.3449867619937&lt;/D&gt;&lt;/FQL&gt;&lt;FQL&gt;&lt;Q&gt;EWU^P_PRICE_RETURNS_PR('52W',2,-10AY,0,AM)&lt;/Q&gt;&lt;R&gt;121&lt;/R&gt;&lt;C&gt;1&lt;/C&gt;&lt;D xsi:type="xsd:double"&gt;16.616081&lt;/D&gt;&lt;D xsi:type="xsd:double"&gt;14.090824&lt;/D&gt;&lt;D xsi:type="xsd:double"&gt;5.0327897&lt;/D&gt;&lt;D xsi:type="xsd:double"&gt;-3.2067716&lt;/D&gt;&lt;D xsi:type="xsd:double"&gt;1.2912393&lt;/D&gt;&lt;D xsi:type="xsd:double"&gt;-4.47762&lt;/D&gt;&lt;D xsi:type="xsd:double"&gt;-2.9424846&lt;/D&gt;&lt;D xsi:type="xsd:double"&gt;-3.050518&lt;/D&gt;&lt;D xsi:type="xsd:double"&gt;-3.3679605&lt;/D&gt;&lt;D xsi:type="xsd:double"&gt;-2.1335006&lt;/D&gt;&lt;D xsi:type="xsd:double"&gt;-4.5918226&lt;/D&gt;&lt;D xsi:type="xsd:double"&gt;-5.6070566&lt;/D&gt;&lt;D xsi:type="xsd:double"&gt;-10.297298&lt;/D&gt;&lt;D xsi:type="xsd:double"&gt;-14.574843&lt;/D&gt;&lt;D xsi:type="xsd:double"&gt;-12.846577&lt;/D&gt;&lt;D xsi:type="xsd:double"&gt;-2.2167623&lt;/D&gt;&lt;D xsi:type="xsd:double"&gt;-7.1941795&lt;/D&gt;&lt;D xsi:type="xsd:double"&gt;-7.439107&lt;/D&gt;&lt;D xsi:type="xsd:double"&gt;-15.880812&lt;/D&gt;&lt;D xsi:type="xsd:double"&gt;-19.012112&lt;/D&gt;&lt;D xsi:type="xsd:double"&gt;-14.38998&lt;/D&gt;&lt;D xsi:type="xsd:double"&gt;-12.064171&lt;/D&gt;&lt;D xsi:type="xsd:double"&gt;-11.647564&lt;/D&gt;&lt;D xsi:type="xsd:double"&gt;-19.993961&lt;/D&gt;&lt;D xsi:type="xsd:double"&gt;-10.209823&lt;/D&gt;&lt;D xsi:type="xsd:double"&gt;-1.7695725&lt;/D&gt;&lt;D xsi:type="xsd:double"&gt;-0.69293976&lt;/D&gt;&lt;D xsi:type="xsd:double"&gt;-10.848999&lt;/D&gt;&lt;D xsi:type="xsd:double"&gt;-7.812476&lt;/D&gt;&lt;D xsi:type="xsd:double"&gt;-3.4477532&lt;/D&gt;&lt;D xsi:type="xsd:double"&gt;9.823918&lt;/D&gt;&lt;D xsi:type="xsd:double"&gt;13.311458&lt;/D&gt;&lt;D xsi:type="xsd:double"&gt;9.59053&lt;/D&gt;&lt;D xsi:type="xsd:double"&gt;5.1573277&lt;/D&gt;&lt;D xsi:type="xsd:double"&gt;8.743418&lt;/D&gt;&lt;D xsi:type="xsd:double"&gt;17.92351&lt;/D&gt;&lt;D xsi:type="xsd:double"&gt;14.265656&lt;/D&gt;&lt;D xsi:type="xsd:double"&gt;9.530031&lt;/D&gt;&lt;D xsi:type="xsd:double"&gt;14.429021&lt;/D&gt;&lt;D xsi:type="xsd:double"&gt;19.487&lt;/D&gt;&lt;D xsi:type="xsd:double"&gt;20.156265&lt;/D&gt;&lt;D xsi:type="xsd:double"&gt;20.995033&lt;/D&gt;&lt;D xsi:type="xsd:double"&gt;24.759626&lt;/D&gt;&lt;D xsi:type="xsd:double"&gt;16.390562&lt;/D&gt;&lt;D xsi:type="xsd:double"&gt;11.072874&lt;/D&gt;&lt;D xsi:type="xsd:double"&gt;14.466548&lt;/D&gt;&lt;D xsi:type="xsd:double"&gt;8.583033&lt;/D&gt;&lt;D xsi:type="xsd:double"&gt;8.498168&lt;/D&gt;&lt;D xsi:type="xsd:double"&gt;6.0236096&lt;/D&gt;&lt;D xsi:type="xsd:double"&gt;5.6243896&lt;/D&gt;&lt;D xsi:type="xsd:double"&gt;3.9807558&lt;/D&gt;&lt;D xsi:type="xsd:double"&gt;-6.073099&lt;/D&gt;&lt;D xsi:type="xsd:double"&gt;-5.145526&lt;/D&gt;&lt;D xsi:type="xsd:double"&gt;-13.303226&lt;/D&gt;&lt;D xsi:type="xsd:double"&gt;-13.956475&lt;/D&gt;&lt;D xsi:type="xsd:double"&gt;-4.0794253&lt;/D&gt;&lt;D xsi:type="xsd:double"&gt;-0.09741783&lt;/D&gt;&lt;D xsi:type="xsd:double"&gt;-3.58122&lt;/D&gt;&lt;D xsi:type="xsd:double"&gt;-7.2364388&lt;/D&gt;&lt;D xsi:type="xsd:double"&gt;-2.2740066&lt;/D&gt;&lt;D xsi:type="xsd:double"&gt;-3.2537282&lt;/D&gt;&lt;D xsi:type="xsd:double"&gt;-7.58391&lt;/D&gt;&lt;D xsi:type="xsd:double"&gt;-4.387397&lt;/D&gt;&lt;D xsi:type="xsd:double"&gt;8.346581&lt;/D&gt;&lt;D xsi:type="xsd:double"&gt;8.698809&lt;/D&gt;&lt;D xsi:type="xsd:double"&gt;20.727598&lt;/D&gt;&lt;D xsi:type="xsd:double"&gt;14.461529&lt;/D&gt;&lt;D xsi:type="xsd:double"&gt;-2.4234533&lt;/D&gt;&lt;D xsi:type="xsd:double"&gt;-23.417372&lt;/D&gt;&lt;D xsi:type="xsd:double"&gt;-23.942202&lt;/D&gt;&lt;D xsi:type="xsd:double"&gt;-17.831045&lt;/D&gt;&lt;D xsi:type="xsd:double"&gt;-18.136566&lt;/D&gt;&lt;D xsi:type="xsd:double"&gt;-15.46694&lt;/D&gt;&lt;D xsi:type="xsd:double"&gt;-6.7141237&lt;/D&gt;&lt;D xsi:type="xsd:double"&gt;-16.370684&lt;/D&gt;&lt;D xsi:type="xsd:double"&gt;-19.236595&lt;/D&gt;&lt;D xsi:type="xsd:double"&gt;-9.458322&lt;/D&gt;&lt;D xsi:type="xsd:double"&gt;-10.277873&lt;/D&gt;&lt;D xsi:type="xsd:double"&gt;-6.655508&lt;/D&gt;&lt;D xsi:type="xsd:double"&gt;1.8073559&lt;/D&gt;&lt;D xsi:type="xsd:double"&gt;33.575726&lt;/D&gt;&lt;D xsi:type="xsd:double"&gt;36.905254&lt;/D&gt;&lt;D xsi:type="xsd:double"&gt;35.60381&lt;/D&gt;&lt;D xsi:type="xsd:double"&gt;31.698513&lt;/D&gt;&lt;D xsi:type="xsd:double"&gt;27.7169&lt;/D&gt;&lt;D xsi:type="xsd:double"&gt;25.647772&lt;/D&gt;&lt;D xsi:type="xsd:double"&gt;33.625076&lt;/D&gt;&lt;D xsi:type="xsd:double"&gt;37.666557&lt;/D&gt;&lt;D xsi:type="xsd:double"&gt;13.896513&lt;/D&gt;&lt;D xsi:type="xsd:double"&gt;17.047714&lt;/D&gt;&lt;D xsi:type="xsd:double"&gt;14.323366&lt;/D&gt;&lt;D xsi:type="xsd:double"&gt;15.342485&lt;/D&gt;&lt;D xsi:type="xsd:double"&gt;13.835287&lt;/D&gt;&lt;D xsi:type="xsd:double"&gt;1.639986&lt;/D&gt;&lt;D xsi:type="xsd:double"&gt;2.504146&lt;/D&gt;&lt;D xsi:type="xsd:double"&gt;-4.133135&lt;/D&gt;&lt;D xsi:type="xsd:double"&gt;-4.150045&lt;/D&gt;&lt;D xsi:type="xsd:double"&gt;-5.376214&lt;/D&gt;&lt;D xsi:type="xsd:double"&gt;-17.175192&lt;/D&gt;&lt;D xsi:type="xsd:double"&gt;-13.503843&lt;/D&gt;&lt;D xsi:type="xsd:double"&gt;-1.6162038&lt;/D&gt;&lt;D xsi:type="xsd:double"&gt;-3.2063007&lt;/D&gt;&lt;D xsi:type="xsd:double"&gt;1.0751963&lt;/D&gt;&lt;D xsi:type="xsd:double"&gt;1.194632&lt;/D&gt;&lt;D xsi:type="xsd:double"&gt;-4.5556307&lt;/D&gt;&lt;D xsi:type="xsd:double"&gt;8.861375&lt;/D&gt;&lt;D xsi:type="xsd:double"&gt;1.4520168&lt;/D&gt;&lt;D xsi:type="xsd:double"&gt;8.98527&lt;/D&gt;&lt;D xsi:type="xsd:double"&gt;16.280197&lt;/D&gt;&lt;D xsi:type="xsd:double"&gt;7.002926&lt;/D&gt;&lt;D xsi:type="xsd:double"&gt;26.625751&lt;/D&gt;&lt;D xsi:type="xsd:double"&gt;12.495542&lt;/D&gt;&lt;D xsi:type="xsd:double"&gt;8.336199&lt;/D&gt;&lt;D xsi:type="xsd:double"&gt;12.007046&lt;/D&gt;&lt;D xsi:type="xsd:double"&gt;3.9708734&lt;/D&gt;&lt;D xsi:type="xsd:double"&gt;6.4237237&lt;/D&gt;&lt;D xsi:type="xsd:double"&gt;13.6757965&lt;/D&gt;&lt;D xsi:type="xsd:double"&gt;8.624434&lt;/D&gt;&lt;D xsi:type="xsd:double"&gt;16.899384&lt;/D&gt;&lt;D xsi:type="xsd:double"&gt;14.214611&lt;/D&gt;&lt;D xsi:type="xsd:double"&gt;11.8846655&lt;/D&gt;&lt;/FQL&gt;&lt;FQL&gt;&lt;Q&gt;EWJ^FG_TOTAL_RETURNC(-10AY,0,AM)&lt;/Q&gt;&lt;R&gt;121&lt;/R&gt;&lt;C&gt;1&lt;/C&gt;&lt;D xsi:type="xsd:double"&gt;0.9991646&lt;/D&gt;&lt;D xsi:type="xsd:double"&gt;-1.896131&lt;/D&gt;&lt;D xsi:type="xsd:double"&gt;0.08403063&lt;/D&gt;&lt;D xsi:type="xsd:double"&gt;-5.4575977&lt;/D&gt;&lt;D xsi:type="xsd:double"&gt;3.5523891&lt;/D&gt;&lt;D xsi:type="xsd:double"&gt;-0.27419925&lt;/D&gt;&lt;D xsi:type="xsd:double"&gt;0.25951862&lt;/D&gt;&lt;D xsi:type="xsd:double"&gt;6.9887757&lt;/D&gt;&lt;D xsi:type="xsd:double"&gt;2.2580743&lt;/D&gt;&lt;D xsi:type="xsd:double"&gt;4.9684525&lt;/D&gt;&lt;D xsi:type="xsd:double"&gt;-1.5026331&lt;/D&gt;&lt;D xsi:type="xsd:double"&gt;0.274539&lt;/D&gt;&lt;D xsi:type="xsd:double"&gt;-2.5229335&lt;/D&gt;&lt;D xsi:type="xsd:double"&gt;-5.6470633&lt;/D&gt;&lt;D xsi:type="xsd:double"&gt;-3.4912705&lt;/D&gt;&lt;D xsi:type="xsd:double"&gt;7.665813&lt;/D&gt;&lt;D xsi:type="xsd:double"&gt;0.32000542&lt;/D&gt;&lt;D xsi:type="xsd:double"&gt;-2.6456714&lt;/D&gt;&lt;D xsi:type="xsd:double"&gt;-7.590759&lt;/D&gt;&lt;D xsi:type="xsd:double"&gt;-1.2499928&lt;/D&gt;&lt;D xsi:type="xsd:double"&gt;2.622056&lt;/D&gt;&lt;D xsi:type="xsd:double"&gt;6.4317107&lt;/D&gt;&lt;D xsi:type="xsd:double"&gt;-2.897352&lt;/D&gt;&lt;D xsi:type="xsd:double"&gt;-2.557677&lt;/D&gt;&lt;D xsi:type="xsd:double"&gt;4.320991&lt;/D&gt;&lt;D xsi:type="xsd:double"&gt;3.296709&lt;/D&gt;&lt;D xsi:type="xsd:double"&gt;2.5368214&lt;/D&gt;&lt;D xsi:type="xsd:double"&gt;0.39904118&lt;/D&gt;&lt;D xsi:type="xsd:double"&gt;-1.6494393&lt;/D&gt;&lt;D xsi:type="xsd:double"&gt;1.7248273&lt;/D&gt;&lt;D xsi:type="xsd:double"&gt;2.9943824&lt;/D&gt;&lt;D xsi:type="xsd:double"&gt;0.52683353&lt;/D&gt;&lt;D xsi:type="xsd:double"&gt;0.6793499&lt;/D&gt;&lt;D xsi:type="xsd:double"&gt;0.38558245&lt;/D&gt;&lt;D xsi:type="xsd:double"&gt;2.1317482&lt;/D&gt;&lt;D xsi:type="xsd:double"&gt;2.0068169&lt;/D&gt;&lt;D xsi:type="xsd:double"&gt;0.63079596&lt;/D&gt;&lt;D xsi:type="xsd:double"&gt;0.22124052&lt;/D&gt;&lt;D xsi:type="xsd:double"&gt;2.1891117&lt;/D&gt;&lt;D xsi:type="xsd:double"&gt;4.3744326&lt;/D&gt;&lt;D xsi:type="xsd:double"&gt;3.570199&lt;/D&gt;&lt;D xsi:type="xsd:double"&gt;0.6532788&lt;/D&gt;&lt;D xsi:type="xsd:double"&gt;7.711518&lt;/D&gt;&lt;D xsi:type="xsd:double"&gt;-3.4173489&lt;/D&gt;&lt;D xsi:type="xsd:double"&gt;-5.3634286&lt;/D&gt;&lt;D xsi:type="xsd:double"&gt;3.1128407&lt;/D&gt;&lt;D xsi:type="xsd:double"&gt;-1.3453662&lt;/D&gt;&lt;D xsi:type="xsd:double"&gt;-2.0829558&lt;/D&gt;&lt;D xsi:type="xsd:double"&gt;1.4207482&lt;/D&gt;&lt;D xsi:type="xsd:double"&gt;-2.7679324&lt;/D&gt;&lt;D xsi:type="xsd:double"&gt;5.0338387&lt;/D&gt;&lt;D xsi:type="xsd:double"&gt;-10.808128&lt;/D&gt;&lt;D xsi:type="xsd:double"&gt;1.5564203&lt;/D&gt;&lt;D xsi:type="xsd:double"&gt;-7.976323&lt;/D&gt;&lt;D xsi:type="xsd:double"&gt;7.73226&lt;/D&gt;&lt;D xsi:type="xsd:double"&gt;2.3368&lt;/D&gt;&lt;D xsi:type="xsd:double"&gt;-0.48930645&lt;/D&gt;&lt;D xsi:type="xsd:double"&gt;0.8923769&lt;/D&gt;&lt;D xsi:type="xsd:double"&gt;-2.9783428&lt;/D&gt;&lt;D xsi:type="xsd:double"&gt;1.6401052&lt;/D&gt;&lt;D xsi:type="xsd:double"&gt;1.2375355&lt;/D&gt;&lt;D xsi:type="xsd:double"&gt;-2.2806048&lt;/D&gt;&lt;D xsi:type="xsd:double"&gt;6.9828153&lt;/D&gt;&lt;D xsi:type="xsd:double"&gt;1.378715&lt;/D&gt;&lt;D xsi:type="xsd:double"&gt;3.081429&lt;/D&gt;&lt;D xsi:type="xsd:double"&gt;0.86649656&lt;/D&gt;&lt;D xsi:type="xsd:double"&gt;-0.268054&lt;/D&gt;&lt;D xsi:type="xsd:double"&gt;-7.77759&lt;/D&gt;&lt;D xsi:type="xsd:double"&gt;-8.48816&lt;/D&gt;&lt;D xsi:type="xsd:double"&gt;1.2937903&lt;/D&gt;&lt;D xsi:type="xsd:double"&gt;7.015133&lt;/D&gt;&lt;D xsi:type="xsd:double"&gt;2.6711702&lt;/D&gt;&lt;D xsi:type="xsd:double"&gt;0.6489992&lt;/D&gt;&lt;D xsi:type="xsd:double"&gt;4.4778824&lt;/D&gt;&lt;D xsi:type="xsd:double"&gt;0.7371783&lt;/D&gt;&lt;D xsi:type="xsd:double"&gt;-0.05105138&lt;/D&gt;&lt;D xsi:type="xsd:double"&gt;11.169767&lt;/D&gt;&lt;D xsi:type="xsd:double"&gt;1.2067914&lt;/D&gt;&lt;D xsi:type="xsd:double"&gt;5.6213856&lt;/D&gt;&lt;D xsi:type="xsd:double"&gt;-1.8699586&lt;/D&gt;&lt;D xsi:type="xsd:double"&gt;2.7704477&lt;/D&gt;&lt;D xsi:type="xsd:double"&gt;-1.8114448&lt;/D&gt;&lt;D xsi:type="xsd:double"&gt;-0.90063214&lt;/D&gt;&lt;D xsi:type="xsd:double"&gt;1.0293365&lt;/D&gt;&lt;D xsi:type="xsd:double"&gt;-1.1546373&lt;/D&gt;&lt;D xsi:type="xsd:double"&gt;0.044369698&lt;/D&gt;&lt;D xsi:type="xsd:double"&gt;7.389891&lt;/D&gt;&lt;D xsi:type="xsd:double"&gt;-5.780351&lt;/D&gt;&lt;D xsi:type="xsd:double"&gt;-2.1910608&lt;/D&gt;&lt;D xsi:type="xsd:double"&gt;1.9935966&lt;/D&gt;&lt;D xsi:type="xsd:double"&gt;-5.9198856&lt;/D&gt;&lt;D xsi:type="xsd:double"&gt;0.22078753&lt;/D&gt;&lt;D xsi:type="xsd:double"&gt;-1.2745857&lt;/D&gt;&lt;D xsi:type="xsd:double"&gt;-10.663056&lt;/D&gt;&lt;D xsi:type="xsd:double"&gt;3.461194&lt;/D&gt;&lt;D xsi:type="xsd:double"&gt;-6.4918814&lt;/D&gt;&lt;D xsi:type="xsd:double"&gt;0.72625875&lt;/D&gt;&lt;D xsi:type="xsd:double"&gt;0.647068&lt;/D&gt;&lt;D xsi:type="xsd:double"&gt;-9.570169&lt;/D&gt;&lt;D xsi:type="xsd:double"&gt;2.3359776&lt;/D&gt;&lt;D xsi:type="xsd:double"&gt;11.075819&lt;/D&gt;&lt;D xsi:type="xsd:double"&gt;-1.9089937&lt;/D&gt;&lt;D xsi:type="xsd:double"&gt;7.10243&lt;/D&gt;&lt;D xsi:type="xsd:double"&gt;-5.1824093&lt;/D&gt;&lt;D xsi:type="xsd:double"&gt;2.7148604&lt;/D&gt;&lt;D xsi:type="xsd:double"&gt;2.1529794&lt;/D&gt;&lt;D xsi:type="xsd:double"&gt;3.238523&lt;/D&gt;&lt;D xsi:type="xsd:double"&gt;1.809144&lt;/D&gt;&lt;D xsi:type="xsd:double"&gt;3.1521916&lt;/D&gt;&lt;D xsi:type="xsd:double"&gt;-4.5519648&lt;/D&gt;&lt;D xsi:type="xsd:double"&gt;1.3339996&lt;/D&gt;&lt;D xsi:type="xsd:double"&gt;-5.644232&lt;/D&gt;&lt;D xsi:type="xsd:double"&gt;9.190798&lt;/D&gt;&lt;D xsi:type="xsd:double"&gt;2.5432944&lt;/D&gt;&lt;D xsi:type="xsd:double"&gt;3.28542&lt;/D&gt;&lt;D xsi:type="xsd:double"&gt;5.5207253&lt;/D&gt;&lt;D xsi:type="xsd:double"&gt;3.333342&lt;/D&gt;&lt;D xsi:type="xsd:double"&gt;-5.8485327&lt;/D&gt;&lt;D xsi:type="xsd:double"&gt;1.9812346&lt;/D&gt;&lt;D xsi:type="xsd:double"&gt;-0.94501376&lt;/D&gt;&lt;D xsi:type="xsd:double"&gt;2.050221&lt;/D&gt;&lt;/FQL&gt;&lt;FQL&gt;&lt;Q&gt;EWC^FMA_DIV_YLD(NTMA,-10AY,0,AM,"PORTAGG","MEANR")&lt;/Q&gt;&lt;R&gt;121&lt;/R&gt;&lt;C&gt;1&lt;/C&gt;&lt;D xsi:type="xsd:double"&gt;2.73805120783207&lt;/D&gt;&lt;D xsi:type="xsd:double"&gt;2.75107357148212&lt;/D&gt;&lt;D xsi:type="xsd:double"&gt;2.86050590112024&lt;/D&gt;&lt;D xsi:type="xsd:double"&gt;2.98574135971346&lt;/D&gt;&lt;D xsi:type="xsd:double"&gt;2.88979259049842&lt;/D&gt;&lt;D xsi:type="xsd:double"&gt;2.94504812585397&lt;/D&gt;&lt;D xsi:type="xsd:double"&gt;2.92543980355777&lt;/D&gt;&lt;D xsi:type="xsd:double"&gt;2.8530103881871&lt;/D&gt;&lt;D xsi:type="xsd:double"&gt;2.93408339451869&lt;/D&gt;&lt;D xsi:type="xsd:double"&gt;2.80313386356536&lt;/D&gt;&lt;D xsi:type="xsd:double"&gt;2.89225776619757&lt;/D&gt;&lt;D xsi:type="xsd:double"&gt;2.94861272083552&lt;/D&gt;&lt;D xsi:type="xsd:double"&gt;3.13897464099986&lt;/D&gt;&lt;D xsi:type="xsd:double"&gt;3.26679741104511&lt;/D&gt;&lt;D xsi:type="xsd:double"&gt;3.29264928750301&lt;/D&gt;&lt;D xsi:type="xsd:double"&gt;3.20038743529683&lt;/D&gt;&lt;D xsi:type="xsd:double"&gt;3.30164084165705&lt;/D&gt;&lt;D xsi:type="xsd:double"&gt;3.30919789529291&lt;/D&gt;&lt;D xsi:type="xsd:double"&gt;3.55599283599514&lt;/D&gt;&lt;D xsi:type="xsd:double"&gt;3.36571060286697&lt;/D&gt;&lt;D xsi:type="xsd:double"&gt;3.17782644059077&lt;/D&gt;&lt;D xsi:type="xsd:double"&gt;3.07512335410296&lt;/D&gt;&lt;D xsi:type="xsd:double"&gt;3.04029621025182&lt;/D&gt;&lt;D xsi:type="xsd:double"&gt;3.10678228901479&lt;/D&gt;&lt;D xsi:type="xsd:double"&gt;2.99764011718634&lt;/D&gt;&lt;D xsi:type="xsd:double"&gt;2.95890982860004&lt;/D&gt;&lt;D xsi:type="xsd:double"&gt;2.95980808283811&lt;/D&gt;&lt;D xsi:type="xsd:double"&gt;2.92248969657281&lt;/D&gt;&lt;D xsi:type="xsd:double"&gt;2.86683753643022&lt;/D&gt;&lt;D xsi:type="xsd:double"&gt;2.82799420578628&lt;/D&gt;&lt;D xsi:type="xsd:double"&gt;2.79072043838131&lt;/D&gt;&lt;D xsi:type="xsd:double"&gt;2.854460776493&lt;/D&gt;&lt;D xsi:type="xsd:double"&gt;2.93340515446735&lt;/D&gt;&lt;D xsi:type="xsd:double"&gt;2.91454812380084&lt;/D&gt;&lt;D xsi:type="xsd:double"&gt;2.92460093336778&lt;/D&gt;&lt;D xsi:type="xsd:double"&gt;3.02276031669517&lt;/D&gt;&lt;D xsi:type="xsd:double"&gt;3.04284812661012&lt;/D&gt;&lt;D xsi:type="xsd:double"&gt;3.07831119683306&lt;/D&gt;&lt;D xsi:type="xsd:double"&gt;3.01688303817981&lt;/D&gt;&lt;D xsi:type="xsd:double"&gt;2.93709289484019&lt;/D&gt;&lt;D xsi:type="xsd:double"&gt;2.91254829144801&lt;/D&gt;&lt;D xsi:type="xsd:double"&gt;2.91187638069894&lt;/D&gt;&lt;D xsi:type="xsd:double"&gt;2.91942014895146&lt;/D&gt;&lt;D xsi:type="xsd:double"&gt;3.06800838954312&lt;/D&gt;&lt;D xsi:type="xsd:double"&gt;3.20298956508271&lt;/D&gt;&lt;D xsi:type="xsd:double"&gt;3.14596633630599&lt;/D&gt;&lt;D xsi:type="xsd:double"&gt;3.0784555797297&lt;/D&gt;&lt;D xsi:type="xsd:double"&gt;3.06868703806004&lt;/D&gt;&lt;D xsi:type="xsd:double"&gt;3.05647595423302&lt;/D&gt;&lt;D xsi:type="xsd:double"&gt;3.09719898356701&lt;/D&gt;&lt;D xsi:type="xsd:double"&gt;3.15366747934474&lt;/D&gt;&lt;D xsi:type="xsd:double"&gt;3.45289813058303&lt;/D&gt;&lt;D xsi:type="xsd:double"&gt;3.43086702710546&lt;/D&gt;&lt;D xsi:type="xsd:double"&gt;3.7478545456039&lt;/D&gt;&lt;D xsi:type="xsd:double"&gt;3.36165187742924&lt;/D&gt;&lt;D xsi:type="xsd:double"&gt;3.25752272054092&lt;/D&gt;&lt;D xsi:type="xsd:double"&gt;3.27319211622448&lt;/D&gt;&lt;D xsi:type="xsd:double"&gt;3.17756322093136&lt;/D&gt;&lt;D xsi:type="xsd:double"&gt;3.34245377693297&lt;/D&gt;&lt;D xsi:type="xsd:double"&gt;3.33269631916003&lt;/D&gt;&lt;D xsi:type="xsd:double"&gt;3.31833658638339&lt;/D&gt;&lt;D xsi:type="xsd:double"&gt;3.45390832081812&lt;/D&gt;&lt;D xsi:type="xsd:double"&gt;3.31184396493586&lt;/D&gt;&lt;D xsi:type="xsd:double"&gt;3.36966476311742&lt;/D&gt;&lt;D xsi:type="xsd:double"&gt;3.25037287791714&lt;/D&gt;&lt;D xsi:type="xsd:double"&gt;3.23905872345942&lt;/D&gt;&lt;D xsi:type="xsd:double"&gt;3.22182127526332&lt;/D&gt;&lt;D xsi:type="xsd:double"&gt;3.38401891305766&lt;/D&gt;&lt;D xsi:type="xsd:double"&gt;4.31999878050645&lt;/D&gt;&lt;D xsi:type="xsd:double"&gt;3.98015143786216&lt;/D&gt;&lt;D xsi:type="xsd:double"&gt;3.65399816670571&lt;/D&gt;&lt;D xsi:type="xsd:double"&gt;3.62799899372729&lt;/D&gt;&lt;D xsi:type="xsd:double"&gt;3.45412723837734&lt;/D&gt;&lt;D xsi:type="xsd:double"&gt;3.29266662366257&lt;/D&gt;&lt;D xsi:type="xsd:double"&gt;3.45705584137625&lt;/D&gt;&lt;D xsi:type="xsd:double"&gt;3.47339685250239&lt;/D&gt;&lt;D xsi:type="xsd:double"&gt;3.18388393848563&lt;/D&gt;&lt;D xsi:type="xsd:double"&gt;3.10128330682212&lt;/D&gt;&lt;D xsi:type="xsd:double"&gt;3.07328447769701&lt;/D&gt;&lt;D xsi:type="xsd:double"&gt;2.9804457227924&lt;/D&gt;&lt;D xsi:type="xsd:double"&gt;2.84886070745191&lt;/D&gt;&lt;D xsi:type="xsd:double"&gt;2.75995297821362&lt;/D&gt;&lt;D xsi:type="xsd:double"&gt;2.67370458704369&lt;/D&gt;&lt;D xsi:type="xsd:double"&gt;2.69773013206501&lt;/D&gt;&lt;D xsi:type="xsd:double"&gt;2.72093033164694&lt;/D&gt;&lt;D xsi:type="xsd:double"&gt;2.74332459476989&lt;/D&gt;&lt;D xsi:type="xsd:double"&gt;2.78916208173689&lt;/D&gt;&lt;D xsi:type="xsd:double"&gt;2.69173484901171&lt;/D&gt;&lt;D xsi:type="xsd:double"&gt;2.7701077037464&lt;/D&gt;&lt;D xsi:type="xsd:double"&gt;2.78165168579156&lt;/D&gt;&lt;D xsi:type="xsd:double"&gt;2.89834666439745&lt;/D&gt;&lt;D xsi:type="xsd:double"&gt;2.87360953383952&lt;/D&gt;&lt;D xsi:type="xsd:double"&gt;2.77375186643042&lt;/D&gt;&lt;D xsi:type="xsd:double"&gt;3.07087161008056&lt;/D&gt;&lt;D xsi:type="xsd:double"&gt;3.13783721760967&lt;/D&gt;&lt;D xsi:type="xsd:double"&gt;3.39757239003678&lt;/D&gt;&lt;D xsi:type="xsd:double"&gt;3.4243158636765&lt;/D&gt;&lt;D xsi:type="xsd:double"&gt;3.35268758842968&lt;/D&gt;&lt;D xsi:type="xsd:double"&gt;3.65283088180638&lt;/D&gt;&lt;D xsi:type="xsd:double"&gt;3.47935028963639&lt;/D&gt;&lt;D xsi:type="xsd:double"&gt;3.28327547881647&lt;/D&gt;&lt;D xsi:type="xsd:double"&gt;3.44793244790209&lt;/D&gt;&lt;D xsi:type="xsd:double"&gt;3.28570215829638&lt;/D&gt;&lt;D xsi:type="xsd:double"&gt;3.38779153189965&lt;/D&gt;&lt;D xsi:type="xsd:double"&gt;3.46381048720819&lt;/D&gt;&lt;D xsi:type="xsd:double"&gt;3.27633210481769&lt;/D&gt;&lt;D xsi:type="xsd:double"&gt;3.3340590258903&lt;/D&gt;&lt;D xsi:type="xsd:double"&gt;3.34677146876128&lt;/D&gt;&lt;D xsi:type="xsd:double"&gt;3.15265878190922&lt;/D&gt;&lt;D xsi:type="xsd:double"&gt;3.58216302386281&lt;/D&gt;&lt;D xsi:type="xsd:double"&gt;3.62890819927281&lt;/D&gt;&lt;D xsi:type="xsd:double"&gt;3.77681354145558&lt;/D&gt;&lt;D xsi:type="xsd:double"&gt;3.50740763831605&lt;/D&gt;&lt;D xsi:type="xsd:double"&gt;3.3750564227687&lt;/D&gt;&lt;D xsi:type="xsd:double"&gt;3.3269854026054&lt;/D&gt;&lt;D xsi:type="xsd:double"&gt;3.2566591797952&lt;/D&gt;&lt;D xsi:type="xsd:double"&gt;3.14446071635896&lt;/D&gt;&lt;D xsi:type="xsd:double"&gt;3.10622974434161&lt;/D&gt;&lt;D xsi:type="xsd:double"&gt;3.12253622184713&lt;/D&gt;&lt;D xsi:type="xsd:double"&gt;3.35543129041648&lt;/D&gt;&lt;D xsi:type="xsd:double"&gt;3.24479528926428&lt;/D&gt;&lt;/FQL&gt;&lt;FQL&gt;&lt;Q&gt;ENZL^FMA_PE(NTMA,-10AY,0,AM,"PORTAGG","MEANR")&lt;/Q&gt;&lt;R&gt;121&lt;/R&gt;&lt;C&gt;1&lt;/C&gt;&lt;D xsi:type="xsd:double"&gt;17.500009130695&lt;/D&gt;&lt;D xsi:type="xsd:double"&gt;17.3408362931971&lt;/D&gt;&lt;D xsi:type="xsd:double"&gt;17.1408424546592&lt;/D&gt;&lt;D xsi:type="xsd:double"&gt;17.4518053341985&lt;/D&gt;&lt;D xsi:type="xsd:double"&gt;17.8424087900628&lt;/D&gt;&lt;D xsi:type="xsd:double"&gt;18.1954516012937&lt;/D&gt;&lt;D xsi:type="xsd:double"&gt;18.8447929180814&lt;/D&gt;&lt;D xsi:type="xsd:double"&gt;19.2661654617959&lt;/D&gt;&lt;D xsi:type="xsd:double"&gt;18.0838122776208&lt;/D&gt;&lt;D xsi:type="xsd:double"&gt;18.1545287999532&lt;/D&gt;&lt;D xsi:type="xsd:double"&gt;18.2869464322&lt;/D&gt;&lt;D xsi:type="xsd:double"&gt;17.7680574031836&lt;/D&gt;&lt;D xsi:type="xsd:double"&gt;18.3015421414056&lt;/D&gt;&lt;D xsi:type="xsd:double"&gt;17.2389179048795&lt;/D&gt;&lt;D xsi:type="xsd:double"&gt;17.2374354113022&lt;/D&gt;&lt;D xsi:type="xsd:double"&gt;18.0758327165394&lt;/D&gt;&lt;D xsi:type="xsd:double"&gt;18.0604593795789&lt;/D&gt;&lt;D xsi:type="xsd:double"&gt;18.1928563698572&lt;/D&gt;&lt;D xsi:type="xsd:double"&gt;17.5294471378075&lt;/D&gt;&lt;D xsi:type="xsd:double"&gt;17.5566851825032&lt;/D&gt;&lt;D xsi:type="xsd:double"&gt;18.0157819667919&lt;/D&gt;&lt;D xsi:type="xsd:double"&gt;18.748227501963&lt;/D&gt;&lt;D xsi:type="xsd:double"&gt;19.2315495494006&lt;/D&gt;&lt;D xsi:type="xsd:double"&gt;18.4366827853054&lt;/D&gt;&lt;D xsi:type="xsd:double"&gt;20.1968332196126&lt;/D&gt;&lt;D xsi:type="xsd:double"&gt;20.4256231036991&lt;/D&gt;&lt;D xsi:type="xsd:double"&gt;20.0455324129508&lt;/D&gt;&lt;D xsi:type="xsd:double"&gt;18.9531222942461&lt;/D&gt;&lt;D xsi:type="xsd:double"&gt;18.8039193501757&lt;/D&gt;&lt;D xsi:type="xsd:double"&gt;18.541877820876&lt;/D&gt;&lt;D xsi:type="xsd:double"&gt;19.0730729418346&lt;/D&gt;&lt;D xsi:type="xsd:double"&gt;18.6814193646026&lt;/D&gt;&lt;D xsi:type="xsd:double"&gt;18.6940534415621&lt;/D&gt;&lt;D xsi:type="xsd:double"&gt;19.3510789014006&lt;/D&gt;&lt;D xsi:type="xsd:double"&gt;19.5714607692372&lt;/D&gt;&lt;D xsi:type="xsd:double"&gt;19.6794178926623&lt;/D&gt;&lt;D xsi:type="xsd:double"&gt;19.7480069756518&lt;/D&gt;&lt;D xsi:type="xsd:double"&gt;20.0801776141778&lt;/D&gt;&lt;D xsi:type="xsd:double"&gt;19.8457792260742&lt;/D&gt;&lt;D xsi:type="xsd:double"&gt;20.3965236790233&lt;/D&gt;&lt;D xsi:type="xsd:double"&gt;20.1802080378707&lt;/D&gt;&lt;D xsi:type="xsd:double"&gt;20.9367223235477&lt;/D&gt;&lt;D xsi:type="xsd:double"&gt;20.5716325762325&lt;/D&gt;&lt;D xsi:type="xsd:double"&gt;20.7304101124689&lt;/D&gt;&lt;D xsi:type="xsd:double"&gt;20.3073728529875&lt;/D&gt;&lt;D xsi:type="xsd:double"&gt;19.6871359650851&lt;/D&gt;&lt;D xsi:type="xsd:double"&gt;20.4308952815634&lt;/D&gt;&lt;D xsi:type="xsd:double"&gt;21.2998214293708&lt;/D&gt;&lt;D xsi:type="xsd:double"&gt;20.9898677053521&lt;/D&gt;&lt;D xsi:type="xsd:double"&gt;21.7409104057086&lt;/D&gt;&lt;D xsi:type="xsd:double"&gt;21.5803718806216&lt;/D&gt;&lt;D xsi:type="xsd:double"&gt;19.6196262571414&lt;/D&gt;&lt;D xsi:type="xsd:double"&gt;19.6307665671721&lt;/D&gt;&lt;D xsi:type="xsd:double"&gt;19.8853955486734&lt;/D&gt;&lt;D xsi:type="xsd:double"&gt;20.634905232582&lt;/D&gt;&lt;D xsi:type="xsd:double"&gt;21.4695101810391&lt;/D&gt;&lt;D xsi:type="xsd:double"&gt;21.7879793728154&lt;/D&gt;&lt;D xsi:type="xsd:double"&gt;22.6562418835128&lt;/D&gt;&lt;D xsi:type="xsd:double"&gt;23.3460849436391&lt;/D&gt;&lt;D xsi:type="xsd:double"&gt;23.4321512478807&lt;/D&gt;&lt;D xsi:type="xsd:double"&gt;24.4550517156695&lt;/D&gt;&lt;D xsi:type="xsd:double"&gt;25.352018832935&lt;/D&gt;&lt;D xsi:type="xsd:double"&gt;25.3107720819851&lt;/D&gt;&lt;D xsi:type="xsd:double"&gt;24.7609536236028&lt;/D&gt;&lt;D xsi:type="xsd:double"&gt;25.2473244346166&lt;/D&gt;&lt;D xsi:type="xsd:double"&gt;26.2517632220587&lt;/D&gt;&lt;D xsi:type="xsd:double"&gt;26.6059942388617&lt;/D&gt;&lt;D xsi:type="xsd:double"&gt;26.1711012073987&lt;/D&gt;&lt;D xsi:type="xsd:double"&gt;24.2631753830821&lt;/D&gt;&lt;D xsi:type="xsd:double"&gt;28.4365506202878&lt;/D&gt;&lt;D xsi:type="xsd:double"&gt;32.0758411166698&lt;/D&gt;&lt;D xsi:type="xsd:double"&gt;30.42766345727&lt;/D&gt;&lt;D xsi:type="xsd:double"&gt;32.0586219378656&lt;/D&gt;&lt;D xsi:type="xsd:double"&gt;33.40646300977&lt;/D&gt;&lt;D xsi:type="xsd:double"&gt;31.7262487749569&lt;/D&gt;&lt;D xsi:type="xsd:double"&gt;33.7869023121115&lt;/D&gt;&lt;D xsi:type="xsd:double"&gt;32.2225482761342&lt;/D&gt;&lt;D xsi:type="xsd:double"&gt;34.3697682298684&lt;/D&gt;&lt;D xsi:type="xsd:double"&gt;34.0080428094114&lt;/D&gt;&lt;D xsi:type="xsd:double"&gt;31.507983403909&lt;/D&gt;&lt;D xsi:type="xsd:double"&gt;31.9761781309518&lt;/D&gt;&lt;D xsi:type="xsd:double"&gt;32.2229400232353&lt;/D&gt;&lt;D xsi:type="xsd:double"&gt;31.8568476860651&lt;/D&gt;&lt;D xsi:type="xsd:double"&gt;33.6499530399348&lt;/D&gt;&lt;D xsi:type="xsd:double"&gt;33.9547125545332&lt;/D&gt;&lt;D xsi:type="xsd:double"&gt;35.0911128990757&lt;/D&gt;&lt;D xsi:type="xsd:double"&gt;34.6976784833266&lt;/D&gt;&lt;D xsi:type="xsd:double"&gt;33.6180566699517&lt;/D&gt;&lt;D xsi:type="xsd:double"&gt;31.6186486578242&lt;/D&gt;&lt;D xsi:type="xsd:double"&gt;32.1893442352948&lt;/D&gt;&lt;D xsi:type="xsd:double"&gt;30.2092304446819&lt;/D&gt;&lt;D xsi:type="xsd:double"&gt;28.9088433922533&lt;/D&gt;&lt;D xsi:type="xsd:double"&gt;29.1736298449636&lt;/D&gt;&lt;D xsi:type="xsd:double"&gt;28.2915354413882&lt;/D&gt;&lt;D xsi:type="xsd:double"&gt;26.7262942620595&lt;/D&gt;&lt;D xsi:type="xsd:double"&gt;25.6400990166131&lt;/D&gt;&lt;D xsi:type="xsd:double"&gt;25.5724944631989&lt;/D&gt;&lt;D xsi:type="xsd:double"&gt;27.5940406505861&lt;/D&gt;&lt;D xsi:type="xsd:double"&gt;24.9681772180404&lt;/D&gt;&lt;D xsi:type="xsd:double"&gt;23.3041135685882&lt;/D&gt;&lt;D xsi:type="xsd:double"&gt;23.3867751362217&lt;/D&gt;&lt;D xsi:type="xsd:double"&gt;23.1998378509902&lt;/D&gt;&lt;D xsi:type="xsd:double"&gt;24.0306947183347&lt;/D&gt;&lt;D xsi:type="xsd:double"&gt;24.0020751445572&lt;/D&gt;&lt;D xsi:type="xsd:double"&gt;22.5794260498224&lt;/D&gt;&lt;D xsi:type="xsd:double"&gt;23.4411940667933&lt;/D&gt;&lt;D xsi:type="xsd:double"&gt;23.4845394606897&lt;/D&gt;&lt;D xsi:type="xsd:double"&gt;20.4230488772188&lt;/D&gt;&lt;D xsi:type="xsd:double"&gt;20.9198973645715&lt;/D&gt;&lt;D xsi:type="xsd:double"&gt;20.048441417843&lt;/D&gt;&lt;D xsi:type="xsd:double"&gt;20.252095761238&lt;/D&gt;&lt;D xsi:type="xsd:double"&gt;19.2332707498546&lt;/D&gt;&lt;D xsi:type="xsd:double"&gt;20.2600473517333&lt;/D&gt;&lt;D xsi:type="xsd:double"&gt;22.6364231788751&lt;/D&gt;&lt;D xsi:type="xsd:double"&gt;22.4560944144431&lt;/D&gt;&lt;D xsi:type="xsd:double"&gt;22.3571564131443&lt;/D&gt;&lt;D xsi:type="xsd:double"&gt;25.3120957301487&lt;/D&gt;&lt;D xsi:type="xsd:double"&gt;24.8929601166383&lt;/D&gt;&lt;D xsi:type="xsd:double"&gt;25.0845908462155&lt;/D&gt;&lt;D xsi:type="xsd:double"&gt;24.4429921830772&lt;/D&gt;&lt;D xsi:type="xsd:double"&gt;25.6878368884251&lt;/D&gt;&lt;/FQL&gt;&lt;FQL&gt;&lt;Q&gt;DDR3512M-FDS^MAX(FG_PRICE(0,-5AY))&lt;/Q&gt;&lt;R&gt;1&lt;/R&gt;&lt;C&gt;1&lt;/C&gt;&lt;D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xsi:type="xsd:double"&gt;14.0029403106176&lt;/D&gt;&lt;D xsi:type="xsd:double"&gt;13.147116166704&lt;/D&gt;&lt;/FQL&gt;&lt;FQL&gt;&lt;Q&gt;TRYUS10Y-FDS^FG_YIELD(-10AY,0,Y,,"YTM")&lt;/Q&gt;&lt;R&gt;10&lt;/R&gt;&lt;C&gt;1&lt;/C&gt;&lt;D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xsi:type="xsd:double"&gt;0.95&lt;/D&gt;&lt;/FQL&gt;&lt;FQL&gt;&lt;Q&gt;CAGDPY@JP^EE_ACTUAL_ANNUAL(MED,+1)&lt;/Q&gt;&lt;R&gt;1&lt;/R&gt;&lt;C&gt;1&lt;/C&gt;&lt;D xsi:type="xsd:double"&gt;3.8&lt;/D&gt;&lt;/FQL&gt;&lt;FQL&gt;&lt;Q&gt;EWU^FMA_ROE(NTMA,-20AY,NOW,FY,"PORTAGG","MEANR")&lt;/Q&gt;&lt;R&gt;20&lt;/R&gt;&lt;C&gt;1&lt;/C&gt;&lt;D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xsi:type="xsd:double"&gt;12.8709323534995&lt;/D&gt;&lt;D xsi:type="xsd:double"&gt;11.2074687408189&lt;/D&gt;&lt;D xsi:type="xsd:double"&gt;13.9227699516468&lt;/D&gt;&lt;D xsi:type="xsd:double"&gt;15.8587443966116&lt;/D&gt;&lt;D xsi:type="xsd:double"&gt;14.7202112757034&lt;/D&gt;&lt;/FQL&gt;&lt;FQL&gt;&lt;Q&gt;USDSEK^FG_PRICE_CHANGE(0,-6AM)&lt;/Q&gt;&lt;R&gt;1&lt;/R&gt;&lt;C&gt;1&lt;/C&gt;&lt;D xsi:type="xsd:double"&gt;3.6326647&lt;/D&gt;&lt;/FQL&gt;&lt;FQL&gt;&lt;Q&gt;USDGBP^STD(FG_PRICE_CHANGE(0,-3AY,M))&lt;/Q&gt;&lt;R&gt;1&lt;/R&gt;&lt;C&gt;1&lt;/C&gt;&lt;D xsi:type="xsd:double"&gt;2.33840337501068&lt;/D&gt;&lt;/FQL&gt;&lt;FQL&gt;&lt;Q&gt;EWD^FMA_EPS(NTMA,-20AY,0,CY,,"PORTAGG","MEANR")&lt;/Q&gt;&lt;R&gt;20&lt;/R&gt;&lt;C&gt;1&lt;/C&gt;&lt;D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xsi:type="xsd:double"&gt;2.51009258677616&lt;/D&gt;&lt;/FQL&gt;&lt;FQL&gt;&lt;Q&gt;EWA^FG_TOTAL_RETURNC(-10AY,0,AM)&lt;/Q&gt;&lt;R&gt;121&lt;/R&gt;&lt;C&gt;1&lt;/C&gt;&lt;D xsi:type="xsd:double"&gt;1.5891075&lt;/D&gt;&lt;D xsi:type="xsd:double"&gt;0.6331444&lt;/D&gt;&lt;D xsi:type="xsd:double"&gt;-10.436714&lt;/D&gt;&lt;D xsi:type="xsd:double"&gt;2.8925538&lt;/D&gt;&lt;D xsi:type="xsd:double"&gt;-3.0120492&lt;/D&gt;&lt;D xsi:type="xsd:double"&gt;-5.1302137&lt;/D&gt;&lt;D xsi:type="xsd:double"&gt;-0.4957199&lt;/D&gt;&lt;D xsi:type="xsd:double"&gt;6.5217376&lt;/D&gt;&lt;D xsi:type="xsd:double"&gt;0.3826499&lt;/D&gt;&lt;D xsi:type="xsd:double"&gt;1.3553619&lt;/D&gt;&lt;D xsi:type="xsd:double"&gt;-4.8892617&lt;/D&gt;&lt;D xsi:type="xsd:double"&gt;-3.5168052&lt;/D&gt;&lt;D xsi:type="xsd:double"&gt;-5.6903067&lt;/D&gt;&lt;D xsi:type="xsd:double"&gt;-6.627101&lt;/D&gt;&lt;D xsi:type="xsd:double"&gt;-4.7139826&lt;/D&gt;&lt;D xsi:type="xsd:double"&gt;9.672033&lt;/D&gt;&lt;D xsi:type="xsd:double"&gt;-2.8890014&lt;/D&gt;&lt;D xsi:type="xsd:double"&gt;0.4856825&lt;/D&gt;&lt;D xsi:type="xsd:double"&gt;-7.7415824&lt;/D&gt;&lt;D xsi:type="xsd:double"&gt;0.11572838&lt;/D&gt;&lt;D xsi:type="xsd:double"&gt;11.156071&lt;/D&gt;&lt;D xsi:type="xsd:double"&gt;5.5642247&lt;/D&gt;&lt;D xsi:type="xsd:double"&gt;-3.6453187&lt;/D&gt;&lt;D xsi:type="xsd:double"&gt;-1.9005299&lt;/D&gt;&lt;D xsi:type="xsd:double"&gt;8.615219&lt;/D&gt;&lt;D xsi:type="xsd:double"&gt;0.5839467&lt;/D&gt;&lt;D xsi:type="xsd:double"&gt;-0.72568655&lt;/D&gt;&lt;D xsi:type="xsd:double"&gt;0.43859482&lt;/D&gt;&lt;D xsi:type="xsd:double"&gt;1.0674357&lt;/D&gt;&lt;D xsi:type="xsd:double"&gt;-1.170826&lt;/D&gt;&lt;D xsi:type="xsd:double"&gt;6.433916&lt;/D&gt;&lt;D xsi:type="xsd:double"&gt;3.467667&lt;/D&gt;&lt;D xsi:type="xsd:double"&gt;0.40761232&lt;/D&gt;&lt;D xsi:type="xsd:double"&gt;1.0825396&lt;/D&gt;&lt;D xsi:type="xsd:double"&gt;-3.3020973&lt;/D&gt;&lt;D xsi:type="xsd:double"&gt;0.8310437&lt;/D&gt;&lt;D xsi:type="xsd:double"&gt;7.015908&lt;/D&gt;&lt;D xsi:type="xsd:double"&gt;-0.7867038&lt;/D&gt;&lt;D xsi:type="xsd:double"&gt;-1.0132194&lt;/D&gt;&lt;D xsi:type="xsd:double"&gt;0.97908974&lt;/D&gt;&lt;D xsi:type="xsd:double"&gt;1.0577321&lt;/D&gt;&lt;D xsi:type="xsd:double"&gt;2.6410222&lt;/D&gt;&lt;D xsi:type="xsd:double"&gt;4.9630046&lt;/D&gt;&lt;D xsi:type="xsd:double"&gt;-2.6545048&lt;/D&gt;&lt;D xsi:type="xsd:double"&gt;-5.1555157&lt;/D&gt;&lt;D xsi:type="xsd:double"&gt;-0.04492402&lt;/D&gt;&lt;D xsi:type="xsd:double"&gt;1.5730381&lt;/D&gt;&lt;D xsi:type="xsd:double"&gt;1.0085464&lt;/D&gt;&lt;D xsi:type="xsd:double"&gt;1.4292121&lt;/D&gt;&lt;D xsi:type="xsd:double"&gt;-0.8366287&lt;/D&gt;&lt;D xsi:type="xsd:double"&gt;-1.3321519&lt;/D&gt;&lt;D xsi:type="xsd:double"&gt;-10.1710205&lt;/D&gt;&lt;D xsi:type="xsd:double"&gt;4.2585135&lt;/D&gt;&lt;D xsi:type="xsd:double"&gt;-4.924488&lt;/D&gt;&lt;D xsi:type="xsd:double"&gt;7.7690363&lt;/D&gt;&lt;D xsi:type="xsd:double"&gt;4.2376995&lt;/D&gt;&lt;D xsi:type="xsd:double"&gt;0.14019012&lt;/D&gt;&lt;D xsi:type="xsd:double"&gt;2.3331761&lt;/D&gt;&lt;D xsi:type="xsd:double"&gt;0.45599937&lt;/D&gt;&lt;D xsi:type="xsd:double"&gt;3.9419413&lt;/D&gt;&lt;D xsi:type="xsd:double"&gt;1.0695219&lt;/D&gt;&lt;D xsi:type="xsd:double"&gt;-6.437397&lt;/D&gt;&lt;D xsi:type="xsd:double"&gt;4.9952984&lt;/D&gt;&lt;D xsi:type="xsd:double"&gt;1.8851042&lt;/D&gt;&lt;D xsi:type="xsd:double"&gt;-0.044053793&lt;/D&gt;&lt;D xsi:type="xsd:double"&gt;2.4487615&lt;/D&gt;&lt;D xsi:type="xsd:double"&gt;2.0184278&lt;/D&gt;&lt;D xsi:type="xsd:double"&gt;-8.860212&lt;/D&gt;&lt;D xsi:type="xsd:double"&gt;-26.00283&lt;/D&gt;&lt;D xsi:type="xsd:double"&gt;4.6556115&lt;/D&gt;&lt;D xsi:type="xsd:double"&gt;10.664225&lt;/D&gt;&lt;D xsi:type="xsd:double"&gt;5.0030828&lt;/D&gt;&lt;D xsi:type="xsd:double"&gt;6.5992475&lt;/D&gt;&lt;D xsi:type="xsd:double"&gt;4.0439367&lt;/D&gt;&lt;D xsi:type="xsd:double"&gt;-4.606533&lt;/D&gt;&lt;D xsi:type="xsd:double"&gt;3.4708261&lt;/D&gt;&lt;D xsi:type="xsd:double"&gt;13.903749&lt;/D&gt;&lt;D xsi:type="xsd:double"&gt;3.0437708&lt;/D&gt;&lt;D xsi:type="xsd:double"&gt;4.427731&lt;/D&gt;&lt;D xsi:type="xsd:double"&gt;-1.9599974&lt;/D&gt;&lt;D xsi:type="xsd:double"&gt;2.2031784&lt;/D&gt;&lt;D xsi:type="xsd:double"&gt;5.309379&lt;/D&gt;&lt;D xsi:type="xsd:double"&gt;0.7960558&lt;/D&gt;&lt;D xsi:type="xsd:double"&gt;0.51676035&lt;/D&gt;&lt;D xsi:type="xsd:double"&gt;-1.6691983&lt;/D&gt;&lt;D xsi:type="xsd:double"&gt;-1.1188328&lt;/D&gt;&lt;D xsi:type="xsd:double"&gt;-1.1704981&lt;/D&gt;&lt;D xsi:type="xsd:double"&gt;5.2112103&lt;/D&gt;&lt;D xsi:type="xsd:double"&gt;-7.8424034&lt;/D&gt;&lt;D xsi:type="xsd:double"&gt;4.5835853&lt;/D&gt;&lt;D xsi:type="xsd:double"&gt;-7.2734175&lt;/D&gt;&lt;D xsi:type="xsd:double"&gt;5.3959966&lt;/D&gt;&lt;D xsi:type="xsd:double"&gt;9.413708&lt;/D&gt;&lt;D xsi:type="xsd:double"&gt;-7.924527&lt;/D&gt;&lt;D xsi:type="xsd:double"&gt;0.12295246&lt;/D&gt;&lt;D xsi:type="xsd:double"&gt;-8.685416&lt;/D&gt;&lt;D xsi:type="xsd:double"&gt;0.60156584&lt;/D&gt;&lt;D xsi:type="xsd:double"&gt;3.2198787&lt;/D&gt;&lt;D xsi:type="xsd:double"&gt;-11.809265&lt;/D&gt;&lt;D xsi:type="xsd:double"&gt;5.457306&lt;/D&gt;&lt;D xsi:type="xsd:double"&gt;11.499763&lt;/D&gt;&lt;D xsi:type="xsd:double"&gt;-2.2963881&lt;/D&gt;&lt;D xsi:type="xsd:double"&gt;12.096775&lt;/D&gt;&lt;D xsi:type="xsd:double"&gt;-8.393288&lt;/D&gt;&lt;D xsi:type="xsd:double"&gt;-3.9267004&lt;/D&gt;&lt;D xsi:type="xsd:double"&gt;3.7238836&lt;/D&gt;&lt;D xsi:type="xsd:double"&gt;-1.8388808&lt;/D&gt;&lt;D xsi:type="xsd:double"&gt;0.7994652&lt;/D&gt;&lt;D xsi:type="xsd:double"&gt;5.8160424&lt;/D&gt;&lt;D xsi:type="xsd:double"&gt;-8.308476&lt;/D&gt;&lt;D xsi:type="xsd:double"&gt;-0.836432&lt;/D&gt;&lt;D xsi:type="xsd:double"&gt;-3.420806&lt;/D&gt;&lt;D xsi:type="xsd:double"&gt;8.927703&lt;/D&gt;&lt;D xsi:type="xsd:double"&gt;11.107122&lt;/D&gt;&lt;D xsi:type="xsd:double"&gt;-3.0687392&lt;/D&gt;&lt;D xsi:type="xsd:double"&gt;0.59096813&lt;/D&gt;&lt;D xsi:type="xsd:double"&gt;1.8883824&lt;/D&gt;&lt;D xsi:type="xsd:double"&gt;-2.3064315&lt;/D&gt;&lt;D xsi:type="xsd:double"&gt;4.173696&lt;/D&gt;&lt;D xsi:type="xsd:double"&gt;0.0094771385&lt;/D&gt;&lt;D xsi:type="xsd:double"&gt;1.8151879&lt;/D&gt;&lt;/FQL&gt;&lt;FQL&gt;&lt;Q&gt;WL-FDS^FG_PRICE_CHANGE(0,-3AM)&lt;/Q&gt;&lt;R&gt;1&lt;/R&gt;&lt;C&gt;1&lt;/C&gt;&lt;D xsi:type="xsd:double"&gt;-6.56377505765477&lt;/D&gt;&lt;/FQL&gt;&lt;FQL&gt;&lt;Q&gt;W-FDS^FG_PRICE(0)/MAX(FG_PRICE(0,-1AY))&lt;/Q&gt;&lt;R&gt;1&lt;/R&gt;&lt;C&gt;1&lt;/C&gt;&lt;D xsi:type="xsd:double"&gt;0.727083333333333&lt;/D&gt;&lt;/FQL&gt;&lt;FQL&gt;&lt;Q&gt;COPP-FDS^FG_PRICE_CHANGE(0,-6AM)&lt;/Q&gt;&lt;R&gt;1&lt;/R&gt;&lt;C&gt;1&lt;/C&gt;&lt;D xsi:type="xsd:double"&gt;6.59654590312946&lt;/D&gt;&lt;/FQL&gt;&lt;FQL&gt;&lt;Q&gt;EWA^FG_PRICE_MAVG(0,,,,60)&lt;/Q&gt;&lt;R&gt;1&lt;/R&gt;&lt;C&gt;1&lt;/C&gt;&lt;D xsi:type="xsd:double"&gt;24.663&lt;/D&gt;&lt;/FQL&gt;&lt;FQL&gt;&lt;Q&gt;SPY^P_PRICE(0)/P_PRICE_LOW_PR(0,,,,,,"PRICE","INTRA","52W")-1&lt;/Q&gt;&lt;R&gt;1&lt;/R&gt;&lt;C&gt;1&lt;/C&gt;&lt;D xsi:type="xsd:double"&gt;0.33046603&lt;/D&gt;&lt;/FQL&gt;&lt;FQL&gt;&lt;Q&gt;EWU^P_PRICE(0)/P_PRICE_LOW_PR(0,,,,,,"PRICE","INTRA","52W")-1&lt;/Q&gt;&lt;R&gt;1&lt;/R&gt;&lt;C&gt;1&lt;/C&gt;&lt;D xsi:type="xsd:double"&gt;0.19508958&lt;/D&gt;&lt;/FQL&gt;&lt;FQL&gt;&lt;Q&gt;EWJ^P_PRICE(0)/P_PRICE_LOW_PR(0,,,,,,"PRICE","INTRA","52W")-1&lt;/Q&gt;&lt;R&gt;1&lt;/R&gt;&lt;C&gt;1&lt;/C&gt;&lt;D xsi:type="xsd:double"&gt;0.20087421&lt;/D&gt;&lt;/FQL&gt;&lt;FQL&gt;&lt;Q&gt;EWC^SIZE(FG_CONSTITUENTS)&lt;/Q&gt;&lt;R&gt;1&lt;/R&gt;&lt;C&gt;1&lt;/C&gt;&lt;D xsi:type="xsd:long"&gt;88&lt;/D&gt;&lt;/FQL&gt;&lt;FQL&gt;&lt;Q&gt;EWD^FG_ROE(0)&lt;/Q&gt;&lt;R&gt;1&lt;/R&gt;&lt;C&gt;1&lt;/C&gt;&lt;D xsi:type="xsd:double"&gt;16.2459283469705&lt;/D&gt;&lt;/FQL&gt;&lt;FQL&gt;&lt;Q&gt;TRYCH10Y-FDS^PCTCHG(FG_YIELD(0,,,,"YTM"),FG_YIELD(-1AM,,,,"YTM"))&lt;/Q&gt;&lt;R&gt;1&lt;/R&gt;&lt;C&gt;1&lt;/C&gt;&lt;D xsi:type="xsd:double"&gt;-15.384617&lt;/D&gt;&lt;/FQL&gt;&lt;FQL&gt;&lt;Q&gt;TRYNL10Y-FDS^FG_YIELD_NAME&lt;/Q&gt;&lt;R&gt;1&lt;/R&gt;&lt;C&gt;1&lt;/C&gt;&lt;D xsi:type="xsd:string"&gt;Netherlands Benchmark Bond - 10 Year&lt;/D&gt;&lt;/FQL&gt;&lt;FQL&gt;&lt;Q&gt;TRYAU10Y-FDS^FG_YIELD_NAME&lt;/Q&gt;&lt;R&gt;1&lt;/R&gt;&lt;C&gt;1&lt;/C&gt;&lt;D xsi:type="xsd:string"&gt;Australia Benchmark Bond - 10 Year&lt;/D&gt;&lt;/FQL&gt;&lt;FQL&gt;&lt;Q&gt;EWQ^FMA_DIV_YLD(NTMA,NOW,NOW,M,"PORTAGG","MEANR")&lt;/Q&gt;&lt;R&gt;1&lt;/R&gt;&lt;C&gt;1&lt;/C&gt;&lt;D xsi:type="xsd:double"&gt;3.39405850434892&lt;/D&gt;&lt;/FQL&gt;&lt;FQL&gt;&lt;Q&gt;EWJ^FMA_DIV_YLD(NTMA,NOW,NOW,M,"PORTAGG","MEANR")&lt;/Q&gt;&lt;R&gt;1&lt;/R&gt;&lt;C&gt;1&lt;/C&gt;&lt;D xsi:type="xsd:double"&gt;2.23297897213025&lt;/D&gt;&lt;/FQL&gt;&lt;FQL&gt;&lt;Q&gt;EWU^FG_COMPANY_NAME&lt;/Q&gt;&lt;R&gt;1&lt;/R&gt;&lt;C&gt;1&lt;/C&gt;&lt;D xsi:type="xsd:string"&gt;iShares MSCI United Kingdom ETF&lt;/D&gt;&lt;/FQL&gt;&lt;FQL&gt;&lt;Q&gt;EWJ^FG_TOTAL_RETURNC(0,-1AM)&lt;/Q&gt;&lt;R&gt;1&lt;/R&gt;&lt;C&gt;1&lt;/C&gt;&lt;D xsi:type="xsd:double"&gt;2.050221&lt;/D&gt;&lt;/FQL&gt;&lt;FQL&gt;&lt;Q&gt;VWO^FG_TOTAL_RETURNC(0,-1AM)&lt;/Q&gt;&lt;R&gt;1&lt;/R&gt;&lt;C&gt;1&lt;/C&gt;&lt;D xsi:type="xsd:double"&gt;0.11450052&lt;/D&gt;&lt;/FQL&gt;&lt;FQL&gt;&lt;Q&gt;QQQ^FG_TOTAL_RETURNC(0,-3AM)&lt;/Q&gt;&lt;R&gt;1&lt;/R&gt;&lt;C&gt;1&lt;/C&gt;&lt;D xsi:type="xsd:double"&gt;7.5902224&lt;/D&gt;&lt;/FQL&gt;&lt;FQL&gt;&lt;Q&gt;TRYIN10Y-FDS^</t>
        </r>
      </text>
    </comment>
    <comment ref="A4" authorId="0" shapeId="0" xr:uid="{057595F4-D56F-4D0D-B754-5B6AD26A5320}">
      <text>
        <r>
          <rPr>
            <b/>
            <sz val="9"/>
            <color indexed="81"/>
            <rFont val="Tahoma"/>
            <charset val="1"/>
          </rPr>
          <t>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xsi:type="xsd:double"&gt;2.574&lt;/D&gt;&lt;/FQL&gt;&lt;FQL&gt;&lt;Q&gt;CAGDPY@US^EE_ACTUAL_ANNUAL(MED,+1)&lt;/Q&gt;&lt;R&gt;1&lt;/R&gt;&lt;C&gt;1&lt;/C&gt;&lt;D xsi:type="xsd:double"&gt;-3.2&lt;/D&gt;&lt;/FQL&gt;&lt;FQL&gt;&lt;Q&gt;CC_US^FG_COMPANY_NAME&lt;/Q&gt;&lt;R&gt;1&lt;/R&gt;&lt;C&gt;1&lt;/C&gt;&lt;D xsi:type="xsd:string"&gt;United States&lt;/D&gt;&lt;/FQL&gt;&lt;FQL&gt;&lt;Q&gt;USDCHF^FG_PRICE(0)&lt;/Q&gt;&lt;R&gt;1&lt;/R&gt;&lt;C&gt;1&lt;/C&gt;&lt;D xsi:type="xsd:double"&gt;0.88305&lt;/D&gt;&lt;/FQL&gt;&lt;FQL&gt;&lt;Q&gt;USDCAD^FG_COMPANY_NAME&lt;/Q&gt;&lt;R&gt;1&lt;/R&gt;&lt;C&gt;1&lt;/C&gt;&lt;D xsi:type="xsd:string"&gt;Canadian Dollar per U.S. Dollar&lt;/D&gt;&lt;/FQL&gt;&lt;FQL&gt;&lt;Q&gt;EWL^P_PRICE_RETURNS_PR('52W',2,-10AY,0,AM)&lt;/Q&gt;&lt;R&gt;121&lt;/R&gt;&lt;C&gt;1&lt;/C&gt;&lt;D xsi:type="xsd:double"&gt;15.430784&lt;/D&gt;&lt;D xsi:type="xsd:double"&gt;12.177515&lt;/D&gt;&lt;D xsi:type="xsd:double"&gt;6.913841&lt;/D&gt;&lt;D xsi:type="xsd:double"&gt;-0.9563625&lt;/D&gt;&lt;D xsi:type="xsd:double"&gt;5.3115845&lt;/D&gt;&lt;D xsi:type="xsd:double"&gt;1.8265843&lt;/D&gt;&lt;D xsi:type="xsd:double"&gt;1.7943859&lt;/D&gt;&lt;D xsi:type="xsd:double"&gt;1.1177897&lt;/D&gt;&lt;D xsi:type="xsd:double"&gt;1.3296485&lt;/D&gt;&lt;D xsi:type="xsd:double"&gt;2.8298736&lt;/D&gt;&lt;D xsi:type="xsd:double"&gt;1.4267802&lt;/D&gt;&lt;D xsi:type="xsd:double"&gt;1.3992906&lt;/D&gt;&lt;D xsi:type="xsd:double"&gt;1.1876941&lt;/D&gt;&lt;D xsi:type="xsd:double"&gt;-2.424878&lt;/D&gt;&lt;D xsi:type="xsd:double"&gt;-5.465889&lt;/D&gt;&lt;D xsi:type="xsd:double"&gt;3.1971335&lt;/D&gt;&lt;D xsi:type="xsd:double"&gt;-4.571539&lt;/D&gt;&lt;D xsi:type="xsd:double"&gt;-0.4926741&lt;/D&gt;&lt;D xsi:type="xsd:double"&gt;-7.8409433&lt;/D&gt;&lt;D xsi:type="xsd:double"&gt;-12.5362215&lt;/D&gt;&lt;D xsi:type="xsd:double"&gt;-13.005668&lt;/D&gt;&lt;D xsi:type="xsd:double"&gt;-9.965282&lt;/D&gt;&lt;D xsi:type="xsd:double"&gt;-9.721107&lt;/D&gt;&lt;D xsi:type="xsd:double"&gt;-14.019644&lt;/D&gt;&lt;D xsi:type="xsd:double"&gt;-9.215122&lt;/D&gt;&lt;D xsi:type="xsd:double"&gt;-3.2033503&lt;/D&gt;&lt;D xsi:type="xsd:double"&gt;4.2998075&lt;/D&gt;&lt;D xsi:type="xsd:double"&gt;-6.5742435&lt;/D&gt;&lt;D xsi:type="xsd:double"&gt;-5.158162&lt;/D&gt;&lt;D xsi:type="xsd:double"&gt;-4.185563&lt;/D&gt;&lt;D xsi:type="xsd:double"&gt;8.409667&lt;/D&gt;&lt;D xsi:type="xsd:double"&gt;12.378323&lt;/D&gt;&lt;D xsi:type="xsd:double"&gt;12.977659&lt;/D&gt;&lt;D xsi:type="xsd:double"&gt;11.351013&lt;/D&gt;&lt;D xsi:type="xsd:double"&gt;16.371845&lt;/D&gt;&lt;D xsi:type="xsd:double"&gt;24.440025&lt;/D&gt;&lt;D xsi:type="xsd:double"&gt;19.069744&lt;/D&gt;&lt;D xsi:type="xsd:double"&gt;15.485716&lt;/D&gt;&lt;D xsi:type="xsd:double"&gt;16.076136&lt;/D&gt;&lt;D xsi:type="xsd:double"&gt;20.719957&lt;/D&gt;&lt;D xsi:type="xsd:double"&gt;28.2897&lt;/D&gt;&lt;D xsi:type="xsd:double"&gt;22.740305&lt;/D&gt;&lt;D xsi:type="xsd:double"&gt;25.519108&lt;/D&gt;&lt;D xsi:type="xsd:double"&gt;18.232178&lt;/D&gt;&lt;D xsi:type="xsd:double"&gt;8.826267&lt;/D&gt;&lt;D xsi:type="xsd:double"&gt;5.1240444&lt;/D&gt;&lt;D xsi:type="xsd:double"&gt;-0.525105&lt;/D&gt;&lt;D xsi:type="xsd:double"&gt;-3.8860857&lt;/D&gt;&lt;D xsi:type="xsd:double"&gt;1.592648&lt;/D&gt;&lt;D xsi:type="xsd:double"&gt;3.6479473&lt;/D&gt;&lt;D xsi:type="xsd:double"&gt;3.540969&lt;/D&gt;&lt;D xsi:type="xsd:double"&gt;-3.5609186&lt;/D&gt;&lt;D xsi:type="xsd:double"&gt;-4.04284&lt;/D&gt;&lt;D xsi:type="xsd:double"&gt;-9.011722&lt;/D&gt;&lt;D xsi:type="xsd:double"&gt;-9.318066&lt;/D&gt;&lt;D xsi:type="xsd:double"&gt;-0.46608448&lt;/D&gt;&lt;D xsi:type="xsd:double"&gt;5.2075744&lt;/D&gt;&lt;D xsi:type="xsd:double"&gt;8.330906&lt;/D&gt;&lt;D xsi:type="xsd:double"&gt;10.059559&lt;/D&gt;&lt;D xsi:type="xsd:double"&gt;17.748463&lt;/D&gt;&lt;D xsi:type="xsd:double"&gt;10.564507&lt;/D&gt;&lt;D xsi:type="xsd:double"&gt;9.559894&lt;/D&gt;&lt;D xsi:type="xsd:double"&gt;9.621072&lt;/D&gt;&lt;D xsi:type="xsd:double"&gt;20.42613&lt;/D&gt;&lt;D xsi:type="xsd:double"&gt;20.880663&lt;/D&gt;&lt;D xsi:type="xsd:double"&gt;32.54063&lt;/D&gt;&lt;D xsi:type="xsd:double"&gt;27.553272&lt;/D&gt;&lt;D xsi:type="xsd:double"&gt;15.101361&lt;/D&gt;&lt;D xsi:type="xsd:double"&gt;2.753389&lt;/D&gt;&lt;D xsi:type="xsd:double"&gt;5.040705&lt;/D&gt;&lt;D xsi:type="xsd:double"&gt;5.43077&lt;/D&gt;&lt;D xsi:type="xsd:double"&gt;5.523205&lt;/D&gt;&lt;D xsi:type="xsd:double"&gt;10.837698&lt;/D&gt;&lt;D xsi:type="xsd:double"&gt;15.631127&lt;/D&gt;&lt;D xsi:type="xsd:double"&gt;11.58992&lt;/D&gt;&lt;D xsi:type="xsd:double"&gt;9.457827&lt;/D&gt;&lt;D xsi:type="xsd:double"&gt;11.937451&lt;/D&gt;&lt;D xsi:type="xsd:double"&gt;9.896922&lt;/D&gt;&lt;D xsi:type="xsd:double"&gt;12.678814&lt;/D&gt;&lt;D xsi:type="xsd:double"&gt;11.9610195&lt;/D&gt;&lt;D xsi:type="xsd:double"&gt;28.94907&lt;/D&gt;&lt;D xsi:type="xsd:double"&gt;28.791773&lt;/D&gt;&lt;D xsi:type="xsd:double"&gt;30.84563&lt;/D&gt;&lt;D xsi:type="xsd:double"&gt;28.10589&lt;/D&gt;&lt;D xsi:type="xsd:double"&gt;23.418009&lt;/D&gt;&lt;D xsi:type="xsd:double"&gt;22.137165&lt;/D&gt;&lt;D xsi:type="xsd:double"&gt;20.372284&lt;/D&gt;&lt;D xsi:type="xsd:double"&gt;23.023737&lt;/D&gt;&lt;D xsi:type="xsd:double"&gt;17.225122&lt;/D&gt;&lt;D xsi:type="xsd:double"&gt;21.194696&lt;/D&gt;&lt;D xsi:type="xsd:double"&gt;7.4938536&lt;/D&gt;&lt;D xsi:type="xsd:double"&gt;13.189184&lt;/D&gt;&lt;D xsi:type="xsd:double"&gt;11.433053&lt;/D&gt;&lt;D xsi:type="xsd:double"&gt;0.5167246&lt;/D&gt;&lt;D xsi:type="xsd:double"&gt;-5.422658&lt;/D&gt;&lt;D xsi:type="xsd:double"&gt;-13.153672&lt;/D&gt;&lt;D xsi:type="xsd:double"&gt;-12.951719&lt;/D&gt;&lt;D xsi:type="xsd:double"&gt;-16.705114&lt;/D&gt;&lt;D xsi:type="xsd:double"&gt;-21.652561&lt;/D&gt;&lt;D xsi:type="xsd:double"&gt;-18.14487&lt;/D&gt;&lt;D xsi:type="xsd:double"&gt;-11.552757&lt;/D&gt;&lt;D xsi:type="xsd:double"&gt;-17.835157&lt;/D&gt;&lt;D xsi:type="xsd:double"&gt;-4.6737313&lt;/D&gt;&lt;D xsi:type="xsd:double"&gt;-5.561453&lt;/D&gt;&lt;D xsi:type="xsd:double"&gt;-9.048778&lt;/D&gt;&lt;D xsi:type="xsd:double"&gt;5.4209948&lt;/D&gt;&lt;D xsi:type="xsd:double"&gt;6.9660425&lt;/D&gt;&lt;D xsi:type="xsd:double"&gt;11.311126&lt;/D&gt;&lt;D xsi:type="xsd:double"&gt;15.355122&lt;/D&gt;&lt;D xsi:type="xsd:double"&gt;9.889197&lt;/D&gt;&lt;D xsi:type="xsd:double"&gt;20.691622&lt;/D&gt;&lt;D xsi:type="xsd:double"&gt;8.277548&lt;/D&gt;&lt;D xsi:type="xsd:double"&gt;7.782018&lt;/D&gt;&lt;D xsi:type="xsd:double"&gt;16.231739&lt;/D&gt;&lt;D xsi:type="xsd:double"&gt;8.291328&lt;/D&gt;&lt;D xsi:type="xsd:double"&gt;10.17108&lt;/D&gt;&lt;D xsi:type="xsd:double"&gt;10.900604&lt;/D&gt;&lt;D xsi:type="xsd:double"&gt;-1.5482605&lt;/D&gt;&lt;D xsi:type="xsd:double"&gt;5.1164985&lt;/D&gt;&lt;D xsi:type="xsd:double"&gt;8.306527&lt;/D&gt;&lt;D xsi:type="xsd:double"&gt;7.171583&lt;/D&gt;&lt;/FQL&gt;&lt;FQL&gt;&lt;Q&gt;EWN^FMA_PE(NTMA,-10AY,0,AM,"PORTAGG","MEANR")&lt;/Q&gt;&lt;R&gt;121&lt;/R&gt;&lt;C&gt;1&lt;/C&gt;&lt;D xsi:type="xsd:double"&gt;14.116520908642&lt;/D&gt;&lt;D xsi:type="xsd:double"&gt;14.464943095587&lt;/D&gt;&lt;D xsi:type="xsd:double"&gt;14.6043634602116&lt;/D&gt;&lt;D xsi:type="xsd:double"&gt;13.903108559031&lt;/D&gt;&lt;D xsi:type="xsd:double"&gt;15.0521252976918&lt;/D&gt;&lt;D xsi:type="xsd:double"&gt;14.8835903560663&lt;/D&gt;&lt;D xsi:type="xsd:double"&gt;15.9009577343433&lt;/D&gt;&lt;D xsi:type="xsd:double"&gt;16.9153801779228&lt;/D&gt;&lt;D xsi:type="xsd:double"&gt;17.030626395009&lt;/D&gt;&lt;D xsi:type="xsd:double"&gt;17.5014411657706&lt;/D&gt;&lt;D xsi:type="xsd:double"&gt;17.0588260639119&lt;/D&gt;&lt;D xsi:type="xsd:double"&gt;16.9223364397987&lt;/D&gt;&lt;D xsi:type="xsd:double"&gt;16.7907511662468&lt;/D&gt;&lt;D xsi:type="xsd:double"&gt;14.534461409838&lt;/D&gt;&lt;D xsi:type="xsd:double"&gt;14.4592718267605&lt;/D&gt;&lt;D xsi:type="xsd:double"&gt;15.8332118496537&lt;/D&gt;&lt;D xsi:type="xsd:double"&gt;16.3705290023139&lt;/D&gt;&lt;D xsi:type="xsd:double"&gt;15.6414498098419&lt;/D&gt;&lt;D xsi:type="xsd:double"&gt;14.7662377273245&lt;/D&gt;&lt;D xsi:type="xsd:double"&gt;14.7354410919535&lt;/D&gt;&lt;D xsi:type="xsd:double"&gt;15.2427230567229&lt;/D&gt;&lt;D xsi:type="xsd:double"&gt;15.1964550819328&lt;/D&gt;&lt;D xsi:type="xsd:double"&gt;15.2583770113848&lt;/D&gt;&lt;D xsi:type="xsd:double"&gt;13.8801466517887&lt;/D&gt;&lt;D xsi:type="xsd:double"&gt;14.829838369489&lt;/D&gt;&lt;D xsi:type="xsd:double"&gt;14.9229762715567&lt;/D&gt;&lt;D xsi:type="xsd:double"&gt;14.7306009147754&lt;/D&gt;&lt;D xsi:type="xsd:double"&gt;14.7557686451975&lt;/D&gt;&lt;D xsi:type="xsd:double"&gt;14.7121136384034&lt;/D&gt;&lt;D xsi:type="xsd:double"&gt;15.1047759561393&lt;/D&gt;&lt;D xsi:type="xsd:double"&gt;15.1489445007981&lt;/D&gt;&lt;D xsi:type="xsd:double"&gt;15.5120249563047&lt;/D&gt;&lt;D xsi:type="xsd:double"&gt;15.9449948677867&lt;/D&gt;&lt;D xsi:type="xsd:double"&gt;16.3803012810096&lt;/D&gt;&lt;D xsi:type="xsd:double"&gt;16.3547968889701&lt;/D&gt;&lt;D xsi:type="xsd:double"&gt;16.0612764866945&lt;/D&gt;&lt;D xsi:type="xsd:double"&gt;16.0636693954393&lt;/D&gt;&lt;D xsi:type="xsd:double"&gt;15.6955542007074&lt;/D&gt;&lt;D xsi:type="xsd:double"&gt;15.7370773682621&lt;/D&gt;&lt;D xsi:type="xsd:double"&gt;16.2303353984442&lt;/D&gt;&lt;D xsi:type="xsd:double"&gt;16.0368432789181&lt;/D&gt;&lt;D xsi:type="xsd:double"&gt;16.0090843925525&lt;/D&gt;&lt;D xsi:type="xsd:double"&gt;16.3819912514202&lt;/D&gt;&lt;D xsi:type="xsd:double"&gt;15.7014083610822&lt;/D&gt;&lt;D xsi:type="xsd:double"&gt;15.1271422924083&lt;/D&gt;&lt;D xsi:type="xsd:double"&gt;15.6468117138363&lt;/D&gt;&lt;D xsi:type="xsd:double"&gt;15.9930823957064&lt;/D&gt;&lt;D xsi:type="xsd:double"&gt;15.4486107318373&lt;/D&gt;&lt;D xsi:type="xsd:double"&gt;15.9858714627717&lt;/D&gt;&lt;D xsi:type="xsd:double"&gt;15.4908546933789&lt;/D&gt;&lt;D xsi:type="xsd:double"&gt;15.03153576472&lt;/D&gt;&lt;D xsi:type="xsd:double"&gt;13.7349906754253&lt;/D&gt;&lt;D xsi:type="xsd:double"&gt;14.0870325191911&lt;/D&gt;&lt;D xsi:type="xsd:double"&gt;12.8390781439886&lt;/D&gt;&lt;D xsi:type="xsd:double"&gt;14.0451196547722&lt;/D&gt;&lt;D xsi:type="xsd:double"&gt;14.9182214402084&lt;/D&gt;&lt;D xsi:type="xsd:double"&gt;15.0265271195492&lt;/D&gt;&lt;D xsi:type="xsd:double"&gt;15.6817720931421&lt;/D&gt;&lt;D xsi:type="xsd:double"&gt;14.9981420579935&lt;/D&gt;&lt;D xsi:type="xsd:double"&gt;15.3008803105104&lt;/D&gt;&lt;D xsi:type="xsd:double"&gt;15.98423343854&lt;/D&gt;&lt;D xsi:type="xsd:double"&gt;15.0330318017264&lt;/D&gt;&lt;D xsi:type="xsd:double"&gt;16.2426657068727&lt;/D&gt;&lt;D xsi:type="xsd:double"&gt;16.2680887885585&lt;/D&gt;&lt;D xsi:type="xsd:double"&gt;16.7837496166444&lt;/D&gt;&lt;D xsi:type="xsd:double"&gt;17.1403047845637&lt;/D&gt;&lt;D xsi:type="xsd:double"&gt;17.4273954223973&lt;/D&gt;&lt;D xsi:type="xsd:double"&gt;16.7930982972038&lt;/D&gt;&lt;D xsi:type="xsd:double"&gt;14.0624606897082&lt;/D&gt;&lt;D xsi:type="xsd:double"&gt;16.5905504916133&lt;/D&gt;&lt;D xsi:type="xsd:double"&gt;18.2028011843457&lt;/D&gt;&lt;D xsi:type="xsd:double"&gt;19.4000913770864&lt;/D&gt;&lt;D xsi:type="xsd:double"&gt;19.9827477222649&lt;/D&gt;&lt;D xsi:type="xsd:double"&gt;20.2222309243687&lt;/D&gt;&lt;D xsi:type="xsd:double"&gt;18.9268974344031&lt;/D&gt;&lt;D xsi:type="xsd:double"&gt;19.0581722991909&lt;/D&gt;&lt;D xsi:type="xsd:double"&gt;20.4877145145154&lt;/D&gt;&lt;D xsi:type="xsd:double"&gt;20.6811930402565&lt;/D&gt;&lt;D xsi:type="xsd:double"&gt;21.4569957517737&lt;/D&gt;&lt;D xsi:type="xsd:double"&gt;21.4166993700112&lt;/D&gt;&lt;D xsi:type="xsd:double"&gt;22.2891815524511&lt;/D&gt;&lt;D xsi:type="xsd:double"&gt;22.3844860305341&lt;/D&gt;&lt;D xsi:type="xsd:double"&gt;21.3732567826829&lt;/D&gt;&lt;D xsi:type="xsd:double"&gt;21.383178000184&lt;/D&gt;&lt;D xsi:type="xsd:double"&gt;21.4335736578784&lt;/D&gt;&lt;D xsi:type="xsd:double"&gt;21.7591512080711&lt;/D&gt;&lt;D xsi:type="xsd:double"&gt;21.4406380088909&lt;/D&gt;&lt;D xsi:type="xsd:double"&gt;21.2334963170031&lt;/D&gt;&lt;D xsi:type="xsd:double"&gt;20.2241606212676&lt;/D&gt;&lt;D xsi:type="xsd:double"&gt;20.3895057491555&lt;/D&gt;&lt;D xsi:type="xsd:double"&gt;18.5158629692862&lt;/D&gt;&lt;D xsi:type="xsd:double"&gt;17.4708942220691&lt;/D&gt;&lt;D xsi:type="xsd:double"&gt;18.2016794422796&lt;/D&gt;&lt;D xsi:type="xsd:double"&gt;16.9000522358835&lt;/D&gt;&lt;D xsi:type="xsd:double"&gt;16.9373201034908&lt;/D&gt;&lt;D xsi:type="xsd:double"&gt;15.9417255966471&lt;/D&gt;&lt;D xsi:type="xsd:double"&gt;17.3786975562754&lt;/D&gt;&lt;D xsi:type="xsd:double"&gt;16.7172590051053&lt;/D&gt;&lt;D xsi:type="xsd:double"&gt;14.560882188679&lt;/D&gt;&lt;D xsi:type="xsd:double"&gt;15.2799125037191&lt;/D&gt;&lt;D xsi:type="xsd:double"&gt;16.5681348623734&lt;/D&gt;&lt;D xsi:type="xsd:double"&gt;15.5622993402517&lt;/D&gt;&lt;D xsi:type="xsd:double"&gt;17.1123921656035&lt;/D&gt;&lt;D xsi:type="xsd:double"&gt;16.3760313832493&lt;/D&gt;&lt;D xsi:type="xsd:double"&gt;15.9352999989253&lt;/D&gt;&lt;D xsi:type="xsd:double"&gt;15.6977941457628&lt;/D&gt;&lt;D xsi:type="xsd:double"&gt;15.9889947034409&lt;/D&gt;&lt;D xsi:type="xsd:double"&gt;15.3443416402952&lt;/D&gt;&lt;D xsi:type="xsd:double"&gt;15.7782344874754&lt;/D&gt;&lt;D xsi:type="xsd:double"&gt;14.5046796743713&lt;/D&gt;&lt;D xsi:type="xsd:double"&gt;13.4921240740602&lt;/D&gt;&lt;D xsi:type="xsd:double"&gt;13.196925279408&lt;/D&gt;&lt;D xsi:type="xsd:double"&gt;14.7391213187849&lt;/D&gt;&lt;D xsi:type="xsd:double"&gt;15.0668789534246&lt;/D&gt;&lt;D xsi:type="xsd:double"&gt;15.7669416123871&lt;/D&gt;&lt;D xsi:type="xsd:double"&gt;16.3594896216871&lt;/D&gt;&lt;D xsi:type="xsd:double"&gt;16.3461058139778&lt;/D&gt;&lt;D xsi:type="xsd:double"&gt;15.7707094085458&lt;/D&gt;&lt;D xsi:type="xsd:double"&gt;16.3863187290923&lt;/D&gt;&lt;D xsi:type="xsd:double"&gt;16.2061964744606&lt;/D&gt;&lt;D xsi:type="xsd:double"&gt;15.6218085199527&lt;/D&gt;&lt;/FQL&gt;&lt;FQL&gt;&lt;Q&gt;EWJ^FMA_PE(LTMA,-10AY,0,AM,"PORTAGG","MEANR")&lt;/Q&gt;&lt;R&gt;121&lt;/R&gt;&lt;C&gt;1&lt;/C&gt;&lt;D xsi:type="xsd:double"&gt;15.279736962234&lt;/D&gt;&lt;D xsi:type="xsd:double"&gt;15.1042798025732&lt;/D&gt;&lt;D xsi:type="xsd:double"&gt;15.4286075255403&lt;/D&gt;&lt;D xsi:type="xsd:double"&gt;14.610614826395&lt;/D&gt;&lt;D xsi:type="xsd:double"&gt;15.9654064465761&lt;/D&gt;&lt;D xsi:type="xsd:double"&gt;16.1917123386014&lt;/D&gt;&lt;D xsi:type="xsd:double"&gt;15.4165574830491&lt;/D&gt;&lt;D xsi:type="xsd:double"&gt;16.912626684139&lt;/D&gt;&lt;D xsi:type="xsd:double"&gt;16.9119925900794&lt;/D&gt;&lt;D xsi:type="xsd:double"&gt;16.9794160638905&lt;/D&gt;&lt;D xsi:type="xsd:double"&gt;17.1779674792249&lt;/D&gt;&lt;D xsi:type="xsd:double"&gt;16.9564519391573&lt;/D&gt;&lt;D xsi:type="xsd:double"&gt;16.8211903567084&lt;/D&gt;&lt;D xsi:type="xsd:double"&gt;15.5760491167676&lt;/D&gt;&lt;D xsi:type="xsd:double"&gt;15.1717236283757&lt;/D&gt;&lt;D xsi:type="xsd:double"&gt;15.8987828366609&lt;/D&gt;&lt;D xsi:type="xsd:double"&gt;16.263678832162&lt;/D&gt;&lt;D xsi:type="xsd:double"&gt;15.6266440618873&lt;/D&gt;&lt;D xsi:type="xsd:double"&gt;13.9049721886283&lt;/D&gt;&lt;D xsi:type="xsd:double"&gt;13.9581702484063&lt;/D&gt;&lt;D xsi:type="xsd:double"&gt;13.8548763634678&lt;/D&gt;&lt;D xsi:type="xsd:double"&gt;13.9680460860827&lt;/D&gt;&lt;D xsi:type="xsd:double"&gt;13.964264572044&lt;/D&gt;&lt;D xsi:type="xsd:double"&gt;13.432403605961&lt;/D&gt;&lt;D xsi:type="xsd:double"&gt;14.1017432046718&lt;/D&gt;&lt;D xsi:type="xsd:double"&gt;13.9603365984447&lt;/D&gt;&lt;D xsi:type="xsd:double"&gt;14.2893750826585&lt;/D&gt;&lt;D xsi:type="xsd:double"&gt;14.6775784434305&lt;/D&gt;&lt;D xsi:type="xsd:double"&gt;15.5845178792127&lt;/D&gt;&lt;D xsi:type="xsd:double"&gt;16.6002770747317&lt;/D&gt;&lt;D xsi:type="xsd:double"&gt;16.6192460800378&lt;/D&gt;&lt;D xsi:type="xsd:double"&gt;16.1601635616204&lt;/D&gt;&lt;D xsi:type="xsd:double"&gt;15.8206472444147&lt;/D&gt;&lt;D xsi:type="xsd:double"&gt;15.6310102133284&lt;/D&gt;&lt;D xsi:type="xsd:double"&gt;15.643490033175&lt;/D&gt;&lt;D xsi:type="xsd:double"&gt;15.6144133337366&lt;/D&gt;&lt;D xsi:type="xsd:double"&gt;15.4235869029077&lt;/D&gt;&lt;D xsi:type="xsd:double"&gt;14.9226344247617&lt;/D&gt;&lt;D xsi:type="xsd:double"&gt;15.0601884101108&lt;/D&gt;&lt;D xsi:type="xsd:double"&gt;15.405067987612&lt;/D&gt;&lt;D xsi:type="xsd:double"&gt;15.9894788240869&lt;/D&gt;&lt;D xsi:type="xsd:double"&gt;16.455469378785&lt;/D&gt;&lt;D xsi:type="xsd:double"&gt;16.7916737310796&lt;/D&gt;&lt;D xsi:type="xsd:double"&gt;14.611920469284&lt;/D&gt;&lt;D xsi:type="xsd:double"&gt;14.2190230329435&lt;/D&gt;&lt;D xsi:type="xsd:double"&gt;14.2941838186853&lt;/D&gt;&lt;D xsi:type="xsd:double"&gt;14.1790860343976&lt;/D&gt;&lt;D xsi:type="xsd:double"&gt;13.9279638815246&lt;/D&gt;&lt;D xsi:type="xsd:double"&gt;13.9489215678195&lt;/D&gt;&lt;D xsi:type="xsd:double"&gt;13.5662653306719&lt;/D&gt;&lt;D xsi:type="xsd:double"&gt;13.9999028227282&lt;/D&gt;&lt;D xsi:type="xsd:double"&gt;12.5601466172745&lt;/D&gt;&lt;D xsi:type="xsd:double"&gt;12.5924019105641&lt;/D&gt;&lt;D xsi:type="xsd:double"&gt;11.0813466141975&lt;/D&gt;&lt;D xsi:type="xsd:double"&gt;12.1044512092648&lt;/D&gt;&lt;D xsi:type="xsd:double"&gt;12.7504623038435&lt;/D&gt;&lt;D xsi:type="xsd:double"&gt;12.7322618187215&lt;/D&gt;&lt;D xsi:type="xsd:double"&gt;12.7783669493114&lt;/D&gt;&lt;D xsi:type="xsd:double"&gt;12.6513351699803&lt;/D&gt;&lt;D xsi:type="xsd:double"&gt;12.7869316452423&lt;/D&gt;&lt;D xsi:type="xsd:double"&gt;13.0178773581738&lt;/D&gt;&lt;D xsi:type="xsd:double"&gt;12.6422196539997&lt;/D&gt;&lt;D xsi:type="xsd:double"&gt;13.6084960700113&lt;/D&gt;&lt;D xsi:type="xsd:double"&gt;13.9434874926746&lt;/D&gt;&lt;D xsi:type="xsd:double"&gt;14.6937281483847&lt;/D&gt;&lt;D xsi:type="xsd:double"&gt;15.3536186846698&lt;/D&gt;&lt;D xsi:type="xsd:double"&gt;15.4216067122857&lt;/D&gt;&lt;D xsi:type="xsd:double"&gt;14.7415755495989&lt;/D&gt;&lt;D xsi:type="xsd:double"&gt;13.7242415120987&lt;/D&gt;&lt;D xsi:type="xsd:double"&gt;14.1306783939398&lt;/D&gt;&lt;D xsi:type="xsd:double"&gt;15.1982677064021&lt;/D&gt;&lt;D xsi:type="xsd:double"&gt;16.9739038783863&lt;/D&gt;&lt;D xsi:type="xsd:double"&gt;17.7369384804074&lt;/D&gt;&lt;D xsi:type="xsd:double"&gt;18.8275158275837&lt;/D&gt;&lt;D xsi:type="xsd:double"&gt;19.937149982714&lt;/D&gt;&lt;D xsi:type="xsd:double"&gt;20.6160218886028&lt;/D&gt;&lt;D xsi:type="xsd:double"&gt;22.5496275940598&lt;/D&gt;&lt;D xsi:type="xsd:double"&gt;22.9701927413642&lt;/D&gt;&lt;D xsi:type="xsd:double"&gt;23.6193084604425&lt;/D&gt;&lt;D xsi:type="xsd:double"&gt;21.6770992801852&lt;/D&gt;&lt;D xsi:type="xsd:double"&gt;21.428133704887&lt;/D&gt;&lt;D xsi:type="xsd:double"&gt;20.8476586216997&lt;/D&gt;&lt;D xsi:type="xsd:double"&gt;20.2379341850056&lt;/D&gt;&lt;D xsi:type="xsd:double"&gt;19.9283780917869&lt;/D&gt;&lt;D xsi:type="xsd:double"&gt;19.2135810193696&lt;/D&gt;&lt;D xsi:type="xsd:double"&gt;18.3430107190817&lt;/D&gt;&lt;D xsi:type="xsd:double"&gt;18.6100960897967&lt;/D&gt;&lt;D xsi:type="xsd:double"&gt;17.6682342658148&lt;/D&gt;&lt;D xsi:type="xsd:double"&gt;16.8716341067439&lt;/D&gt;&lt;D xsi:type="xsd:double"&gt;16.2521395717029&lt;/D&gt;&lt;D xsi:type="xsd:double"&gt;15.0900099586657&lt;/D&gt;&lt;D xsi:type="xsd:double"&gt;14.702745064573&lt;/D&gt;&lt;D xsi:type="xsd:double"&gt;14.7047075980439&lt;/D&gt;&lt;D xsi:type="xsd:double"&gt;14.3453737540302&lt;/D&gt;&lt;D xsi:type="xsd:double"&gt;14.15783136227&lt;/D&gt;&lt;D xsi:type="xsd:double"&gt;13.8839714444982&lt;/D&gt;&lt;D xsi:type="xsd:double"&gt;13.9533925172775&lt;/D&gt;&lt;D xsi:type="xsd:double"&gt;13.9565337941334&lt;/D&gt;&lt;D xsi:type="xsd:double"&gt;13.1388372399789&lt;/D&gt;&lt;D xsi:type="xsd:double"&gt;13.2295986588078&lt;/D&gt;&lt;D xsi:type="xsd:double"&gt;13.722001067939&lt;/D&gt;&lt;D xsi:type="xsd:double"&gt;12.8618716129672&lt;/D&gt;&lt;D xsi:type="xsd:double"&gt;13.4308650699801&lt;/D&gt;&lt;D xsi:type="xsd:double"&gt;13.5125423193735&lt;/D&gt;&lt;D xsi:type="xsd:double"&gt;13.5704842940012&lt;/D&gt;&lt;D xsi:type="xsd:double"&gt;13.7028054788932&lt;/D&gt;&lt;D xsi:type="xsd:double"&gt;14.0471854832872&lt;/D&gt;&lt;D xsi:type="xsd:double"&gt;14.473371090181&lt;/D&gt;&lt;D xsi:type="xsd:double"&gt;14.6240529641236&lt;/D&gt;&lt;D xsi:type="xsd:double"&gt;14.4861800960246&lt;/D&gt;&lt;D xsi:type="xsd:double"&gt;15.0074323224734&lt;/D&gt;&lt;D xsi:type="xsd:double"&gt;14.3381404664004&lt;/D&gt;&lt;D xsi:type="xsd:double"&gt;15.321524066566&lt;/D&gt;&lt;D xsi:type="xsd:double"&gt;15.1191655667945&lt;/D&gt;&lt;D xsi:type="xsd:double"&gt;16.1479831963342&lt;/D&gt;&lt;D xsi:type="xsd:double"&gt;17.0496688758096&lt;/D&gt;&lt;D xsi:type="xsd:double"&gt;17.0515580328536&lt;/D&gt;&lt;D xsi:type="xsd:double"&gt;16.7470914038733&lt;/D&gt;&lt;D xsi:type="xsd:double"&gt;16.7489683608938&lt;/D&gt;&lt;D xsi:type="xsd:double"&gt;16.7680307550634&lt;/D&gt;&lt;D xsi:type="xsd:double"&gt;16.5844215267443&lt;/D&gt;&lt;/FQL&gt;&lt;FQL&gt;&lt;Q&gt;NI-FDS^FG_PRICE(0)&lt;/Q&gt;&lt;R&gt;1&lt;/R&gt;&lt;C&gt;1&lt;/C&gt;&lt;D xsi:type="xsd:double"&gt;15550&lt;/D&gt;&lt;/FQL&gt;&lt;FQL&gt;&lt;Q&gt;EWN^FG_PRICE_MAVG(0,,,,60)&lt;/Q&gt;&lt;R&gt;1&lt;/R&gt;&lt;C&gt;1&lt;/C&gt;&lt;D xsi:type="xsd:double"&gt;50.8735&lt;/D&gt;&lt;/FQL&gt;&lt;FQL&gt;&lt;Q&gt;EWU^FG_PRICE(0)&lt;/Q&gt;&lt;R&gt;1&lt;/R&gt;&lt;C&gt;1&lt;/C&gt;&lt;D xsi:type="xsd:double"&gt;36.02&lt;/D&gt;&lt;/FQL&gt;&lt;FQL&gt;&lt;Q&gt;VWO^P_PRICE(0)/P_PRICE_LOW_PR(0,,,,,,"PRICE","INTRA","52W")-1&lt;/Q&gt;&lt;R&gt;1&lt;/R&gt;&lt;C&gt;1&lt;/C&gt;&lt;D xsi:type="xsd:double"&gt;0.16726732&lt;/D&gt;&lt;/FQL&gt;&lt;FQL&gt;&lt;Q&gt;EWI^P_PRICE(0)/P_PRICE_LOW_PR(0,,,,,,"PRICE","INTRA","52W")-1&lt;/Q&gt;&lt;R&gt;1&lt;/R&gt;&lt;C&gt;1&lt;/C&gt;&lt;D xsi:type="xsd:double"&gt;0.29243493&lt;/D&gt;&lt;/FQL&gt;&lt;FQL&gt;&lt;Q&gt;EWN^P_PRICE(0)/P_PRICE_LOW_PR(0,,,,,,"PRICE","INTRA","52W")-1&lt;/Q&gt;&lt;R&gt;1&lt;/R&gt;&lt;C&gt;1&lt;/C&gt;&lt;D xsi:type="xsd:double"&gt;0.3438964&lt;/D&gt;&lt;/FQL&gt;&lt;FQL&gt;&lt;Q&gt;EWC^FG_TOTAL_RETURNC(0,-6AM)&lt;/Q&gt;&lt;R&gt;1&lt;/R&gt;&lt;C&gt;1&lt;/C&gt;&lt;D xsi:type="xsd:double"&gt;6.0952067&lt;/D&gt;&lt;/FQL&gt;&lt;FQL&gt;&lt;Q&gt;ENZL^FG_TOTAL_RETURNC(0,-6AM)&lt;/Q&gt;&lt;R&gt;1&lt;/R&gt;&lt;C&gt;1&lt;/C&gt;&lt;D xsi:type="xsd:double"&gt;-1.8119752&lt;/D&gt;&lt;/FQL&gt;&lt;FQL&gt;&lt;Q&gt;VWO^SIZE(FG_CONSTITUENTS)&lt;/Q&gt;&lt;R&gt;1&lt;/R&gt;&lt;C&gt;1&lt;/C&gt;&lt;D xsi:type="xsd:long"&gt;4776&lt;/D&gt;&lt;/FQL&gt;&lt;FQL&gt;&lt;Q&gt;SPY^SIZE(FG_CONSTITUENTS)&lt;/Q&gt;&lt;R&gt;1&lt;/R&gt;&lt;C&gt;1&lt;/C&gt;&lt;D xsi:type="xsd:long"&gt;503&lt;/D&gt;&lt;/FQL&gt;&lt;FQL&gt;&lt;Q&gt;TRYJP10Y-FDS^FG_YIELD_NAME&lt;/Q&gt;&lt;R&gt;1&lt;/R&gt;&lt;C&gt;1&lt;/C&gt;&lt;D xsi:type="xsd:string"&gt;Japan Benchmark Bond - 10 Year&lt;/D&gt;&lt;/FQL&gt;&lt;FQL&gt;&lt;Q&gt;REFEUREFI-FDS^(SUBARRAY(NOT_NA(NO_REPEAT_F(FG_YIELD(NOW,-10AY,D))),0,1)-SUBARRAY(NOT_NA(NO_REPEAT_F(FG_YIELD(NOW,-10AY,D))),1,1))*100&lt;/Q&gt;&lt;R&gt;1&lt;/R&gt;&lt;C&gt;1&lt;/C&gt;&lt;D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xsi:type="xsd:double"&gt;25&lt;/D&gt;&lt;/FQL&gt;&lt;FQL&gt;&lt;Q&gt;EWD^FMA_EVAL_EBIT(LTMA,NOW,NOW,M,"PORTAGG","MEANR")&lt;/Q&gt;&lt;R&gt;1&lt;/R&gt;&lt;C&gt;1&lt;/C&gt;&lt;D xsi:type="xsd:double"&gt;15.8549362562598&lt;/D&gt;&lt;/FQL&gt;&lt;FQL&gt;&lt;Q&gt;EWU^FMA_EVAL_EBIT(LTMA,NOW,NOW,M,"PORTAGG","MEANR")&lt;/Q&gt;&lt;R&gt;1&lt;/R&gt;&lt;C&gt;1&lt;/C&gt;&lt;D xsi:type="xsd:double"&gt;10.4997036175899&lt;/D&gt;&lt;/FQL&gt;&lt;FQL&gt;&lt;Q&gt;EWA^FMA_EVAL_EBIT(LTMA,NOW,NOW,M,"PORTAGG","MEANR")&lt;/Q&gt;&lt;R&gt;1&lt;/R&gt;&lt;C&gt;1&lt;/C&gt;&lt;D xsi:type="xsd:double"&gt;12.3960715432455&lt;/D&gt;&lt;/FQL&gt;&lt;FQL&gt;&lt;Q&gt;EWQ^FG_COMPANY_NAME&lt;/Q&gt;&lt;R&gt;1&lt;/R&gt;&lt;C&gt;1&lt;/C&gt;&lt;D xsi:type="xsd:string"&gt;iShares MSCI France ETF&lt;/D&gt;&lt;/FQL&gt;&lt;FQL&gt;&lt;Q&gt;TRYSA10Y-FDS^FG_YIELD(-10AY,0,Y,,"YTM")&lt;/Q&gt;&lt;R&gt;10&lt;/R&gt;&lt;C&gt;1&lt;/C&gt;&lt;D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xsi:type="xsd:double"&gt;3.955&lt;/D&gt;&lt;/FQL&gt;&lt;FQL&gt;&lt;Q&gt;CAGDPY@DE^EE_ACTUAL_ANNUAL(MED,+1)&lt;/Q&gt;&lt;R&gt;1&lt;/R&gt;&lt;C&gt;1&lt;/C&gt;&lt;D xsi:type="xsd:double"&gt;6.5&lt;/D&gt;&lt;/FQL&gt;&lt;FQL&gt;&lt;Q&gt;USDUSD^STD(FG_PRICE_CHANGE(0,-3AY,M))&lt;/Q&gt;&lt;R&gt;1&lt;/R&gt;&lt;C&gt;1&lt;/C&gt;&lt;D xsi:type="xsd:double"&gt;0&lt;/D&gt;&lt;/FQL&gt;&lt;FQL&gt;&lt;Q&gt;USDEUR^FG_PRICE(0)&lt;/Q&gt;&lt;R&gt;1&lt;/R&gt;&lt;C&gt;1&lt;/C&gt;&lt;D xsi:type="xsd:double"&gt;0.9211496&lt;/D&gt;&lt;/FQL&gt;&lt;FQL&gt;&lt;Q&gt;EWQ^FG_TOTAL_RETURNC(-10AY,0,AM)&lt;/Q&gt;&lt;R&gt;121&lt;/R&gt;&lt;C&gt;1&lt;/C&gt;&lt;D xsi:type="xsd:double"&gt;-4.0068507&lt;/D&gt;&lt;D xsi:type="xsd:double"&gt;-1.3556957&lt;/D&gt;&lt;D xsi:type="xsd:double"&gt;-3.254974&lt;/D&gt;&lt;D xsi:type="xsd:double"&gt;-5.532706&lt;/D&gt;&lt;D xsi:type="xsd:double"&gt;4.669571&lt;/D&gt;&lt;D xsi:type="xsd:double"&gt;-3.07858&lt;/D&gt;&lt;D xsi:type="xsd:double"&gt;0&lt;/D&gt;&lt;D xsi:type="xsd:double"&gt;3.7780404&lt;/D&gt;&lt;D xsi:type="xsd:double"&gt;-0.8722067&lt;/D&gt;&lt;D xsi:type="xsd:double"&gt;3.9020658&lt;/D&gt;&lt;D xsi:type="xsd:double"&gt;-0.69956183&lt;/D&gt;&lt;D xsi:type="xsd:double"&gt;2.2574306&lt;/D&gt;&lt;D xsi:type="xsd:double"&gt;-2.2492647&lt;/D&gt;&lt;D xsi:type="xsd:double"&gt;-5.6205215&lt;/D&gt;&lt;D xsi:type="xsd:double"&gt;-3.9168656&lt;/D&gt;&lt;D xsi:type="xsd:double"&gt;8.277869&lt;/D&gt;&lt;D xsi:type="xsd:double"&gt;-4.1874766&lt;/D&gt;&lt;D xsi:type="xsd:double"&gt;-1.0278285&lt;/D&gt;&lt;D xsi:type="xsd:double"&gt;-6.5638065&lt;/D&gt;&lt;D xsi:type="xsd:double"&gt;-0.9573519&lt;/D&gt;&lt;D xsi:type="xsd:double"&gt;4.086113&lt;/D&gt;&lt;D xsi:type="xsd:double"&gt;5.1920652&lt;/D&gt;&lt;D xsi:type="xsd:double"&gt;-0.2808988&lt;/D&gt;&lt;D xsi:type="xsd:double"&gt;-9.599007&lt;/D&gt;&lt;D xsi:type="xsd:double"&gt;6.7123294&lt;/D&gt;&lt;D xsi:type="xsd:double"&gt;2.1394968&lt;/D&gt;&lt;D xsi:type="xsd:double"&gt;0.29325485&lt;/D&gt;&lt;D xsi:type="xsd:double"&gt;-0.45948625&lt;/D&gt;&lt;D xsi:type="xsd:double"&gt;-1.9303381&lt;/D&gt;&lt;D xsi:type="xsd:double"&gt;4.9114466&lt;/D&gt;&lt;D xsi:type="xsd:double"&gt;3.0699968&lt;/D&gt;&lt;D xsi:type="xsd:double"&gt;-1.2708485&lt;/D&gt;&lt;D xsi:type="xsd:double"&gt;5.752218&lt;/D&gt;&lt;D xsi:type="xsd:double"&gt;6.504369&lt;/D&gt;&lt;D xsi:type="xsd:double"&gt;4.892862&lt;/D&gt;&lt;D xsi:type="xsd:double"&gt;0.34343004&lt;/D&gt;&lt;D xsi:type="xsd:double"&gt;2.4508119&lt;/D&gt;&lt;D xsi:type="xsd:double"&gt;0.23584366&lt;/D&gt;&lt;D xsi:type="xsd:double"&gt;2.4537802&lt;/D&gt;&lt;D xsi:type="xsd:double"&gt;2.2637844&lt;/D&gt;&lt;D xsi:type="xsd:double"&gt;1.0587096&lt;/D&gt;&lt;D xsi:type="xsd:double"&gt;-0.58761835&lt;/D&gt;&lt;D xsi:type="xsd:double"&gt;8.039724&lt;/D&gt;&lt;D xsi:type="xsd:double"&gt;-3.972727&lt;/D&gt;&lt;D xsi:type="xsd:double"&gt;-3.1799912&lt;/D&gt;&lt;D xsi:type="xsd:double"&gt;3.9540768&lt;/D&gt;&lt;D xsi:type="xsd:double"&gt;-1.0122657&lt;/D&gt;&lt;D xsi:type="xsd:double"&gt;-3.7319899&lt;/D&gt;&lt;D xsi:type="xsd:double"&gt;3.0890584&lt;/D&gt;&lt;D xsi:type="xsd:double"&gt;-0.47816634&lt;/D&gt;&lt;D xsi:type="xsd:double"&gt;2.017939&lt;/D&gt;&lt;D xsi:type="xsd:double"&gt;-11.930931&lt;/D&gt;&lt;D xsi:type="xsd:double"&gt;-0.21390319&lt;/D&gt;&lt;D xsi:type="xsd:double"&gt;-5.749321&lt;/D&gt;&lt;D xsi:type="xsd:double"&gt;5.1409006&lt;/D&gt;&lt;D xsi:type="xsd:double"&gt;6.120968&lt;/D&gt;&lt;D xsi:type="xsd:double"&gt;-0.03412366&lt;/D&gt;&lt;D xsi:type="xsd:double"&gt;4.2676687&lt;/D&gt;&lt;D xsi:type="xsd:double"&gt;-2.946961&lt;/D&gt;&lt;D xsi:type="xsd:double"&gt;5.107248&lt;/D&gt;&lt;D xsi:type="xsd:double"&gt;0.09868145&lt;/D&gt;&lt;D xsi:type="xsd:double"&gt;-4.5678616&lt;/D&gt;&lt;D xsi:type="xsd:double"&gt;3.133607&lt;/D&gt;&lt;D xsi:type="xsd:double"&gt;3.2387257&lt;/D&gt;&lt;D xsi:type="xsd:double"&gt;3.169465&lt;/D&gt;&lt;D xsi:type="xsd:double"&gt;2.443409&lt;/D&gt;&lt;D xsi:type="xsd:double"&gt;-1.1039555&lt;/D&gt;&lt;D xsi:type="xsd:double"&gt;-7.03876&lt;/D&gt;&lt;D xsi:type="xsd:double"&gt;-17.811876&lt;/D&gt;&lt;D xsi:type="xsd:double"&gt;-4.2613626&lt;/D&gt;&lt;D xsi:type="xsd:double"&gt;5.8499336&lt;/D&gt;&lt;D xsi:type="xsd:double"&gt;8.674992&lt;/D&gt;&lt;D xsi:type="xsd:double"&gt;6.008911&lt;/D&gt;&lt;D xsi:type="xsd:double"&gt;3.9888024&lt;/D&gt;&lt;D xsi:type="xsd:double"&gt;-7.4697137&lt;/D&gt;&lt;D xsi:type="xsd:double"&gt;3.0181766&lt;/D&gt;&lt;D xsi:type="xsd:double"&gt;16.166603&lt;/D&gt;&lt;D xsi:type="xsd:double"&gt;1.5027046&lt;/D&gt;&lt;D xsi:type="xsd:double"&gt;0.39108992&lt;/D&gt;&lt;D xsi:type="xsd:double"&gt;1.4983535&lt;/D&gt;&lt;D xsi:type="xsd:double"&gt;2.863896&lt;/D&gt;&lt;D xsi:type="xsd:double"&gt;6.8312287&lt;/D&gt;&lt;D xsi:type="xsd:double"&gt;3.6270738&lt;/D&gt;&lt;D xsi:type="xsd:double"&gt;1.3005495&lt;/D&gt;&lt;D xsi:type="xsd:double"&gt;-1.7080724&lt;/D&gt;&lt;D xsi:type="xsd:double"&gt;0.5265951&lt;/D&gt;&lt;D xsi:type="xsd:double"&gt;0.6024122&lt;/D&gt;&lt;D xsi:type="xsd:double"&gt;1.1455297&lt;/D&gt;&lt;D xsi:type="xsd:double"&gt;-2.9343605&lt;/D&gt;&lt;D xsi:type="xsd:double"&gt;5.0282598&lt;/D&gt;&lt;D xsi:type="xsd:double"&gt;-3.1136513&lt;/D&gt;&lt;D xsi:type="xsd:double"&gt;-1.8211067&lt;/D&gt;&lt;D xsi:type="xsd:double"&gt;-4.828149&lt;/D&gt;&lt;D xsi:type="xsd:double"&gt;-5.5316744&lt;/D&gt;&lt;D xsi:type="xsd:double"&gt;3.003645&lt;/D&gt;&lt;D xsi:type="xsd:double"&gt;-5.632019&lt;/D&gt;&lt;D xsi:type="xsd:double"&gt;-3.149104&lt;/D&gt;&lt;D xsi:type="xsd:double"&gt;-0.5640328&lt;/D&gt;&lt;D xsi:type="xsd:double"&gt;-11.177837&lt;/D&gt;&lt;D xsi:type="xsd:double"&gt;13.373399&lt;/D&gt;&lt;D xsi:type="xsd:double"&gt;10.7687235&lt;/D&gt;&lt;D xsi:type="xsd:double"&gt;-0.63001513&lt;/D&gt;&lt;D xsi:type="xsd:double"&gt;11.722064&lt;/D&gt;&lt;D xsi:type="xsd:double"&gt;-1.9740403&lt;/D&gt;&lt;D xsi:type="xsd:double"&gt;-0.4137993&lt;/D&gt;&lt;D xsi:type="xsd:double"&gt;8.698071&lt;/D&gt;&lt;D xsi:type="xsd:double"&gt;-3.2619834&lt;/D&gt;&lt;D xsi:type="xsd:double"&gt;0.24265051&lt;/D&gt;&lt;D xsi:type="xsd:double"&gt;4.0569544&lt;/D&gt;&lt;D xsi:type="xsd:double"&gt;-3.84714&lt;/D&gt;&lt;D xsi:type="xsd:double"&gt;-5.2631674&lt;/D&gt;&lt;D xsi:type="xsd:double"&gt;-3.032881&lt;/D&gt;&lt;D xsi:type="xsd:double"&gt;10.230923&lt;/D&gt;&lt;D xsi:type="xsd:double"&gt;5.0819755&lt;/D&gt;&lt;D xsi:type="xsd:double"&gt;-0.9144008&lt;/D&gt;&lt;D xsi:type="xsd:double"&gt;3.17868&lt;/D&gt;&lt;D xsi:type="xsd:double"&gt;2.534163&lt;/D&gt;&lt;D xsi:type="xsd:double"&gt;-1.4538467&lt;/D&gt;&lt;D xsi:type="xsd:double"&gt;3.196466&lt;/D&gt;&lt;D xsi:type="xsd:double"&gt;-6.673157&lt;/D&gt;&lt;D xsi:type="xsd:double"&gt;1.044941&lt;/D&gt;&lt;/FQL&gt;&lt;FQL&gt;&lt;Q&gt;ENZL^JULIAN(FMA_DIV_YLD(NTMA,-10AY,0,AM,"PORTAGG","MEANR").DATES)&lt;/Q&gt;&lt;R&gt;121&lt;/R&gt;&lt;C&gt;1&lt;/C&gt;&lt;D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xsi:type="xsd:long"&gt;45408&lt;/D&gt;&lt;D xsi:type="xsd:long"&gt;45436&lt;/D&gt;&lt;D xsi:type="xsd:long"&gt;45469&lt;/D&gt;&lt;D xsi:type="xsd:long"&gt;45497&lt;/D&gt;&lt;/FQL&gt;&lt;FQL&gt;&lt;Q&gt;PASP-FDS^FG_PRICE_MAVG(0,,,,30)&lt;/Q&gt;&lt;R&gt;1&lt;/R&gt;&lt;C&gt;1&lt;/C&gt;&lt;D xsi:type="xsd:double"&gt;964.5&lt;/D&gt;&lt;/FQL&gt;&lt;FQL&gt;&lt;Q&gt;FC0000JP^FG_PRICE(0)&lt;/Q&gt;&lt;R&gt;1&lt;/R&gt;&lt;C&gt;1&lt;/C&gt;&lt;D xsi:type="xsd:double"&gt;172.8723&lt;/D&gt;&lt;/FQL&gt;&lt;FQL&gt;&lt;Q&gt;EWI^FG_PRICE_MAVG(0,,,,200)&lt;/Q&gt;&lt;R&gt;1&lt;/R&gt;&lt;C&gt;1&lt;/C&gt;&lt;D xsi:type="xsd:double"&gt;35.09705&lt;/D&gt;&lt;/FQL&gt;&lt;FQL&gt;&lt;Q&gt;SPY^FG_PRICE_MAVG(0,,,,30)&lt;/Q&gt;&lt;R&gt;1&lt;/R&gt;&lt;C&gt;1&lt;/C&gt;&lt;D xsi:type="xsd:double"&gt;550.09436&lt;/D&gt;&lt;/FQL&gt;&lt;FQL&gt;&lt;Q&gt;URTH^P_PRICE(0)/P_PRICE_LOW_PR(0,,,,,,"PRICE","INTRA","52W")-1&lt;/Q&gt;&lt;R&gt;1&lt;/R&gt;&lt;C&gt;1&lt;/C&gt;&lt;D xsi:type="xsd:double"&gt;0.2914561&lt;/D&gt;&lt;/FQL&gt;&lt;FQL&gt;&lt;Q&gt;VGK^P_PRICE(0)/P_PRICE_LOW_PR(0,,,,,,"PRICE","INTRA","52W")-1&lt;/Q&gt;&lt;R&gt;1&lt;/R&gt;&lt;C&gt;1&lt;/C&gt;&lt;D xsi:type="xsd:double"&gt;0.23719585&lt;/D&gt;&lt;/FQL&gt;&lt;FQL&gt;&lt;Q&gt;EWD^P_PRICE(0)/P_PRICE_LOW_PR(0,,,,,,"PRICE","INTRA","52W")-1&lt;/Q&gt;&lt;R&gt;1&lt;/R&gt;&lt;C&gt;1&lt;/C&gt;&lt;D xsi:type="xsd:double"&gt;0.29248822&lt;/D&gt;&lt;/FQL&gt;&lt;FQL&gt;&lt;Q&gt;EWA^FG_TOTAL_RETURNC(0,-6AM)&lt;/Q&gt;&lt;R&gt;1&lt;/R&gt;&lt;C&gt;1&lt;/C&gt;&lt;D xsi:type="xsd:double"&gt;6.209016&lt;/D&gt;&lt;/FQL&gt;&lt;FQL&gt;&lt;Q&gt;EWD^SIZE(FG_CONSTITUENTS)&lt;/Q&gt;&lt;R&gt;1&lt;/R&gt;&lt;C&gt;1&lt;/C&gt;&lt;D xsi:type="xsd:long"&gt;46&lt;/D&gt;&lt;/FQL&gt;&lt;FQL&gt;&lt;Q&gt;SPY^FG_COMPANY_NAME&lt;/Q&gt;&lt;R&gt;1&lt;/R&gt;&lt;C&gt;1&lt;/C&gt;&lt;D xsi:type="xsd:string"&gt;SPDR S&amp;amp;P 500 ETF Trust&lt;/D&gt;&lt;/FQL&gt;&lt;FQL&gt;&lt;Q&gt;EWN^FG_FCF_YIELD_NTM(0)&lt;/Q&gt;&lt;R&gt;1&lt;/R&gt;&lt;C&gt;1&lt;/C&gt;&lt;D xsi:type="xsd:double"&gt;3.98825267714393&lt;/D&gt;&lt;/FQL&gt;&lt;FQL&gt;&lt;Q&gt;EWL^FG_FCF_YIELD_NTM(0)&lt;/Q&gt;&lt;R&gt;1&lt;/R&gt;&lt;C&gt;1&lt;/C&gt;&lt;D xsi:type="xsd:double"&gt;4.70947430055877&lt;/D&gt;&lt;/FQL&gt;&lt;FQL&gt;&lt;Q&gt;ENZL^FMA_DIV_YLD(NTMA,NOW,NOW,M,"PORTAGG","MEANR")&lt;/Q&gt;&lt;R&gt;1&lt;/R&gt;&lt;C&gt;1&lt;/C&gt;&lt;D xsi:type="xsd:double"&gt;2.762752008838&lt;/D&gt;&lt;/FQL&gt;&lt;FQL&gt;&lt;Q&gt;USO^FG_TOTAL_RETURNC(0,-6AM)&lt;/Q&gt;&lt;R&gt;1&lt;/R&gt;&lt;C&gt;1&lt;/C&gt;&lt;D xsi:type="xsd:double"&gt;4.1176558&lt;/D&gt;&lt;/FQL&gt;&lt;FQL&gt;&lt;Q&gt;GLD^FG_TOTAL_RETURNC(0,-1AM)&lt;/Q&gt;&lt;R&gt;1&lt;/R&gt;&lt;C&gt;1&lt;/C&gt;&lt;D xsi:type="xsd:double"&gt;3.7868142&lt;/D&gt;&lt;/FQL&gt;&lt;FQL&gt;&lt;Q&gt;USDITL^FG_PRICE_CHANGE(0,-6AM)&lt;/Q&gt;&lt;R&gt;1&lt;/R&gt;&lt;C&gt;1&lt;/C&gt;&lt;D xsi:type="xsd:double"&gt;0.059878826&lt;/D&gt;&lt;/FQL&gt;&lt;FQL&gt;&lt;Q&gt;USDANG^FG_PRICE(0)&lt;/Q&gt;&lt;R&gt;1&lt;/R&gt;&lt;C&gt;1&lt;/C&gt;&lt;D xsi:type="xsd:double"&gt;1.79&lt;/D&gt;&lt;/FQL&gt;&lt;FQL&gt;&lt;Q&gt;USDCHF^FG_PRICE_CHANGE(0,-3AM)&lt;/Q&gt;&lt;R&gt;1&lt;/R&gt;&lt;C&gt;1&lt;/C&gt;&lt;D xsi:type="xsd:double"&gt;-3.439033&lt;/D&gt;&lt;/FQL&gt;&lt;FQL&gt;&lt;Q&gt;USDNZD^STD(FG_PRICE_CHANGE(0,-1AY,AM))&lt;/Q&gt;&lt;R&gt;1&lt;/R&gt;&lt;C&gt;1&lt;/C&gt;&lt;D xsi:type="xsd:double"&gt;3.01368437390178&lt;/D&gt;&lt;/FQL&gt;&lt;FQL&gt;&lt;Q&gt;EWA^JULIAN(FMA_EPS(NTMA,-20AY,0,CY,,"PORTAGG","MEANR").DATES)&lt;/Q&gt;&lt;R&gt;20&lt;/R&gt;&lt;C&gt;1&lt;/C&gt;&lt;D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xsi:type="xsd:long"&gt;45289&lt;/D&gt;&lt;/FQL&gt;&lt;FQL&gt;&lt;Q&gt;EWJ^FMA_DIV_YLD(NTMA,-10AY,0,AM,"PORTAGG","MEANR")&lt;/Q&gt;&lt;R&gt;121&lt;/R&gt;&lt;C&gt;1&lt;/C&gt;&lt;D xsi:type="xsd:double"&gt;2.05537631035789&lt;/D&gt;&lt;D xsi:type="xsd:double"&gt;2.06989887890576&lt;/D&gt;&lt;D xsi:type="xsd:double"&gt;2.0087800782742&lt;/D&gt;&lt;D xsi:type="xsd:double"&gt;2.17582729310182&lt;/D&gt;&lt;D xsi:type="xsd:double"&gt;1.95034048233183&lt;/D&gt;&lt;D xsi:type="xsd:double"&gt;1.93975170007768&lt;/D&gt;&lt;D xsi:type="xsd:double"&gt;2.01464283000427&lt;/D&gt;&lt;D xsi:type="xsd:double"&gt;1.88027747007832&lt;/D&gt;&lt;D xsi:type="xsd:double"&gt;1.84405661705225&lt;/D&gt;&lt;D xsi:type="xsd:double"&gt;1.81678029745828&lt;/D&gt;&lt;D xsi:type="xsd:double"&gt;1.83851000825697&lt;/D&gt;&lt;D xsi:type="xsd:double"&gt;1.8727507545403&lt;/D&gt;&lt;D xsi:type="xsd:double"&gt;1.9066177493717&lt;/D&gt;&lt;D xsi:type="xsd:double"&gt;2.15036794221887&lt;/D&gt;&lt;D xsi:type="xsd:double"&gt;2.20502416777028&lt;/D&gt;&lt;D xsi:type="xsd:double"&gt;2.04965217687051&lt;/D&gt;&lt;D xsi:type="xsd:double"&gt;2.01551922730677&lt;/D&gt;&lt;D xsi:type="xsd:double"&gt;2.12098222429426&lt;/D&gt;&lt;D xsi:type="xsd:double"&gt;2.39564746997333&lt;/D&gt;&lt;D xsi:type="xsd:double"&gt;2.46253262238801&lt;/D&gt;&lt;D xsi:type="xsd:double"&gt;2.38870174554736&lt;/D&gt;&lt;D xsi:type="xsd:double"</t>
        </r>
      </text>
    </comment>
    <comment ref="A5" authorId="0" shapeId="0" xr:uid="{C463542E-66C9-4395-AAB3-C258657D548B}">
      <text>
        <r>
          <rPr>
            <b/>
            <sz val="9"/>
            <color indexed="81"/>
            <rFont val="Tahoma"/>
            <charset val="1"/>
          </rPr>
          <t>&gt;2.29849813733766&lt;/D&gt;&lt;D xsi:type="xsd:double"&gt;2.38182301393008&lt;/D&gt;&lt;D xsi:type="xsd:double"&gt;2.62221563340867&lt;/D&gt;&lt;D xsi:type="xsd:double"&gt;2.40931764447922&lt;/D&gt;&lt;D xsi:type="xsd:double"&gt;2.44418139191701&lt;/D&gt;&lt;D xsi:type="xsd:double"&gt;2.38429791882687&lt;/D&gt;&lt;D xsi:type="xsd:double"&gt;2.31672592931581&lt;/D&gt;&lt;D xsi:type="xsd:double"&gt;2.19356547532814&lt;/D&gt;&lt;D xsi:type="xsd:double"&gt;2.08698233178538&lt;/D&gt;&lt;D xsi:type="xsd:double"&gt;2.10752330220105&lt;/D&gt;&lt;D xsi:type="xsd:double"&gt;2.1371748452157&lt;/D&gt;&lt;D xsi:type="xsd:double"&gt;2.17247614565084&lt;/D&gt;&lt;D xsi:type="xsd:double"&gt;2.19561012356092&lt;/D&gt;&lt;D xsi:type="xsd:double"&gt;2.19172837721417&lt;/D&gt;&lt;D xsi:type="xsd:double"&gt;2.16767491802599&lt;/D&gt;&lt;D xsi:type="xsd:double"&gt;2.17113543982015&lt;/D&gt;&lt;D xsi:type="xsd:double"&gt;2.22814089173754&lt;/D&gt;&lt;D xsi:type="xsd:double"&gt;2.15405354747203&lt;/D&gt;&lt;D xsi:type="xsd:double"&gt;2.07438541884416&lt;/D&gt;&lt;D xsi:type="xsd:double"&gt;2.08175349958064&lt;/D&gt;&lt;D xsi:type="xsd:double"&gt;2.04629246586526&lt;/D&gt;&lt;D xsi:type="xsd:double"&gt;2.00458359395599&lt;/D&gt;&lt;D xsi:type="xsd:double"&gt;2.17457880633159&lt;/D&gt;&lt;D xsi:type="xsd:double"&gt;2.32580344193152&lt;/D&gt;&lt;D xsi:type="xsd:double"&gt;2.20799352920818&lt;/D&gt;&lt;D xsi:type="xsd:double"&gt;2.24272391317942&lt;/D&gt;&lt;D xsi:type="xsd:double"&gt;2.29904178474203&lt;/D&gt;&lt;D xsi:type="xsd:double"&gt;2.263932739033&lt;/D&gt;&lt;D xsi:type="xsd:double"&gt;2.3456480208764&lt;/D&gt;&lt;D xsi:type="xsd:double"&gt;2.21653279812226&lt;/D&gt;&lt;D xsi:type="xsd:double"&gt;2.52971223094199&lt;/D&gt;&lt;D xsi:type="xsd:double"&gt;2.51137662629145&lt;/D&gt;&lt;D xsi:type="xsd:double"&gt;2.86154900118307&lt;/D&gt;&lt;D xsi:type="xsd:double"&gt;2.63228416905574&lt;/D&gt;&lt;D xsi:type="xsd:double"&gt;2.55041300699766&lt;/D&gt;&lt;D xsi:type="xsd:double"&gt;2.56041204045798&lt;/D&gt;&lt;D xsi:type="xsd:double"&gt;2.56408803888911&lt;/D&gt;&lt;D xsi:type="xsd:double"&gt;2.69499000610706&lt;/D&gt;&lt;D xsi:type="xsd:double"&gt;2.71132412023028&lt;/D&gt;&lt;D xsi:type="xsd:double"&gt;2.65698409724159&lt;/D&gt;&lt;D xsi:type="xsd:double"&gt;2.8211154124839&lt;/D&gt;&lt;D xsi:type="xsd:double"&gt;2.56836901903057&lt;/D&gt;&lt;D xsi:type="xsd:double"&gt;2.5405221632792&lt;/D&gt;&lt;D xsi:type="xsd:double"&gt;2.4627611715543&lt;/D&gt;&lt;D xsi:type="xsd:double"&gt;2.42633989014933&lt;/D&gt;&lt;D xsi:type="xsd:double"&gt;2.43358320695538&lt;/D&gt;&lt;D xsi:type="xsd:double"&gt;2.60090596296156&lt;/D&gt;&lt;D xsi:type="xsd:double"&gt;2.99339482895718&lt;/D&gt;&lt;D xsi:type="xsd:double"&gt;2.88566873891393&lt;/D&gt;&lt;D xsi:type="xsd:double"&gt;2.64393940942399&lt;/D&gt;&lt;D xsi:type="xsd:double"&gt;2.47853650050502&lt;/D&gt;&lt;D xsi:type="xsd:double"&gt;2.48195731179137&lt;/D&gt;&lt;D xsi:type="xsd:double"&gt;2.37302942373952&lt;/D&gt;&lt;D xsi:type="xsd:double"&gt;2.38059250684105&lt;/D&gt;&lt;D xsi:type="xsd:double"&gt;2.40179826364892&lt;/D&gt;&lt;D xsi:type="xsd:double"&gt;2.19012104551833&lt;/D&gt;&lt;D xsi:type="xsd:double"&gt;2.17652973576338&lt;/D&gt;&lt;D xsi:type="xsd:double"&gt;2.09905304511463&lt;/D&gt;&lt;D xsi:type="xsd:double"&gt;2.12331496657383&lt;/D&gt;&lt;D xsi:type="xsd:double"&gt;2.04066602487386&lt;/D&gt;&lt;D xsi:type="xsd:double"&gt;2.12714485740055&lt;/D&gt;&lt;D xsi:type="xsd:double"&gt;2.17833713290797&lt;/D&gt;&lt;D xsi:type="xsd:double"&gt;2.16962085018037&lt;/D&gt;&lt;D xsi:type="xsd:double"&gt;2.24161047759011&lt;/D&gt;&lt;D xsi:type="xsd:double"&gt;2.27765430554812&lt;/D&gt;&lt;D xsi:type="xsd:double"&gt;2.13878017557343&lt;/D&gt;&lt;D xsi:type="xsd:double"&gt;2.22415418826332&lt;/D&gt;&lt;D xsi:type="xsd:double"&gt;2.2933435040116&lt;/D&gt;&lt;D xsi:type="xsd:double"&gt;2.31069874730601&lt;/D&gt;&lt;D xsi:type="xsd:double"&gt;2.4651134232893&lt;/D&gt;&lt;D xsi:type="xsd:double"&gt;2.5402369571307&lt;/D&gt;&lt;D xsi:type="xsd:double"&gt;2.46445997902654&lt;/D&gt;&lt;D xsi:type="xsd:double"&gt;2.623143488588&lt;/D&gt;&lt;D xsi:type="xsd:double"&gt;2.64276087966838&lt;/D&gt;&lt;D xsi:type="xsd:double"&gt;2.70124679161792&lt;/D&gt;&lt;D xsi:type="xsd:double"&gt;2.60981108430926&lt;/D&gt;&lt;D xsi:type="xsd:double"&gt;2.57787645524004&lt;/D&gt;&lt;D xsi:type="xsd:double"&gt;2.76336348897098&lt;/D&gt;&lt;D xsi:type="xsd:double"&gt;2.68868440623593&lt;/D&gt;&lt;D xsi:type="xsd:double"&gt;2.56291522412643&lt;/D&gt;&lt;D xsi:type="xsd:double"&gt;2.74261322255005&lt;/D&gt;&lt;D xsi:type="xsd:double"&gt;2.62469643419386&lt;/D&gt;&lt;D xsi:type="xsd:double"&gt;2.63115589671219&lt;/D&gt;&lt;D xsi:type="xsd:double"&gt;2.6833129506975&lt;/D&gt;&lt;D xsi:type="xsd:double"&gt;2.59791380491984&lt;/D&gt;&lt;D xsi:type="xsd:double"&gt;2.46964499674181&lt;/D&gt;&lt;D xsi:type="xsd:double"&gt;2.35900923340328&lt;/D&gt;&lt;D xsi:type="xsd:double"&gt;2.36097423591313&lt;/D&gt;&lt;D xsi:type="xsd:double"&gt;2.42137724493223&lt;/D&gt;&lt;D xsi:type="xsd:double"&gt;2.33971502225414&lt;/D&gt;&lt;D xsi:type="xsd:double"&gt;2.50803158217633&lt;/D&gt;&lt;D xsi:type="xsd:double"&gt;2.36464235570794&lt;/D&gt;&lt;D xsi:type="xsd:double"&gt;2.45167923819914&lt;/D&gt;&lt;D xsi:type="xsd:double"&gt;2.31286332524635&lt;/D&gt;&lt;D xsi:type="xsd:double"&gt;2.19038659243439&lt;/D&gt;&lt;D xsi:type="xsd:double"&gt;2.13818578696436&lt;/D&gt;&lt;D xsi:type="xsd:double"&gt;2.24791883796958&lt;/D&gt;&lt;D xsi:type="xsd:double"&gt;2.22948750802307&lt;/D&gt;&lt;D xsi:type="xsd:double"&gt;2.23998850078483&lt;/D&gt;&lt;D xsi:type="xsd:double"&gt;2.27641592946938&lt;/D&gt;&lt;/FQL&gt;&lt;FQL&gt;&lt;Q&gt;DDR3512M-FDS^FG_PRICE_CHANGE(0,-3AM)&lt;/Q&gt;&lt;R&gt;1&lt;/R&gt;&lt;C&gt;1&lt;/C&gt;&lt;D xsi:type="xsd:double"&gt;-5.82306399982988&lt;/D&gt;&lt;/FQL&gt;&lt;FQL&gt;&lt;Q&gt;CPALM-FDS^FG_PRICE_CHANGE(0,-1AY)&lt;/Q&gt;&lt;R&gt;1&lt;/R&gt;&lt;C&gt;1&lt;/C&gt;&lt;D xsi:type="xsd:double"&gt;1.42964635063958&lt;/D&gt;&lt;/FQL&gt;&lt;FQL&gt;&lt;Q&gt;BRENT-FDS^FG_PRICE_CHANGE(0,-3AM)&lt;/Q&gt;&lt;R&gt;1&lt;/R&gt;&lt;C&gt;1&lt;/C&gt;&lt;D xsi:type="xsd:double"&gt;0&lt;/D&gt;&lt;/FQL&gt;&lt;FQL&gt;&lt;Q&gt;TIOS-FDS^FG_PRICE_MAVG(0,,,,30)&lt;/Q&gt;&lt;R&gt;1&lt;/R&gt;&lt;C&gt;1&lt;/C&gt;&lt;D xsi:type="xsd:double"&gt;108.31033&lt;/D&gt;&lt;/FQL&gt;&lt;FQL&gt;&lt;Q&gt;EWG^FG_PRICE_MAVG(0,,,,30)&lt;/Q&gt;&lt;R&gt;1&lt;/R&gt;&lt;C&gt;1&lt;/C&gt;&lt;D xsi:type="xsd:double"&gt;30.903334&lt;/D&gt;&lt;/FQL&gt;&lt;FQL&gt;&lt;Q&gt;QQQ^FG_COMPANY_NAME&lt;/Q&gt;&lt;R&gt;1&lt;/R&gt;&lt;C&gt;1&lt;/C&gt;&lt;D xsi:type="xsd:string"&gt;Invesco QQQ Trust Series I&lt;/D&gt;&lt;/FQL&gt;&lt;FQL&gt;&lt;Q&gt;EWQ^FG_TOTAL_RETURNC(0,-6AM)&lt;/Q&gt;&lt;R&gt;1&lt;/R&gt;&lt;C&gt;1&lt;/C&gt;&lt;D xsi:type="xsd:double"&gt;1.4575124&lt;/D&gt;&lt;/FQL&gt;&lt;FQL&gt;&lt;Q&gt;EWL^FG_TOTAL_RETURNC(0,-6AM)&lt;/Q&gt;&lt;R&gt;1&lt;/R&gt;&lt;C&gt;1&lt;/C&gt;&lt;D xsi:type="xsd:double"&gt;6.8802357&lt;/D&gt;&lt;/FQL&gt;&lt;FQL&gt;&lt;Q&gt;EWG^FG_TOTAL_RETURNC(0,-6AM)&lt;/Q&gt;&lt;R&gt;1&lt;/R&gt;&lt;C&gt;1&lt;/C&gt;&lt;D xsi:type="xsd:double"&gt;9.160566&lt;/D&gt;&lt;/FQL&gt;&lt;FQL&gt;&lt;Q&gt;EWL^FMA_COS_UP("EPS","1M",+1,0,,,"PORTAGG","MEANR")&lt;/Q&gt;&lt;R&gt;1&lt;/R&gt;&lt;C&gt;1&lt;/C&gt;&lt;D xsi:type="xsd:double"&gt;22&lt;/D&gt;&lt;/FQL&gt;&lt;FQL&gt;&lt;Q&gt;EWL^FMA_RBICS_REV_CURRENT(30, LOC, "PORTAGG")&lt;/Q&gt;&lt;R&gt;1&lt;/R&gt;&lt;C&gt;1&lt;/C&gt;&lt;D xsi:type="xsd:double"&gt;17.7952826099754&lt;/D&gt;&lt;/FQL&gt;&lt;FQL&gt;&lt;Q&gt;EWG^FMA_ROE(NTMA,-20AY,NOW,FY,"PORTAGG","MEANR")&lt;/Q&gt;&lt;R&gt;20&lt;/R&gt;&lt;C&gt;1&lt;/C&gt;&lt;D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xsi:type="xsd:double"&gt;11.9489916743573&lt;/D&gt;&lt;/FQL&gt;&lt;FQL&gt;&lt;Q&gt;CAGDPY@DE^EE_ACTUAL_ANNUAL(MED,0)&lt;/Q&gt;&lt;R&gt;1&lt;/R&gt;&lt;C&gt;1&lt;/C&gt;&lt;D xsi:type="xsd:double"&gt;6.14140877067901&lt;/D&gt;&lt;/FQL&gt;&lt;FQL&gt;&lt;Q&gt;USDITL^FG_PRICE(0)&lt;/Q&gt;&lt;R&gt;1&lt;/R&gt;&lt;C&gt;1&lt;/C&gt;&lt;D xsi:type="xsd:double"&gt;1783.5944&lt;/D&gt;&lt;/FQL&gt;&lt;FQL&gt;&lt;Q&gt;USDGBP^STD(FG_PRICE_CHANGE(0,-1AY,AM))&lt;/Q&gt;&lt;R&gt;1&lt;/R&gt;&lt;C&gt;1&lt;/C&gt;&lt;D xsi:type="xsd:double"&gt;1.99089215182058&lt;/D&gt;&lt;/FQL&gt;&lt;FQL&gt;&lt;Q&gt;USDJPY^FG_COMPANY_NAME&lt;/Q&gt;&lt;R&gt;1&lt;/R&gt;&lt;C&gt;1&lt;/C&gt;&lt;D xsi:type="xsd:string"&gt;Japanese Yen per U.S. Dollar&lt;/D&gt;&lt;/FQL&gt;&lt;FQL&gt;&lt;Q&gt;EWG^FMA_EPS(NTMA,-20AY,0,CY,,"PORTAGG","MEANR")&lt;/Q&gt;&lt;R&gt;20&lt;/R&gt;&lt;C&gt;1&lt;/C&gt;&lt;D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xsi:type="xsd:double"&gt;2.65863143369802&lt;/D&gt;&lt;/FQL&gt;&lt;FQL&gt;&lt;Q&gt;SPY^FG_TOTAL_RETURNC(-10AY,0,AM)&lt;/Q&gt;&lt;R&gt;121&lt;/R&gt;&lt;C&gt;1&lt;/C&gt;&lt;D xsi:type="xsd:double"&gt;1.166594&lt;/D&gt;&lt;D xsi:type="xsd:double"&gt;1.3200521&lt;/D&gt;&lt;D xsi:type="xsd:double"&gt;-0.7507205&lt;/D&gt;&lt;D xsi:type="xsd:double"&gt;-0.74279904&lt;/D&gt;&lt;D xsi:type="xsd:double"&gt;5.7068706&lt;/D&gt;&lt;D xsi:type="xsd:double"&gt;0.93694925&lt;/D&gt;&lt;D xsi:type="xsd:double"&gt;-1.4344692&lt;/D&gt;&lt;D xsi:type="xsd:double"&gt;2.886355&lt;/D&gt;&lt;D xsi:type="xsd:double"&gt;-2.4609387&lt;/D&gt;&lt;D xsi:type="xsd:double"&gt;3.1080484&lt;/D&gt;&lt;D xsi:type="xsd:double"&gt;-0.44881105&lt;/D&gt;&lt;D xsi:type="xsd:double"&gt;0.06892681&lt;/D&gt;&lt;D xsi:type="xsd:double"&gt;-0.8674145&lt;/D&gt;&lt;D xsi:type="xsd:double"&gt;-6.509614&lt;/D&gt;&lt;D xsi:type="xsd:double"&gt;-0.30356646&lt;/D&gt;&lt;D xsi:type="xsd:double"&gt;7.337308&lt;/D&gt;&lt;D xsi:type="xsd:double"&gt;1.1207819&lt;/D&gt;&lt;D xsi:type="xsd:double"&gt;-1.1437953&lt;/D&gt;&lt;D xsi:type="xsd:double"&gt;-7.5262547&lt;/D&gt;&lt;D xsi:type="xsd:double"&gt;2.5705576&lt;/D&gt;&lt;D xsi:type="xsd:double"&gt;4.651177&lt;/D&gt;&lt;D xsi:type="xsd:double"&gt;2.8550625&lt;/D&gt;&lt;D xsi:type="xsd:double"&gt;0.20141602&lt;/D&gt;&lt;D xsi:type="xsd:double"&gt;-2.4597585&lt;/D&gt;&lt;D xsi:type="xsd:double"&gt;6.7050576&lt;/D&gt;&lt;D xsi:type="xsd:double"&gt;0.2491355&lt;/D&gt;&lt;D xsi:type="xsd:double"&gt;-0.9036422&lt;/D&gt;&lt;D xsi:type="xsd:double"&gt;-0.23338199&lt;/D&gt;&lt;D xsi:type="xsd:double"&gt;3.6399364&lt;/D&gt;&lt;D xsi:type="xsd:double"&gt;2.493167&lt;/D&gt;&lt;D xsi:type="xsd:double"&gt;1.6038299&lt;/D&gt;&lt;D xsi:type="xsd:double"&gt;3.2311559&lt;/D&gt;&lt;D xsi:type="xsd:double"&gt;-0.7859647&lt;/D&gt;&lt;D xsi:type="xsd:double"&gt;1.9413352&lt;/D&gt;&lt;D xsi:type="xsd:double"&gt;1.3884306&lt;/D&gt;&lt;D xsi:type="xsd:double"&gt;1.1444688&lt;/D&gt;&lt;D xsi:type="xsd:double"&gt;1.7016768&lt;/D&gt;&lt;D xsi:type="xsd:double"&gt;-1.1599243&lt;/D&gt;&lt;D xsi:type="xsd:double"&gt;2.35281&lt;/D&gt;&lt;D xsi:type="xsd:double"&gt;2.6256561&lt;/D&gt;&lt;D xsi:type="xsd:double"&gt;1.8543124&lt;/D&gt;&lt;D xsi:type="xsd:double"&gt;3.1436443&lt;/D&gt;&lt;D xsi:type="xsd:double"&gt;7.2569966&lt;/D&gt;&lt;D xsi:type="xsd:double"&gt;-3.028822&lt;/D&gt;&lt;D xsi:type="xsd:double"&gt;-4.2207956&lt;/D&gt;&lt;D xsi:type="xsd:double"&gt;0.4526496&lt;/D&gt;&lt;D xsi:type="xsd:double"&gt;2.1929264&lt;/D&gt;&lt;D xsi:type="xsd:double"&gt;0.24645329&lt;/D&gt;&lt;D xsi:type="xsd:double"&gt;4.322529&lt;/D&gt;&lt;D xsi:type="xsd:double"&gt;1.471734&lt;/D&gt;&lt;D xsi:type="xsd:double"&gt;1.2810111&lt;/D&gt;&lt;D xsi:type="xsd:double"&gt;-8.4690275&lt;/D&gt;&lt;D xsi:type="xsd:double"&gt;0.8178592&lt;/D&gt;&lt;D xsi:type="xsd:double"&gt;-7.421267&lt;/D&gt;&lt;D xsi:type="xsd:double"&gt;7.9616547&lt;/D&gt;&lt;D xsi:type="xsd:double"&gt;5.0944448&lt;/D&gt;&lt;D xsi:type="xsd:double"&gt;1.0855913&lt;/D&gt;&lt;D xsi:type="xsd:double"&gt;4.371798&lt;/D&gt;&lt;D xsi:type="xsd:double"&gt;-3.6229193&lt;/D&gt;&lt;D xsi:type="xsd:double"&gt;3.2196283&lt;/D&gt;&lt;D xsi:type="xsd:double"&gt;3.972876&lt;/D&gt;&lt;D xsi:type="xsd:double"&gt;-4.638922&lt;/D&gt;&lt;D xsi:type="xsd:double"&gt;3.603363&lt;/D&gt;&lt;D xsi:type="xsd:double"&gt;1.5488267&lt;/D&gt;&lt;D xsi:type="xsd:double"&gt;4.1379213&lt;/D&gt;&lt;D xsi:type="xsd:double"&gt;3.3242583&lt;/D&gt;&lt;D xsi:type="xsd:double"&gt;1.8052816&lt;/D&gt;&lt;D xsi:type="xsd:double"&gt;-5.2529097&lt;/D&gt;&lt;D xsi:type="xsd:double"&gt;-15.632545&lt;/D&gt;&lt;D xsi:type="xsd:double"&gt;8.3346&lt;/D&gt;&lt;D xsi:type="xsd:double"&gt;5.6931734&lt;/D&gt;&lt;D xsi:type="xsd:double"&gt;0.7684231&lt;/D&gt;&lt;D xsi:type="xsd:double"&gt;6.942177&lt;/D&gt;&lt;D xsi:type="xsd:double"&gt;8.317757&lt;/D&gt;&lt;D xsi:type="xsd:double"&gt;-5.037421&lt;/D&gt;&lt;D xsi:type="xsd:double"&gt;3.2427788&lt;/D&gt;&lt;D xsi:type="xsd:double"&gt;6.8564177&lt;/D&gt;&lt;D xsi:type="xsd:double"&gt;2.18364&lt;/D&gt;&lt;D xsi:type="xsd:double"&gt;4.008138&lt;/D&gt;&lt;D xsi:type="xsd:double"&gt;-0.89372396&lt;/D&gt;&lt;D xsi:type="xsd:double"&gt;4.4481993&lt;/D&gt;&lt;D xsi:type="xsd:double"&gt;5.462396&lt;/D&gt;&lt;D xsi:type="xsd:double"&gt;0.349617&lt;/D&gt;&lt;D xsi:type="xsd:double"&gt;2.1367788&lt;/D&gt;&lt;D xsi:type="xsd:double"&gt;3.3777952&lt;/D&gt;&lt;D xsi:type="xsd:double"&gt;1.188159&lt;/D&gt;&lt;D xsi:type="xsd:double"&gt;-0.20475388&lt;/D&gt;&lt;D xsi:type="xsd:double"&gt;2.7145147&lt;/D&gt;&lt;D xsi:type="xsd:double"&gt;0.6601453&lt;/D&gt;&lt;D xsi:type="xsd:double"&gt;2.8988004&lt;/D&gt;&lt;D xsi:type="xsd:double"&gt;-7.909054&lt;/D&gt;&lt;D xsi:type="xsd:double"&gt;1.0083556&lt;/D&gt;&lt;D xsi:type="xsd:double"&gt;3.7306905&lt;/D&gt;&lt;D xsi:type="xsd:double"&gt;-8.082795&lt;/D&gt;&lt;D xsi:type="xsd:double"&gt;-2.5931299&lt;/D&gt;&lt;D xsi:type="xsd:double"&gt;-3.3428192&lt;/D&gt;&lt;D xsi:type="xsd:double"&gt;0.20766258&lt;/D&gt;&lt;D xsi:type="xsd:double"&gt;3.689015&lt;/D&gt;&lt;D xsi:type="xsd:double"&gt;-9.743547&lt;/D&gt;&lt;D xsi:type="xsd:double"&gt;4.8612475&lt;/D&gt;&lt;D xsi:type="xsd:double"&gt;5.316472&lt;/D&gt;&lt;D xsi:type="xsd:double"&gt;-4.3845296&lt;/D&gt;&lt;D xsi:type="xsd:double"&gt;5.7036877&lt;/D&gt;&lt;D xsi:type="xsd:double"&gt;-2.0679414&lt;/D&gt;&lt;D xsi:type="xsd:double"&gt;0.22666454&lt;/D&gt;&lt;D xsi:type="xsd:double"&gt;2.1756172&lt;/D&gt;&lt;D xsi:type="xsd:double"&gt;3.872788&lt;/D&gt;&lt;D xsi:type="xsd:double"&gt;3.1018734&lt;/D&gt;&lt;D xsi:type="xsd:double"&gt;5.5789948&lt;/D&gt;&lt;D xsi:type="xsd:double"&gt;-3.4115613&lt;/D&gt;&lt;D xsi:type="xsd:double"&gt;-2.8568506&lt;/D&gt;&lt;D xsi:type="xsd:double"&gt;-3.1299949&lt;/D&gt;&lt;D xsi:type="xsd:double"&gt;10.362375&lt;/D&gt;&lt;D xsi:type="xsd:double"&gt;4.893863&lt;/D&gt;&lt;D xsi:type="xsd:double"&gt;2.4724126&lt;/D&gt;&lt;D xsi:type="xsd:double"&gt;3.8119793&lt;/D&gt;&lt;D xsi:type="xsd:double"&gt;2.8544188&lt;/D&gt;&lt;D xsi:type="xsd:double"&gt;-2.033496&lt;/D&gt;&lt;D xsi:type="xsd:double"&gt;4.1671515&lt;/D&gt;&lt;D xsi:type="xsd:double"&gt;3.3681393&lt;/D&gt;&lt;D xsi:type="xsd:double"&gt;-0.19614697&lt;/D&gt;&lt;/FQL&gt;&lt;FQL&gt;&lt;Q&gt;SPY^FMA_PE(LTMA,-10AY,0,AM,"PORTAGG","MEANR")&lt;/Q&gt;&lt;R&gt;121&lt;/R&gt;&lt;C&gt;1&lt;/C&gt;&lt;D xsi:type="xsd:double"&gt;16.4012567592694&lt;/D&gt;&lt;D xsi:type="xsd:double"&gt;16.5008302757818&lt;/D&gt;&lt;D xsi:type="xsd:double"&gt;16.4333048698529&lt;/D&gt;&lt;D xsi:type="xsd:double"&gt;16.3812700217889&lt;/D&gt;&lt;D xsi:type="xsd:double"&gt;17.1484068274009&lt;/D&gt;&lt;D xsi:type="xsd:double"&gt;17.5230511247465&lt;/D&gt;&lt;D xsi:type="xsd:double"&gt;17.2971836733182&lt;/D&gt;&lt;D xsi:type="xsd:double"&gt;17.6354460650807&lt;/D&gt;&lt;D xsi:type="xsd:double"&gt;17.4862637390688&lt;/D&gt;&lt;D xsi:type="xsd:double"&gt;17.6077051522952&lt;/D&gt;&lt;D xsi:type="xsd:double"&gt;17.5054366954414&lt;/D&gt;&lt;D xsi:type="xsd:double"&gt;17.484466481276&lt;/D&gt;&lt;D xsi:type="xsd:double"&gt;17.4154509970778&lt;/D&gt;&lt;D xsi:type="xsd:double"&gt;16.6559300050483&lt;/D&gt;&lt;D xsi:type="xsd:double"&gt;16.5299320850738&lt;/D&gt;&lt;D xsi:type="xsd:double"&gt;17.4268916654067&lt;/D&gt;&lt;D xsi:type="xsd:double"&gt;17.4880511416424&lt;/D&gt;&lt;D xsi:type="xsd:double"&gt;17.267833301201&lt;/D&gt;&lt;D xsi:type="xsd:double"&gt;15.9720658754049&lt;/D&gt;&lt;D xsi:type="xsd:double"&gt;16.2966838906097&lt;/D&gt;&lt;D xsi:type="xsd:double"&gt;16.18819342752&lt;/D&gt;&lt;D xsi:type="xsd:double"&gt;16.4452153070474&lt;/D&gt;&lt;D xsi:type="xsd:double"&gt;16.7169237226151&lt;/D&gt;&lt;D xsi:type="xsd:double"&gt;16.6206897365049&lt;/D&gt;&lt;D xsi:type="xsd:double"&gt;17.3442419315341&lt;/D&gt;&lt;D xsi:type="xsd:double"&gt;17.5168705731979&lt;/D&gt;&lt;D xsi:type="xsd:double"&gt;17.5916118583579&lt;/D&gt;&lt;D xsi:type="xsd:double"&gt;17.6303360206669&lt;/D&gt;&lt;D xsi:type="xsd:double"&gt;18.338937061288&lt;/D&gt;&lt;D xsi:type="xsd:double"&gt;18.9474406770002&lt;/D&gt;&lt;D xsi:type="xsd:double"&gt;19.0985677735926&lt;/D&gt;&lt;D xsi:type="xsd:double"&gt;19.539452930892&lt;/D&gt;&lt;D xsi:type="xsd:double"&gt;19.3461676814752&lt;/D&gt;&lt;D xsi:type="xsd:double"&gt;19.2602236497378&lt;/D&gt;&lt;D xsi:type="xsd:double"&gt;19.1914525240663&lt;/D&gt;&lt;D xsi:type="xsd:double"&gt;19.1545585228054&lt;/D&gt;&lt;D xsi:type="xsd:double"&gt;19.2302726609368&lt;/D&gt;&lt;D xsi:type="xsd:double"&gt;18.9556526650034&lt;/D&gt;&lt;D xsi:type="xsd:double"&gt;19.1911483162745&lt;/D&gt;&lt;D xsi:type="xsd:double"&gt;19.5685857920264&lt;/D&gt;&lt;D xsi:type="xsd:double"&gt;19.7228719946164&lt;/D&gt;&lt;D xsi:type="xsd:double"&gt;20.2883467832618&lt;/D&gt;&lt;D xsi:type="xsd:double"&gt;21.4535182086338&lt;/D&gt;&lt;D xsi:type="xsd:double"&gt;20.2982075992428&lt;/D&gt;&lt;D xsi:type="xsd:double"&gt;19.4981652244055&lt;/D&gt;&lt;D xsi:type="xsd:double"&gt;19.1746584617058&lt;/D&gt;&lt;D xsi:type="xsd:double"&gt;18.9513526310138&lt;/D&gt;&lt;D xsi:type="xsd:double"&gt;18.6569863197009&lt;/D&gt;&lt;D xsi:type="xsd:double"&gt;18.7513643964635&lt;/D&gt;&lt;D xsi:type="xsd:double"&gt;18.6401694401227&lt;/D&gt;&lt;D xsi:type="xsd:double"&gt;18.5704804986251&lt;/D&gt;&lt;D xsi:type="xsd:double"&gt;17.0772898744462&lt;/D&gt;&lt;D xsi:type="xsd:double"&gt;16.8151241892191&lt;/D&gt;&lt;D xsi:type="xsd:double"&gt;15.3165532491009&lt;/D&gt;&lt;D xsi:type="xsd:double"&gt;16.46892501174&lt;/D&gt;&lt;D xsi:type="xsd:double"&gt;17.1668226921786&lt;/D&gt;&lt;D xsi:type="xsd:double"&gt;17.1164261637176&lt;/D&gt;&lt;D xsi:type="xsd:double"&gt;17.3057946397782&lt;/D&gt;&lt;D xsi:type="xsd:double"&gt;17.0593342108554&lt;/D&gt;&lt;D xsi:type="xsd:double"&gt;17.3156999071977&lt;/D&gt;&lt;D xsi:type="xsd:double"&gt;17.7995704828345&lt;/D&gt;&lt;D xsi:type="xsd:double"&gt;17.3345639699844&lt;/D&gt;&lt;D xsi:type="xsd:double"&gt;17.8606809467009&lt;/D&gt;&lt;D xsi:type="xsd:double"&gt;18.2364589155931&lt;/D&gt;&lt;D xsi:type="xsd:double"&gt;19.0699721609749&lt;/D&gt;&lt;D xsi:type="xsd:double"&gt;19.8983554974568&lt;/D&gt;&lt;D xsi:type="xsd:double"&gt;20.1571727375938&lt;/D&gt;&lt;D xsi:type="xsd:double"&gt;18.8966648087288&lt;/D&gt;&lt;D xsi:type="xsd:double"&gt;17.6213583591839&lt;/D&gt;&lt;D xsi:type="xsd:double"&gt;18.9703653541181&lt;/D&gt;&lt;D xsi:type="xsd:double"&gt;20.2131674788851&lt;/D&gt;&lt;D xsi:type="xsd:double"&gt;20.8154241128465&lt;/D&gt;&lt;D xsi:type="xsd:double"&gt;22.0329126597884&lt;/D&gt;&lt;D xsi:type="xsd:double"&gt;23.4687142499921&lt;/D&gt;&lt;D xsi:type="xsd:double"&gt;23.1042741093138&lt;/D&gt;&lt;D xsi:type="xsd:double"&gt;23.9641916024129&lt;/D&gt;&lt;D xsi:type="xsd:double"&gt;25.2792895758412&lt;/D&gt;&lt;D xsi:type="xsd:double"&gt;26.8775225696802&lt;/D&gt;&lt;D xsi:type="xsd:double"&gt;27.4280374555479&lt;/D&gt;&lt;D xsi:type="xsd:double"&gt;26.2931693975887&lt;/D&gt;&lt;D xsi:type="xsd:double"&gt;26.0763065652554&lt;/D&gt;&lt;D xsi:type="xsd:double"&gt;25.8381854053816&lt;/D&gt;&lt;D xsi:type="xsd:double"&gt;25.1452281077508&lt;/D&gt;&lt;D xsi:type="xsd:double"&gt;24.8647699180721&lt;/D&gt;&lt;D xsi:type="xsd:double"&gt;24.5455398356755&lt;/D&gt;&lt;D xsi:type="xsd:double"&gt;23.9024253330736&lt;/D&gt;&lt;D xsi:type="xsd:double"&gt;23.5300183549862&lt;/D&gt;&lt;D xsi:type="xsd:double"&gt;23.3532493127496&lt;/D&gt;&lt;D xsi:type="xsd:double"&gt;22.8264105384889&lt;/D&gt;&lt;D xsi:type="xsd:double"&gt;23.1321495877023&lt;/D&gt;&lt;D xsi:type="xsd:double"&gt;21.0500710808163&lt;/D&gt;&lt;D xsi:type="xsd:double"&gt;20.7936649882563&lt;/D&gt;&lt;D xsi:type="xsd:double"&gt;20.7434119330708&lt;/D&gt;&lt;D xsi:type="xsd:double"&gt;20.0667835327092&lt;/D&gt;&lt;D xsi:type="xsd:double"&gt;19.6558620681867&lt;/D&gt;&lt;D xsi:type="xsd:double"&gt;19.0712030355468&lt;/D&gt;&lt;D xsi:type="xsd:double"&gt;18.806160841192&lt;/D&gt;&lt;D xsi:type="xsd:double"&gt;18.9991269114005&lt;/D&gt;&lt;D xsi:type="xsd:double"&gt;17.5258959084538&lt;/D&gt;&lt;D xsi:type="xsd:double"&gt;17.9465120930298&lt;/D&gt;&lt;D xsi:type="xsd:double"&gt;18.4783845851672&lt;/D&gt;&lt;D xsi:type="xsd:double"&gt;17.4992976098455&lt;/D&gt;&lt;D xsi:type="xsd:double"&gt;18.4399504398966&lt;/D&gt;&lt;D xsi:type="xsd:double"&gt;18.0530095123693&lt;/D&gt;&lt;D xsi:type="xsd:double"&gt;18.0500463980301&lt;/D&gt;&lt;D xsi:type="xsd:double"&gt;18.1915818079424&lt;/D&gt;&lt;D xsi:type="xsd:double"&gt;18.4400900824162&lt;/D&gt;&lt;D xsi:type="xsd:double"&gt;18.8284467537979&lt;/D&gt;&lt;D xsi:type="xsd:double"&gt;19.6578281099306&lt;/D&gt;&lt;D xsi:type="xsd:double"&gt;19.2127908336225&lt;/D&gt;&lt;D xsi:type="xsd:double"&gt;18.9848382720711&lt;/D&gt;&lt;D xsi:type="xsd:double"&gt;18.6727646447415&lt;/D&gt;&lt;D xsi:type="xsd:double"&gt;20.3708936301179&lt;/D&gt;&lt;D xsi:type="xsd:double"&gt;21.7090763897213&lt;/D&gt;&lt;D xsi:type="xsd:double"&gt;22.2767425859843&lt;/D&gt;&lt;D xsi:type="xsd:double"&gt;22.6766492142356&lt;/D&gt;&lt;D xsi:type="xsd:double"&gt;22.7270259842462&lt;/D&gt;&lt;D xsi:type="xsd:double"&gt;22.4330382280487&lt;/D&gt;&lt;D xsi:type="xsd:double"&gt;22.5663848656995&lt;/D&gt;&lt;D xsi:type="xsd:double"&gt;22.8110765770639&lt;/D&gt;&lt;D xsi:type="xsd:double"&gt;22.6071855274123&lt;/D&gt;&lt;/FQL&gt;&lt;FQL&gt;&lt;Q&gt;WL-FDS^FG_PRICE_CHANGE(0,-1AM)&lt;/Q&gt;&lt;R&gt;1&lt;/R&gt;&lt;C&gt;1&lt;/C&gt;&lt;D xsi:type="xsd:double"&gt;-7.46661981728742&lt;/D&gt;&lt;/FQL&gt;&lt;FQL&gt;&lt;Q&gt;PLATI-FDS^FG_PRICE_CHANGE(0,-1AY)&lt;/Q&gt;&lt;R&gt;1&lt;/R&gt;&lt;C&gt;1&lt;/C&gt;&lt;D xsi:type="xsd:double"&gt;-2.68872802481903&lt;/D&gt;&lt;/FQL&gt;&lt;FQL&gt;&lt;Q&gt;W-FDS^FG_PRICE_MAVG(0,,,,30)&lt;/Q&gt;&lt;R&gt;1&lt;/R&gt;&lt;C&gt;1&lt;/C&gt;&lt;D xsi:type="xsd:double"&gt;5.5564165&lt;/D&gt;&lt;/FQL&gt;&lt;FQL&gt;&lt;Q&gt;ENZL^FG_PRICE_MAVG(0,,,,200)&lt;/Q&gt;&lt;R&gt;1&lt;/R&gt;&lt;C&gt;1&lt;/C&gt;&lt;D xsi:type="xsd:double"&gt;45.539303&lt;/D&gt;&lt;/FQL&gt;&lt;FQL&gt;&lt;Q&gt;URTH^P_PRICE(0)/P_PRICE_HIGH_PR(0,,,,,,"PRICE","INTRA","52W")&lt;/Q&gt;&lt;R&gt;1&lt;/R&gt;&lt;C&gt;1&lt;/C&gt;&lt;D xsi:type="xsd:double"&gt;0.96551955&lt;/D&gt;&lt;/FQL&gt;&lt;FQL&gt;&lt;Q&gt;SPY^P_PRICE(0)/P_PRICE_HIGH_PR(0,,,,,,"PRICE","INTRA","52W")&lt;/Q&gt;&lt;R&gt;1&lt;/R&gt;&lt;C&gt;1&lt;/C&gt;&lt;D xsi:type="xsd:double"&gt;0.96333784&lt;/D&gt;&lt;/FQL&gt;&lt;FQL&gt;&lt;Q&gt;EWU^FG_TOTAL_RETURNC(0,-3AM)&lt;/Q&gt;&lt;R&gt;1&lt;/R&gt;&lt;C&gt;1&lt;/C&gt;&lt;D xsi:type="xsd:double"&gt;5.4418445&lt;/D&gt;&lt;/FQL&gt;&lt;FQL&gt;&lt;Q&gt;SPY^FMA_COS_DOWN("EPS","1M",+1,0,,,"PORTAGG","MEANR")&lt;/Q&gt;&lt;R&gt;1&lt;/R&gt;&lt;C&gt;1&lt;/C&gt;&lt;D xsi:type="xsd:double"&gt;223&lt;/D&gt;&lt;/FQL&gt;&lt;FQL&gt;&lt;Q&gt;TRYUS10Y-FDS^PCTCHG(FG_YIELD(0,,,,"YTM"),FG_YIELD(-3AM,,,,"YTM"))&lt;/Q&gt;&lt;R&gt;1&lt;/R&gt;&lt;C&gt;1&lt;/C&gt;&lt;D xsi:type="xsd:double"&gt;-10.118691&lt;/D&gt;&lt;/FQL&gt;&lt;FQL&gt;&lt;Q&gt;VWO^FMA_EVAL_EBIT(LTMA,NOW,NOW,M,"PORTAGG","MEANR")&lt;/Q&gt;&lt;R&gt;1&lt;/R&gt;&lt;C&gt;1&lt;/C&gt;&lt;D xsi:type="xsd:double"&gt;14.4114367982592&lt;/D&gt;&lt;/FQL&gt;&lt;FQL&gt;&lt;Q&gt;EWI^JULIAN(FMA_DIV_YLD(NTMA,NOW,NOW,M,"PORTAGG","MEANR").DATES)&lt;/Q&gt;&lt;R&gt;1&lt;/R&gt;&lt;C&gt;1&lt;/C&gt;&lt;D xsi:type="xsd:long"&gt;45471&lt;/D&gt;&lt;/FQL&gt;&lt;FQL&gt;&lt;Q&gt;EWQ^FMA_PE(LTM,0,,,"PORTAGG","MEANR")&lt;/Q&gt;&lt;R&gt;1&lt;/R&gt;&lt;C&gt;1&lt;/C&gt;&lt;D xsi:type="xsd:double"&gt;15.6567420344898&lt;/D&gt;&lt;/FQL&gt;&lt;FQL&gt;&lt;Q&gt;EWU^FMA_DIV_YLD(NTMA,NOW,NOW,M,"PORTAGG","MEANR")&lt;/Q&gt;&lt;R&gt;1&lt;/R&gt;&lt;C&gt;1&lt;/C&gt;&lt;D xsi:type="xsd:double"&gt;3.97999106701433&lt;/D&gt;&lt;/FQL&gt;&lt;FQL&gt;&lt;Q&gt;EWG^FMA_COS_DOWN("EPS","1M",+1,0,,,"PORTAGG","MEANR")&lt;/Q&gt;&lt;R&gt;1&lt;/R&gt;&lt;C&gt;1&lt;/C&gt;&lt;D xsi:type="xsd:double"&gt;34&lt;/D&gt;&lt;/FQL&gt;&lt;FQL&gt;&lt;Q&gt;EWU^FG_ROE(0)&lt;/Q&gt;&lt;R&gt;1&lt;/R&gt;&lt;C&gt;1&lt;/C&gt;&lt;D xsi:type="xsd:double"&gt;14.3552363297439&lt;/D&gt;&lt;/FQL&gt;&lt;FQL&gt;&lt;Q&gt;REFJPTON-FDS^PROPER_NAME(0,,,"SECURITY","NAME")&lt;/Q&gt;&lt;R&gt;1&lt;/R&gt;&lt;C&gt;1&lt;/C&gt;&lt;D xsi:type="xsd:string"&gt;Japan Policy Rate&lt;/D&gt;&lt;/FQL&gt;&lt;FQL&gt;&lt;Q&gt;TRYCA10Y-FDS^FG_YIELD(0,,,,"YTM")&lt;/Q&gt;&lt;R&gt;1&lt;/R&gt;&lt;C&gt;1&lt;/C&gt;&lt;D xsi:type="xsd:double"&gt;3.3237&lt;/D&gt;&lt;/FQL&gt;&lt;FQL&gt;&lt;Q&gt;EWU^FMA_PE(NTMA,0,,,"PORTAGG","MEANR")&lt;/Q&gt;&lt;R&gt;1&lt;/R&gt;&lt;C&gt;1&lt;/C&gt;&lt;D xsi:type="xsd:double"&gt;11.4870550217515&lt;/D&gt;&lt;/FQL&gt;&lt;FQL&gt;&lt;Q&gt;EWG^FG_FCF_YIELD_NTM(0)&lt;/Q&gt;&lt;R&gt;1&lt;/R&gt;&lt;C&gt;1&lt;/C&gt;&lt;D xsi:type="xsd:double"&gt;5.91461764807521&lt;/D&gt;&lt;/FQL&gt;&lt;FQL&gt;&lt;Q&gt;DBA^FG_TOTAL_RETURNC(0,-3AM)&lt;/Q&gt;&lt;R&gt;1&lt;/R&gt;&lt;C&gt;1&lt;/C&gt;&lt;D xsi:type="xsd:double"&gt;-8.218134&lt;/D&gt;&lt;/FQL&gt;&lt;FQL&gt;&lt;Q&gt;VWO^FG_TOTAL_RETURNC(0,-3AM)&lt;/Q&gt;&lt;R&gt;1&lt;/R&gt;&lt;C&gt;1&lt;/C&gt;&lt;D xsi:type="xsd:double"&gt;3.7086606&lt;/D&gt;&lt;/FQL&gt;&lt;FQL&gt;&lt;Q&gt;TRYGB10Y-FDS^FG_YIELD(-10AY,0,Y,,"YTM")&lt;/Q&gt;&lt;R&gt;10&lt;/R&gt;&lt;C&gt;1&lt;/C&gt;&lt;D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xsi:type="xsd:double"&gt;3.534&lt;/D&gt;&lt;/FQL&gt;&lt;FQL&gt;&lt;Q&gt;CAGDPY@CA^EE_ACTUAL_ANNUAL(MED,+1)&lt;/Q&gt;&lt;R&gt;1&lt;/R&gt;&lt;C&gt;1&lt;/C&gt;&lt;D xsi:type="xsd:double"&gt;-0.65&lt;/D&gt;&lt;/FQL&gt;&lt;FQL&gt;&lt;Q&gt;USDITL^FG_COMPANY_NAME&lt;/Q&gt;&lt;R&gt;1&lt;/R&gt;&lt;C&gt;1&lt;/C&gt;&lt;D xsi:type="xsd:string"&gt;Italian Lira per U.S. Dollar&lt;/D&gt;&lt;/FQL&gt;&lt;FQL&gt;&lt;Q&gt;USDGBP^FG_PRICE_CHANGE(0,-6AM)&lt;/Q&gt;&lt;R&gt;1&lt;/R&gt;&lt;C&gt;1&lt;/C&gt;&lt;D xsi:type="xsd:double"&gt;-1.0269582&lt;/D&gt;&lt;/FQL&gt;&lt;FQL&gt;&lt;Q&gt;USDEUR^STD(FG_PRICE_CHANGE(0,-3AY,M))&lt;/Q&gt;&lt;R&gt;1&lt;/R&gt;&lt;C&gt;1&lt;/C&gt;&lt;D xsi:type="xsd:double"&gt;2.13396080606637&lt;/D&gt;&lt;/FQL&gt;&lt;FQL&gt;&lt;Q&gt;EWC^FMA_EPS(NTMA,-20AY,0,CY,,"PORTAGG","MEANR")&lt;/Q&gt;&lt;R&gt;20&lt;/R&gt;&lt;C&gt;1&lt;/C&gt;&lt;D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xsi:type="xsd:double"&gt;2.74920456069371&lt;/D&gt;&lt;D xsi:type="xsd:double"&gt;2.68263358415049&lt;/D&gt;&lt;/FQL&gt;&lt;FQL&gt;&lt;Q&gt;ENZL^FG_PRICE_MAVG(0,,,,60)&lt;/Q&gt;&lt;R&gt;1&lt;/R&gt;&lt;C&gt;1&lt;/C&gt;&lt;D xsi:type="xsd:double"&gt;45.706547&lt;/D&gt;&lt;/FQL&gt;&lt;FQL&gt;&lt;Q&gt;SPY^FMA_COS_UP("EPS","1M",+1,0,,,"PORTAGG","MEANR")&lt;/Q&gt;&lt;R&gt;1&lt;/R&gt;&lt;C&gt;1&lt;/C&gt;&lt;D xsi:type="xsd:double"&gt;184&lt;/D&gt;&lt;/FQL&gt;&lt;FQL&gt;&lt;Q&gt;TRYUS10Y-FDS^PCTCHG(FG_YIELD(0,,,,"YTM"),FG_YIELD(-1AM,,,,"YTM"))&lt;/Q&gt;&lt;R&gt;1&lt;/R&gt;&lt;C&gt;1&lt;/C&gt;&lt;D xsi:type="xsd:double"&gt;-2.8123307&lt;/D&gt;&lt;/FQL&gt;&lt;FQL&gt;&lt;Q&gt;EWD^FMA_EVAL_EBITDA(NTMA,0,,,"PORTAGG","MEANR")&lt;/Q&gt;&lt;R&gt;1&lt;/R&gt;&lt;C&gt;1&lt;/C&gt;&lt;D xsi:type="xsd:double"&gt;10.8325503142626&lt;/D&gt;&lt;/FQL&gt;&lt;FQL&gt;&lt;Q&gt;EWA^FMA_ROE(NTMA,-20AY,NOW,FY,"PORTAGG","MEANR")&lt;/Q&gt;&lt;R&gt;20&lt;/R&gt;&lt;C&gt;1&lt;/C&gt;&lt;D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xsi:type="xsd:string"&gt;@NA&lt;/D&gt;&lt;/FQL&gt;&lt;FQL&gt;&lt;Q&gt;USDAUD^FG_PRICE_CHANGE(0,-1AY)&lt;/Q&gt;&lt;R&gt;1&lt;/R&gt;&lt;C&gt;1&lt;/C&gt;&lt;D xsi:type="xsd:double"&gt;3.021288&lt;/D&gt;&lt;/FQL&gt;&lt;FQL&gt;&lt;Q&gt;ENZL^FMA_DIV_YLD(NTMA,-10AY,0,AM,"PORTAGG","MEANR")&lt;/Q&gt;&lt;R&gt;121&lt;/R&gt;&lt;C&gt;1&lt;/C&gt;&lt;D xsi:type="xsd:double"&gt;4.4107321208011&lt;/D&gt;&lt;D xsi:type="xsd:double"&gt;4.52559437036944&lt;/D&gt;&lt;D xsi:type="xsd:double"&gt;4.57172910160159&lt;/D&gt;&lt;D xsi:type="xsd:double"&gt;4.54067765149342&lt;/D&gt;&lt;D xsi:type="xsd:double"&gt;4.52358126047718&lt;/D&gt;&lt;D xsi:type="xsd:double"&gt;4.4532055061177&lt;/D&gt;&lt;D xsi:type="xsd:double"&gt;4.33885242377295&lt;/D&gt;&lt;D xsi:type="xsd:double"&gt;4.285110418343&lt;/D&gt;&lt;D xsi:type="xsd:double"&gt;4.4085547010672&lt;/D&gt;&lt;D xsi:type="xsd:double"&gt;4.5078759024857&lt;/D&gt;&lt;D xsi:type="xsd:double"&gt;4.44378495062065&lt;/D&gt;&lt;D xsi:type="xsd:double"&gt;4.65300367779847&lt;/D&gt;&lt;D xsi:type="xsd:double"&gt;4.56892410710209&lt;/D&gt;&lt;D xsi:type="xsd:double"&gt;5.09313832529087&lt;/D&gt;&lt;D xsi:type="xsd:double"&gt;5.15988508179072&lt;/D&gt;&lt;D xsi:type="xsd:double"&gt;4.93662791634456&lt;/D&gt;&lt;D xsi:type="xsd:double"&gt;4.86933773611063&lt;/D&gt;&lt;D xsi:type="xsd:double"&gt;4.8055790656829&lt;/D&gt;&lt;D xsi:type="xsd:double"&gt;4.8859313712558&lt;/D&gt;&lt;D xsi:type="xsd:double"&gt;4.85116509122552&lt;/D&gt;&lt;D xsi:type="xsd:double"&gt;4.61056563036032&lt;/D&gt;&lt;D xsi:type="xsd:double"&gt;4.58902952592029&lt;/D&gt;&lt;D xsi:type="xsd:double"&gt;4.47246852276804&lt;/D&gt;&lt;D xsi:type="xsd:double"&gt;4.58098572894418&lt;/D&gt;&lt;D xsi:type="xsd:double"&gt;4.14809735220648&lt;/D&gt;&lt;D xsi:type="xsd:double"&gt;4.21461735867198&lt;/D&gt;&lt;D xsi:type="xsd:double"&gt;4.36647419761252&lt;/D&gt;&lt;D xsi:type="xsd:double"&gt;4.60264742592742&lt;/D&gt;&lt;D xsi:type="xsd:double"&gt;4.60110699620602&lt;/D&gt;&lt;D xsi:type="xsd:double"&gt;4.62341636284621&lt;/D&gt;&lt;D xsi:type="xsd:double"&gt;4.51231926311574&lt;/D&gt;&lt;D xsi:type="xsd:double"&gt;4.61188934273723&lt;/D&gt;&lt;D xsi:type="xsd:double"&gt;4.66220553599295&lt;/D&gt;&lt;D xsi:type="xsd:double"&gt;4.50199849874201&lt;/D&gt;&lt;D xsi:type="xsd:double"&gt;4.44322159044133&lt;/D&gt;&lt;D xsi:type="xsd:double"&gt;4.35568074018609&lt;/D&gt;&lt;D xsi:type="xsd:double"&gt;4.38446950104843&lt;/D&gt;&lt;D xsi:type="xsd:double"&gt;4.26798250550442&lt;/D&gt;&lt;D xsi:type="xsd:double"&gt;4.40822440244401&lt;/D&gt;&lt;D xsi:type="xsd:double"&gt;4.36069141760654&lt;/D&gt;&lt;D xsi:type="xsd:double"&gt;4.37719139915764&lt;/D&gt;&lt;D xsi:type="xsd:double"&gt;4.20979161307138&lt;/D&gt;&lt;D xsi:type="xsd:double"&gt;4.26427339463985&lt;/D&gt;&lt;D xsi:type="xsd:double"&gt;4.24878253844764&lt;/D&gt;&lt;D xsi:type="xsd:double"&gt;4.25620488274406&lt;/D&gt;&lt;D xsi:type="xsd:double"&gt;4.36089180018023&lt;/D&gt;&lt;D xsi:type="xsd:double"&gt;4.21781842953627&lt;/D&gt;&lt;D xsi:type="xsd:double"&gt;4.03152997685171&lt;/D&gt;&lt;D xsi:type="xsd:double"&gt;4.09485658069115&lt;/D&gt;&lt;D xsi:type="xsd:double"&gt;3.94129617921298&lt;/D&gt;&lt;D xsi:type="xsd:double"&gt;3.9642433115536&lt;/D&gt;&lt;D xsi:type="xsd:double"&gt;4.38607379306462&lt;/D&gt;&lt;D xsi:type="xsd:double"&gt;4.31855643515185&lt;/D&gt;&lt;D xsi:type="xsd:double"&gt;4.2151660741196&lt;/D&gt;&lt;D xsi:type="xsd:double"&gt;4.04220007090484&lt;/D&gt;&lt;D xsi:type="xsd:double"&gt;3.96007693673025&lt;/D&gt;&lt;D xsi:type="xsd:double"&gt;3.86763470280471&lt;/D&gt;&lt;D xsi:type="xsd:double"&gt;3.69468587635097&lt;/D&gt;&lt;D xsi:type="xsd:double"&gt;3.66664516401953&lt;/D&gt;&lt;D xsi:type="xsd:double"&gt;3.60244355869682&lt;/D&gt;&lt;D xsi:type="xsd:double"&gt;3.41780138965898&lt;/D&gt;&lt;D xsi:type="xsd:double"&gt;3.46925231188932&lt;/D&gt;&lt;D xsi:type="xsd:double"&gt;3.37730038697148&lt;/D&gt;&lt;D xsi:type="xsd:double"&gt;3.38482040096776&lt;/D&gt;&lt;D xsi:type="xsd:double"&gt;3.29162679384831&lt;/D&gt;&lt;D xsi:type="xsd:double"&gt;3.12270078965475&lt;/D&gt;&lt;D xsi:type="xsd:double"&gt;3.05933272404588&lt;/D&gt;&lt;D xsi:type="xsd:double"&gt;3.12215208264934&lt;/D&gt;&lt;D xsi:type="xsd:double"&gt;3.45381737100907&lt;/D&gt;&lt;D xsi:type="xsd:double"&gt;2.75550617906475&lt;/D&gt;&lt;D xsi:type="xsd:double"&gt;2.49392967242504&lt;/D&gt;&lt;D xsi:type="xsd:double"&gt;2.56457852735202&lt;/D&gt;&lt;D xsi:type="xsd:double"&gt;2.43236879204447&lt;/D&gt;&lt;D xsi:type="xsd:double"&gt;2.28765202426813&lt;/D&gt;&lt;D xsi:type="xsd:double"&gt;2.43104149799949&lt;/D&gt;&lt;D xsi:type="xsd:double"&gt;2.35491730850546&lt;/D&gt;&lt;D xsi:type="xsd:double"&gt;2.43667868144949&lt;/D&gt;&lt;D xsi:type="xsd:double"&gt;2.39817914530644&lt;/D&gt;&lt;D xsi:type="xsd:double"&gt;2.42730829500851&lt;/D&gt;&lt;D xsi:type="xsd:double"&gt;2.63905375014513&lt;/D&gt;&lt;D xsi:type="xsd:double"&gt;2.604526743839&lt;/D&gt;&lt;D xsi:type="xsd:double"&gt;2.57998418948125&lt;/D&gt;&lt;D xsi:type="xsd:double"&gt;2.71836421599819&lt;/D&gt;&lt;D xsi:type="xsd:double"&gt;2.66822141600241&lt;/D&gt;&lt;D xsi:type="xsd:double"&gt;2.63844868790314&lt;/D&gt;&lt;D xsi:type="xsd:double"&gt;2.58442973309971&lt;/D&gt;&lt;D xsi:type="xsd:double"&gt;2.60075462963125&lt;/D&gt;&lt;D xsi:type="xsd:double"&gt;2.67234491419347&lt;/D&gt;&lt;D xsi:type="xsd:double"&gt;2.76889916749643&lt;/D&gt;&lt;D xsi:type="xsd:double"&gt;2.7802623716913&lt;/D&gt;&lt;D xsi:type="xsd:double"&gt;2.98313751259094&lt;/D&gt;&lt;D xsi:type="xsd:double"&gt;3.06663755871834&lt;/D&gt;&lt;D xsi:type="xsd:double"&gt;3.06477577467148&lt;/D&gt;&lt;D xsi:type="xsd:double"&gt;3.16054993868569&lt;/D&gt;&lt;D xsi:type="xsd:double"&gt;3.26085420216276&lt;/D&gt;&lt;D xsi:type="xsd:double"&gt;3.39713766260478&lt;/D&gt;&lt;D xsi:type="xsd:double"&gt;3.35031717210908&lt;/D&gt;&lt;D xsi:type="xsd:double"&gt;3.197992672027&lt;/D&gt;&lt;D xsi:type="xsd:double"&gt;3.31520101627229&lt;/D&gt;&lt;D xsi:type="xsd:double"&gt;3.45388886118203&lt;/D&gt;&lt;D xsi:type="xsd:double"&gt;3.35374493213394&lt;/D&gt;&lt;D xsi:type="xsd:double"&gt;3.45168570044556&lt;/D&gt;&lt;D xsi:type="xsd:double"&gt;3.31549633817761&lt;/D&gt;&lt;D xsi:type="xsd:double"&gt;3.36094363235006&lt;/D&gt;&lt;D xsi:type="xsd:double"&gt;3.48595678234086&lt;/D&gt;&lt;D xsi:type="xsd:double"&gt;3.4038643658368&lt;/D&gt;&lt;D xsi:type="xsd:double"&gt;3.50870281491996&lt;/D&gt;&lt;D xsi:type="xsd:double"&gt;3.51302252535101&lt;/D&gt;&lt;D xsi:type="xsd:double"&gt;3.42721575666942&lt;/D&gt;&lt;D xsi:type="xsd:double"&gt;3.50416812103382&lt;/D&gt;&lt;D xsi:type="xsd:double"&gt;3.43036497539896&lt;/D&gt;&lt;D xsi:type="xsd:double"&gt;3.58479778732059&lt;/D&gt;&lt;D xsi:type="xsd:double"&gt;3.3925263111541&lt;/D&gt;&lt;D xsi:type="xsd:double"&gt;3.01165185393927&lt;/D&gt;&lt;D xsi:type="xsd:double"&gt;2.97871440833777&lt;/D&gt;&lt;D xsi:type="xsd:double"&gt;2.90303939257493&lt;/D&gt;&lt;D xsi:type="xsd:double"&gt;2.74039167767357&lt;/D&gt;&lt;D xsi:type="xsd:double"&gt;2.79050772787111&lt;/D&gt;&lt;D xsi:type="xsd:double"&gt;2.7266674207221&lt;/D&gt;&lt;D xsi:type="xsd:double"&gt;2.72096110623001&lt;/D&gt;&lt;D xsi:type="xsd:double"&gt;2.59222477722833&lt;/D&gt;&lt;/FQL&gt;&lt;FQL&gt;&lt;Q&gt;TIOS-FDS^FG_PRICE_CHANGE(0,-3AM)&lt;/Q&gt;&lt;R&gt;1&lt;/R&gt;&lt;C&gt;1&lt;/C&gt;&lt;D xsi:type="xsd:double"&gt;-2.74146695715323&lt;/D&gt;&lt;/FQL&gt;&lt;FQL&gt;&lt;Q&gt;EWD^FG_PRICE(0)&lt;/Q&gt;&lt;R&gt;1&lt;/R&gt;&lt;C&gt;1&lt;/C&gt;&lt;D xsi:type="xsd:double"&gt;39.66&lt;/D&gt;&lt;/FQL&gt;&lt;FQL&gt;&lt;Q&gt;EWL^FG_PRICE_MAVG(0,,,,200)&lt;/Q&gt;&lt;R&gt;1&lt;/R&gt;&lt;C&gt;1&lt;/C&gt;&lt;D xsi:type="xsd:double"&gt;46.86555&lt;/D&gt;&lt;/FQL&gt;&lt;FQL&gt;&lt;Q&gt;FXI^FMA_PCT_ABOVE_MAVG(200,0,,,,"PORTAGG")&lt;/Q&gt;&lt;R&gt;1&lt;/R&gt;&lt;C&gt;1&lt;/C&gt;&lt;D xsi:type="xsd:double"&gt;56.8627450980392&lt;/D&gt;&lt;/FQL&gt;&lt;FQL&gt;&lt;Q&gt;VGK^PERCENT_CHANGE(FMA_EPS(+1,0,,,,"PORTAGG","MEAN"),FMA_EPS(+1,-3AM,,,,"PORTAGG","MEAN"))&lt;/Q&gt;&lt;R&gt;1&lt;/R&gt;&lt;C&gt;1&lt;/C&gt;&lt;D xsi:type="xsd:double"&gt;0.288719961623054&lt;/D&gt;&lt;/FQL&gt;&lt;FQL&gt;&lt;Q&gt;EWD^FMA_PCT_ABOVE_MAVG(200,0,,,,"PORTAGG")&lt;/Q&gt;&lt;R&gt;1&lt;/R&gt;&lt;C&gt;1&lt;/C&gt;&lt;D xsi:type="xsd:double"&gt;70.4545454545455&lt;/D&gt;&lt;/FQL&gt;&lt;FQL&gt;&lt;Q&gt;EWJ^FMA_PCT_ABOVE_MAVG(200,0,,,,"PORTAGG")&lt;/Q&gt;&lt;R&gt;1&lt;/R&gt;&lt;C&gt;1&lt;/C&gt;&lt;D xsi:type="xsd:double"&gt;62.2549019607843&lt;/D&gt;&lt;/FQL&gt;&lt;FQL&gt;&lt;Q&gt;EWA^P_PRICE(0)/P_PRICE_LOW_PR(0,,,,,,"PRICE","INTRA","52W")-1&lt;/Q&gt;&lt;R&gt;1&lt;/R&gt;&lt;C&gt;1&lt;/C&gt;&lt;D xsi:type="xsd:double"&gt;0.20625615&lt;/D&gt;&lt;/FQL&gt;&lt;FQL&gt;&lt;Q&gt;EWN^FMA_COS_UP("EPS","1M",+1,0,,,"PORTAGG","MEANR")&lt;/Q&gt;&lt;R&gt;1&lt;/R&gt;&lt;C&gt;1&lt;/C&gt;&lt;D xsi:type="xsd:double"&gt;15&lt;/D&gt;&lt;/FQL&gt;&lt;FQL&gt;&lt;Q&gt;TRYIT10Y-FDS^FG_YIELD(0,,,,"YTM")&lt;/Q&gt;&lt;R&gt;1&lt;/R&gt;&lt;C&gt;1&lt;/C&gt;&lt;D xsi:type="xsd:double"&gt;3.754&lt;/D&gt;&lt;/FQL&gt;&lt;FQL&gt;&lt;Q&gt;QQQ^FG_TOTAL_RETURNC(-10AY,0,AM)&lt;/Q&gt;&lt;R&gt;121&lt;/R&gt;&lt;C&gt;1&lt;/C&gt;&lt;D xsi:type="xsd:double"&gt;3.6425948&lt;/D&gt;&lt;D xsi:type="xsd:double"&gt;2.853012&lt;/D&gt;&lt;D xsi:type="xsd:double"&gt;-0.48749447&lt;/D&gt;&lt;D xsi:type="xsd:double"&gt;-0.16196966&lt;/D&gt;&lt;D xsi:type="xsd:double"&gt;6.996548&lt;/D&gt;&lt;D xsi:type="xsd:double"&gt;-0.085777044&lt;/D&gt;&lt;D xsi:type="xsd:double"&gt;-0.85681677&lt;/D&gt;&lt;D xsi:type="xsd:double"&gt;4.5515656&lt;/D&gt;&lt;D xsi:type="xsd:double"&gt;-3.2510817&lt;/D&gt;&lt;D xsi:type="xsd:double"&gt;5.1760197&lt;/D&gt;&lt;D xsi:type="xsd:double"&gt;-1.2122333&lt;/D&gt;&lt;D xsi:type="xsd:double"&gt;0.29553175&lt;/D&gt;&lt;D xsi:type="xsd:double"&gt;1.6747475&lt;/D&gt;&lt;D xsi:type="xsd:double"&gt;-7.263726&lt;/D&gt;&lt;D xsi:type="xsd:double"&gt;0.13978481&lt;/D&gt;&lt;D xsi:type="xsd:double"&gt;9.648275&lt;/D&gt;&lt;D xsi:type="xsd:double"&gt;1.151979&lt;/D&gt;&lt;D xsi:type="xsd:double"&gt;-1.0591984&lt;/D&gt;&lt;D xsi:type="xsd:double"&gt;-8.3844&lt;/D&gt;&lt;D xsi:type="xsd:double"&gt;0.27145147&lt;/D&gt;&lt;D xsi:type="xsd:double"&gt;4.0099382&lt;/D&gt;&lt;D xsi:type="xsd:double"&gt;1.1094451&lt;/D&gt;&lt;D xsi:type="xsd:double"&gt;1.023519&lt;/D&gt;&lt;D xsi:type="xsd:double"&gt;-4.553914&lt;/D&gt;&lt;D xsi:type="xsd:double"&gt;9.109211&lt;/D&gt;&lt;D xsi:type="xsd:double"&gt;2.627647&lt;/D&gt;&lt;D xsi:type="xsd:double"&gt;0.7312894&lt;/D&gt;&lt;D xsi:type="xsd:double"&gt;0.88630915&lt;/D&gt;&lt;D xsi:type="xsd:double"&gt;0.3547907&lt;/D&gt;&lt;D xsi:type="xsd:double"&gt;1.4787197&lt;/D&gt;&lt;D xsi:type="xsd:double"&gt;4.459238&lt;/D&gt;&lt;D xsi:type="xsd:double"&gt;3.7432313&lt;/D&gt;&lt;D xsi:type="xsd:double"&gt;0.49282312&lt;/D&gt;&lt;D xsi:type="xsd:double"&gt;3.2993913&lt;/D&gt;&lt;D xsi:type="xsd:double"&gt;4.6539187&lt;/D&gt;&lt;D xsi:type="xsd:double"&gt;-0.18051267&lt;/D&gt;&lt;D xsi:type="xsd:double"&gt;3.0516386&lt;/D&gt;&lt;D xsi:type="xsd:double"&gt;-2.0017922&lt;/D&gt;&lt;D xsi:type="xsd:double"&gt;1.0665298&lt;/D&gt;&lt;D xsi:type="xsd:double"&gt;2.6472092&lt;/D&gt;&lt;D xsi:type="xsd:double"&gt;6.328249&lt;/D&gt;&lt;D xsi:type="xsd</t>
        </r>
      </text>
    </comment>
    <comment ref="A6" authorId="0" shapeId="0" xr:uid="{67154BFE-F0AF-4537-ADCD-10A6BC6C4F85}">
      <text>
        <r>
          <rPr>
            <b/>
            <sz val="9"/>
            <color indexed="81"/>
            <rFont val="Tahoma"/>
            <charset val="1"/>
          </rPr>
          <t>:double"&gt;0.3743887&lt;/D&gt;&lt;D xsi:type="xsd:double"&gt;9.206486&lt;/D&gt;&lt;D xsi:type="xsd:double"&gt;-0.31006932&lt;/D&gt;&lt;D xsi:type="xsd:double"&gt;-3.3614576&lt;/D&gt;&lt;D xsi:type="xsd:double"&gt;-1.4659286&lt;/D&gt;&lt;D xsi:type="xsd:double"&gt;4.7719&lt;/D&gt;&lt;D xsi:type="xsd:double"&gt;1.6019821&lt;/D&gt;&lt;D xsi:type="xsd:double"&gt;4.6376467&lt;/D&gt;&lt;D xsi:type="xsd:double"&gt;1.349616&lt;/D&gt;&lt;D xsi:type="xsd:double"&gt;1.1620164&lt;/D&gt;&lt;D xsi:type="xsd:double"&gt;-9.556627&lt;/D&gt;&lt;D xsi:type="xsd:double"&gt;-2.2620916&lt;/D&gt;&lt;D xsi:type="xsd:double"&gt;-6.128746&lt;/D&gt;&lt;D xsi:type="xsd:double"&gt;8.32349&lt;/D&gt;&lt;D xsi:type="xsd:double"&gt;5.1771164&lt;/D&gt;&lt;D xsi:type="xsd:double"&gt;3.2673001&lt;/D&gt;&lt;D xsi:type="xsd:double"&gt;6.4786315&lt;/D&gt;&lt;D xsi:type="xsd:double"&gt;-6.5512657&lt;/D&gt;&lt;D xsi:type="xsd:double"&gt;4.5129895&lt;/D&gt;&lt;D xsi:type="xsd:double"&gt;5.1133037&lt;/D&gt;&lt;D xsi:type="xsd:double"&gt;-5.361253&lt;/D&gt;&lt;D xsi:type="xsd:double"&gt;2.6738882&lt;/D&gt;&lt;D xsi:type="xsd:double"&gt;3.3055186&lt;/D&gt;&lt;D xsi:type="xsd:double"&gt;4.584956&lt;/D&gt;&lt;D xsi:type="xsd:double"&gt;4.712355&lt;/D&gt;&lt;D xsi:type="xsd:double"&gt;4.16764&lt;/D&gt;&lt;D xsi:type="xsd:double"&gt;-2.7929962&lt;/D&gt;&lt;D xsi:type="xsd:double"&gt;-11.165786&lt;/D&gt;&lt;D xsi:type="xsd:double"&gt;11.433041&lt;/D&gt;&lt;D xsi:type="xsd:double"&gt;7.108116&lt;/D&gt;&lt;D xsi:type="xsd:double"&gt;5.0615788&lt;/D&gt;&lt;D xsi:type="xsd:double"&gt;6.385815&lt;/D&gt;&lt;D xsi:type="xsd:double"&gt;14.243233&lt;/D&gt;&lt;D xsi:type="xsd:double"&gt;-6.8522635&lt;/D&gt;&lt;D xsi:type="xsd:double"&gt;3.281045&lt;/D&gt;&lt;D xsi:type="xsd:double"&gt;5.636966&lt;/D&gt;&lt;D xsi:type="xsd:double"&gt;4.672098&lt;/D&gt;&lt;D xsi:type="xsd:double"&gt;6.1474323&lt;/D&gt;&lt;D xsi:type="xsd:double"&gt;-4.397571&lt;/D&gt;&lt;D xsi:type="xsd:double"&gt;0.71669817&lt;/D&gt;&lt;D xsi:type="xsd:double"&gt;8.110762&lt;/D&gt;&lt;D xsi:type="xsd:double"&gt;-2.1953583&lt;/D&gt;&lt;D xsi:type="xsd:double"&gt;4.7085404&lt;/D&gt;&lt;D xsi:type="xsd:double"&gt;5.44554&lt;/D&gt;&lt;D xsi:type="xsd:double"&gt;1.0665178&lt;/D&gt;&lt;D xsi:type="xsd:double"&gt;0.35779476&lt;/D&gt;&lt;D xsi:type="xsd:double"&gt;1.5509129&lt;/D&gt;&lt;D xsi:type="xsd:double"&gt;3.1863332&lt;/D&gt;&lt;D xsi:type="xsd:double"&gt;1.5931368&lt;/D&gt;&lt;D xsi:type="xsd:double"&gt;-13.189059&lt;/D&gt;&lt;D xsi:type="xsd:double"&gt;0.34825802&lt;/D&gt;&lt;D xsi:type="xsd:double"&gt;4.0562153&lt;/D&gt;&lt;D xsi:type="xsd:double"&gt;-11.746204&lt;/D&gt;&lt;D xsi:type="xsd:double"&gt;-5.6158247&lt;/D&gt;&lt;D xsi:type="xsd:double"&gt;-1.3921797&lt;/D&gt;&lt;D xsi:type="xsd:double"&gt;-0.08146167&lt;/D&gt;&lt;D xsi:type="xsd:double"&gt;4.4399977&lt;/D&gt;&lt;D xsi:type="xsd:double"&gt;-10.597574&lt;/D&gt;&lt;D xsi:type="xsd:double"&gt;1.2975216&lt;/D&gt;&lt;D xsi:type="xsd:double"&gt;3.2346368&lt;/D&gt;&lt;D xsi:type="xsd:double"&gt;-6.5908375&lt;/D&gt;&lt;D xsi:type="xsd:double"&gt;9.717237&lt;/D&gt;&lt;D xsi:type="xsd:double"&gt;-0.50793886&lt;/D&gt;&lt;D xsi:type="xsd:double"&gt;6.6883087&lt;/D&gt;&lt;D xsi:type="xsd:double"&gt;0.3152132&lt;/D&gt;&lt;D xsi:type="xsd:double"&gt;11.713219&lt;/D&gt;&lt;D xsi:type="xsd:double"&gt;2.804613&lt;/D&gt;&lt;D xsi:type="xsd:double"&gt;5.546856&lt;/D&gt;&lt;D xsi:type="xsd:double"&gt;-3.5759686999999998&lt;/D&gt;&lt;D xsi:type="xsd:double"&gt;-2.5543094&lt;/D&gt;&lt;D xsi:type="xsd:double"&gt;-2.978456&lt;/D&gt;&lt;D xsi:type="xsd:double"&gt;13.341677&lt;/D&gt;&lt;D xsi:type="xsd:double"&gt;5.69582&lt;/D&gt;&lt;D xsi:type="xsd:double"&gt;3.2010078&lt;/D&gt;&lt;D xsi:type="xsd:double"&gt;3.006065&lt;/D&gt;&lt;D xsi:type="xsd:double"&gt;1.6839147&lt;/D&gt;&lt;D xsi:type="xsd:double"&gt;-2.7790308&lt;/D&gt;&lt;D xsi:type="xsd:double"&gt;6.2529087&lt;/D&gt;&lt;D xsi:type="xsd:double"&gt;5.064273&lt;/D&gt;&lt;D xsi:type="xsd:double"&gt;-3.622204&lt;/D&gt;&lt;/FQL&gt;&lt;FQL&gt;&lt;Q&gt;WL-FDS^FG_PRICE_MAVG(0,,,,30)&lt;/Q&gt;&lt;R&gt;1&lt;/R&gt;&lt;C&gt;1&lt;/C&gt;&lt;D xsi:type="xsd:double"&gt;558.0867&lt;/D&gt;&lt;/FQL&gt;&lt;FQL&gt;&lt;Q&gt;PLATI-FDS^FG_PRICE_CHANGE(0,-6AM)&lt;/Q&gt;&lt;R&gt;1&lt;/R&gt;&lt;C&gt;1&lt;/C&gt;&lt;D xsi:type="xsd:double"&gt;3.40659340659342&lt;/D&gt;&lt;/FQL&gt;&lt;FQL&gt;&lt;Q&gt;EWL^FG_PRICE_MAVG(0,,,,60)&lt;/Q&gt;&lt;R&gt;1&lt;/R&gt;&lt;C&gt;1&lt;/C&gt;&lt;D xsi:type="xsd:double"&gt;48.676666&lt;/D&gt;&lt;/FQL&gt;&lt;FQL&gt;&lt;Q&gt;URTH^FG_TOTAL_RETURNC(0,-6AM)&lt;/Q&gt;&lt;R&gt;1&lt;/R&gt;&lt;C&gt;1&lt;/C&gt;&lt;D xsi:type="xsd:double"&gt;10.562611&lt;/D&gt;&lt;/FQL&gt;&lt;FQL&gt;&lt;Q&gt;SPY^FG_TOTAL_RETURNC(0,-6AM)&lt;/Q&gt;&lt;R&gt;1&lt;/R&gt;&lt;C&gt;1&lt;/C&gt;&lt;D xsi:type="xsd:double"&gt;12.412035&lt;/D&gt;&lt;/FQL&gt;&lt;FQL&gt;&lt;Q&gt;EWA^P_PRICE(0)/P_PRICE_HIGH_PR(0,,,,,,"PRICE","INTRA","52W")&lt;/Q&gt;&lt;R&gt;1&lt;/R&gt;&lt;C&gt;1&lt;/C&gt;&lt;D xsi:type="xsd:double"&gt;0.95770276&lt;/D&gt;&lt;/FQL&gt;&lt;FQL&gt;&lt;Q&gt;VWO^FMA_EVAL_EBITDA(NTMA,0,,,"PORTAGG","MEANR")&lt;/Q&gt;&lt;R&gt;1&lt;/R&gt;&lt;C&gt;1&lt;/C&gt;&lt;D xsi:type="xsd:double"&gt;9.0724813545737&lt;/D&gt;&lt;/FQL&gt;&lt;FQL&gt;&lt;Q&gt;TRYMX10Y-FDS^FG_YIELD(-10AY,0,Y,,"YTM")&lt;/Q&gt;&lt;R&gt;10&lt;/R&gt;&lt;C&gt;1&lt;/C&gt;&lt;D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xsi:type="xsd:double"&gt;8.95&lt;/D&gt;&lt;/FQL&gt;&lt;FQL&gt;&lt;Q&gt;USDANG^STD(FG_PRICE_CHANGE(0,-1AY,AM))&lt;/Q&gt;&lt;R&gt;1&lt;/R&gt;&lt;C&gt;1&lt;/C&gt;&lt;D xsi:type="xsd:double"&gt;0&lt;/D&gt;&lt;/FQL&gt;&lt;FQL&gt;&lt;Q&gt;USDUSD^FG_COMPANY_NAME&lt;/Q&gt;&lt;R&gt;1&lt;/R&gt;&lt;C&gt;1&lt;/C&gt;&lt;D xsi:type="xsd:string"&gt;U.S. Dollar per U.S. Dollar&lt;/D&gt;&lt;/FQL&gt;&lt;FQL&gt;&lt;Q&gt;USDCAD^FG_PRICE_CHANGE(0,-6AM)&lt;/Q&gt;&lt;R&gt;1&lt;/R&gt;&lt;C&gt;1&lt;/C&gt;&lt;D xsi:type="xsd:double"&gt;2.9225826&lt;/D&gt;&lt;/FQL&gt;&lt;FQL&gt;&lt;Q&gt;EWI^FMA_EPS(NTMA,-20AY,0,CY,,"PORTAGG","MEANR")&lt;/Q&gt;&lt;R&gt;20&lt;/R&gt;&lt;C&gt;1&lt;/C&gt;&lt;D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xsi:type="xsd:double"&gt;3.81180271683843&lt;/D&gt;&lt;/FQL&gt;&lt;FQL&gt;&lt;Q&gt;EWG^FMA_PE(NTMA,-10AY,0,AM,"PORTAGG","MEANR")&lt;/Q&gt;&lt;R&gt;121&lt;/R&gt;&lt;C&gt;1&lt;/C&gt;&lt;D xsi:type="xsd:double"&gt;12.841185720488&lt;/D&gt;&lt;D xsi:type="xsd:double"&gt;12.7388265150821&lt;/D&gt;&lt;D xsi:type="xsd:double"&gt;12.509559707222&lt;/D&gt;&lt;D xsi:type="xsd:double"&gt;11.8693503743415&lt;/D&gt;&lt;D xsi:type="xsd:double"&gt;12.9911323075462&lt;/D&gt;&lt;D xsi:type="xsd:double"&gt;13.0047754445657&lt;/D&gt;&lt;D xsi:type="xsd:double"&gt;14.1465132678397&lt;/D&gt;&lt;D xsi:type="xsd:double"&gt;14.7185440735501&lt;/D&gt;&lt;D xsi:type="xsd:double"&gt;15.2817809738988&lt;/D&gt;&lt;D xsi:type="xsd:double"&gt;15.1293372762305&lt;/D&gt;&lt;D xsi:type="xsd:double"&gt;14.3973297894566&lt;/D&gt;&lt;D xsi:type="xsd:double"&gt;14.0313547471496&lt;/D&gt;&lt;D xsi:type="xsd:double"&gt;13.7391445768968&lt;/D&gt;&lt;D xsi:type="xsd:double"&gt;12.1358579906068&lt;/D&gt;&lt;D xsi:type="xsd:double"&gt;11.7849711983136&lt;/D&gt;&lt;D xsi:type="xsd:double"&gt;13.2112371874113&lt;/D&gt;&lt;D xsi:type="xsd:double"&gt;13.8981322094139&lt;/D&gt;&lt;D xsi:type="xsd:double"&gt;13.3334512186569&lt;/D&gt;&lt;D xsi:type="xsd:double"&gt;12.3131592758479&lt;/D&gt;&lt;D xsi:type="xsd:double"&gt;12.1494381448621&lt;/D&gt;&lt;D xsi:type="xsd:double"&gt;12.5563692724635&lt;/D&gt;&lt;D xsi:type="xsd:double"&gt;13.048452089024&lt;/D&gt;&lt;D xsi:type="xsd:double"&gt;12.7479670106952&lt;/D&gt;&lt;D xsi:type="xsd:double"&gt;11.7997918166526&lt;/D&gt;&lt;D xsi:type="xsd:double"&gt;12.6472081721699&lt;/D&gt;&lt;D xsi:type="xsd:double"&gt;12.9449339496852&lt;/D&gt;&lt;D xsi:type="xsd:double"&gt;12.7451706136184&lt;/D&gt;&lt;D xsi:type="xsd:double"&gt;13.0172402991347&lt;/D&gt;&lt;D xsi:type="xsd:double"&gt;12.863521034403&lt;/D&gt;&lt;D xsi:type="xsd:double"&gt;13.6284764546732&lt;/D&gt;&lt;D xsi:type="xsd:double"&gt;13.9870962914431&lt;/D&gt;&lt;D xsi:type="xsd:double"&gt;13.6795423947287&lt;/D&gt;&lt;D xsi:type="xsd:double"&gt;13.8409818766307&lt;/D&gt;&lt;D xsi:type="xsd:double"&gt;14.0608224485274&lt;/D&gt;&lt;D xsi:type="xsd:double"&gt;13.7520887255524&lt;/D&gt;&lt;D xsi:type="xsd:double"&gt;13.7579563571747&lt;/D&gt;&lt;D xsi:type="xsd:double"&gt;13.242105888774&lt;/D&gt;&lt;D xsi:type="xsd:double"&gt;13.0306237102773&lt;/D&gt;&lt;D xsi:type="xsd:double"&gt;13.4532511866597&lt;/D&gt;&lt;D xsi:type="xsd:double"&gt;13.9521562055966&lt;/D&gt;&lt;D xsi:type="xsd:double"&gt;13.8585462658147&lt;/D&gt;&lt;D xsi:type="xsd:double"&gt;13.9111221961007&lt;/D&gt;&lt;D xsi:type="xsd:double"&gt;14.0254595617577&lt;/D&gt;&lt;D xsi:type="xsd:double"&gt;13.1975322000213&lt;/D&gt;&lt;D xsi:type="xsd:double"&gt;12.438511079097&lt;/D&gt;&lt;D xsi:type="xsd:double"&gt;13.1132952008616&lt;/D&gt;&lt;D xsi:type="xsd:double"&gt;13.2782878689112&lt;/D&gt;&lt;D xsi:type="xsd:double"&gt;12.68661182662&lt;/D&gt;&lt;D xsi:type="xsd:double"&gt;13.2315646995528&lt;/D&gt;&lt;D xsi:type="xsd:double"&gt;12.8747389765171&lt;/D&gt;&lt;D xsi:type="xsd:double"&gt;12.7835579059648&lt;/D&gt;&lt;D xsi:type="xsd:double"&gt;11.670187331542&lt;/D&gt;&lt;D xsi:type="xsd:double"&gt;11.6236773437296&lt;/D&gt;&lt;D xsi:type="xsd:double"&gt;11.0112390220955&lt;/D&gt;&lt;D xsi:type="xsd:double"&gt;11.883778961671&lt;/D&gt;&lt;D xsi:type="xsd:double"&gt;12.1334069091638&lt;/D&gt;&lt;D xsi:type="xsd:double"&gt;12.0938640049149&lt;/D&gt;&lt;D xsi:type="xsd:double"&gt;12.996511226303&lt;/D&gt;&lt;D xsi:type="xsd:double"&gt;12.3018855893723&lt;/D&gt;&lt;D xsi:type="xsd:double"&gt;12.5522526495911&lt;/D&gt;&lt;D xsi:type="xsd:double"&gt;13.0103525290126&lt;/D&gt;&lt;D xsi:type="xsd:double"&gt;12.3152996597978&lt;/D&gt;&lt;D xsi:type="xsd:double"&gt;12.9142792508513&lt;/D&gt;&lt;D xsi:type="xsd:double"&gt;13.5369346580929&lt;/D&gt;&lt;D xsi:type="xsd:double"&gt;14.0881186614701&lt;/D&gt;&lt;D xsi:type="xsd:double"&gt;14.1766172997396&lt;/D&gt;&lt;D xsi:type="xsd:double"&gt;14.4042959824331&lt;/D&gt;&lt;D xsi:type="xsd:double"&gt;13.5504034590726&lt;/D&gt;&lt;D xsi:type="xsd:double"&gt;11.7712305544366&lt;/D&gt;&lt;D xsi:type="xsd:double"&gt;14.0052676908389&lt;/D&gt;&lt;D xsi:type="xsd:double"&gt;16.4582481521088&lt;/D&gt;&lt;D xsi:type="xsd:double"&gt;17.3644500058966&lt;/D&gt;&lt;D xsi:type="xsd:double"&gt;18.1662467390631&lt;/D&gt;&lt;D xsi:type="xsd:double"&gt;18.1762327126608&lt;/D&gt;&lt;D xsi:type="xsd:double"&gt;16.5187691366732&lt;/D&gt;&lt;D xsi:type="xsd:double"&gt;15.4212271874609&lt;/D&gt;&lt;D xsi:type="xsd:double"&gt;16.2391010287375&lt;/D&gt;&lt;D xsi:type="xsd:double"&gt;16.0013570519307&lt;/D&gt;&lt;D xsi:type="xsd:double"&gt;15.849249676012&lt;/D&gt;&lt;D xsi:type="xsd:double"&gt;15.3083667940233&lt;/D&gt;&lt;D xsi:type="xsd:double"&gt;15.9046684397728&lt;/D&gt;&lt;D xsi:type="xsd:double"&gt;15.5288197273571&lt;/D&gt;&lt;D xsi:type="xsd:double"&gt;14.8065569626807&lt;/D&gt;&lt;D xsi:type="xsd:double"&gt;14.8550789378823&lt;/D&gt;&lt;D xsi:type="xsd:double"&gt;14.4782507544037&lt;/D&gt;&lt;D xsi:type="xsd:double"&gt;14.1968588828686&lt;/D&gt;&lt;D xsi:type="xsd:double"&gt;13.8052385874567&lt;/D&gt;&lt;D xsi:type="xsd:double"&gt;13.8547592601836&lt;/D&gt;&lt;D xsi:type="xsd:double"&gt;12.9842836133738&lt;/D&gt;&lt;D xsi:type="xsd:double"&gt;13.3087133336742&lt;/D&gt;&lt;D xsi:type="xsd:double"&gt;12.9298676118519&lt;/D&gt;&lt;D xsi:type="xsd:double"&gt;11.9246212459917&lt;/D&gt;&lt;D xsi:type="xsd:double"&gt;11.540451202558&lt;/D&gt;&lt;D xsi:type="xsd:double"&gt;11.0019062952194&lt;/D&gt;&lt;D xsi:type="xsd:double"&gt;10.8359741692299&lt;/D&gt;&lt;D xsi:type="xsd:double"&gt;9.96273040494948&lt;/D&gt;&lt;D xsi:type="xsd:double"&gt;10.000580514525&lt;/D&gt;&lt;D xsi:type="xsd:double"&gt;9.64247887614003&lt;/D&gt;&lt;D xsi:type="xsd:double"&gt;9.08760417569571&lt;/D&gt;&lt;D xsi:type="xsd:double"&gt;9.84072531501738&lt;/D&gt;&lt;D xsi:type="xsd:double"&gt;10.8239952070708&lt;/D&gt;&lt;D xsi:type="xsd:double"&gt;10.4587758716492&lt;/D&gt;&lt;D xsi:type="xsd:double"&gt;11.5006520226633&lt;/D&gt;&lt;D xsi:type="xsd:double"&gt;11.3833579749417&lt;/D&gt;&lt;D xsi:type="xsd:double"&gt;10.9828117851744&lt;/D&gt;&lt;D xsi:type="xsd:double"&gt;11.3633241035548&lt;/D&gt;&lt;D xsi:type="xsd:double"&gt;10.9150254299427&lt;/D&gt;&lt;D xsi:type="xsd:double"&gt;10.633095274347&lt;/D&gt;&lt;D xsi:type="xsd:double"&gt;10.8060293337578&lt;/D&gt;&lt;D xsi:type="xsd:double"&gt;10.4780878410383&lt;/D&gt;&lt;D xsi:type="xsd:double"&gt;10.2525564661847&lt;/D&gt;&lt;D xsi:type="xsd:double"&gt;9.80303734257779&lt;/D&gt;&lt;D xsi:type="xsd:double"&gt;10.8236271189399&lt;/D&gt;&lt;D xsi:type="xsd:double"&gt;11.1371248426215&lt;/D&gt;&lt;D xsi:type="xsd:double"&gt;11.5081067434458&lt;/D&gt;&lt;D xsi:type="xsd:double"&gt;11.8625015133424&lt;/D&gt;&lt;D xsi:type="xsd:double"&gt;12.3284279738597&lt;/D&gt;&lt;D xsi:type="xsd:double"&gt;12.0385292642172&lt;/D&gt;&lt;D xsi:type="xsd:double"&gt;12.0199595824331&lt;/D&gt;&lt;D xsi:type="xsd:double"&gt;11.6820649434586&lt;/D&gt;&lt;D xsi:type="xsd:double"&gt;11.7995519527798&lt;/D&gt;&lt;/FQL&gt;&lt;FQL&gt;&lt;Q&gt;COPP-FDS^FG_PRICE_CHANGE(0,-1AY)&lt;/Q&gt;&lt;R&gt;1&lt;/R&gt;&lt;C&gt;1&lt;/C&gt;&lt;D xsi:type="xsd:double"&gt;5.50057833183395&lt;/D&gt;&lt;/FQL&gt;&lt;FQL&gt;&lt;Q&gt;FC0000NZ^FG_PRICE(0)&lt;/Q&gt;&lt;R&gt;1&lt;/R&gt;&lt;C&gt;1&lt;/C&gt;&lt;D xsi:type="xsd:double"&gt;391.05847&lt;/D&gt;&lt;/FQL&gt;&lt;FQL&gt;&lt;Q&gt;SPY^FG_PRICE_MAVG(0,,,,60)&lt;/Q&gt;&lt;R&gt;1&lt;/R&gt;&lt;C&gt;1&lt;/C&gt;&lt;D xsi:type="xsd:double"&gt;537.82635&lt;/D&gt;&lt;/FQL&gt;&lt;FQL&gt;&lt;Q&gt;EWI^PERCENT_CHANGE(FMA_EPS(+1,0,,,,"PORTAGG","MEAN"),FMA_EPS(+1,-1AM,,,,"PORTAGG","MEAN"))&lt;/Q&gt;&lt;R&gt;1&lt;/R&gt;&lt;C&gt;1&lt;/C&gt;&lt;D xsi:type="xsd:double"&gt;-0.487928687262707&lt;/D&gt;&lt;/FQL&gt;&lt;FQL&gt;&lt;Q&gt;EWL^PERCENT_CHANGE(FMA_EPS(+1,0,,,,"PORTAGG","MEAN"),FMA_EPS(+1,-1AM,,,,"PORTAGG","MEAN"))&lt;/Q&gt;&lt;R&gt;1&lt;/R&gt;&lt;C&gt;1&lt;/C&gt;&lt;D xsi:type="xsd:double"&gt;0.76299559821086&lt;/D&gt;&lt;/FQL&gt;&lt;FQL&gt;&lt;Q&gt;EWC^FG_TOTAL_RETURNC(0,-12AM)&lt;/Q&gt;&lt;R&gt;1&lt;/R&gt;&lt;C&gt;1&lt;/C&gt;&lt;D xsi:type="xsd:double"&gt;9.309137&lt;/D&gt;&lt;/FQL&gt;&lt;FQL&gt;&lt;Q&gt;VGK^FMA_COS_DOWN("EPS","1M",+1,0,,,"PORTAGG","MEANR")&lt;/Q&gt;&lt;R&gt;1&lt;/R&gt;&lt;C&gt;1&lt;/C&gt;&lt;D xsi:type="xsd:double"&gt;488&lt;/D&gt;&lt;/FQL&gt;&lt;FQL&gt;&lt;Q&gt;EWU^SIZE(FG_CONSTITUENTS)&lt;/Q&gt;&lt;R&gt;1&lt;/R&gt;&lt;C&gt;1&lt;/C&gt;&lt;D xsi:type="xsd:long"&gt;81&lt;/D&gt;&lt;/FQL&gt;&lt;FQL&gt;&lt;Q&gt;REFFFUND-FDS^PROPER_NAME(0,,,"SECURITY","NAME")&lt;/Q&gt;&lt;R&gt;1&lt;/R&gt;&lt;C&gt;1&lt;/C&gt;&lt;D xsi:type="xsd:string"&gt;US Federal Funds Target Rate&lt;/D&gt;&lt;/FQL&gt;&lt;FQL&gt;&lt;Q&gt;REFNZOCR-FDS^PROPER_NAME(0,,,"SECURITY","NAME")&lt;/Q&gt;&lt;R&gt;1&lt;/R&gt;&lt;C&gt;1&lt;/C&gt;&lt;D xsi:type="xsd:string"&gt;New Zealand Official Cash Rate&lt;/D&gt;&lt;/FQL&gt;&lt;FQL&gt;&lt;Q&gt;CC_US^IMF_IFS_RCPI_Q(0)&lt;/Q&gt;&lt;R&gt;1&lt;/R&gt;&lt;C&gt;1&lt;/C&gt;&lt;D xsi:type="xsd:double"&gt;3.19889&lt;/D&gt;&lt;/FQL&gt;&lt;FQL&gt;&lt;Q&gt;VGK^FG_PE_NTM(0,,,90,0)&lt;/Q&gt;&lt;R&gt;1&lt;/R&gt;&lt;C&gt;1&lt;/C&gt;&lt;D xsi:type="xsd:double"&gt;13.1795996366324&lt;/D&gt;&lt;/FQL&gt;&lt;FQL&gt;&lt;Q&gt;EWN^FMA_DIV_YLD(NTMA,NOW,NOW,M,"PORTAGG","MEANR")&lt;/Q&gt;&lt;R&gt;1&lt;/R&gt;&lt;C&gt;1&lt;/C&gt;&lt;D xsi:type="xsd:double"&gt;2.51529025273026&lt;/D&gt;&lt;/FQL&gt;&lt;FQL&gt;&lt;Q&gt;EWJ^FMA_EVAL_EBIT(LTMA,NOW,NOW,M,"PORTAGG","MEANR")&lt;/Q&gt;&lt;R&gt;1&lt;/R&gt;&lt;C&gt;1&lt;/C&gt;&lt;D xsi:type="xsd:double"&gt;17.7539446095193&lt;/D&gt;&lt;/FQL&gt;&lt;FQL&gt;&lt;Q&gt;EWC^FMA_PE(LTM,0,,,"PORTAGG","MEANR")&lt;/Q&gt;&lt;R&gt;1&lt;/R&gt;&lt;C&gt;1&lt;/C&gt;&lt;D xsi:type="xsd:double"&gt;17.4972181167334&lt;/D&gt;&lt;/FQL&gt;&lt;FQL&gt;&lt;Q&gt;TRYTR7Y-FDS^FG_YIELD(-10AY,0,Y,,"YTM")&lt;/Q&gt;&lt;R&gt;10&lt;/R&gt;&lt;C&gt;1&lt;/C&gt;&lt;D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xsi:type="xsd:double"&gt;21.984322&lt;/D&gt;&lt;/FQL&gt;&lt;FQL&gt;&lt;Q&gt;CC_CA^FG_COMPANY_NAME&lt;/Q&gt;&lt;R&gt;1&lt;/R&gt;&lt;C&gt;1&lt;/C&gt;&lt;D xsi:type="xsd:string"&gt;Canada&lt;/D&gt;&lt;/FQL&gt;&lt;FQL&gt;&lt;Q&gt;EWG^P_PRICE_RETURNS_PR('52W',2,-10AY,0,AM)&lt;/Q&gt;&lt;R&gt;121&lt;/R&gt;&lt;C&gt;1&lt;/C&gt;&lt;D xsi:type="xsd:double"&gt;15.942728&lt;/D&gt;&lt;D xsi:type="xsd:double"&gt;10.871923&lt;/D&gt;&lt;D xsi:type="xsd:double"&gt;2.4187922&lt;/D&gt;&lt;D xsi:type="xsd:double"&gt;-8.587276&lt;/D&gt;&lt;D xsi:type="xsd:double"&gt;-2.5033176&lt;/D&gt;&lt;D xsi:type="xsd:double"&gt;-8.531737&lt;/D&gt;&lt;D xsi:type="xsd:double"&gt;-4.9353895&lt;/D&gt;&lt;D xsi:type="xsd:double"&gt;-4.048598&lt;/D&gt;&lt;D xsi:type="xsd:double"&gt;-0.9210646&lt;/D&gt;&lt;D xsi:type="xsd:double"&gt;-2.8111577&lt;/D&gt;&lt;D xsi:type="xsd:double"&gt;-5.1265&lt;/D&gt;&lt;D xsi:type="xsd:double"&gt;-4.154664&lt;/D&gt;&lt;D xsi:type="xsd:double"&gt;-5.985385&lt;/D&gt;&lt;D xsi:type="xsd:double"&gt;-8.056146&lt;/D&gt;&lt;D xsi:type="xsd:double"&gt;-10.318851&lt;/D&gt;&lt;D xsi:type="xsd:double"&gt;4.226172&lt;/D&gt;&lt;D xsi:type="xsd:double"&gt;-4.34733&lt;/D&gt;&lt;D xsi:type="xsd:double"&gt;-3.2483876&lt;/D&gt;&lt;D xsi:type="xsd:double"&gt;-12.609106&lt;/D&gt;&lt;D xsi:type="xsd:double"&gt;-18.659782&lt;/D&gt;&lt;D xsi:type="xsd:double"&gt;-15.711599&lt;/D&gt;&lt;D xsi:type="xsd:double"&gt;-9.773392&lt;/D&gt;&lt;D xsi:type="xsd:double"&gt;-9.599293&lt;/D&gt;&lt;D xsi:type="xsd:double"&gt;-17.190922&lt;/D&gt;&lt;D xsi:type="xsd:double"&gt;-9.100204&lt;/D&gt;&lt;D xsi:type="xsd:double"&gt;1.1534572&lt;/D&gt;&lt;D xsi:type="xsd:double"&gt;7.8624845&lt;/D&gt;&lt;D xsi:type="xsd:double"&gt;-2.842164&lt;/D&gt;&lt;D xsi:type="xsd:double"&gt;-4.8837423&lt;/D&gt;&lt;D xsi:type="xsd:double"&gt;0.629282&lt;/D&gt;&lt;D xsi:type="xsd:double"&gt;16.515863&lt;/D&gt;&lt;D xsi:type="xsd:double"&gt;20.330894&lt;/D&gt;&lt;D xsi:type="xsd:double"&gt;16.224897&lt;/D&gt;&lt;D xsi:type="xsd:double"&gt;15.302396&lt;/D&gt;&lt;D xsi:type="xsd:double"&gt;20.97019&lt;/D&gt;&lt;D xsi:type="xsd:double"&gt;32.76398&lt;/D&gt;&lt;D xsi:type="xsd:double"&gt;25.373005&lt;/D&gt;&lt;D xsi:type="xsd:double"&gt;20.419168&lt;/D&gt;&lt;D xsi:type="xsd:double"&gt;24.566889&lt;/D&gt;&lt;D xsi:type="xsd:double"&gt;29.217398&lt;/D&gt;&lt;D xsi:type="xsd:double"&gt;36.963238&lt;/D&gt;&lt;D xsi:type="xsd:double"&gt;28.581512&lt;/D&gt;&lt;D xsi:type="xsd:double"&gt;30.75447&lt;/D&gt;&lt;D xsi:type="xsd:double"&gt;23.776436&lt;/D&gt;&lt;D xsi:type="xsd:double"&gt;14.37633&lt;/D&gt;&lt;D xsi:type="xsd:double"&gt;11.7962&lt;/D&gt;&lt;D xsi:type="xsd:double"&gt;6.2983036&lt;/D&gt;&lt;D xsi:type="xsd:double"&gt;0.6920099&lt;/D&gt;&lt;D xsi:type="xsd:double"&gt;3.9055586&lt;/D&gt;&lt;D xsi:type="xsd:double"&gt;1.2724161&lt;/D&gt;&lt;D xsi:type="xsd:double"&gt;-1.8838286&lt;/D&gt;&lt;D xsi:type="xsd:double"&gt;-15.889204&lt;/D&gt;&lt;D xsi:type="xsd:double"&gt;-16.616743&lt;/D&gt;&lt;D xsi:type="xsd:double"&gt;-22.307343&lt;/D&gt;&lt;D xsi:type="xsd:double"&gt;-21.833206&lt;/D&gt;&lt;D xsi:type="xsd:double"&gt;-15.926594&lt;/D&gt;&lt;D xsi:type="xsd:double"&gt;-13.773131&lt;/D&gt;&lt;D xsi:type="xsd:double"&gt;-10.119665&lt;/D&gt;&lt;D xsi:type="xsd:double"&gt;-12.089241&lt;/D&gt;&lt;D xsi:type="xsd:double"&gt;-5.2414713&lt;/D&gt;&lt;D xsi:type="xsd:double"&gt;-9.282482&lt;/D&gt;&lt;D xsi:type="xsd:double"&gt;-12.313491&lt;/D&gt;&lt;D xsi:type="xsd:double"&gt;-9.509659&lt;/D&gt;&lt;D xsi:type="xsd:double"&gt;8.306635&lt;/D&gt;&lt;D xsi:type="xsd:double"&gt;10.334265&lt;/D&gt;&lt;D xsi:type="xsd:double"&gt;20.33471&lt;/D&gt;&lt;D xsi:type="xsd:double"&gt;15.092909&lt;/D&gt;&lt;D xsi:type="xsd:double"&gt;2.214229&lt;/D&gt;&lt;D xsi:type="xsd:double"&gt;-16.050512&lt;/D&gt;&lt;D xsi:type="xsd:double"&gt;-18.994968&lt;/D&gt;&lt;D xsi:type="xsd:double"&gt;-6.754458&lt;/D&gt;&lt;D xsi:type="xsd:double"&gt;-2.938944&lt;/D&gt;&lt;D xsi:type="xsd:double"&gt;5.3587556&lt;/D&gt;&lt;D xsi:type="xsd:double"&gt;18.935871&lt;/D&gt;&lt;D xsi:type="xsd:double"&gt;8.243966&lt;/D&gt;&lt;D xsi:type="xsd:double"&gt;-0.13082027&lt;/D&gt;&lt;D xsi:type="xsd:double"&gt;6.5479517&lt;/D&gt;&lt;D xsi:type="xsd:double"&gt;11.147654&lt;/D&gt;&lt;D xsi:type="xsd:double"&gt;12.295389&lt;/D&gt;&lt;D xsi:type="xsd:double"&gt;20.497835&lt;/D&gt;&lt;D xsi:type="xsd:double"&gt;54.59101&lt;/D&gt;&lt;D xsi:type="xsd:double"&gt;59.996403&lt;/D&gt;&lt;D xsi:type="xsd:double"&gt;45.293438&lt;/D&gt;&lt;D xsi:type="xsd:double"&gt;33.027424&lt;/D&gt;&lt;D xsi:type="xsd:double"&gt;22.583914&lt;/D&gt;&lt;D xsi:type="xsd:double"&gt;17.055405&lt;/D&gt;&lt;D xsi:type="xsd:double"&gt;21.762775&lt;/D&gt;&lt;D xsi:type="xsd:double"&gt;24.654697&lt;/D&gt;&lt;D xsi:type="xsd:double"&gt;7.6613307&lt;/D&gt;&lt;D xsi:type="xsd:double"&gt;5.3040504&lt;/D&gt;&lt;D xsi:type="xsd:double"&gt;-0.22836924&lt;/D&gt;&lt;D xsi:type="xsd:double"&gt;-4.323226&lt;/D&gt;&lt;D xsi:type="xsd:double"&gt;-11.624736&lt;/D&gt;&lt;D xsi:type="xsd:double"&gt;-24.697702&lt;/D&gt;&lt;D xsi:type="xsd:double"&gt;-22.505457&lt;/D&gt;&lt;D xsi:type="xsd:double"&gt;-28.782589&lt;/D&gt;&lt;D xsi:type="xsd:double"&gt;-32.6119&lt;/D&gt;&lt;D xsi:type="xsd:double"&gt;-35.144955&lt;/D&gt;&lt;D xsi:type="xsd:double"&gt;-39.482986&lt;/D&gt;&lt;D xsi:type="xsd:double"&gt;-32.145805&lt;/D&gt;&lt;D xsi:type="xsd:double"&gt;-20.260017&lt;/D&gt;&lt;D xsi:type="xsd:double"&gt;-21.802784&lt;/D&gt;&lt;D xsi:type="xsd:double"&gt;-8.675999&lt;/D&gt;&lt;D xsi:type="xsd:double"&gt;-4.86027&lt;/D&gt;&lt;D xsi:type="xsd:double"&gt;-1.2446344&lt;/D&gt;&lt;D xsi:type="xsd:double"&gt;16.057419&lt;/D&gt;&lt;D xsi:type="xsd:double"&gt;9.282923&lt;/D&gt;&lt;D xsi:type="xsd:double"&gt;19.831741&lt;/D&gt;&lt;D xsi:type="xsd:double"&gt;32.821083&lt;/D&gt;&lt;D xsi:type="xsd:double"&gt;25.072336&lt;/D&gt;&lt;D xsi:type="xsd:double"&gt;35.012997&lt;/D&gt;&lt;D xsi:type="xsd:double"&gt;15.013969&lt;/D&gt;&lt;D xsi:type="xsd:double"&gt;15.694582&lt;/D&gt;&lt;D xsi:type="xsd:double"&gt;23.35968&lt;/D&gt;&lt;D xsi:type="xsd:double"&gt;7.8136206&lt;/D&gt;&lt;D xsi:type="xsd:double"&gt;15.177166&lt;/D&gt;&lt;D xsi:type="xsd:double"&gt;19.693268&lt;/D&gt;&lt;D xsi:type="xsd:double"&gt;9.394037&lt;/D&gt;&lt;D xsi:type="xsd:double"&gt;16.953827&lt;/D&gt;&lt;D xsi:type="xsd:double"&gt;11.543846&lt;/D&gt;&lt;D xsi:type="xsd:double"&gt;10.787177&lt;/D&gt;&lt;/FQL&gt;&lt;FQL&gt;&lt;Q&gt;EWQ^FMA_DIV_YLD(NTMA,-10AY,0,AM,"PORTAGG","MEANR")&lt;/Q&gt;&lt;R&gt;121&lt;/R&gt;&lt;C&gt;1&lt;/C&gt;&lt;D xsi:type="xsd:double"&gt;3.52814120966764&lt;/D&gt;&lt;D xsi:type="xsd:double"&gt;3.52050669214544&lt;/D&gt;&lt;D xsi:type="xsd:double"&gt;3.57565333497623&lt;/D&gt;&lt;D xsi:type="xsd:double"&gt;3.78552751216636&lt;/D&gt;&lt;D xsi:type="xsd:double"&gt;3.57520890234014&lt;/D&gt;&lt;D xsi:type="xsd:double"&gt;3.6279729413225&lt;/D&gt;&lt;D xsi:type="xsd:double"&gt;3.32130039149929&lt;/D&gt;&lt;D xsi:type="xsd:double"&gt;3.14983765726451&lt;/D&gt;&lt;D xsi:type="xsd:double"&gt;3.21164108812443&lt;/D&gt;&lt;D xsi:type="xsd:double"&gt;3.10711521881677&lt;/D&gt;&lt;D xsi:type="xsd:double"&gt;3.25301452621423&lt;/D&gt;&lt;D xsi:type="xsd:double"&gt;3.27726834042018&lt;/D&gt;&lt;D xsi:type="xsd:double"&gt;3.28452386616273&lt;/D&gt;&lt;D xsi:type="xsd:double"&gt;3.71405800259901&lt;/D&gt;&lt;D xsi:type="xsd:double"&gt;3.74803408456056&lt;/D&gt;&lt;D xsi:type="xsd:double"&gt;3.4307019931941&lt;/D&gt;&lt;D xsi:type="xsd:double"&gt;3.44029668736178&lt;/D&gt;&lt;D xsi:type="xsd:double"&gt;3.58412530665212&lt;/D&gt;&lt;D xsi:type="xsd:double"&gt;3.84243637521111&lt;/D&gt;&lt;D xsi:type="xsd:double"&gt;3.84812314720219&lt;/D&gt;&lt;D xsi:type="xsd:double"&gt;3.82252166349583&lt;/D&gt;&lt;D xsi:type="xsd:double"&gt;3.65544889953777&lt;/D&gt;&lt;D xsi:type="xsd:double"&gt;3.67549624097956&lt;/D&gt;&lt;D xsi:type="xsd:double"&gt;4.02729654960358&lt;/D&gt;&lt;D xsi:type="xsd:double"&gt;3.76586812742781&lt;/D&gt;&lt;D xsi:type="xsd:double"&gt;3.73095252396423&lt;/D&gt;&lt;D xsi:type="xsd:double"&gt;3.74619870516648&lt;/D&gt;&lt;D xsi:type="xsd:double"&gt;3.72861365376171&lt;/D&gt;&lt;D xsi:type="xsd:double"&gt;3.69329012655489&lt;/D&gt;&lt;D xsi:type="xsd:double"&gt;3.48655641338116&lt;/D&gt;&lt;D xsi:type="xsd:double"&gt;3.45737578611162&lt;/D&gt;&lt;D xsi:type="xsd:double"&gt;3.51853157716921&lt;/D&gt;&lt;D xsi:type="xsd:double"&gt;3.41020156648233&lt;/D&gt;&lt;D xsi:type="xsd:double"&gt;3.24522783450919&lt;/D&gt;&lt;D xsi:type="xsd:double"&gt;3.23198180743746&lt;/D&gt;&lt;D xsi:type="xsd:double"&gt;3.27495848316911&lt;/D&gt;&lt;D xsi:type="xsd:double"&gt;3.34064656614134&lt;/D&gt;&lt;D xsi:type="xsd:double"&gt;3.4176085703536&lt;/D&gt;&lt;D xsi:type="xsd:double"&gt;3.32511540795139&lt;/D&gt;&lt;D xsi:type="xsd:double"&gt;3.25580811230466&lt;/D&gt;&lt;D xsi:type="xsd:double"&gt;3.29704355697815&lt;/D&gt;&lt;D xsi:type="xsd:double"&gt;3.29191042843036&lt;/D&gt;&lt;D xsi:type="xsd:double"&gt;3.20099865215138&lt;/D&gt;&lt;D xsi:type="xsd:double"&gt;3.35985271317858&lt;/D&gt;&lt;D xsi:type="xsd:double"&gt;3.52341317668342&lt;/D&gt;&lt;D xsi:type="xsd:double"&gt;3.33682416494876&lt;/D&gt;&lt;D xsi:type="xsd:double"&gt;3.3072336356364&lt;/D&gt;&lt;D xsi:type="xsd:double"&gt;3.48528355129244&lt;/D&gt;&lt;D xsi:type="xsd:double"&gt;3.38564259993642&lt;/D&gt;&lt;D xsi:type="xsd:double"&gt;3.43554453869966&lt;/D&gt;&lt;D xsi:type="xsd:double"&gt;3.41121808236817&lt;/D&gt;&lt;D xsi:type="xsd:double"&gt;3.79993301081582&lt;/D&gt;&lt;D xsi:type="xsd:double"&gt;3.7992134542974&lt;/D&gt;&lt;D xsi:type="xsd:double"&gt;4.09427264619107&lt;/D&gt;&lt;D xsi:type="xsd:double"&gt;3.84173153562059&lt;/D&gt;&lt;D xsi:type="xsd:double"&gt;3.65111870835292&lt;/D&gt;&lt;D xsi:type="xsd:double"&gt;3.63065136771818&lt;/D&gt;&lt;D xsi:type="xsd:double"&gt;3.47858465226856&lt;/D&gt;&lt;D xsi:type="xsd:double"&gt;3.65358853813825&lt;/D&gt;&lt;D xsi:type="xsd:double"&gt;3.55253386051566&lt;/D&gt;&lt;D xsi:type="xsd:double"&gt;3.49586977148978&lt;/D&gt;&lt;D xsi:type="xsd:double"&gt;3.68360882907356&lt;/D&gt;&lt;D xsi:type="xsd:double"&gt;3.51996307255189&lt;/D&gt;&lt;D xsi:type="xsd:double"&gt;3.45951440359108&lt;/D&gt;&lt;D xsi:type="xsd:double"&gt;3.36285398954141&lt;/D&gt;&lt;D xsi:type="xsd:double"&gt;3.326669490357&lt;/D&gt;&lt;D xsi:type="xsd:double"&gt;3.3237941314503&lt;/D&gt;&lt;D xsi:type="xsd:double"&gt;3.49369368767894&lt;/D&gt;&lt;D xsi:type="xsd:double"&gt;4.23623373725634&lt;/D&gt;&lt;D xsi:type="xsd:double"&gt;3.77472813371063&lt;/D&gt;&lt;D xsi:type="xsd:double"&gt;3.39668011132601&lt;/D&gt;&lt;D xsi:type="xsd:double"&gt;3.18345497155422&lt;/D&gt;&lt;D xsi:type="xsd:double"&gt;3.12363464303058&lt;/D&gt;&lt;D xsi:type="xsd:double"&gt;3.08135312699944&lt;/D&gt;&lt;D xsi:type="xsd:double"&gt;3.34648526341369&lt;/D&gt;&lt;D xsi:type="xsd:double"&gt;3.28226560098985&lt;/D&gt;&lt;D xsi:type="xsd:double"&gt;2.88903755720776&lt;/D&gt;&lt;D xsi:type="xsd:double"&gt;2.94410175778148&lt;/D&gt;&lt;D xsi:type="xsd:double"&gt;2.96294610296574&lt;/D&gt;&lt;D xsi:type="xsd:double"&gt;2.88006278485536&lt;/D&gt;&lt;D xsi:type="xsd:double"&gt;2.78257739142418&lt;/D&gt;&lt;D xsi:type="xsd:double"&gt;2.69238928592757&lt;/D&gt;&lt;D xsi:type="xsd:double"&gt;2.70595751616102&lt;/D&gt;&lt;D xsi:type="xsd:double"&gt;2.65499834983752&lt;/D&gt;&lt;D xsi:type="xsd:double"&gt;2.7011626744859&lt;/D&gt;&lt;D xsi:type="xsd:double"&gt;2.7635949522242&lt;/D&gt;&lt;D xsi:type="xsd:double"&gt;2.80589426954945&lt;/D&gt;&lt;D xsi:type="xsd:double"&gt;2.81584854991682&lt;/D&gt;&lt;D xsi:type="xsd:double"&gt;2.88322404376377&lt;/D&gt;&lt;D xsi:type="xsd:double"&gt;2.75627438758187&lt;/D&gt;&lt;D xsi:type="xsd:double"&gt;2.84244530752691&lt;/D&gt;&lt;D xsi:type="xsd:double"&gt;3.04247609049815&lt;/D&gt;&lt;D xsi:type="xsd:double"&gt;3.14379706974217&lt;/D&gt;&lt;D xsi:type="xsd:double"&gt;3.20992671881001&lt;/D&gt;&lt;D xsi:type="xsd:double"&gt;3.23999393496002&lt;/D&gt;&lt;D xsi:type="xsd:double"&gt;3.44961120543206&lt;/D&gt;&lt;D xsi:type="xsd:double"&gt;3.38645493355209&lt;/D&gt;&lt;D xsi:type="xsd:double"&gt;3.42917776421481&lt;/D&gt;&lt;D xsi:type="xsd:double"&gt;3.77711998245587&lt;/D&gt;&lt;D xsi:type="xsd:double"&gt;3.47086830193311&lt;/D&gt;&lt;D xsi:type="xsd:double"&gt;3.26723137507291&lt;/D&gt;&lt;D xsi:type="xsd:double"&gt;3.36783584530555&lt;/D&gt;&lt;D xsi:type="xsd:double"&gt;3.10300791584897&lt;/D&gt;&lt;D xsi:type="xsd:double"&gt;3.18959542618442&lt;/D&gt;&lt;D xsi:type="xsd:double"&gt;3.29708322547758&lt;/D&gt;&lt;D xsi:type="xsd:double"&gt;3.12601824820336&lt;/D&gt;&lt;D xsi:type="xsd:double"&gt;3.25052866940322&lt;/D&gt;&lt;D xsi:type="xsd:double"&gt;3.31916639922201&lt;/D&gt;&lt;D xsi:type="xsd:double"&gt;3.28611659744175&lt;/D&gt;&lt;D xsi:type="xsd:double"&gt;3.37166776404692&lt;/D&gt;&lt;D xsi:type="xsd:double"&gt;3.45459000854692&lt;/D&gt;&lt;D xsi:type="xsd:double"&gt;3.54627125964946&lt;/D&gt;&lt;D xsi:type="xsd:double"&gt;3.34195215126601&lt;/D&gt;&lt;D xsi:type="xsd:double"&gt;3.21779218185989&lt;/D&gt;&lt;D xsi:type="xsd:double"&gt;3.17631855056986&lt;/D&gt;&lt;D xsi:type="xsd:double"&gt;3.12241764613667&lt;/D&gt;&lt;D xsi:type="xsd:double"&gt;3.05846964253576&lt;/D&gt;&lt;D xsi:type="xsd:double"&gt;3.11550729435074&lt;/D&gt;&lt;D xsi:type="xsd:double"&gt;3.11425001178787&lt;/D&gt;&lt;D xsi:type="xsd:double"&gt;3.33989664505764&lt;/D&gt;&lt;D xsi:type="xsd:double"&gt;3.38504600321379&lt;/D&gt;&lt;/FQL&gt;&lt;FQL&gt;&lt;Q&gt;DDR3512M-FDS^FG_PRICE_CHANGE(0,-6AM)&lt;/Q&gt;&lt;R&gt;1&lt;/R&gt;&lt;C&gt;1&lt;/C&gt;&lt;D xsi:type="xsd:double"&gt;-6.34234122026985&lt;/D&gt;&lt;/FQL&gt;&lt;FQL&gt;&lt;Q&gt;NI-FDS^FG_PRICE_CHANGE(0,-1AY)&lt;/Q&gt;&lt;R&gt;1&lt;/R&gt;&lt;C&gt;1&lt;/C&gt;&lt;D xsi:type="xsd:double"&gt;-27.9258400926999&lt;/D&gt;&lt;/FQL&gt;&lt;FQL&gt;&lt;Q&gt;CPALM-FDS^FG_PRICE_MAVG(0,,,,30)&lt;/Q&gt;&lt;R&gt;1&lt;/R&gt;&lt;C&gt;1&lt;/C&gt;&lt;D xsi:type="xsd:double"&gt;3996.7&lt;/D&gt;&lt;/FQL&gt;&lt;FQL&gt;&lt;Q&gt;FC0000CH^FG_PRICE(0)&lt;/Q&gt;&lt;R&gt;1&lt;/R&gt;&lt;C&gt;1&lt;/C&gt;&lt;D xsi:type="xsd:double"&gt;340.94363&lt;/D&gt;&lt;/FQL&gt;&lt;FQL&gt;&lt;Q&gt;EWC^FG_PRICE_MAVG(0,,,,200)&lt;/Q&gt;&lt;R&gt;1&lt;/R&gt;&lt;C&gt;1&lt;/C&gt;&lt;D xsi:type="xsd:double"&gt;36.4474&lt;/D&gt;&lt;/FQL&gt;&lt;FQL&gt;&lt;Q&gt;EWQ^P_PRICE(0)/P_PRICE_HIGH_PR(0,,,,,,"PRICE","INTRA","52W")&lt;/Q&gt;&lt;R&gt;1&lt;/R&gt;&lt;C&gt;1&lt;/C&gt;&lt;D xsi:type="xsd:double"&gt;0.9079813&lt;/D&gt;&lt;/FQL&gt;&lt;FQL&gt;&lt;Q&gt;QQQ^FG_TOTAL_RETURNC(0,-1AM)&lt;/Q&gt;&lt;R&gt;1&lt;/R&gt;&lt;C&gt;1&lt;/C&gt;&lt;D xsi:type="xsd:double"&gt;-3.622204&lt;/D&gt;&lt;/FQL&gt;&lt;FQL&gt;&lt;Q&gt;ENZL^FG_TOTAL_RETURNC(0,-1AM)&lt;/Q&gt;&lt;R&gt;1&lt;/R&gt;&lt;C&gt;1&lt;/C&gt;&lt;D xsi:type="xsd:double"&gt;0.7273555&lt;/D&gt;&lt;/FQL&gt;&lt;FQL&gt;&lt;Q&gt;EWG^FMA_RBICS_REV_CURRENT(30, LOC, "PORTAGG")&lt;/Q&gt;&lt;R&gt;1&lt;/R&gt;&lt;C&gt;1&lt;/C&gt;&lt;D xsi:type="xsd:double"&gt;23.0594534932325&lt;/D&gt;&lt;/FQL&gt;&lt;FQL&gt;&lt;Q&gt;TRYFR10Y-FDS^FG_YIELD_NAME&lt;/Q&gt;&lt;R&gt;1&lt;/R&gt;&lt;C&gt;1&lt;/C&gt;&lt;D xsi:type="xsd:string"&gt;France Benchmark Bond - 10 Year&lt;/D&gt;&lt;/FQL&gt;&lt;FQL&gt;&lt;Q&gt;TRYDE10Y-FDS^PCTCHG(FG_YIELD(0,,,,"YTM"),FG_YIELD(-1AM,,,,"YTM"))&lt;/Q&gt;&lt;R&gt;1&lt;/R&gt;&lt;C&gt;1&lt;/C&gt;&lt;D xsi:type="xsd:double"&gt;-1.6768872&lt;/D&gt;&lt;/FQL&gt;&lt;FQL&gt;&lt;Q&gt;TRYGB10Y-FDS^FG_YIELD(0,,,,"YTM")&lt;/Q&gt;&lt;R&gt;1&lt;/R&gt;&lt;C&gt;1&lt;/C&gt;&lt;D xsi:type="xsd:double"&gt;4.079&lt;/D&gt;&lt;/FQL&gt;&lt;FQL&gt;&lt;Q&gt;VGK^FG_PE(0)&lt;/Q&gt;&lt;R&gt;1&lt;/R&gt;&lt;C&gt;1&lt;/C&gt;&lt;D xsi:type="xsd:double"&gt;14.2074480614989&lt;/D&gt;&lt;/FQL&gt;&lt;FQL&gt;&lt;Q&gt;TLT^FG_TOTAL_RETURNC(0,-3AM)&lt;/Q&gt;&lt;R&gt;1&lt;/R&gt;&lt;C&gt;1&lt;/C&gt;&lt;D xsi:type="xsd:double"&gt;6.44871&lt;/D&gt;&lt;/FQL&gt;&lt;FQL&gt;&lt;Q&gt;GLD^FG_TOTAL_RETURNC(0,-6AM)&lt;/Q&gt;&lt;R&gt;1&lt;/R&gt;&lt;C&gt;1&lt;/C&gt;&lt;D xsi:type="xsd:double"&gt;17.977655&lt;/D&gt;&lt;/FQL&gt;&lt;FQL&gt;&lt;Q&gt;EWI^FMA_ROE(NTMA,-20AY,NOW,FY,"PORTAGG","MEANR")&lt;/Q&gt;&lt;R&gt;20&lt;/R&gt;&lt;C&gt;1&lt;/C&gt;&lt;D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xsi:type="xsd:double"&gt;13.3572149047324&lt;/D&gt;&lt;/FQL&gt;&lt;FQL&gt;&lt;Q&gt;USDANG^FG_PRICE_CHANGE(0,-6AM)&lt;/Q&gt;&lt;R&gt;1&lt;/R&gt;&lt;C&gt;1&lt;/C&gt;&lt;D xsi:type="xsd:double"&gt;0&lt;/D&gt;&lt;/FQL&gt;&lt;FQL&gt;&lt;Q&gt;USDUSD^STD(FG_PRICE_CHANGE(0,-1AY,AM))&lt;/Q&gt;&lt;R&gt;1&lt;/R&gt;&lt;C&gt;1&lt;/C&gt;&lt;D xsi:type="xsd:double"&gt;0&lt;/D&gt;&lt;/FQL&gt;&lt;FQL&gt;&lt;Q&gt;EWN^FMA_EPS(NTMA,-20AY,0,CY,,"PORTAGG","MEANR")&lt;/Q&gt;&lt;R&gt;20&lt;/R&gt;&lt;C&gt;1&lt;/C&gt;&lt;D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xsi:type="xsd:double"&gt;2.95560750497075&lt;/D&gt;&lt;/FQL&gt;&lt;FQL&gt;&lt;Q&gt;EWC^FMA_PE(NTMA,-10AY,0,AM,"PORTAGG","MEANR")&lt;/Q&gt;&lt;R&gt;121&lt;/R&gt;&lt;C&gt;1&lt;/C&gt;&lt;D xsi:type="xsd:double"&gt;15.222213296068&lt;/D&gt;&lt;D xsi:type="xsd:double"&gt;15.2124911124116&lt;/D&gt;&lt;D xsi:type="xsd:double"&gt;14.5606650456939&lt;/D&gt;&lt;D xsi:type="xsd:double"&gt;14.1376341400123&lt;/D&gt;&lt;D xsi:type="xsd:double"&gt;14.8652368524019&lt;/D&gt;&lt;D xsi:type="xsd:double"&gt;15.4116897729477&lt;/D&gt;&lt;D xsi:type="xsd:double"&gt;16.3223602093766&lt;/D&gt;&lt;D xsi:type="xsd:double"&gt;17.4767055625233&lt;/D&gt;&lt;D xsi:type="xsd:double"&gt;17.0213416069774&lt;/D&gt;&lt;D xsi:type="xsd:double"&gt;17.4759822311403&lt;/D&gt;&lt;D xsi:type="xsd:double"&gt;16.6314938705256&lt;/D&gt;&lt;D xsi:type="xsd:double"&gt;16.1806781809928&lt;/D&gt;&lt;D xsi:type="xsd:double"&gt;15.2854153200855&lt;/D&gt;&lt;D xsi:type="xsd:double"&gt;14.3961286373307&lt;/D&gt;&lt;D xsi:type="xsd:double"&gt;14.5021462210472&lt;/D&gt;&lt;D xsi:type="xsd:double"&gt;14.9994971792014&lt;/D&gt;&lt;D xsi:type="xsd:double"&gt;14.5821341223172&lt;/D&gt;&lt;D xsi:type="xsd:double"&gt;14.6176224630052&lt;/D&gt;&lt;D xsi:type="xsd:double"&gt;13.705471845098&lt;/D&gt;&lt;D xsi:type="xsd:double"&gt;14.839457177931&lt;/D&gt;&lt;D xsi:type="xsd:double"&gt;15.9227504424342&lt;/D&gt;&lt;D xsi:type="xsd:double"&gt;16.4755029110221&lt;/D&gt;&lt;D xsi:type="xsd:double"&gt;16.5939097021973&lt;/D&gt;&lt;D xsi:type="xsd:double"&gt;16.1950782049183&lt;/D&gt;&lt;D xsi:type="xsd:double"&gt;16.445208603602&lt;/D&gt;&lt;D xsi:type="xsd:double"&gt;16.3162743176698&lt;/D&gt;&lt;D xsi:type="xsd:double"&gt;15.9946728340034&lt;/D&gt;&lt;D xsi:type="xsd:double"&gt;16.0164262651008&lt;/D&gt;&lt;D xsi:type="xsd:double"&gt;16.0255070001572&lt;/D&gt;&lt;D xsi:type="xsd:double"&gt;15.9075514760737&lt;/D&gt;&lt;D xsi:type="xsd:double"&gt;16.2415604115437&lt;/D&gt;&lt;D xsi:type="xsd:double"&gt;15.9617235612851&lt;/D&gt;&lt;D xsi:type="xsd:double"&gt;15.7933055978743&lt;/D&gt;&lt;D xsi:type="xsd:double"&gt;15.8505978202792&lt;/D&gt;&lt;D xsi:type="xsd:double"&gt;15.7326574806776&lt;/D&gt;&lt;D xsi:type="xsd:double"&gt;15.2996610252784&lt;/D&gt;&lt;D xsi:type="xsd:double"&gt;15.5683256102446&lt;/D&gt;&lt;D xsi:type="xsd:double"&gt;15.4477280413113&lt;/D&gt;&lt;D xsi:type="xsd:double"&gt;15.6026323614335&lt;/D&gt;&lt;D xsi:type="xsd:double"&gt;15.8153364559649&lt;/D&gt;&lt;D xsi:type="xsd:double"&gt;15.9086079475206&lt;/D&gt;&lt;D xsi:type="xsd:double"&gt;15.8929536298103&lt;/D&gt;&lt;D xsi:type="xsd:double"&gt;15.4945469758738&lt;/D&gt;&lt;D xsi:type="xsd:double"&gt;14.7085116983678&lt;/D&gt;&lt;D xsi:type="xsd:double"&gt;14.0928940580716&lt;/D&gt;&lt;D xsi:type="xsd:double"&gt;14.218079115682&lt;/D&gt;&lt;D xsi:type="xsd:double"&gt;14.1538899581057&lt;/D&gt;&lt;D xsi:type="xsd:double"&gt;14.3047309353458&lt;/D&gt;&lt;D xsi:type="xsd:double"&gt;14.2403999065595&lt;/D&gt;&lt;D xsi:type="xsd:double"&gt;13.9368957685575&lt;/D&gt;&lt;D xsi:type="xsd:double"&gt;13.6510385511269&lt;/D&gt;&lt;D xsi:type="xsd:double"&gt;12.428995998694&lt;/D&gt;&lt;D xsi:type="xsd:double"&gt;12.5373272719229&lt;/D&gt;&lt;D xsi:type="xsd:double"&gt;11.6547072272509&lt;/D&gt;&lt;D xsi:type="xsd:double"&gt;13.5128194772534&lt;/D&gt;&lt;D xsi:type="xsd:double"&gt;14.1446299465278&lt;/D&gt;&lt;D xsi:type="xsd:double"&gt;14.1432288739607&lt;/D&gt;&lt;D xsi:type="xsd:double"&gt;13.9518569273026&lt;/D&gt;&lt;D xsi:type="xsd:double"&gt;13.4828062029352&lt;/D&gt;&lt;D xsi:type="xsd:double"&gt;13.6143518798428&lt;/D&gt;&lt;D xsi:type="xsd:double"&gt;13.741239514338&lt;/D&gt;&lt;D xsi:type="xsd:double"&gt;13.3878472702804&lt;/D&gt;&lt;D xsi:type="xsd:double"&gt;14.0126111769795&lt;/D&gt;&lt;D xsi:type="xsd:double"&gt;13.8658875412248&lt;/D&gt;&lt;D xsi:type="xsd:double"&gt;14.3793001420785&lt;/D&gt;&lt;D xsi:type="xsd:double"&gt;14.5279070188115&lt;/D&gt;&lt;D xsi:type="xsd:double"&gt;14.6847313883159&lt;/D&gt;&lt;D xsi:type="xsd:double"&gt;14.3174908386198&lt;/D&gt;&lt;D xsi:type="xsd:double"&gt;12.947647770502&lt;/D&gt;&lt;D xsi:type="xsd:double"&gt;15.758740817768&lt;/D&gt;&lt;D xsi:type="xsd:double"&gt;18.5258307836505&lt;/D&gt;&lt;D xsi:type="xsd:double"&gt;17.3640115573926&lt;/D&gt;&lt;D xsi:type="xsd:double"&gt;17.337314081403&lt;/D&gt;&lt;D xsi:type="xsd:double"&gt;17.5297497862659&lt;/D&gt;&lt;D xsi:type="xsd:double"&gt;16.236707615585&lt;/D&gt;&lt;D xsi:type="xsd:double"&gt;15.7578232399929&lt;/D&gt;&lt;D xsi:type="xsd:double"&gt;16.2696565889483&lt;/D&gt;&lt;D xsi:type="xsd:double"&gt;16.0225614829409&lt;/D&gt;&lt;D xsi:type="xsd:double"&gt;15.825633508292&lt;/D&gt;&lt;D xsi:type="xsd:double"&gt;15.1177284599745&lt;/D&gt;&lt;D xsi:type="xsd:double"&gt;15.3703180252238&lt;/D&gt;&lt;D xsi:type="xsd:double"&gt;15.5225765947251&lt;/D&gt;&lt;D xsi:type="xsd:double"&gt;15.4726357609625&lt;/D&gt;&lt;D xsi:type="xsd:double"&gt;15.6918917921395&lt;/D&gt;&lt;D xsi:type="xsd:double"&gt;15.175062957742&lt;/D&gt;&lt;D xsi:type="xsd:double"&gt;14.8379880148771&lt;/D&gt;&lt;D xsi:type="xsd:double"&gt;14.5937145354816&lt;/D&gt;&lt;D xsi:type="xsd:double"&gt;15.0447027968105&lt;/D&gt;&lt;D xsi:type="xsd:double"&gt;14.5341285799261&lt;/D&gt;&lt;D xsi:type="xsd:double"&gt;14.4383437840623&lt;/D&gt;&lt;D xsi:type="xsd:double"&gt;13.7827347716057&lt;/D&gt;&lt;D xsi:type="xsd:double"&gt;13.9203451815443&lt;/D&gt;&lt;D xsi:type="xsd:double"&gt;13.7049784168976&lt;/D&gt;&lt;D xsi:type="xsd:double"&gt;12.615852367221&lt;/D&gt;&lt;D xsi:type="xsd:double"&gt;12.3571865338204&lt;/D&gt;&lt;D xsi:type="xsd:double"&gt;11.2960536865099&lt;/D&gt;&lt;D xsi:type="xsd:double"&gt;11.1695103702481&lt;/D&gt;&lt;D xsi:type="xsd:double"&gt;11.6703099684881&lt;/D&gt;&lt;D xsi:type="xsd:double"&gt;10.7026656874423&lt;/D&gt;&lt;D xsi:type="xsd:double"&gt;11.3883299458795&lt;/D&gt;&lt;D xsi:type="xsd:double"&gt;12.1693714035588&lt;/D&gt;&lt;D xsi:type="xsd:double"&gt;11.9828535896314&lt;/D&gt;&lt;D xsi:type="xsd:double"&gt;13.0230543531463&lt;/D&gt;&lt;D xsi:type="xsd:double"&gt;12.6799373618683&lt;/D&gt;&lt;D xsi:type="xsd:double"&gt;12.3334546442512&lt;/D&gt;&lt;D xsi:type="xsd:double"&gt;12.9011920828855&lt;/D&gt;&lt;D xsi:type="xsd:double"&gt;12.8434026862054&lt;/D&gt;&lt;D xsi:type="xsd:double"&gt;12.6659509612489&lt;/D&gt;&lt;D xsi:type="xsd:double"&gt;13.51486807243&lt;/D&gt;&lt;D xsi:type="xsd:double"&gt;12.8303911703836&lt;/D&gt;&lt;D xsi:type="xsd:double"&gt;12.6052378274911&lt;/D&gt;&lt;D xsi:type="xsd:double"&gt;12.1041723461367&lt;/D&gt;&lt;D xsi:type="xsd:double"&gt;12.7959623944895&lt;/D&gt;&lt;D xsi:type="xsd:double"&gt;13.6072472348843&lt;/D&gt;&lt;D xsi:type="xsd:double"&gt;13.8804052743977&lt;/D&gt;&lt;D xsi:type="xsd:double"&gt;14.1509916492644&lt;/D&gt;&lt;D xsi:type="xsd:double"&gt;14.5040112953086&lt;/D&gt;&lt;D xsi:type="xsd:double"&gt;14.2893043927013&lt;/D&gt;&lt;D xsi:type="xsd:double"&gt;14.3954432</t>
        </r>
      </text>
    </comment>
    <comment ref="A7" authorId="0" shapeId="0" xr:uid="{B80C6C98-1F8F-487C-8FC1-40368A2DD66F}">
      <text>
        <r>
          <rPr>
            <b/>
            <sz val="9"/>
            <color indexed="81"/>
            <rFont val="Tahoma"/>
            <charset val="1"/>
          </rPr>
          <t>092179&lt;/D&gt;&lt;D xsi:type="xsd:double"&gt;13.9034200470741&lt;/D&gt;&lt;D xsi:type="xsd:double"&gt;14.2920726451054&lt;/D&gt;&lt;/FQL&gt;&lt;FQL&gt;&lt;Q&gt;COPP-FDS^FG_PRICE_CHANGE(0,-3AM)&lt;/Q&gt;&lt;R&gt;1&lt;/R&gt;&lt;C&gt;1&lt;/C&gt;&lt;D xsi:type="xsd:double"&gt;-10.1663383672576&lt;/D&gt;&lt;/FQL&gt;&lt;FQL&gt;&lt;Q&gt;FXI^FG_TOTAL_RETURNC(0,-12AM)&lt;/Q&gt;&lt;R&gt;1&lt;/R&gt;&lt;C&gt;1&lt;/C&gt;&lt;D xsi:type="xsd:double"&gt;-9.283506&lt;/D&gt;&lt;/FQL&gt;&lt;FQL&gt;&lt;Q&gt;EWI^FMA_PCT_ABOVE_MAVG(200,0,,,,"PORTAGG")&lt;/Q&gt;&lt;R&gt;1&lt;/R&gt;&lt;C&gt;1&lt;/C&gt;&lt;D xsi:type="xsd:double"&gt;56&lt;/D&gt;&lt;/FQL&gt;&lt;FQL&gt;&lt;Q&gt;EWL^FMA_PCT_ABOVE_MAVG(200,0,,,,"PORTAGG")&lt;/Q&gt;&lt;R&gt;1&lt;/R&gt;&lt;C&gt;1&lt;/C&gt;&lt;D xsi:type="xsd:double"&gt;76.0869565217391&lt;/D&gt;&lt;/FQL&gt;&lt;FQL&gt;&lt;Q&gt;VGK^FMA_COS_UP("EPS","1M",+1,0,,,"PORTAGG","MEANR")&lt;/Q&gt;&lt;R&gt;1&lt;/R&gt;&lt;C&gt;1&lt;/C&gt;&lt;D xsi:type="xsd:double"&gt;464&lt;/D&gt;&lt;/FQL&gt;&lt;FQL&gt;&lt;Q&gt;EWU^FMA_COS_DOWN("EPS","1M",+1,0,,,"PORTAGG","MEANR")&lt;/Q&gt;&lt;R&gt;1&lt;/R&gt;&lt;C&gt;1&lt;/C&gt;&lt;D xsi:type="xsd:double"&gt;45&lt;/D&gt;&lt;/FQL&gt;&lt;FQL&gt;&lt;Q&gt;EWC^FMA_RBICS_REV_CURRENT(30, LOC, "PORTAGG")&lt;/Q&gt;&lt;R&gt;1&lt;/R&gt;&lt;C&gt;1&lt;/C&gt;&lt;D xsi:type="xsd:double"&gt;39.9570295102958&lt;/D&gt;&lt;/FQL&gt;&lt;FQL&gt;&lt;Q&gt;REFGBBANK-FDS^FG_YIELD(NOW,,,0)&lt;/Q&gt;&lt;R&gt;1&lt;/R&gt;&lt;C&gt;1&lt;/C&gt;&lt;D xsi:type="xsd:double"&gt;5.25&lt;/D&gt;&lt;/FQL&gt;&lt;FQL&gt;&lt;Q&gt;TRYIT10Y-FDS^PCTCHG(FG_YIELD(0,,,,"YTM"),FG_YIELD(-3AM,,,,"YTM"))&lt;/Q&gt;&lt;R&gt;1&lt;/R&gt;&lt;C&gt;1&lt;/C&gt;&lt;D xsi:type="xsd:double"&gt;-2.8970509&lt;/D&gt;&lt;/FQL&gt;&lt;FQL&gt;&lt;Q&gt;CC_GB^IMF_IFS_RCPI_Q(0)&lt;/Q&gt;&lt;R&gt;0&lt;/R&gt;&lt;C&gt;0&lt;/C&gt;&lt;/FQL&gt;&lt;FQL&gt;&lt;Q&gt;VGK^JULIAN(FMA_DIV_YLD(NTMA,NOW,NOW,M,"PORTAGG","MEANR").DATES)&lt;/Q&gt;&lt;R&gt;1&lt;/R&gt;&lt;C&gt;1&lt;/C&gt;&lt;D xsi:type="xsd:long"&gt;45471&lt;/D&gt;&lt;/FQL&gt;&lt;FQL&gt;&lt;Q&gt;EWN^FMA_PE(NTMA,0,,,"PORTAGG","MEANR")&lt;/Q&gt;&lt;R&gt;1&lt;/R&gt;&lt;C&gt;1&lt;/C&gt;&lt;D xsi:type="xsd:double"&gt;15.6218085199527&lt;/D&gt;&lt;/FQL&gt;&lt;FQL&gt;&lt;Q&gt;QQQ^FMA_DIV_YLD(NTMA,NOW,NOW,M,"PORTAGG","MEANR")&lt;/Q&gt;&lt;R&gt;1&lt;/R&gt;&lt;C&gt;1&lt;/C&gt;&lt;D xsi:type="xsd:double"&gt;0.843317139017348&lt;/D&gt;&lt;/FQL&gt;&lt;FQL&gt;&lt;Q&gt;EWJ^FMA_EVAL_EBITDA(NTMA,0,,,"PORTAGG","MEANR")&lt;/Q&gt;&lt;R&gt;1&lt;/R&gt;&lt;C&gt;1&lt;/C&gt;&lt;D xsi:type="xsd:double"&gt;10.2607326813051&lt;/D&gt;&lt;/FQL&gt;&lt;FQL&gt;&lt;Q&gt;EWC^JULIAN(FMA_DIV_YLD(NTMA,NOW,NOW,M,"PORTAGG","MEANR").DATES)&lt;/Q&gt;&lt;R&gt;1&lt;/R&gt;&lt;C&gt;1&lt;/C&gt;&lt;D xsi:type="xsd:long"&gt;45471&lt;/D&gt;&lt;/FQL&gt;&lt;FQL&gt;&lt;Q&gt;GLD^FG_TOTAL_RETURNC(0,-3AM)&lt;/Q&gt;&lt;R&gt;1&lt;/R&gt;&lt;C&gt;1&lt;/C&gt;&lt;D xsi:type="xsd:double"&gt;1.8511772&lt;/D&gt;&lt;/FQL&gt;&lt;FQL&gt;&lt;Q&gt;CAGDPY@US^EE_ACTUAL_ANNUAL(MED,0)&lt;/Q&gt;&lt;R&gt;1&lt;/R&gt;&lt;C&gt;1&lt;/C&gt;&lt;D xsi:type="xsd:double"&gt;-3.31108668288718&lt;/D&gt;&lt;/FQL&gt;&lt;FQL&gt;&lt;Q&gt;CC_AU^FG_COMPANY_NAME&lt;/Q&gt;&lt;R&gt;1&lt;/R&gt;&lt;C&gt;1&lt;/C&gt;&lt;D xsi:type="xsd:string"&gt;Australia&lt;/D&gt;&lt;/FQL&gt;&lt;FQL&gt;&lt;Q&gt;USDCHF^FG_COMPANY_NAME&lt;/Q&gt;&lt;R&gt;1&lt;/R&gt;&lt;C&gt;1&lt;/C&gt;&lt;D xsi:type="xsd:string"&gt;Swiss Franc per U.S. Dollar&lt;/D&gt;&lt;/FQL&gt;&lt;FQL&gt;&lt;Q&gt;USDCAD^FG_PRICE_CHANGE(0,-1AY)&lt;/Q&gt;&lt;R&gt;1&lt;/R&gt;&lt;C&gt;1&lt;/C&gt;&lt;D xsi:type="xsd:double"&gt;4.6859026&lt;/D&gt;&lt;/FQL&gt;&lt;FQL&gt;&lt;Q&gt;EWC^P_PRICE_RETURNS_PR('52W',2,-10AY,0,AM)&lt;/Q&gt;&lt;R&gt;121&lt;/R&gt;&lt;C&gt;1&lt;/C&gt;&lt;D xsi:type="xsd:double"&gt;18.616558&lt;/D&gt;&lt;D xsi:type="xsd:double"&gt;20.35514&lt;/D&gt;&lt;D xsi:type="xsd:double"&gt;11.436188&lt;/D&gt;&lt;D xsi:type="xsd:double"&gt;4.148555&lt;/D&gt;&lt;D xsi:type="xsd:double"&gt;8.468294&lt;/D&gt;&lt;D xsi:type="xsd:double"&gt;1.4654279&lt;/D&gt;&lt;D xsi:type="xsd:double"&gt;-1.3500631&lt;/D&gt;&lt;D xsi:type="xsd:double"&gt;-1.4617801&lt;/D&gt;&lt;D xsi:type="xsd:double"&gt;-3.6871731&lt;/D&gt;&lt;D xsi:type="xsd:double"&gt;-0.31821728&lt;/D&gt;&lt;D xsi:type="xsd:double"&gt;-7.663327&lt;/D&gt;&lt;D xsi:type="xsd:double"&gt;-11.723078&lt;/D&gt;&lt;D xsi:type="xsd:double"&gt;-21.849049&lt;/D&gt;&lt;D xsi:type="xsd:double"&gt;-27.31849&lt;/D&gt;&lt;D xsi:type="xsd:double"&gt;-23.42044&lt;/D&gt;&lt;D xsi:type="xsd:double"&gt;-17.229414&lt;/D&gt;&lt;D xsi:type="xsd:double"&gt;-23.18892&lt;/D&gt;&lt;D xsi:type="xsd:double"&gt;-21.940105&lt;/D&gt;&lt;D xsi:type="xsd:double"&gt;-24.757904&lt;/D&gt;&lt;D xsi:type="xsd:double"&gt;-20.985186&lt;/D&gt;&lt;D xsi:type="xsd:double"&gt;-15.196824&lt;/D&gt;&lt;D xsi:type="xsd:double"&gt;-12.582338&lt;/D&gt;&lt;D xsi:type="xsd:double"&gt;-9.472031&lt;/D&gt;&lt;D xsi:type="xsd:double"&gt;-10.539913&lt;/D&gt;&lt;D xsi:type="xsd:double"&gt;1.8773198&lt;/D&gt;&lt;D xsi:type="xsd:double"&gt;12.731624&lt;/D&gt;&lt;D xsi:type="xsd:double"&gt;11.547173&lt;/D&gt;&lt;D xsi:type="xsd:double"&gt;7.7025056&lt;/D&gt;&lt;D xsi:type="xsd:double"&gt;13.768482&lt;/D&gt;&lt;D xsi:type="xsd:double"&gt;21.074713&lt;/D&gt;&lt;D xsi:type="xsd:double"&gt;39.614532&lt;/D&gt;&lt;D xsi:type="xsd:double"&gt;30.524206&lt;/D&gt;&lt;D xsi:type="xsd:double"&gt;16.967796&lt;/D&gt;&lt;D xsi:type="xsd:double"&gt;7.610297&lt;/D&gt;&lt;D xsi:type="xsd:double"&gt;8.600044&lt;/D&gt;&lt;D xsi:type="xsd:double"&gt;11.4923&lt;/D&gt;&lt;D xsi:type="xsd:double"&gt;14.153206&lt;/D&gt;&lt;D xsi:type="xsd:double"&gt;9.878838&lt;/D&gt;&lt;D xsi:type="xsd:double"&gt;16.42002&lt;/D&gt;&lt;D xsi:type="xsd:double"&gt;14.546192&lt;/D&gt;&lt;D xsi:type="xsd:double"&gt;15.498781&lt;/D&gt;&lt;D xsi:type="xsd:double"&gt;14.611256&lt;/D&gt;&lt;D xsi:type="xsd:double"&gt;12.710535&lt;/D&gt;&lt;D xsi:type="xsd:double"&gt;7.293129&lt;/D&gt;&lt;D xsi:type="xsd:double"&gt;5.387759&lt;/D&gt;&lt;D xsi:type="xsd:double"&gt;8.283865&lt;/D&gt;&lt;D xsi:type="xsd:double"&gt;11.625147&lt;/D&gt;&lt;D xsi:type="xsd:double"&gt;8.882797&lt;/D&gt;&lt;D xsi:type="xsd:double"&gt;6.280637&lt;/D&gt;&lt;D xsi:type="xsd:double"&gt;7.070923&lt;/D&gt;&lt;D xsi:type="xsd:double"&gt;1.6950965&lt;/D&gt;&lt;D xsi:type="xsd:double"&gt;-6.4311085&lt;/D&gt;&lt;D xsi:type="xsd:double"&gt;-8.50197&lt;/D&gt;&lt;D xsi:type="xsd:double"&gt;-16.571701&lt;/D&gt;&lt;D xsi:type="xsd:double"&gt;-9.666866&lt;/D&gt;&lt;D xsi:type="xsd:double"&gt;0.0808239&lt;/D&gt;&lt;D xsi:type="xsd:double"&gt;3.379929&lt;/D&gt;&lt;D xsi:type="xsd:double"&gt;3.8315058&lt;/D&gt;&lt;D xsi:type="xsd:double"&gt;-1.5511334&lt;/D&gt;&lt;D xsi:type="xsd:double"&gt;3.617239&lt;/D&gt;&lt;D xsi:type="xsd:double"&gt;1.0836959&lt;/D&gt;&lt;D xsi:type="xsd:double"&gt;-2.0380259&lt;/D&gt;&lt;D xsi:type="xsd:double"&gt;3.5276294&lt;/D&gt;&lt;D xsi:type="xsd:double"&gt;12.52327&lt;/D&gt;&lt;D xsi:type="xsd:double"&gt;15.286732&lt;/D&gt;&lt;D xsi:type="xsd:double"&gt;28.012646&lt;/D&gt;&lt;D xsi:type="xsd:double"&gt;18.415546&lt;/D&gt;&lt;D xsi:type="xsd:double"&gt;6.172991&lt;/D&gt;&lt;D xsi:type="xsd:double"&gt;-19.365448&lt;/D&gt;&lt;D xsi:type="xsd:double"&gt;-15.651762&lt;/D&gt;&lt;D xsi:type="xsd:double"&gt;-7.481301&lt;/D&gt;&lt;D xsi:type="xsd:double"&gt;-9.617114&lt;/D&gt;&lt;D xsi:type="xsd:double"&gt;-4.5820656&lt;/D&gt;&lt;D xsi:type="xsd:double"&gt;7.2359324&lt;/D&gt;&lt;D xsi:type="xsd:double"&gt;-3.9960265&lt;/D&gt;&lt;D xsi:type="xsd:double"&gt;-2.318561&lt;/D&gt;&lt;D xsi:type="xsd:double"&gt;5.2634478&lt;/D&gt;&lt;D xsi:type="xsd:double"&gt;7.098031&lt;/D&gt;&lt;D xsi:type="xsd:double"&gt;6.340003&lt;/D&gt;&lt;D xsi:type="xsd:double"&gt;13.449931&lt;/D&gt;&lt;D xsi:type="xsd:double"&gt;60.214676&lt;/D&gt;&lt;D xsi:type="xsd:double"&gt;54.607414&lt;/D&gt;&lt;D xsi:type="xsd:double"&gt;52.431236&lt;/D&gt;&lt;D xsi:type="xsd:double"&gt;49.675705&lt;/D&gt;&lt;D xsi:type="xsd:double"&gt;39.51099&lt;/D&gt;&lt;D xsi:type="xsd:double"&gt;30.224049&lt;/D&gt;&lt;D xsi:type="xsd:double"&gt;38.86881&lt;/D&gt;&lt;D xsi:type="xsd:double"&gt;45.187233&lt;/D&gt;&lt;D xsi:type="xsd:double"&gt;27.98016&lt;/D&gt;&lt;D xsi:type="xsd:double"&gt;25.09005&lt;/D&gt;&lt;D xsi:type="xsd:double"&gt;20.32243&lt;/D&gt;&lt;D xsi:type="xsd:double"&gt;18.325256&lt;/D&gt;&lt;D xsi:type="xsd:double"&gt;22.428167&lt;/D&gt;&lt;D xsi:type="xsd:double"&gt;6.5832376&lt;/D&gt;&lt;D xsi:type="xsd:double"&gt;0.560081&lt;/D&gt;&lt;D xsi:type="xsd:double"&gt;-7.8621984&lt;/D&gt;&lt;D xsi:type="xsd:double"&gt;-6.6573324&lt;/D&gt;&lt;D xsi:type="xsd:double"&gt;-3.759116&lt;/D&gt;&lt;D xsi:type="xsd:double"&gt;-15.014082&lt;/D&gt;&lt;D xsi:type="xsd:double"&gt;-14.742494&lt;/D&gt;&lt;D xsi:type="xsd:double"&gt;-8.282673&lt;/D&gt;&lt;D xsi:type="xsd:double"&gt;-11.522764&lt;/D&gt;&lt;D xsi:type="xsd:double"&gt;-2.468741&lt;/D&gt;&lt;D xsi:type="xsd:double"&gt;-6.0518084&lt;/D&gt;&lt;D xsi:type="xsd:double"&gt;-17.039013&lt;/D&gt;&lt;D xsi:type="xsd:double"&gt;-4.8843384&lt;/D&gt;&lt;D xsi:type="xsd:double"&gt;-6.7575035&lt;/D&gt;&lt;D xsi:type="xsd:double"&gt;3.391242&lt;/D&gt;&lt;D xsi:type="xsd:double"&gt;8.888519&lt;/D&gt;&lt;D xsi:type="xsd:double"&gt;-3.837967&lt;/D&gt;&lt;D xsi:type="xsd:double"&gt;11.923194&lt;/D&gt;&lt;D xsi:type="xsd:double"&gt;-0.7282853&lt;/D&gt;&lt;D xsi:type="xsd:double"&gt;0.91154575&lt;/D&gt;&lt;D xsi:type="xsd:double"&gt;14.79472&lt;/D&gt;&lt;D xsi:type="xsd:double"&gt;4.832852&lt;/D&gt;&lt;D xsi:type="xsd:double"&gt;10.646749&lt;/D&gt;&lt;D xsi:type="xsd:double"&gt;18.397701&lt;/D&gt;&lt;D xsi:type="xsd:double"&gt;11.873341&lt;/D&gt;&lt;D xsi:type="xsd:double"&gt;15.774954&lt;/D&gt;&lt;D xsi:type="xsd:double"&gt;10.393238&lt;/D&gt;&lt;D xsi:type="xsd:double"&gt;9.309137&lt;/D&gt;&lt;/FQL&gt;&lt;FQL&gt;&lt;Q&gt;SPY^FMA_DIV_YLD(NTMA,-10AY,0,AM,"PORTAGG","MEANR")&lt;/Q&gt;&lt;R&gt;121&lt;/R&gt;&lt;C&gt;1&lt;/C&gt;&lt;D xsi:type="xsd:double"&gt;2.09613325121338&lt;/D&gt;&lt;D xsi:type="xsd:double"&gt;2.08807636362266&lt;/D&gt;&lt;D xsi:type="xsd:double"&gt;2.12250204907716&lt;/D&gt;&lt;D xsi:type="xsd:double"&gt;2.15591185136336&lt;/D&gt;&lt;D xsi:type="xsd:double"&gt;2.06385662302842&lt;/D&gt;&lt;D xsi:type="xsd:double"&gt;2.06843741436269&lt;/D&gt;&lt;D xsi:type="xsd:double"&gt;2.11819955346361&lt;/D&gt;&lt;D xsi:type="xsd:double"&gt;2.09483295459479&lt;/D&gt;&lt;D xsi:type="xsd:double"&gt;2.19994997114167&lt;/D&gt;&lt;D xsi:type="xsd:double"&gt;2.13864911358653&lt;/D&gt;&lt;D xsi:type="xsd:double"&gt;2.16325670013173&lt;/D&gt;&lt;D xsi:type="xsd:double"&gt;2.17301212413257&lt;/D&gt;&lt;D xsi:type="xsd:double"&gt;2.20768453930126&lt;/D&gt;&lt;D xsi:type="xsd:double"&gt;2.38649111889224&lt;/D&gt;&lt;D xsi:type="xsd:double"&gt;2.41040056994&lt;/D&gt;&lt;D xsi:type="xsd:double"&gt;2.25726680386921&lt;/D&gt;&lt;D xsi:type="xsd:double"&gt;2.27056337761326&lt;/D&gt;&lt;D xsi:type="xsd:double"&gt;2.29360272571304&lt;/D&gt;&lt;D xsi:type="xsd:double"&gt;2.49897988581985&lt;/D&gt;&lt;D xsi:type="xsd:double"&gt;2.45182025901469&lt;/D&gt;&lt;D xsi:type="xsd:double"&gt;2.47519773454617&lt;/D&gt;&lt;D xsi:type="xsd:double"&gt;2.29179874134034&lt;/D&gt;&lt;D xsi:type="xsd:double"&gt;2.27884801023415&lt;/D&gt;&lt;D xsi:type="xsd:double"&gt;2.34855169798375&lt;/D&gt;&lt;D xsi:type="xsd:double"&gt;2.21619594333679&lt;/D&gt;&lt;D xsi:type="xsd:double"&gt;2.22173968410025&lt;/D&gt;&lt;D xsi:type="xsd:double"&gt;2.24243071594619&lt;/D&gt;&lt;D xsi:type="xsd:double"&gt;2.25813644934477&lt;/D&gt;&lt;D xsi:type="xsd:double"&gt;2.19861974925274&lt;/D&gt;&lt;D xsi:type="xsd:double"&gt;2.16277802258585&lt;/D&gt;&lt;D xsi:type="xsd:double"&gt;2.14873142001349&lt;/D&gt;&lt;D xsi:type="xsd:double"&gt;2.10350917587829&lt;/D&gt;&lt;D xsi:type="xsd:double"&gt;2.12800276512204&lt;/D&gt;&lt;D xsi:type="xsd:double"&gt;2.10645200139674&lt;/D&gt;&lt;D xsi:type="xsd:double"&gt;2.0939789692741&lt;/D&gt;&lt;D xsi:type="xsd:double"&gt;2.08661690479514&lt;/D&gt;&lt;D xsi:type="xsd:double"&gt;2.07760114235986&lt;/D&gt;&lt;D xsi:type="xsd:double"&gt;2.11979486574943&lt;/D&gt;&lt;D xsi:type="xsd:double"&gt;2.07854389892179&lt;/D&gt;&lt;D xsi:type="xsd:double"&gt;2.03955796125008&lt;/D&gt;&lt;D xsi:type="xsd:double"&gt;2.00342868923477&lt;/D&gt;&lt;D xsi:type="xsd:double"&gt;1.95570514189455&lt;/D&gt;&lt;D xsi:type="xsd:double"&gt;1.84898557050246&lt;/D&gt;&lt;D xsi:type="xsd:double"&gt;1.93591417313736&lt;/D&gt;&lt;D xsi:type="xsd:double"&gt;2.04142932886702&lt;/D&gt;&lt;D xsi:type="xsd:double"&gt;2.05715413019184&lt;/D&gt;&lt;D xsi:type="xsd:double"&gt;2.03316253960472&lt;/D&gt;&lt;D xsi:type="xsd:double"&gt;2.04812440716882&lt;/D&gt;&lt;D xsi:type="xsd:double"&gt;1.98628992406594&lt;/D&gt;&lt;D xsi:type="xsd:double"&gt;1.97430778034875&lt;/D&gt;&lt;D xsi:type="xsd:double"&gt;1.96075228972517&lt;/D&gt;&lt;D xsi:type="xsd:double"&gt;2.16452284016852&lt;/D&gt;&lt;D xsi:type="xsd:double"&gt;2.14848946061908&lt;/D&gt;&lt;D xsi:type="xsd:double"&gt;2.35405209494161&lt;/D&gt;&lt;D xsi:type="xsd:double"&gt;2.18991003566415&lt;/D&gt;&lt;D xsi:type="xsd:double"&gt;2.10020867731386&lt;/D&gt;&lt;D xsi:type="xsd:double"&gt;2.09608223123925&lt;/D&gt;&lt;D xsi:type="xsd:double"&gt;2.02766781883059&lt;/D&gt;&lt;D xsi:type="xsd:double"&gt;2.11801994786456&lt;/D&gt;&lt;D xsi:type="xsd:double"&gt;2.06755649818699&lt;/D&gt;&lt;D xsi:type="xsd:double"&gt;2.00179795797825&lt;/D&gt;&lt;D xsi:type="xsd:double"&gt;2.1132180734311&lt;/D&gt;&lt;D xsi:type="xsd:double"&gt;2.04954305990525&lt;/D&gt;&lt;D xsi:type="xsd:double"&gt;2.03424956348313&lt;/D&gt;&lt;D xsi:type="xsd:double"&gt;1.97519810127649&lt;/D&gt;&lt;D xsi:type="xsd:double"&gt;1.92602408668239&lt;/D&gt;&lt;D xsi:type="xsd:double"&gt;1.90723772654574&lt;/D&gt;&lt;D xsi:type="xsd:double"&gt;2.03313219850548&lt;/D&gt;&lt;D xsi:type="xsd:double"&gt;2.39943537034516&lt;/D&gt;&lt;D xsi:type="xsd:double"&gt;2.16148287413846&lt;/D&gt;&lt;D xsi:type="xsd:double"&gt;2.0198946199307&lt;/D&gt;&lt;D xsi:type="xsd:double"&gt;1.99332583830898&lt;/D&gt;&lt;D xsi:type="xsd:double"&gt;1.84743344440664&lt;/D&gt;&lt;D xsi:type="xsd:double"&gt;1.7141095833584&lt;/D&gt;&lt;D xsi:type="xsd:double"&gt;1.80702703023418&lt;/D&gt;&lt;D xsi:type="xsd:double"&gt;1.76094773520779&lt;/D&gt;&lt;D xsi:type="xsd:double"&gt;1.6527445488103&lt;/D&gt;&lt;D xsi:type="xsd:double"&gt;1.59893301440088&lt;/D&gt;&lt;D xsi:type="xsd:double"&gt;1.54752381772792&lt;/D&gt;&lt;D xsi:type="xsd:double"&gt;1.57925339445457&lt;/D&gt;&lt;D xsi:type="xsd:double"&gt;1.52023547310847&lt;/D&gt;&lt;D xsi:type="xsd:double"&gt;1.45591832417243&lt;/D&gt;&lt;D xsi:type="xsd:double"&gt;1.45989588953887&lt;/D&gt;&lt;D xsi:type="xsd:double"&gt;1.44525976484776&lt;/D&gt;&lt;D xsi:type="xsd:double"&gt;1.41682611665282&lt;/D&gt;&lt;D xsi:type="xsd:double"&gt;1.4130704518971&lt;/D&gt;&lt;D xsi:type="xsd:double"&gt;1.42194199513425&lt;/D&gt;&lt;D xsi:type="xsd:double"&gt;1.39848892574751&lt;/D&gt;&lt;D xsi:type="xsd:double"&gt;1.40079731865233&lt;/D&gt;&lt;D xsi:type="xsd:double"&gt;1.3645418896299&lt;/D&gt;&lt;D xsi:type="xsd:double"&gt;1.50071824949703&lt;/D&gt;&lt;D xsi:type="xsd:double"&gt;1.5068513795643&lt;/D&gt;&lt;D xsi:type="xsd:double"&gt;1.44960695676391&lt;/D&gt;&lt;D xsi:type="xsd:double"&gt;1.58305254532638&lt;/D&gt;&lt;D xsi:type="xsd:double"&gt;1.63459714933187&lt;/D&gt;&lt;D xsi:type="xsd:double"&gt;1.71466267561239&lt;/D&gt;&lt;D xsi:type="xsd:double"&gt;1.7172374687821&lt;/D&gt;&lt;D xsi:type="xsd:double"&gt;1.68095678963778&lt;/D&gt;&lt;D xsi:type="xsd:double"&gt;1.87271564066925&lt;/D&gt;&lt;D xsi:type="xsd:double"&gt;1.80079477115496&lt;/D&gt;&lt;D xsi:type="xsd:double"&gt;1.72163326053855&lt;/D&gt;&lt;D xsi:type="xsd:double"&gt;1.80578906067983&lt;/D&gt;&lt;D xsi:type="xsd:double"&gt;1.71847564727171&lt;/D&gt;&lt;D xsi:type="xsd:double"&gt;1.77065872236186&lt;/D&gt;&lt;D xsi:type="xsd:double"&gt;1.77228584926898&lt;/D&gt;&lt;D xsi:type="xsd:double"&gt;1.74633772714856&lt;/D&gt;&lt;D xsi:type="xsd:double"&gt;1.68529154979438&lt;/D&gt;&lt;D xsi:type="xsd:double"&gt;1.6407634495157&lt;/D&gt;&lt;D xsi:type="xsd:double"&gt;1.56473918965828&lt;/D&gt;&lt;D xsi:type="xsd:double"&gt;1.63012655781549&lt;/D&gt;&lt;D xsi:type="xsd:double"&gt;1.69213901067207&lt;/D&gt;&lt;D xsi:type="xsd:double"&gt;1.75616397748663&lt;/D&gt;&lt;D xsi:type="xsd:double"&gt;1.60043852632132&lt;/D&gt;&lt;D xsi:type="xsd:double"&gt;1.54105342265236&lt;/D&gt;&lt;D xsi:type="xsd:double"&gt;1.51239972368776&lt;/D&gt;&lt;D xsi:type="xsd:double"&gt;1.47936771984764&lt;/D&gt;&lt;D xsi:type="xsd:double"&gt;1.44189519566952&lt;/D&gt;&lt;D xsi:type="xsd:double"&gt;1.48438257056674&lt;/D&gt;&lt;D xsi:type="xsd:double"&gt;1.44298240953818&lt;/D&gt;&lt;D xsi:type="xsd:double"&gt;1.40259814196043&lt;/D&gt;&lt;D xsi:type="xsd:double"&gt;1.43192903245546&lt;/D&gt;&lt;/FQL&gt;&lt;FQL&gt;&lt;Q&gt;DDR3512M-FDS^FG_PRICE_CHANGE(0,-1AM)&lt;/Q&gt;&lt;R&gt;1&lt;/R&gt;&lt;C&gt;1&lt;/C&gt;&lt;D xsi:type="xsd:double"&gt;-3.36133856778218&lt;/D&gt;&lt;/FQL&gt;&lt;FQL&gt;&lt;Q&gt;NI-FDS^FG_PRICE_CHANGE(0,-6AM)&lt;/Q&gt;&lt;R&gt;1&lt;/R&gt;&lt;C&gt;1&lt;/C&gt;&lt;D xsi:type="xsd:double"&gt;-5.95706078016329&lt;/D&gt;&lt;/FQL&gt;&lt;FQL&gt;&lt;Q&gt;CPALM-FDS^FG_PRICE(0)&lt;/Q&gt;&lt;R&gt;1&lt;/R&gt;&lt;C&gt;1&lt;/C&gt;&lt;D xsi:type="xsd:double"&gt;4044&lt;/D&gt;&lt;/FQL&gt;&lt;FQL&gt;&lt;Q&gt;QQQ^FG_PRICE_MAVG(0,,,,60)&lt;/Q&gt;&lt;R&gt;1&lt;/R&gt;&lt;C&gt;1&lt;/C&gt;&lt;D xsi:type="xsd:double"&gt;467.22934&lt;/D&gt;&lt;/FQL&gt;&lt;FQL&gt;&lt;Q&gt;EWC^FG_PRICE_MAVG(0,,,,60)&lt;/Q&gt;&lt;R&gt;1&lt;/R&gt;&lt;C&gt;1&lt;/C&gt;&lt;D xsi:type="xsd:double"&gt;37.768333&lt;/D&gt;&lt;/FQL&gt;&lt;FQL&gt;&lt;Q&gt;VWO^PERCENT_CHANGE(FMA_EPS(+1,0,,,,"PORTAGG","MEAN"),FMA_EPS(+1,-3AM,,,,"PORTAGG","MEAN"))&lt;/Q&gt;&lt;R&gt;1&lt;/R&gt;&lt;C&gt;1&lt;/C&gt;&lt;D xsi:type="xsd:double"&gt;-8.32273087312745&lt;/D&gt;&lt;/FQL&gt;&lt;FQL&gt;&lt;Q&gt;EWQ^FG_TOTAL_RETURNC(0,-3AM)&lt;/Q&gt;&lt;R&gt;1&lt;/R&gt;&lt;C&gt;1&lt;/C&gt;&lt;D xsi:type="xsd:double"&gt;-2.6836157&lt;/D&gt;&lt;/FQL&gt;&lt;FQL&gt;&lt;Q&gt;QQQ^PERCENT_CHANGE(FMA_EPS(+1,0,,,,"PORTAGG","MEAN"),FMA_EPS(+1,-3AM,,,,"PORTAGG","MEAN"))&lt;/Q&gt;&lt;R&gt;1&lt;/R&gt;&lt;C&gt;1&lt;/C&gt;&lt;D xsi:type="xsd:double"&gt;0.364002646409081&lt;/D&gt;&lt;/FQL&gt;&lt;FQL&gt;&lt;Q&gt;EWC^FG_TOTAL_RETURNC(0,-3AM)&lt;/Q&gt;&lt;R&gt;1&lt;/R&gt;&lt;C&gt;1&lt;/C&gt;&lt;D xsi:type="xsd:double"&gt;2.824676&lt;/D&gt;&lt;/FQL&gt;&lt;FQL&gt;&lt;Q&gt;ENZL^PERCENT_CHANGE(FMA_EPS(+1,0,,,,"PORTAGG","MEAN"),FMA_EPS(+1,-3AM,,,,"PORTAGG","MEAN"))&lt;/Q&gt;&lt;R&gt;1&lt;/R&gt;&lt;C&gt;1&lt;/C&gt;&lt;D xsi:type="xsd:double"&gt;0.848865929145608&lt;/D&gt;&lt;/FQL&gt;&lt;FQL&gt;&lt;Q&gt;TRYCA10Y-FDS^PCTCHG(FG_YIELD(0,,,,"YTM"),FG_YIELD(-3AM,,,,"YTM"))&lt;/Q&gt;&lt;R&gt;1&lt;/R&gt;&lt;C&gt;1&lt;/C&gt;&lt;D xsi:type="xsd:double"&gt;-13.133137&lt;/D&gt;&lt;/FQL&gt;&lt;FQL&gt;&lt;Q&gt;USDSEK^STD(FG_PRICE_CHANGE(0,-1AY,AM))&lt;/Q&gt;&lt;R&gt;1&lt;/R&gt;&lt;C&gt;1&lt;/C&gt;&lt;D xsi:type="xsd:double"&gt;3.57517319385648&lt;/D&gt;&lt;/FQL&gt;&lt;FQL&gt;&lt;Q&gt;USDAUD^FG_PRICE_CHANGE(0,-3AM)&lt;/Q&gt;&lt;R&gt;1&lt;/R&gt;&lt;C&gt;1&lt;/C&gt;&lt;D xsi:type="xsd:double"&gt;-0.41199327&lt;/D&gt;&lt;/FQL&gt;&lt;FQL&gt;&lt;Q&gt;EWN^P_PRICE_RETURNS_PR('52W',2,-10AY,0,AM)&lt;/Q&gt;&lt;R&gt;121&lt;/R&gt;&lt;C&gt;1&lt;/C&gt;&lt;D xsi:type="xsd:double"&gt;9.187365&lt;/D&gt;&lt;D xsi:type="xsd:double"&gt;6.9203973&lt;/D&gt;&lt;D xsi:type="xsd:double"&gt;3.1582355&lt;/D&gt;&lt;D xsi:type="xsd:double"&gt;-6.0991945&lt;/D&gt;&lt;D xsi:type="xsd:double"&gt;0.6333113&lt;/D&gt;&lt;D xsi:type="xsd:double"&gt;-2.6778936&lt;/D&gt;&lt;D xsi:type="xsd:double"&gt;-1.3528943&lt;/D&gt;&lt;D xsi:type="xsd:double"&gt;2.9095054&lt;/D&gt;&lt;D xsi:type="xsd:double"&gt;1.5049696&lt;/D&gt;&lt;D xsi:type="xsd:double"&gt;6.083989&lt;/D&gt;&lt;D xsi:type="xsd:double"&gt;4.708588&lt;/D&gt;&lt;D xsi:type="xsd:double"&gt;7.0798993&lt;/D&gt;&lt;D xsi:type="xsd:double"&gt;7.1665406&lt;/D&gt;&lt;D xsi:type="xsd:double"&gt;0.8838415&lt;/D&gt;&lt;D xsi:type="xsd:double"&gt;-2.211237&lt;/D&gt;&lt;D xsi:type="xsd:double"&gt;10.342693&lt;/D&gt;&lt;D xsi:type="xsd:double"&gt;1.9367576&lt;/D&gt;&lt;D xsi:type="xsd:double"&gt;0.63580275&lt;/D&gt;&lt;D xsi:type="xsd:double"&gt;-3.6571503&lt;/D&gt;&lt;D xsi:type="xsd:double"&gt;-9.647882&lt;/D&gt;&lt;D xsi:type="xsd:double"&gt;-5.6134043&lt;/D&gt;&lt;D xsi:type="xsd:double"&gt;-4.6394587&lt;/D&gt;&lt;D xsi:type="xsd:double"&gt;-3.4134269&lt;/D&gt;&lt;D xsi:type="xsd:double"&gt;-14.394384&lt;/D&gt;&lt;D xsi:type="xsd:double"&gt;-7.0818424&lt;/D&gt;&lt;D xsi:type="xsd:double"&gt;3.0100226&lt;/D&gt;&lt;D xsi:type="xsd:double"&gt;8.093203&lt;/D&gt;&lt;D xsi:type="xsd:double"&gt;-1.0552347&lt;/D&gt;&lt;D xsi:type="xsd:double"&gt;-2.0626128&lt;/D&gt;&lt;D xsi:type="xsd:double"&gt;2.4340272&lt;/D&gt;&lt;D xsi:type="xsd:double"&gt;10.946453&lt;/D&gt;&lt;D xsi:type="xsd:double"&gt;15.899622&lt;/D&gt;&lt;D xsi:type="xsd:double"&gt;14.094567&lt;/D&gt;&lt;D xsi:type="xsd:double"&gt;16.693104&lt;/D&gt;&lt;D xsi:type="xsd:double"&gt;21.035803&lt;/D&gt;&lt;D xsi:type="xsd:double"&gt;33.579243&lt;/D&gt;&lt;D xsi:type="xsd:double"&gt;31.471752&lt;/D&gt;&lt;D xsi:type="xsd:double"&gt;27.1675&lt;/D&gt;&lt;D xsi:type="xsd:double"&gt;27.939606&lt;/D&gt;&lt;D xsi:type="xsd:double"&gt;32.641815&lt;/D&gt;&lt;D xsi:type="xsd:double"&gt;38.450836&lt;/D&gt;&lt;D xsi:type="xsd:double"&gt;33.801247&lt;/D&gt;&lt;D xsi:type="xsd:double"&gt;39.839912&lt;/D&gt;&lt;D xsi:type="xsd:double"&gt;30.786873&lt;/D&gt;&lt;D xsi:type="xsd:double"&gt;21.051956&lt;/D&gt;&lt;D xsi:type="xsd:double"&gt;16.895603&lt;/D&gt;&lt;D xsi:type="xsd:double"&gt;10.003435&lt;/D&gt;&lt;D xsi:type="xsd:double"&gt;7.3045015&lt;/D&gt;&lt;D xsi:type="xsd:double"&gt;5.658841&lt;/D&gt;&lt;D xsi:type="xsd:double"&gt;4.1126966&lt;/D&gt;&lt;D xsi:type="xsd:double"&gt;1.5375972&lt;/D&gt;&lt;D xsi:type="xsd:double"&gt;-11.246103&lt;/D&gt;&lt;D xsi:type="xsd:double"&gt;-8.836042&lt;/D&gt;&lt;D xsi:type="xsd:double"&gt;-15.790814&lt;/D&gt;&lt;D xsi:type="xsd:double"&gt;-15.064871&lt;/D&gt;&lt;D xsi:type="xsd:double"&gt;-6.7121744&lt;/D&gt;&lt;D xsi:type="xsd:double"&gt;-5.0777674&lt;/D&gt;&lt;D xsi:type="xsd:double"&gt;-1.4939427&lt;/D&gt;&lt;D xsi:type="xsd:double"&gt;-3.3176541&lt;/D&gt;&lt;D xsi:type="xsd:double"&gt;2.9881597&lt;/D&gt;&lt;D xsi:type="xsd:double"&gt;2.6614547&lt;/D&gt;&lt;D xsi:type="xsd:double"&gt;-0.7924199&lt;/D&gt;&lt;D xsi:type="xsd:double"&gt;5.545926&lt;/D&gt;&lt;D xsi:type="xsd:double"&gt;18.988573&lt;/D&gt;&lt;D xsi:type="xsd:double"&gt;18.908142&lt;/D&gt;&lt;D xsi:type="xsd:double"&gt;33.07636&lt;/D&gt;&lt;D xsi:type="xsd:double"&gt;25.529325&lt;/D&gt;&lt;D xsi:type="xsd:double"&gt;9.545052&lt;/D&gt;&lt;D xsi:type="xsd:double"&gt;-7.6523247&lt;/D&gt;&lt;D xsi:type="xsd:double"&gt;-7.7976584&lt;/D&gt;&lt;D xsi:type="xsd:double"&gt;1.6915321&lt;/D&gt;&lt;D xsi:type="xsd:double"&gt;7.207179&lt;/D&gt;&lt;D xsi:type="xsd:double"&gt;9.33901&lt;/D&gt;&lt;D xsi:type="xsd:double"&gt;22.013414&lt;/D&gt;&lt;D xsi:type="xsd:double"&gt;10.514223&lt;/D&gt;&lt;D xsi:type="xsd:double"&gt;11.840189&lt;/D&gt;&lt;D xsi:type="xsd:double"&gt;20.553457&lt;/D&gt;&lt;D xsi:type="xsd:double"&gt;24.635113&lt;/D&gt;&lt;D xsi:type="xsd:double"&gt;30.93878&lt;/D&gt;&lt;D xsi:type="xsd:double"&gt;40.022552&lt;/D&gt;&lt;D xsi:type="xsd:double"&gt;75.49988&lt;/D&gt;&lt;D xsi:type="xsd:double"&gt;78.18774&lt;/D&gt;&lt;D xsi:type="xsd:double"&gt;66.449234&lt;/D&gt;&lt;D xsi:type="xsd:double"&gt;50.36216&lt;/D&gt;&lt;D xsi:type="xsd:double"&gt;45.191574&lt;/D&gt;&lt;D xsi:type="xsd:double"&gt;44.47297&lt;/D&gt;&lt;D xsi:type="xsd:double"&gt;54.664265&lt;/D&gt;&lt;D xsi:type="xsd:double"&gt;48.985817&lt;/D&gt;&lt;D xsi:type="xsd:double"&gt;28.251219&lt;/D&gt;&lt;D xsi:type="xsd:double"&gt;21.975018&lt;/D&gt;&lt;D xsi:type="xsd:double"&gt;4.61905&lt;/D&gt;&lt;D xsi:type="xsd:double"&gt;-0.24108887&lt;/D&gt;&lt;D xsi:type="xsd:double"&gt;-4.7128916&lt;/D&gt;&lt;D xsi:type="xsd:double"&gt;-21.278429&lt;/D&gt;&lt;D xsi:type="xsd:double"&gt;-21.153854&lt;/D&gt;&lt;D xsi:type="xsd:double"&gt;-25.439781&lt;/D&gt;&lt;D xsi:type="xsd:double"&gt;-25.960373&lt;/D&gt;&lt;D xsi:type="xsd:double"&gt;-31.101143&lt;/D&gt;&lt;D xsi:type="xsd:double"&gt;-40.51944&lt;/D&gt;&lt;D xsi:type="xsd:double"&gt;-35.2657&lt;/D&gt;&lt;D xsi:type="xsd:double"&gt;-22.109186&lt;/D&gt;&lt;D xsi:type="xsd:double"&gt;-23.059654&lt;/D&gt;&lt;D xsi:type="xsd:double"&gt;-3.848815&lt;/D&gt;&lt;D xsi:type="xsd:double"&gt;-3.8161159&lt;/D&gt;&lt;D xsi:type="xsd:double"&gt;-3.1347036&lt;/D&gt;&lt;D xsi:type="xsd:double"&gt;10.7352495&lt;/D&gt;&lt;D xsi:type="xsd:double"&gt;13.938797&lt;/D&gt;&lt;D xsi:type="xsd:double"&gt;19.033587&lt;/D&gt;&lt;D xsi:type="xsd:double"&gt;24.332355&lt;/D&gt;&lt;D xsi:type="xsd:double"&gt;14.070379&lt;/D&gt;&lt;D xsi:type="xsd:double"&gt;24.98356&lt;/D&gt;&lt;D xsi:type="xsd:double"&gt;12.849236&lt;/D&gt;&lt;D xsi:type="xsd:double"&gt;12.153482&lt;/D&gt;&lt;D xsi:type="xsd:double"&gt;21.174633&lt;/D&gt;&lt;D xsi:type="xsd:double"&gt;9.614002&lt;/D&gt;&lt;D xsi:type="xsd:double"&gt;20.219755&lt;/D&gt;&lt;D xsi:type="xsd:double"&gt;24.08216&lt;/D&gt;&lt;D xsi:type="xsd:double"&gt;18.733013&lt;/D&gt;&lt;D xsi:type="xsd:double"&gt;26.3937&lt;/D&gt;&lt;D xsi:type="xsd:double"&gt;22.240103&lt;/D&gt;&lt;D xsi:type="xsd:double"&gt;12.8985405&lt;/D&gt;&lt;/FQL&gt;&lt;FQL&gt;&lt;Q&gt;EWI^FMA_DIV_YLD(NTMA,-10AY,0,AM,"PORTAGG","MEANR")&lt;/Q&gt;&lt;R&gt;121&lt;/R&gt;&lt;C&gt;1&lt;/C&gt;&lt;D xsi:type="xsd:double"&gt;3.43532495843035&lt;/D&gt;&lt;D xsi:type="xsd:double"&gt;3.54303395346714&lt;/D&gt;&lt;D xsi:type="xsd:double"&gt;3.6034078742135&lt;/D&gt;&lt;D xsi:type="xsd:double"&gt;3.92764017613807&lt;/D&gt;&lt;D xsi:type="xsd:double"&gt;3.87450307442844&lt;/D&gt;&lt;D xsi:type="xsd:double"&gt;4.00401583903138&lt;/D&gt;&lt;D xsi:type="xsd:double"&gt;3.77712029450789&lt;/D&gt;&lt;D xsi:type="xsd:double"&gt;3.44301710189984&lt;/D&gt;&lt;D xsi:type="xsd:double"&gt;3.12655383981826&lt;/D&gt;&lt;D xsi:type="xsd:double"&gt;3.12437675073717&lt;/D&gt;&lt;D xsi:type="xsd:double"&gt;3.19288824096162&lt;/D&gt;&lt;D xsi:type="xsd:double"&gt;3.20644966201649&lt;/D&gt;&lt;D xsi:type="xsd:double"&gt;3.20812399725725&lt;/D&gt;&lt;D xsi:type="xsd:double"&gt;3.444430516061&lt;/D&gt;&lt;D xsi:type="xsd:double"&gt;3.52094113730961&lt;/D&gt;&lt;D xsi:type="xsd:double"&gt;3.53454022524902&lt;/D&gt;&lt;D xsi:type="xsd:double"&gt;3.59915037845784&lt;/D&gt;&lt;D xsi:type="xsd:double"&gt;3.82736698025053&lt;/D&gt;&lt;D xsi:type="xsd:double"&gt;4.37264961328589&lt;/D&gt;&lt;D xsi:type="xsd:double"&gt;4.53903714469403&lt;/D&gt;&lt;D xsi:type="xsd:double"&gt;4.35637891811441&lt;/D&gt;&lt;D xsi:type="xsd:double"&gt;4.30857761003419&lt;/D&gt;&lt;D xsi:type="xsd:double"&gt;4.44659379147068&lt;/D&gt;&lt;D xsi:type="xsd:double"&gt;5.20411295636916&lt;/D&gt;&lt;D xsi:type="xsd:double"&gt;4.78314743703861&lt;/D&gt;&lt;D xsi:type="xsd:double"&gt;4.72703655986063&lt;/D&gt;&lt;D xsi:type="xsd:double"&gt;5.03301774247655&lt;/D&gt;&lt;D xsi:type="xsd:double"&gt;4.72452723776982&lt;/D&gt;&lt;D xsi:type="xsd:double"&gt;4.87804919547708&lt;/D&gt;&lt;D xsi:type="xsd:double"&gt;4.26939921045352&lt;/D&gt;&lt;D xsi:type="xsd:double"&gt;4.34673865035603&lt;/D&gt;&lt;D xsi:type="xsd:double"&gt;4.38978761038697&lt;/D&gt;&lt;D xsi:type="xsd:double"&gt;3.96789056180567&lt;/D&gt;&lt;D xsi:type="xsd:double"&gt;3.86898146973698&lt;/D&gt;&lt;D xsi:type="xsd:double"&gt;3.83574998414522&lt;/D&gt;&lt;D xsi:type="xsd:double"&gt;3.79076184374253&lt;/D&gt;&lt;D xsi:type="xsd:double"&gt;3.7398401109757&lt;/D&gt;&lt;D xsi:type="xsd:double"&gt;3.77414331734819&lt;/D&gt;&lt;D xsi:type="xsd:double"&gt;3.70219613574233&lt;/D&gt;&lt;D xsi:type="xsd:double"&gt;3.77980973393659&lt;/D&gt;&lt;D xsi:type="xsd:double"&gt;3.87367895250157&lt;/D&gt;&lt;D xsi:type="xsd:double"&gt;3.91544678327127&lt;/D&gt;&lt;D xsi:type="xsd:double"&gt;3.715486927804&lt;/D&gt;&lt;D xsi:type="xsd:double"&gt;3.9507426488351&lt;/D&gt;&lt;D xsi:type="xsd:double"&gt;4.19138386354591&lt;/D&gt;&lt;D xsi:type="xsd:double"&gt;3.87917211436531&lt;/D&gt;&lt;D xsi:type="xsd:double"&gt;4.26631934256164&lt;/D&gt;&lt;D xsi:type="xsd:double"&gt;4.52518437336577&lt;/D&gt;&lt;D xsi:type="xsd:double"&gt;4.40158314094957&lt;/D&gt;&lt;D xsi:type="xsd:double"&gt;4.64124087051674&lt;/D&gt;&lt;D xsi:type="xsd:double"&gt;4.5036997194857&lt;/D&gt;&lt;D xsi:type="xsd:double"&gt;5.15511531246389&lt;/D&gt;&lt;D xsi:type="xsd:double"&gt;5.09346597755807&lt;/D&gt;&lt;D xsi:type="xsd:double"&gt;5.41723237983571&lt;/D&gt;&lt;D xsi:type="xsd:double"&gt;5.06744206787671&lt;/D&gt;&lt;D xsi:type="xsd:double"&gt;4.86304695086618&lt;/D&gt;&lt;D xsi:type="xsd:double"&gt;4.70646710602007&lt;/D&gt;&lt;D xsi:type="xsd:double"&gt;4.64846280292744&lt;/D&gt;&lt;D xsi:type="xsd:double"&gt;4.97363434926526&lt;/D&gt;&lt;D xsi:type="xsd:double"&gt;4.88628235145502&lt;/D&gt;&lt;D xsi:type="xsd:double"&gt;4.72456656508602&lt;/D&gt;&lt;D xsi:type="xsd:double"&gt;5.02620865152492&lt;/D&gt;&lt;D xsi:type="xsd:double"&gt;4.76264154954301&lt;/D&gt;&lt;D xsi:type="xsd:double"&gt;4.65200918698422&lt;/D&gt;&lt;D xsi:type="xsd:double"&gt;4.54956154100669&lt;/D&gt;&lt;D xsi:type="xsd:double"&gt;4.41750164090878&lt;/D&gt;&lt;D xsi:type="xsd:double"&gt;4.46992646658229&lt;/D&gt;&lt;D xsi:type="xsd:double"&gt;4.70969096300731&lt;/D&gt;&lt;D xsi:type="xsd:double"&gt;6.15462424769272&lt;/D&gt;&lt;D xsi:type="xsd:double"&gt;5.67131635139008&lt;/D&gt;&lt;D xsi:type="xsd:double"&gt;4.77096057829665&lt;/D&gt;&lt;D xsi:type="xsd:double"&gt;4.4130319974048&lt;/D&gt;&lt;D xsi:type="xsd:double"&gt;4.2833412854368&lt;/D&gt;&lt;D xsi:type="xsd:double"&gt;3.9381155504395&lt;/D&gt;&lt;D xsi:type="xsd:double"&gt;4.26252641022604&lt;/D&gt;&lt;D xsi:type="xsd:double"&gt;4.27916092755452&lt;/D&gt;&lt;D xsi:type="xsd:double"&gt;3.86278195788716&lt;/D&gt;&lt;D xsi:type="xsd:double"&gt;3.94607956638372&lt;/D&gt;&lt;D xsi:type="xsd:double"&gt;4.09461411841887&lt;/D&gt;&lt;D xsi:type="xsd:double"&gt;4.12158272097112&lt;/D&gt;&lt;D xsi:type="xsd:double"&gt;4.03481708851624&lt;/D&gt;&lt;D xsi:type="xsd:double"&gt;4.1201676759289&lt;/D&gt;&lt;D xsi:type="xsd:double"&gt;4.1967167177553&lt;/D&gt;&lt;D xsi:type="xsd:double"&gt;4.08211992081178&lt;/D&gt;&lt;D xsi:type="xsd:double"&gt;4.21742653846751&lt;/D&gt;&lt;D xsi:type="xsd:double"&gt;4.40943101995126&lt;/D&gt;&lt;D xsi:type="xsd:double"&gt;4.49333728439976&lt;/D&gt;&lt;D xsi:type="xsd:double"&gt;4.3377151753782&lt;/D&gt;&lt;D xsi:type="xsd:double"&gt;4.6191803458662&lt;/D&gt;&lt;D xsi:type="xsd:double"&gt;4.63429873501195&lt;/D&gt;&lt;D xsi:type="xsd:double"&gt;4.80049254657479&lt;/D&gt;&lt;D xsi:type="xsd:double"&gt;4.99940541160563&lt;/D&gt;&lt;D xsi:type="xsd:double"&gt;5.17303198721776&lt;/D&gt;&lt;D xsi:type="xsd:double"&gt;5.25894470474352&lt;/D&gt;&lt;D xsi:type="xsd:double"&gt;5.10717634349981&lt;/D&gt;&lt;D xsi:type="xsd:double"&gt;5.73987227200286&lt;/D&gt;&lt;D xsi:type="xsd:double"&gt;6.05357870060238&lt;/D&gt;&lt;D xsi:type="xsd:double"&gt;5.8092080616023&lt;/D&gt;&lt;D xsi:type="xsd:double"&gt;5.90593183880797&lt;/D&gt;&lt;D xsi:type="xsd:double"&gt;5.81458427179715&lt;/D&gt;&lt;D xsi:type="xsd:double"&gt;5.4363335847015&lt;/D&gt;&lt;D xsi:type="xsd:double"&gt;5.8802974859583&lt;/D&gt;&lt;D xsi:type="xsd:double"&gt;5.47559793061359&lt;/D&gt;&lt;D xsi:type="xsd:double"&gt;5.63669370617497&lt;/D&gt;&lt;D xsi:type="xsd:double"&gt;5.66620846408145&lt;/D&gt;&lt;D xsi:type="xsd:double"&gt;5.42880568494172&lt;/D&gt;&lt;D xsi:type="xsd:double"&gt;5.68716740384613&lt;/D&gt;&lt;D xsi:type="xsd:double"&gt;5.48028151739247&lt;/D&gt;&lt;D xsi:type="xsd:double"&gt;5.28278801430998&lt;/D&gt;&lt;D xsi:type="xsd:double"&gt;5.58027187068958&lt;/D&gt;&lt;D xsi:type="xsd:double"&gt;5.54579333430562&lt;/D&gt;&lt;D xsi:type="xsd:double"&gt;5.76490866144441&lt;/D&gt;&lt;D xsi:type="xsd:double"&gt;5.5295683808525&lt;/D&gt;&lt;D xsi:type="xsd:double"&gt;5.474109996754&lt;/D&gt;&lt;D xsi:type="xsd:double"&gt;5.43406890767703&lt;/D&gt;&lt;D xsi:type="xsd:double"&gt;5.31235107374378&lt;/D&gt;&lt;D xsi:type="xsd:double"&gt;5.08297295599179&lt;/D&gt;&lt;D xsi:type="xsd:double"&gt;5.24226208945742&lt;/D&gt;&lt;D xsi:type="xsd:double"&gt;5.24529211541414&lt;/D&gt;&lt;D xsi:type="xsd:double"&gt;5.42455622071836&lt;/D&gt;&lt;D xsi:type="xsd:double"&gt;5.31687582732249&lt;/D&gt;&lt;/FQL&gt;&lt;FQL&gt;&lt;Q&gt;VWO^PERCENT_CHANGE(FMA_EPS(+1,0,,,,"PORTAGG","MEAN"),FMA_EPS(+1,-1AM,,,,"PORTAGG","MEAN"))&lt;/Q&gt;&lt;R&gt;1&lt;/R&gt;&lt;C&gt;1&lt;/C&gt;&lt;D xsi:type="xsd:double"&gt;170.818965015428&lt;/D&gt;&lt;/FQL&gt;&lt;FQL&gt;&lt;Q&gt;EWD^PERCENT_CHANGE(FMA_EPS(+1,0,,,,"PORTAGG","MEAN"),FMA_EPS(+1,-3AM,,,,"PORTAGG","MEAN"))&lt;/Q&gt;&lt;R&gt;1&lt;/R&gt;&lt;C&gt;1&lt;/C&gt;&lt;D xsi:type="xsd:double"&gt;-2.02617447133987&lt;/D&gt;&lt;/FQL&gt;&lt;FQL&gt;&lt;Q&gt;EWC^PERCENT_CHANGE(FMA_EPS(+1,0,,,,"PORTAGG","MEAN"),FMA_EPS(+1,-3AM,,,,"PORTAGG","MEAN"))&lt;/Q&gt;&lt;R&gt;1&lt;/R&gt;&lt;C&gt;1&lt;/C&gt;&lt;D xsi:type="xsd:double"&gt;-1.94019737710527&lt;/D&gt;&lt;/FQL&gt;&lt;FQL&gt;&lt;Q&gt;EWN^FG_ROE(0)&lt;/Q&gt;&lt;R&gt;1&lt;/R&gt;&lt;C&gt;1&lt;/C&gt;&lt;D xsi:type="xsd:double"&gt;10.8768690385044&lt;/D&gt;&lt;/FQL&gt;&lt;FQL&gt;&lt;Q&gt;TRYSE10Y-FDS^PCTCHG(FG_YIELD(0,,,,"YTM"),FG_YIELD(-3AM,,,,"YTM"))&lt;/Q&gt;&lt;R&gt;1&lt;/R&gt;&lt;C&gt;1&lt;/C&gt;&lt;D xsi:type="xsd:double"&gt;-17.298576&lt;/D&gt;&lt;/FQL&gt;&lt;FQL&gt;&lt;Q&gt;VGK^FMA_DIV_YLD(NTMA,NOW,NOW,M,"PORTAGG","MEANR")&lt;/Q&gt;&lt;R&gt;1&lt;/R&gt;&lt;C&gt;1&lt;/C&gt;&lt;D xsi:type="xsd:double"&gt;3.52193292836301&lt;/D&gt;&lt;/FQL&gt;&lt;FQL&gt;&lt;Q&gt;TRYID10Y-FDS^FG_YIELD(-10AY,0,Y,,"YTM")&lt;/Q&gt;&lt;R&gt;10&lt;/R&gt;&lt;C&gt;1&lt;/C&gt;&lt;D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xsi:type="xsd:double"&gt;6.498571&lt;/D&gt;&lt;/FQL&gt;&lt;FQL&gt;&lt;Q&gt;EWJ^FMA_COS_UP("EPS","1M",+1,0,,,"PORTAGG","MEANR")&lt;/Q&gt;&lt;R&gt;1&lt;/R&gt;&lt;C&gt;1&lt;/C&gt;&lt;D xsi:type="xsd:double"&gt;104&lt;/D&gt;&lt;/FQL&gt;&lt;FQL&gt;&lt;Q&gt;EWI^FMA_EVAL_EBIT(LTMA,NOW,NOW,M,"PORTAGG","MEANR")&lt;/Q&gt;&lt;R&gt;1&lt;/R&gt;&lt;C&gt;1&lt;/C&gt;&lt;D xsi:type="xsd:double"&gt;10.8318043945352&lt;/D&gt;&lt;/FQL&gt;&lt;FQL&gt;&lt;Q&gt;USDUSD^FG_PRICE(0)&lt;/Q&gt;&lt;R&gt;1&lt;/R&gt;&lt;C&gt;1&lt;/C&gt;&lt;D xsi:type="xsd:double"&gt;1&lt;/D&gt;&lt;/FQL&gt;&lt;FQL&gt;&lt;Q&gt;EWQ^FMA_PE(LTMA,-10AY,0,AM,"PORTAGG","MEANR")&lt;/Q&gt;&lt;R&gt;121&lt;/R&gt;&lt;C&gt;1&lt;/C&gt;&lt;D xsi:type="xsd:double"&gt;15.4251798163768&lt;/D&gt;&lt;D xsi:type="xsd:double"&gt;15.470361940998&lt;/D&gt;&lt;D xsi:type="xsd:double"&gt;15.3731192448609&lt;/D&gt;&lt;D xsi:type="xsd:double"&gt;14.7044525992183&lt;/D&gt;&lt;D xsi:type="xsd:double"&gt;15.3873170855164&lt;/D&gt;&lt;D xsi:type="xsd:double"&gt;15.1233756070699&lt;/D&gt;&lt;D xsi:type="xsd:double"&gt;16.4004304666607&lt;/D&gt;&lt;D xsi:type="xsd:double"&gt;17.4468270575269&lt;/D&gt;&lt;D xsi:type="xsd:double"&gt;17.5329439515367&lt;/D&gt;&lt;D xsi:type="xsd:double"&gt;17.6364833870181&lt;/D&gt;&lt;D xsi:type="xsd:double"&gt;17.4816881893878&lt;/D&gt;&lt;D xsi:type="xsd:double"&gt;17.3969752417282&lt;/D&gt;&lt;D xsi:type="xsd:double"&gt;17.2951442861311&lt;/D&gt;&lt;D xsi:type="xsd:double"&gt;15.8721475387491&lt;/D&gt;&lt;D xsi:type="xsd:double"&gt;15.6218848909774&lt;/D&gt;&lt;D xsi:type="xsd:double"&gt;16.4114937210368&lt;/D&gt;&lt;D xsi:type="xsd:double"&gt;16.2525148939287&lt;/D&gt;&lt;D xsi:type="xsd:double"&gt;15.5101637970271&lt;/D&gt;&lt;D xsi:type="xsd:double"&gt;14.5071658433309&lt;/D&gt;&lt;D xsi:type="xsd:double"&gt;15.0134818455844&lt;/D&gt;&lt;D xsi:type="xsd:double"&gt;15.0998828661815&lt;/D&gt;&lt;D xsi:type="xsd:double"&gt;15.282930820483&lt;/D&gt;&lt;D xsi:type="xsd:double"&gt;15.2740644904781&lt;/D&gt;&lt;D xsi:type="xsd:double"&gt;14.6174445859798&lt;/D&gt;&lt;D xsi:type="xsd:double"&gt;15.056671033951&lt;/D&gt;&lt;D xsi:type="xsd:double"&gt;14.9344542492125&lt;/D&gt;&lt;D xsi:type="xsd:double"&gt;14.8027176601907&lt;/D&gt;&lt;D xsi:type="xsd:double"&gt;15.0404566098826&lt;/D&gt;&lt;D xsi:type="xsd:double"&gt;14.9037204180646&lt;/D&gt;&lt;D xsi:type="xsd:double"&gt;15.6855725147825&lt;/D&gt;&lt;D xsi:type="xsd:double"&gt;15.7644433628306&lt;/D&gt;&lt;D xsi:type="xsd:double"&gt;15.5565625418421&lt;/D&gt;&lt;D xsi:type="xsd:double"&gt;15.6246489408614&lt;/D&gt;&lt;D xsi:type="xsd:double"&gt;15.8057818896144&lt;/D&gt;&lt;D xsi:type="xsd:double"&gt;15.805845667154&lt;/D&gt;&lt;D xsi:type="xsd:double"&gt;15.7571424042966&lt;/D&gt;&lt;D xsi:type="xsd:double"&gt;15.6975359463378&lt;/D&gt;&lt;D xsi:type="xsd:double"&gt;15.4639147536811&lt;/D&gt;&lt;D xsi:type="xsd:double"&gt;15.8104215356058&lt;/D&gt;&lt;D xsi:type="xsd:double"&gt;16.2439479063517&lt;/D&gt;&lt;D xsi:type="xsd:double"&gt;16.0930389669577&lt;/D&gt;&lt;D xsi:type="xsd:double"&gt;16.0961496847881&lt;/D&gt;&lt;D xsi:type="xsd:double"&gt;16.6075926058874&lt;/D&gt;&lt;D xsi:type="xsd:double"&gt;15.7184002823566&lt;/D&gt;&lt;D xsi:type="xsd:double"&gt;15.4167376775673&lt;/D&gt;&lt;D xsi:type="xsd:double"&gt;15.5615227903239&lt;/D&gt;&lt;D xsi:type="xsd:double"&gt;15.5509828623392&lt;/D&gt;&lt;D xsi:type="xsd:double"&gt;15.1413934276233&lt;/D&gt;&lt;D xsi:type="xsd:double"&gt;15.2883354060862&lt;/D&gt;&lt;D xsi:type="xsd:double"&gt;15.0881532760868&lt;/D&gt;&lt;D xsi:type="xsd:double"&gt;15.1714322705741&lt;/D&gt;&lt;D xsi:type="xsd:double"&gt;13.9018180370076&lt;/D&gt;&lt;D xsi:type="xsd:double"&gt;13.7721759595846&lt;/D&gt;&lt;D xsi:type="xsd:double"&gt;12.6956066234888&lt;/D&gt;&lt;D xsi:type="xsd:double"&gt;13.5598785205876&lt;/D&gt;&lt;D xsi:type="xsd:double"&gt;14.5242488828286&lt;/D&gt;&lt;D xsi:type="xsd:double"&gt;14.5266465145815&lt;/D&gt;&lt;D xsi:type="xsd:double"&gt;14.6781481223226&lt;/D&gt;&lt;D xsi:type="xsd:double"&gt;14.4388714231198&lt;/D&gt;&lt;D xsi:type="xsd:double"&gt;14.6261363197342&lt;/D&gt;&lt;D xsi:type="xsd:double"&gt;14.9554047587309&lt;/D&gt;&lt;D xsi:type="xsd:double"&gt;14.5538659765955&lt;/D&gt;&lt;D xsi:type="xsd:double"&gt;15.0726912777285&lt;/D&gt;&lt;D xsi:type="xsd:double"&gt;15.5516527920514&lt;/D&gt;&lt;D xsi:type="xsd:double"&gt;16.1491274459341&lt;/D&gt;&lt;D xsi:type="xsd:double"&gt;16.5878733846983&lt;/D&gt;&lt;D xsi:type="xsd:double"&gt;16.6091609274598&lt;/D&gt;&lt;D xsi:type="xsd:double"&gt;15.6381598062&lt;/D&gt;&lt;D xsi:type="xsd:double"&gt;14.4108933828878&lt;/D&gt;&lt;D xsi:type="xsd:double"&gt;15.4091770796046&lt;/D&gt;&lt;D xsi:type="xsd:double"&gt;16.6390904243907&lt;/D&gt;&lt;D xsi:type="xsd:double"&gt;18.2904883037623&lt;/D&gt;&lt;D xsi:type="xsd:double"&gt;20.1941048080678&lt;/D&gt;&lt;D xsi:type="xsd:double"&gt;22.6953076682334&lt;/D&gt;&lt;D xsi:type="xsd:double"&gt;22.5148067644132&lt;/D&gt;&lt;D xsi:type="xsd:double"&gt;23.9646155257741&lt;/D&gt;&lt;D xsi:type="xsd:double"&gt;27.951955584711&lt;/D&gt;&lt;D xsi:type="xsd:double"&gt;28.4644671531031&lt;/D&gt;&lt;D xsi:type="xsd:double"&gt;28.1474947906372&lt;/D&gt;&lt;D xsi:type="xsd:double"&gt;27.0710572154549&lt;/D&gt;&lt;D xsi:type="xsd:double"&gt;26.4099334502148&lt;/D&gt;&lt;D xsi:type="xsd:double"&gt;25.6539716992136&lt;/D&gt;&lt;D xsi:type="xsd:double"&gt;24.6766004320761&lt;/D&gt;&lt;D xsi:type="xsd:double"&gt;23.9942559178456&lt;/D&gt;&lt;D xsi:type="xsd:double"&gt;22.6817904517647&lt;/D&gt;&lt;D xsi:type="xsd:double"&gt;21.1861283591791&lt;/D&gt;&lt;D xsi:type="xsd:double"&gt;20.1367969279558&lt;/D&gt;&lt;D xsi:type="xsd:double"&gt;18.9406313599317&lt;/D&gt;&lt;D xsi:type="xsd:double"&gt;17.3750006491248&lt;/D&gt;&lt;D xsi:type="xsd:double"&gt;17.339672439426&lt;/D&gt;&lt;D xsi:type="xsd:double"&gt;16.4389769426536&lt;/D&gt;&lt;D xsi:type="xsd:double"&gt;15.6958185141116&lt;/D&gt;&lt;D xsi:type="xsd:double"&gt;15.2428178174018&lt;/D&gt;&lt;D xsi:type="xsd:double"&gt;14.8761654641061&lt;/D&gt;&lt;D xsi:type="xsd:double"&gt;14.3989928728972&lt;/D&gt;&lt;D xsi:type="xsd:double"&gt;13.798154242849&lt;/D&gt;&lt;D xsi:type="xsd:double"&gt;13.3722269058406&lt;/D&gt;&lt;D xsi:type="xsd:double"&gt;12.7282791075152&lt;/D&gt;&lt;D xsi:type="xsd:double"&gt;11.580258959297&lt;/D&gt;&lt;D xsi:type="xsd:double"&gt;11.8997239542519&lt;/D&gt;&lt;D xsi:type="xsd:double"&gt;12.2363999413251&lt;/D&gt;&lt;D xsi:type="xsd:double"&gt;11.6409717967068&lt;/D&gt;&lt;D xsi:type="xsd:double"&gt;12.8456934021664&lt;/D&gt;&lt;D xsi:type="xsd:double"&gt;12.7185449973021&lt;/D&gt;&lt;D xsi:type="xsd:double"&gt;12.8442904092308&lt;/D&gt;&lt;D xsi:type="xsd:double"&gt;13.2110203523427&lt;/D&gt;&lt;D xsi:type="xsd:double"&gt;13.1063165473447&lt;/D&gt;&lt;D xsi:type="xsd:double"&gt;13.1103373676663&lt;/D&gt;&lt;D xsi:type="xsd:double"&gt;13.3191438301674&lt;/D&gt;&lt;D xsi:type="xsd:double"&gt;13.1364251797955&lt;/D&gt;&lt;D xsi:type="xsd:double"&gt;12.9203006342744&lt;/D&gt;&lt;D xsi:type="xsd:double"&gt;12.6166038350666&lt;/D&gt;&lt;D xsi:type="xsd:double"&gt;13.371740407855&lt;/D&gt;&lt;D xsi:type="xsd:double"&gt;14.0835278712682&lt;/D&gt;&lt;D xsi:type="xsd:double"&gt;14.4774339639435&lt;/D&gt;&lt;D xsi:type="xsd:double"&gt;15.4970862788034&lt;/D&gt;&lt;D xsi:type="xsd:double"&gt;15.518098482134&lt;/D&gt;&lt;D xsi:type="xsd:double"&gt;15.4554193871891&lt;/D&gt;&lt;D xsi:type="xsd:double"&gt;15.4303698103735&lt;/D&gt;&lt;D xsi:type="xsd:double"&gt;14.9942123661431&lt;/D&gt;&lt;D xsi:type="xsd:double"&gt;14.8651219646691&lt;/D&gt;&lt;/FQL&gt;&lt;FQL&gt;&lt;Q&gt;CPALM-FDS^FG_PRICE_CHANGE(0,-3AM)&lt;/Q&gt;&lt;R&gt;1&lt;/R&gt;&lt;C&gt;1&lt;/C&gt;&lt;D xsi:type="xsd:double"&gt;2.87458661918087&lt;/D&gt;&lt;/FQL&gt;&lt;FQL&gt;&lt;Q&gt;FC0000AU^FG_PRICE(0)&lt;/Q&gt;&lt;R&gt;1&lt;/R&gt;&lt;C&gt;1&lt;/C&gt;&lt;D xsi:type="xsd:double"&gt;361.7889&lt;/D&gt;&lt;/FQL&gt;&lt;FQL&gt;&lt;Q&gt;EWN^FG_TOTAL_RETURNC(0,-12AM)&lt;/Q&gt;&lt;R&gt;1&lt;/R&gt;&lt;C&gt;1&lt;/C&gt;&lt;D xsi:type="xsd:double"&gt;12.8985405&lt;/D&gt;&lt;/FQL&gt;&lt;FQL&gt;&lt;Q&gt;QQQ^FG_ROE(0)&lt;/Q&gt;&lt;R&gt;1&lt;/R&gt;&lt;C&gt;1&lt;/C&gt;&lt;D xsi:type="xsd:double"&gt;22.6638008722416&lt;/D&gt;&lt;/FQL&gt;&lt;FQL&gt;&lt;Q&gt;CC_NL^IMF_IFS_RCPI_Q(0)&lt;/Q&gt;&lt;R&gt;1&lt;/R&gt;&lt;C&gt;1&lt;/C&gt;&lt;D xsi:type="xsd:double"&gt;2.888117&lt;/D&gt;&lt;/FQL&gt;&lt;FQL&gt;&lt;Q&gt;EWQ^FMA_PE(NTMA,0,,,"PORTAGG","MEANR")&lt;/Q&gt;&lt;R&gt;1&lt;/R&gt;&lt;C&gt;1&lt;/C&gt;&lt;D xsi:type="xsd:double"&gt;13.4634987209684&lt;/D&gt;&lt;/FQL&gt;&lt;FQL&gt;&lt;Q&gt;EWU^JULIAN(FMA_DIV_YLD(NTMA,NOW,NOW,M,"PORTAGG","MEANR").DATES)&lt;/Q&gt;&lt;R&gt;1&lt;/R&gt;&lt;C&gt;1&lt;/C&gt;&lt;D xsi:type="xsd:long"&gt;45471&lt;/D&gt;&lt;/FQL&gt;&lt;FQL&gt;&lt;Q&gt;TRYVN10Y-FDS^FG_YIELD(-10AY,0,Y,,"YTM")&lt;/Q&gt;&lt;R&gt;10&lt;/R&gt;&lt;C&gt;1&lt;/C&gt;&lt;D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xsi:type="xsd:double"&gt;2.9473283&lt;/D&gt;&lt;/FQL&gt;&lt;FQL&gt;&lt;Q&gt;USDUSD^FG_PRICE_CHANGE(0,-1AY)&lt;/Q&gt;&lt;R&gt;1&lt;/R&gt;&lt;C&gt;1&lt;/C&gt;&lt;D xsi:type="xsd:double"&gt;0&lt;/D&gt;&lt;/FQL&gt;&lt;FQL&gt;&lt;Q&gt;USDJPY^STD(F</t>
        </r>
      </text>
    </comment>
    <comment ref="A8" authorId="0" shapeId="0" xr:uid="{D1717B2C-E691-456D-A263-575E6B367A94}">
      <text>
        <r>
          <rPr>
            <b/>
            <sz val="9"/>
            <color indexed="81"/>
            <rFont val="Tahoma"/>
            <charset val="1"/>
          </rPr>
          <t>G_PRICE_CHANGE(0,-1AY,AM))&lt;/Q&gt;&lt;R&gt;1&lt;/R&gt;&lt;C&gt;1&lt;/C&gt;&lt;D xsi:type="xsd:double"&gt;2.92393463176342&lt;/D&gt;&lt;/FQL&gt;&lt;FQL&gt;&lt;Q&gt;USDAUD^FG_PRICE(0)&lt;/Q&gt;&lt;R&gt;1&lt;/R&gt;&lt;C&gt;1&lt;/C&gt;&lt;D xsi:type="xsd:double"&gt;1.5259022&lt;/D&gt;&lt;/FQL&gt;&lt;FQL&gt;&lt;Q&gt;EWN^FMA_PE(LTMA,-10AY,0,AM,"PORTAGG","MEANR")&lt;/Q&gt;&lt;R&gt;121&lt;/R&gt;&lt;C&gt;1&lt;/C&gt;&lt;D xsi:type="xsd:double"&gt;16.4728466874369&lt;/D&gt;&lt;D xsi:type="xsd:double"&gt;16.6165019945074&lt;/D&gt;&lt;D xsi:type="xsd:double"&gt;16.7587827406305&lt;/D&gt;&lt;D xsi:type="xsd:double"&gt;16.0167154791461&lt;/D&gt;&lt;D xsi:type="xsd:double"&gt;17.7461626791649&lt;/D&gt;&lt;D xsi:type="xsd:double"&gt;17.6644900500192&lt;/D&gt;&lt;D xsi:type="xsd:double"&gt;18.9438312624895&lt;/D&gt;&lt;D xsi:type="xsd:double"&gt;20.1145501395528&lt;/D&gt;&lt;D xsi:type="xsd:double"&gt;19.9229584008745&lt;/D&gt;&lt;D xsi:type="xsd:double"&gt;19.8673282469208&lt;/D&gt;&lt;D xsi:type="xsd:double"&gt;19.5269680083166&lt;/D&gt;&lt;D xsi:type="xsd:double"&gt;19.2686697328413&lt;/D&gt;&lt;D xsi:type="xsd:double"&gt;19.0501637637625&lt;/D&gt;&lt;D xsi:type="xsd:double"&gt;17.2589073795872&lt;/D&gt;&lt;D xsi:type="xsd:double"&gt;16.7641690361841&lt;/D&gt;&lt;D xsi:type="xsd:double"&gt;17.609875465051&lt;/D&gt;&lt;D xsi:type="xsd:double"&gt;18.0828971364937&lt;/D&gt;&lt;D xsi:type="xsd:double"&gt;17.254760592399&lt;/D&gt;&lt;D xsi:type="xsd:double"&gt;16.0682241202184&lt;/D&gt;&lt;D xsi:type="xsd:double"&gt;16.2192761305052&lt;/D&gt;&lt;D xsi:type="xsd:double"&gt;16.387204622321&lt;/D&gt;&lt;D xsi:type="xsd:double"&gt;16.3261822154363&lt;/D&gt;&lt;D xsi:type="xsd:double"&gt;16.3317248157907&lt;/D&gt;&lt;D xsi:type="xsd:double"&gt;15.6621705201919&lt;/D&gt;&lt;D xsi:type="xsd:double"&gt;16.1497032316405&lt;/D&gt;&lt;D xsi:type="xsd:double"&gt;16.143297624822&lt;/D&gt;&lt;D xsi:type="xsd:double"&gt;15.9680501385515&lt;/D&gt;&lt;D xsi:type="xsd:double"&gt;15.9160837578957&lt;/D&gt;&lt;D xsi:type="xsd:double"&gt;15.6955777490254&lt;/D&gt;&lt;D xsi:type="xsd:double"&gt;16.3215544818008&lt;/D&gt;&lt;D xsi:type="xsd:double"&gt;16.349452857594&lt;/D&gt;&lt;D xsi:type="xsd:double"&gt;16.4611500333719&lt;/D&gt;&lt;D xsi:type="xsd:double"&gt;16.4802073232979&lt;/D&gt;&lt;D xsi:type="xsd:double"&gt;16.6564397642977&lt;/D&gt;&lt;D xsi:type="xsd:double"&gt;16.7272567607889&lt;/D&gt;&lt;D xsi:type="xsd:double"&gt;16.6824849676013&lt;/D&gt;&lt;D xsi:type="xsd:double"&gt;16.7545864870244&lt;/D&gt;&lt;D xsi:type="xsd:double"&gt;16.5735436172616&lt;/D&gt;&lt;D xsi:type="xsd:double"&gt;16.7717514955701&lt;/D&gt;&lt;D xsi:type="xsd:double"&gt;17.2401700579019&lt;/D&gt;&lt;D xsi:type="xsd:double"&gt;17.2459629328096&lt;/D&gt;&lt;D xsi:type="xsd:double"&gt;17.3278261431717&lt;/D&gt;&lt;D xsi:type="xsd:double"&gt;17.5240262691346&lt;/D&gt;&lt;D xsi:type="xsd:double"&gt;16.7759423068928&lt;/D&gt;&lt;D xsi:type="xsd:double"&gt;16.5067841426351&lt;/D&gt;&lt;D xsi:type="xsd:double"&gt;16.5814259807396&lt;/D&gt;&lt;D xsi:type="xsd:double"&gt;16.7124678648962&lt;/D&gt;&lt;D xsi:type="xsd:double"&gt;16.4709123714033&lt;/D&gt;&lt;D xsi:type="xsd:double"&gt;16.8234838419455&lt;/D&gt;&lt;D xsi:type="xsd:double"&gt;16.598367488239&lt;/D&gt;&lt;D xsi:type="xsd:double"&gt;16.3634421868571&lt;/D&gt;&lt;D xsi:type="xsd:double"&gt;15.2369517361537&lt;/D&gt;&lt;D xsi:type="xsd:double"&gt;15.375891864277&lt;/D&gt;&lt;D xsi:type="xsd:double"&gt;14.0053500018105&lt;/D&gt;&lt;D xsi:type="xsd:double"&gt;15.2333356268761&lt;/D&gt;&lt;D xsi:type="xsd:double"&gt;16.2251792653466&lt;/D&gt;&lt;D xsi:type="xsd:double"&gt;16.1232263158455&lt;/D&gt;&lt;D xsi:type="xsd:double"&gt;16.3134571546665&lt;/D&gt;&lt;D xsi:type="xsd:double"&gt;16.0774015851863&lt;/D&gt;&lt;D xsi:type="xsd:double"&gt;16.2900685422869&lt;/D&gt;&lt;D xsi:type="xsd:double"&gt;16.7684398174934&lt;/D&gt;&lt;D xsi:type="xsd:double"&gt;16.2432044255239&lt;/D&gt;&lt;D xsi:type="xsd:double"&gt;17.0971549985783&lt;/D&gt;&lt;D xsi:type="xsd:double"&gt;17.4059442860764&lt;/D&gt;&lt;D xsi:type="xsd:double"&gt;18.09137102351&lt;/D&gt;&lt;D xsi:type="xsd:double"&gt;18.7512913221338&lt;/D&gt;&lt;D xsi:type="xsd:double"&gt;18.7614697338037&lt;/D&gt;&lt;D xsi:type="xsd:double"&gt;18.5167484343954&lt;/D&gt;&lt;D xsi:type="xsd:double"&gt;16.864446839614&lt;/D&gt;&lt;D xsi:type="xsd:double"&gt;17.5809248312002&lt;/D&gt;&lt;D xsi:type="xsd:double"&gt;18.4177584977771&lt;/D&gt;&lt;D xsi:type="xsd:double"&gt;19.4286033317722&lt;/D&gt;&lt;D xsi:type="xsd:double"&gt;20.2935975623724&lt;/D&gt;&lt;D xsi:type="xsd:double"&gt;21.5221540560672&lt;/D&gt;&lt;D xsi:type="xsd:double"&gt;21.4444945067962&lt;/D&gt;&lt;D xsi:type="xsd:double"&gt;22.0187213876578&lt;/D&gt;&lt;D xsi:type="xsd:double"&gt;24.8355571238288&lt;/D&gt;&lt;D xsi:type="xsd:double"&gt;27.0911621164959&lt;/D&gt;&lt;D xsi:type="xsd:double"&gt;28.0295382585635&lt;/D&gt;&lt;D xsi:type="xsd:double"&gt;28.9833052381028&lt;/D&gt;&lt;D xsi:type="xsd:double"&gt;28.6240768907173&lt;/D&gt;&lt;D xsi:type="xsd:double"&gt;28.1432134867155&lt;/D&gt;&lt;D xsi:type="xsd:double"&gt;27.2218133693383&lt;/D&gt;&lt;D xsi:type="xsd:double"&gt;26.7174645129232&lt;/D&gt;&lt;D xsi:type="xsd:double"&gt;26.3274181788448&lt;/D&gt;&lt;D xsi:type="xsd:double"&gt;25.965450706246&lt;/D&gt;&lt;D xsi:type="xsd:double"&gt;25.2473493966542&lt;/D&gt;&lt;D xsi:type="xsd:double"&gt;24.7403804924468&lt;/D&gt;&lt;D xsi:type="xsd:double"&gt;22.9560332613628&lt;/D&gt;&lt;D xsi:type="xsd:double"&gt;22.7155727823048&lt;/D&gt;&lt;D xsi:type="xsd:double"&gt;20.381932685209&lt;/D&gt;&lt;D xsi:type="xsd:double"&gt;18.3295860616793&lt;/D&gt;&lt;D xsi:type="xsd:double"&gt;18.5012321813857&lt;/D&gt;&lt;D xsi:type="xsd:double"&gt;18.2004407771831&lt;/D&gt;&lt;D xsi:type="xsd:double"&gt;18.3650057334971&lt;/D&gt;&lt;D xsi:type="xsd:double"&gt;17.9936171196825&lt;/D&gt;&lt;D xsi:type="xsd:double"&gt;19.2391812579732&lt;/D&gt;&lt;D xsi:type="xsd:double"&gt;18.9947858568893&lt;/D&gt;&lt;D xsi:type="xsd:double"&gt;17.4128745775212&lt;/D&gt;&lt;D xsi:type="xsd:double"&gt;17.913195999222&lt;/D&gt;&lt;D xsi:type="xsd:double"&gt;18.7200734612796&lt;/D&gt;&lt;D xsi:type="xsd:double"&gt;17.8940024396959&lt;/D&gt;&lt;D xsi:type="xsd:double"&gt;19.5318979717791&lt;/D&gt;&lt;D xsi:type="xsd:double"&gt;20.5588222655438&lt;/D&gt;&lt;D xsi:type="xsd:double"&gt;20.2833810912012&lt;/D&gt;&lt;D xsi:type="xsd:double"&gt;19.8323442292727&lt;/D&gt;&lt;D xsi:type="xsd:double"&gt;19.6212473800492&lt;/D&gt;&lt;D xsi:type="xsd:double"&gt;19.0067926504254&lt;/D&gt;&lt;D xsi:type="xsd:double"&gt;18.9301869521961&lt;/D&gt;&lt;D xsi:type="xsd:double"&gt;17.6997024820434&lt;/D&gt;&lt;D xsi:type="xsd:double"&gt;16.6767207539186&lt;/D&gt;&lt;D xsi:type="xsd:double"&gt;15.8115685324319&lt;/D&gt;&lt;D xsi:type="xsd:double"&gt;16.5236863267461&lt;/D&gt;&lt;D xsi:type="xsd:double"&gt;16.6226834060962&lt;/D&gt;&lt;D xsi:type="xsd:double"&gt;17.3871092095876&lt;/D&gt;&lt;D xsi:type="xsd:double"&gt;17.8332199688987&lt;/D&gt;&lt;D xsi:type="xsd:double"&gt;18.4589881861635&lt;/D&gt;&lt;D xsi:type="xsd:double"&gt;18.1838648439437&lt;/D&gt;&lt;D xsi:type="xsd:double"&gt;18.358603278061&lt;/D&gt;&lt;D xsi:type="xsd:double"&gt;18.2733913154669&lt;/D&gt;&lt;D xsi:type="xsd:double"&gt;17.9608827195177&lt;/D&gt;&lt;/FQL&gt;&lt;FQL&gt;&lt;Q&gt;PASP-FDS^FG_PRICE(0)/MAX(FG_PRICE(0,-1AY))&lt;/Q&gt;&lt;R&gt;1&lt;/R&gt;&lt;C&gt;1&lt;/C&gt;&lt;D xsi:type="xsd:double"&gt;0.682835820895522&lt;/D&gt;&lt;/FQL&gt;&lt;FQL&gt;&lt;Q&gt;CPALM-FDS^FG_PRICE_CHANGE(0,-6AM)&lt;/Q&gt;&lt;R&gt;1&lt;/R&gt;&lt;C&gt;1&lt;/C&gt;&lt;D xsi:type="xsd:double"&gt;0.622045284896733&lt;/D&gt;&lt;/FQL&gt;&lt;FQL&gt;&lt;Q&gt;COPP-FDS^FG_PRICE_MAVG(0,,,,30)&lt;/Q&gt;&lt;R&gt;1&lt;/R&gt;&lt;C&gt;1&lt;/C&gt;&lt;D xsi:type="xsd:double"&gt;4.4239335&lt;/D&gt;&lt;/FQL&gt;&lt;FQL&gt;&lt;Q&gt;SPY^FG_PRICE_MAVG(0,,,,200)&lt;/Q&gt;&lt;R&gt;1&lt;/R&gt;&lt;C&gt;1&lt;/C&gt;&lt;D xsi:type="xsd:double"&gt;496.7671&lt;/D&gt;&lt;/FQL&gt;&lt;FQL&gt;&lt;Q&gt;EWA^FG_PRICE_MAVG(0,,,,200)&lt;/Q&gt;&lt;R&gt;1&lt;/R&gt;&lt;C&gt;1&lt;/C&gt;&lt;D xsi:type="xsd:double"&gt;23.66135&lt;/D&gt;&lt;/FQL&gt;&lt;FQL&gt;&lt;Q&gt;SPY^PERCENT_CHANGE(FMA_EPS(+1,0,,,,"PORTAGG","MEAN"),FMA_EPS(+1,-3AM,,,,"PORTAGG","MEAN"))&lt;/Q&gt;&lt;R&gt;1&lt;/R&gt;&lt;C&gt;1&lt;/C&gt;&lt;D xsi:type="xsd:double"&gt;-0.17176498470089&lt;/D&gt;&lt;/FQL&gt;&lt;FQL&gt;&lt;Q&gt;EWL^FG_TOTAL_RETURNC(0,-1AM)&lt;/Q&gt;&lt;R&gt;1&lt;/R&gt;&lt;C&gt;1&lt;/C&gt;&lt;D xsi:type="xsd:double"&gt;3.6010027&lt;/D&gt;&lt;/FQL&gt;&lt;FQL&gt;&lt;Q&gt;TRYIT10Y-FDS^FG_YIELD_NAME&lt;/Q&gt;&lt;R&gt;1&lt;/R&gt;&lt;C&gt;1&lt;/C&gt;&lt;D xsi:type="xsd:string"&gt;Italy Benchmark Bond - 10 Year&lt;/D&gt;&lt;/FQL&gt;&lt;FQL&gt;&lt;Q&gt;CC_SE^IMF_IFS_RCPI_Q(0)&lt;/Q&gt;&lt;R&gt;1&lt;/R&gt;&lt;C&gt;1&lt;/C&gt;&lt;D xsi:type="xsd:double"&gt;3.39215&lt;/D&gt;&lt;/FQL&gt;&lt;FQL&gt;&lt;Q&gt;EWQ^FG_FCF_YIELD_NTM(0)&lt;/Q&gt;&lt;R&gt;1&lt;/R&gt;&lt;C&gt;1&lt;/C&gt;&lt;D xsi:type="xsd:double"&gt;6.11733473941927&lt;/D&gt;&lt;/FQL&gt;&lt;FQL&gt;&lt;Q&gt;EWU^FMA_PE(LTM,0,,,"PORTAGG","MEANR")&lt;/Q&gt;&lt;R&gt;1&lt;/R&gt;&lt;C&gt;1&lt;/C&gt;&lt;D xsi:type="xsd:double"&gt;12.8951606854304&lt;/D&gt;&lt;/FQL&gt;&lt;FQL&gt;&lt;Q&gt;EWC^FMA_EVAL_EBIT(LTMA,NOW,NOW,M,"PORTAGG","MEANR")&lt;/Q&gt;&lt;R&gt;1&lt;/R&gt;&lt;C&gt;1&lt;/C&gt;&lt;D xsi:type="xsd:double"&gt;15.9094025791093&lt;/D&gt;&lt;/FQL&gt;&lt;FQL&gt;&lt;Q&gt;DBA^FG_TOTAL_RETURNC(0,-6AM)&lt;/Q&gt;&lt;R&gt;1&lt;/R&gt;&lt;C&gt;1&lt;/C&gt;&lt;D xsi:type="xsd:double"&gt;11.421907&lt;/D&gt;&lt;/FQL&gt;&lt;FQL&gt;&lt;Q&gt;TRYTW10Y-FDS^FG_YIELD(-10AY,0,Y,,"YTM")&lt;/Q&gt;&lt;R&gt;10&lt;/R&gt;&lt;C&gt;1&lt;/C&gt;&lt;D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xsi:type="xsd:double"&gt;1.211&lt;/D&gt;&lt;/FQL&gt;&lt;FQL&gt;&lt;Q&gt;CAGDPY@JP^EE_ACTUAL_ANNUAL(MED,0)&lt;/Q&gt;&lt;R&gt;1&lt;/R&gt;&lt;C&gt;1&lt;/C&gt;&lt;D xsi:type="xsd:double"&gt;3.61295912215857&lt;/D&gt;&lt;/FQL&gt;&lt;FQL&gt;&lt;Q&gt;USDSEK^FG_PRICE_CHANGE(0,-3AM)&lt;/Q&gt;&lt;R&gt;1&lt;/R&gt;&lt;C&gt;1&lt;/C&gt;&lt;D xsi:type="xsd:double"&gt;-1.2765408&lt;/D&gt;&lt;/FQL&gt;&lt;FQL&gt;&lt;Q&gt;EWQ^P_PRICE_RETURNS_PR('52W',2,-10AY,0,AM)&lt;/Q&gt;&lt;R&gt;121&lt;/R&gt;&lt;C&gt;1&lt;/C&gt;&lt;D xsi:type="xsd:double"&gt;12.989532&lt;/D&gt;&lt;D xsi:type="xsd:double"&gt;8.93141&lt;/D&gt;&lt;D xsi:type="xsd:double"&gt;1.2621164&lt;/D&gt;&lt;D xsi:type="xsd:double"&gt;-8.170867&lt;/D&gt;&lt;D xsi:type="xsd:double"&gt;-2.5709093&lt;/D&gt;&lt;D xsi:type="xsd:double"&gt;-6.560552&lt;/D&gt;&lt;D xsi:type="xsd:double"&gt;-3.724891&lt;/D&gt;&lt;D xsi:type="xsd:double"&gt;-5.821109&lt;/D&gt;&lt;D xsi:type="xsd:double"&gt;-7.1576176&lt;/D&gt;&lt;D xsi:type="xsd:double"&gt;-6.1245084&lt;/D&gt;&lt;D xsi:type="xsd:double"&gt;-6.937379&lt;/D&gt;&lt;D xsi:type="xsd:double"&gt;-4.712981&lt;/D&gt;&lt;D xsi:type="xsd:double"&gt;-4.5349956&lt;/D&gt;&lt;D xsi:type="xsd:double"&gt;-7.163435&lt;/D&gt;&lt;D xsi:type="xsd:double"&gt;-6.9287596&lt;/D&gt;&lt;D xsi:type="xsd:double"&gt;5.680728&lt;/D&gt;&lt;D xsi:type="xsd:double"&gt;-2.8947473&lt;/D&gt;&lt;D xsi:type="xsd:double"&gt;-1.2538731&lt;/D&gt;&lt;D xsi:type="xsd:double"&gt;-7.699066&lt;/D&gt;&lt;D xsi:type="xsd:double"&gt;-11.910761&lt;/D&gt;&lt;D xsi:type="xsd:double"&gt;-9.138287&lt;/D&gt;&lt;D xsi:type="xsd:double"&gt;-6.3562036&lt;/D&gt;&lt;D xsi:type="xsd:double"&gt;-5.9613886&lt;/D&gt;&lt;D xsi:type="xsd:double"&gt;-16.413807&lt;/D&gt;&lt;D xsi:type="xsd:double"&gt;-9.2431965&lt;/D&gt;&lt;D xsi:type="xsd:double"&gt;-1.7810464&lt;/D&gt;&lt;D xsi:type="xsd:double"&gt;2.5226593&lt;/D&gt;&lt;D xsi:type="xsd:double"&gt;-5.7502866&lt;/D&gt;&lt;D xsi:type="xsd:double"&gt;-3.52996&lt;/D&gt;&lt;D xsi:type="xsd:double"&gt;1.9278288&lt;/D&gt;&lt;D xsi:type="xsd:double"&gt;12.80266&lt;/D&gt;&lt;D xsi:type="xsd:double"&gt;13.392199&lt;/D&gt;&lt;D xsi:type="xsd:double"&gt;14.245522&lt;/D&gt;&lt;D xsi:type="xsd:double"&gt;15.670765&lt;/D&gt;&lt;D xsi:type="xsd:double"&gt;21.672153&lt;/D&gt;&lt;D xsi:type="xsd:double"&gt;35.053825&lt;/D&gt;&lt;D xsi:type="xsd:double"&gt;29.6605&lt;/D&gt;&lt;D xsi:type="xsd:double"&gt;26.977957&lt;/D&gt;&lt;D xsi:type="xsd:double"&gt;29.985023&lt;/D&gt;&lt;D xsi:type="xsd:double"&gt;33.541203&lt;/D&gt;&lt;D xsi:type="xsd:double"&gt;38.56002&lt;/D&gt;&lt;D xsi:type="xsd:double"&gt;30.39831&lt;/D&gt;&lt;D xsi:type="xsd:double"&gt;36.68573&lt;/D&gt;&lt;D xsi:type="xsd:double"&gt;32.945107&lt;/D&gt;&lt;D xsi:type="xsd:double"&gt;21.716095&lt;/D&gt;&lt;D xsi:type="xsd:double"&gt;18.801558&lt;/D&gt;&lt;D xsi:type="xsd:double"&gt;11.922873&lt;/D&gt;&lt;D xsi:type="xsd:double"&gt;7.559955&lt;/D&gt;&lt;D xsi:type="xsd:double"&gt;8.23003&lt;/D&gt;&lt;D xsi:type="xsd:double"&gt;8.222998&lt;/D&gt;&lt;D xsi:type="xsd:double"&gt;7.0019364&lt;/D&gt;&lt;D xsi:type="xsd:double"&gt;-7.850456&lt;/D&gt;&lt;D xsi:type="xsd:double"&gt;-9.010876&lt;/D&gt;&lt;D xsi:type="xsd:double"&gt;-13.735217&lt;/D&gt;&lt;D xsi:type="xsd:double"&gt;-15.093237&lt;/D&gt;&lt;D xsi:type="xsd:double"&gt;-7.2255554&lt;/D&gt;&lt;D xsi:type="xsd:double"&gt;-4.2111397&lt;/D&gt;&lt;D xsi:type="xsd:double"&gt;-3.9221764&lt;/D&gt;&lt;D xsi:type="xsd:double"&gt;-6.7821503&lt;/D&gt;&lt;D xsi:type="xsd:double"&gt;2.8493524&lt;/D&gt;&lt;D xsi:type="xsd:double"&gt;-0.13406277&lt;/D&gt;&lt;D xsi:type="xsd:double"&gt;-4.237896&lt;/D&gt;&lt;D xsi:type="xsd:double"&gt;-3.1906426&lt;/D&gt;&lt;D xsi:type="xsd:double"&gt;12.840855&lt;/D&gt;&lt;D xsi:type="xsd:double"&gt;17.33234&lt;/D&gt;&lt;D xsi:type="xsd:double"&gt;27.531433&lt;/D&gt;&lt;D xsi:type="xsd:double"&gt;21.94419&lt;/D&gt;&lt;D xsi:type="xsd:double"&gt;5.0812364&lt;/D&gt;&lt;D xsi:type="xsd:double"&gt;-13.60622&lt;/D&gt;&lt;D xsi:type="xsd:double"&gt;-20.802837&lt;/D&gt;&lt;D xsi:type="xsd:double"&gt;-13.482982&lt;/D&gt;&lt;D xsi:type="xsd:double"&gt;-10.546261&lt;/D&gt;&lt;D xsi:type="xsd:double"&gt;-5.8524075&lt;/D&gt;&lt;D xsi:type="xsd:double"&gt;3.229618&lt;/D&gt;&lt;D xsi:type="xsd:double"&gt;-7.197648&lt;/D&gt;&lt;D xsi:type="xsd:double"&gt;-7.5814247&lt;/D&gt;&lt;D xsi:type="xsd:double"&gt;4.2901874&lt;/D&gt;&lt;D xsi:type="xsd:double"&gt;3.7100315&lt;/D&gt;&lt;D xsi:type="xsd:double"&gt;4.664457&lt;/D&gt;&lt;D xsi:type="xsd:double"&gt;14.276338&lt;/D&gt;&lt;D xsi:type="xsd:double"&gt;43.02441&lt;/D&gt;&lt;D xsi:type="xsd:double"&gt;59.59569&lt;/D&gt;&lt;D xsi:type="xsd:double"&gt;56.244183&lt;/D&gt;&lt;D xsi:type="xsd:double"&gt;43.14628&lt;/D&gt;&lt;D xsi:type="xsd:double"&gt;35.03971&lt;/D&gt;&lt;D xsi:type="xsd:double"&gt;30.543686&lt;/D&gt;&lt;D xsi:type="xsd:double"&gt;41.72586&lt;/D&gt;&lt;D xsi:type="xsd:double"&gt;39.352&lt;/D&gt;&lt;D xsi:type="xsd:double"&gt;16.438711&lt;/D&gt;&lt;D xsi:type="xsd:double"&gt;20.410622&lt;/D&gt;&lt;D xsi:type="xsd:double"&gt;16.276909&lt;/D&gt;&lt;D xsi:type="xsd:double"&gt;11.128891&lt;/D&gt;&lt;D xsi:type="xsd:double"&gt;5.058527&lt;/D&gt;&lt;D xsi:type="xsd:double"&gt;-7.9791665&lt;/D&gt;&lt;D xsi:type="xsd:double"&gt;-8.532781&lt;/D&gt;&lt;D xsi:type="xsd:double"&gt;-14.814448&lt;/D&gt;&lt;D xsi:type="xsd:double"&gt;-16.041607&lt;/D&gt;&lt;D xsi:type="xsd:double"&gt;-16.952484&lt;/D&gt;&lt;D xsi:type="xsd:double"&gt;-26.677109&lt;/D&gt;&lt;D xsi:type="xsd:double"&gt;-17.812824&lt;/D&gt;&lt;D xsi:type="xsd:double"&gt;-9.289211&lt;/D&gt;&lt;D xsi:type="xsd:double"&gt;-11.2630005&lt;/D&gt;&lt;D xsi:type="xsd:double"&gt;2.3248315&lt;/D&gt;&lt;D xsi:type="xsd:double"&gt;5.3554296&lt;/D&gt;&lt;D xsi:type="xsd:double"&gt;6.965506&lt;/D&gt;&lt;D xsi:type="xsd:double"&gt;23.007143&lt;/D&gt;&lt;D xsi:type="xsd:double"&gt;15.52471&lt;/D&gt;&lt;D xsi:type="xsd:double"&gt;22.716438&lt;/D&gt;&lt;D xsi:type="xsd:double"&gt;31.846989&lt;/D&gt;&lt;D xsi:type="xsd:double"&gt;23.576582&lt;/D&gt;&lt;D xsi:type="xsd:double"&gt;35.983574&lt;/D&gt;&lt;D xsi:type="xsd:double"&gt;16.305374&lt;/D&gt;&lt;D xsi:type="xsd:double"&gt;16.402256&lt;/D&gt;&lt;D xsi:type="xsd:double"&gt;22.393715&lt;/D&gt;&lt;D xsi:type="xsd:double"&gt;8.550239&lt;/D&gt;&lt;D xsi:type="xsd:double"&gt;14.256144&lt;/D&gt;&lt;D xsi:type="xsd:double"&gt;17.638386&lt;/D&gt;&lt;D xsi:type="xsd:double"&gt;6.651473&lt;/D&gt;&lt;D xsi:type="xsd:double"&gt;14.70853&lt;/D&gt;&lt;D xsi:type="xsd:double"&gt;5.92258&lt;/D&gt;&lt;D xsi:type="xsd:double"&gt;2.8565645&lt;/D&gt;&lt;/FQL&gt;&lt;FQL&gt;&lt;Q&gt;EWA^FG_PRICE_MAVG(0,,,,30)&lt;/Q&gt;&lt;R&gt;1&lt;/R&gt;&lt;C&gt;1&lt;/C&gt;&lt;D xsi:type="xsd:double"&gt;24.729666&lt;/D&gt;&lt;/FQL&gt;&lt;FQL&gt;&lt;Q&gt;VWO^FMA_PCT_ABOVE_MAVG(200,0,,,,"PORTAGG")&lt;/Q&gt;&lt;R&gt;1&lt;/R&gt;&lt;C&gt;1&lt;/C&gt;&lt;D xsi:type="xsd:double"&gt;40.2586206896552&lt;/D&gt;&lt;/FQL&gt;&lt;FQL&gt;&lt;Q&gt;EWD^PERCENT_CHANGE(FMA_EPS(+1,0,,,,"PORTAGG","MEAN"),FMA_EPS(+1,-1AM,,,,"PORTAGG","MEAN"))&lt;/Q&gt;&lt;R&gt;1&lt;/R&gt;&lt;C&gt;1&lt;/C&gt;&lt;D xsi:type="xsd:double"&gt;-4.77889260321974&lt;/D&gt;&lt;/FQL&gt;&lt;FQL&gt;&lt;Q&gt;EWL^PERCENT_CHANGE(FMA_EPS(+1,0,,,,"PORTAGG","MEAN"),FMA_EPS(+1,-3AM,,,,"PORTAGG","MEAN"))&lt;/Q&gt;&lt;R&gt;1&lt;/R&gt;&lt;C&gt;1&lt;/C&gt;&lt;D xsi:type="xsd:double"&gt;2.33695673029592&lt;/D&gt;&lt;/FQL&gt;&lt;FQL&gt;&lt;Q&gt;EWC^PERCENT_CHANGE(FMA_EPS(+1,0,,,,"PORTAGG","MEAN"),FMA_EPS(+1,-1AM,,,,"PORTAGG","MEAN"))&lt;/Q&gt;&lt;R&gt;1&lt;/R&gt;&lt;C&gt;1&lt;/C&gt;&lt;D xsi:type="xsd:double"&gt;-1.12002504444639&lt;/D&gt;&lt;/FQL&gt;&lt;FQL&gt;&lt;Q&gt;QQQ^SIZE(FG_CONSTITUENTS)&lt;/Q&gt;&lt;R&gt;1&lt;/R&gt;&lt;C&gt;1&lt;/C&gt;&lt;D xsi:type="xsd:long"&gt;102&lt;/D&gt;&lt;/FQL&gt;&lt;FQL&gt;&lt;Q&gt;TRYSE10Y-FDS^PCTCHG(FG_YIELD(0,,,,"YTM"),FG_YIELD(-1AM,,,,"YTM"))&lt;/Q&gt;&lt;R&gt;1&lt;/R&gt;&lt;C&gt;1&lt;/C&gt;&lt;D xsi:type="xsd:double"&gt;-5.8876314&lt;/D&gt;&lt;/FQL&gt;&lt;FQL&gt;&lt;Q&gt;TRYKR10Y-FDS^FG_YIELD(-10AY,0,Y,,"YTM")&lt;/Q&gt;&lt;R&gt;10&lt;/R&gt;&lt;C&gt;1&lt;/C&gt;&lt;D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xsi:type="xsd:double"&gt;3.1928&lt;/D&gt;&lt;/FQL&gt;&lt;FQL&gt;&lt;Q&gt;USDJPY^FG_PRICE_CHANGE(0,-6AM)&lt;/Q&gt;&lt;R&gt;1&lt;/R&gt;&lt;C&gt;1&lt;/C&gt;&lt;D xsi:type="xsd:double"&gt;3.6803126&lt;/D&gt;&lt;/FQL&gt;&lt;FQL&gt;&lt;Q&gt;USDAUD^FG_COMPANY_NAME&lt;/Q&gt;&lt;R&gt;1&lt;/R&gt;&lt;C&gt;1&lt;/C&gt;&lt;D xsi:type="xsd:string"&gt;Australian Dollar per U.S. Dollar&lt;/D&gt;&lt;/FQL&gt;&lt;FQL&gt;&lt;Q&gt;QQQ^FMA_DIV_YLD(NTMA,-10AY,0,AM,"PORTAGG","MEANR")&lt;/Q&gt;&lt;R&gt;121&lt;/R&gt;&lt;C&gt;1&lt;/C&gt;&lt;D xsi:type="xsd:double"&gt;1.24071856524364&lt;/D&gt;&lt;D xsi:type="xsd:double"&gt;1.21444762710455&lt;/D&gt;&lt;D xsi:type="xsd:double"&gt;1.23977901612741&lt;/D&gt;&lt;D xsi:type="xsd:double"&gt;1.25646148646168&lt;/D&gt;&lt;D xsi:type="xsd:double"&gt;1.19435301390254&lt;/D&gt;&lt;D xsi:type="xsd:double"&gt;1.20604910691553&lt;/D&gt;&lt;D xsi:type="xsd:double"&gt;1.20014685110628&lt;/D&gt;&lt;D xsi:type="xsd:double"&gt;1.20720463063059&lt;/D&gt;&lt;D xsi:type="xsd:double"&gt;1.27952510898137&lt;/D&gt;&lt;D xsi:type="xsd:double"&gt;1.22466692716536&lt;/D&gt;&lt;D xsi:type="xsd:double"&gt;1.24738722429003&lt;/D&gt;&lt;D xsi:type="xsd:double"&gt;1.25071044263818&lt;/D&gt;&lt;D xsi:type="xsd:double"&gt;1.24955086459274&lt;/D&gt;&lt;D xsi:type="xsd:double"&gt;1.37944398858049&lt;/D&gt;&lt;D xsi:type="xsd:double"&gt;1.38453052301931&lt;/D&gt;&lt;D xsi:type="xsd:double"&gt;1.27604711587462&lt;/D&gt;&lt;D xsi:type="xsd:double"&gt;1.27817328153055&lt;/D&gt;&lt;D xsi:type="xsd:double"&gt;1.28806714741264&lt;/D&gt;&lt;D xsi:type="xsd:double"&gt;1.37407830119031&lt;/D&gt;&lt;D xsi:type="xsd:double"&gt;1.40380815075737&lt;/D&gt;&lt;D xsi:type="xsd:double"&gt;1.35566808567272&lt;/D&gt;&lt;D xsi:type="xsd:double"&gt;1.35496302435754&lt;/D&gt;&lt;D xsi:type="xsd:double"&gt;1.35188432874792&lt;/D&gt;&lt;D xsi:type="xsd:double"&gt;1.40421783064611&lt;/D&gt;&lt;D xsi:type="xsd:double"&gt;1.30634380844281&lt;/D&gt;&lt;D xsi:type="xsd:double"&gt;1.28464100681007&lt;/D&gt;&lt;D xsi:type="xsd:double"&gt;1.27411417432625&lt;/D&gt;&lt;D xsi:type="xsd:double"&gt;1.26246338993433&lt;/D&gt;&lt;D xsi:type="xsd:double"&gt;1.27908001327562&lt;/D&gt;&lt;D xsi:type="xsd:double"&gt;1.28091086044344&lt;/D&gt;&lt;D xsi:type="xsd:double"&gt;1.23650819538513&lt;/D&gt;&lt;D xsi:type="xsd:double"&gt;1.21951505622641&lt;/D&gt;&lt;D xsi:type="xsd:double"&gt;1.21995738779939&lt;/D&gt;&lt;D xsi:type="xsd:double"&gt;1.19667755289702&lt;/D&gt;&lt;D xsi:type="xsd:double"&gt;1.15696651354697&lt;/D&gt;&lt;D xsi:type="xsd:double"&gt;1.17011693593938&lt;/D&gt;&lt;D xsi:type="xsd:double"&gt;1.15868803726943&lt;/D&gt;&lt;D xsi:type="xsd:double"&gt;1.19196192365798&lt;/D&gt;&lt;D xsi:type="xsd:double"&gt;1.18162459286465&lt;/D&gt;&lt;D xsi:type="xsd:double"&gt;1.15651631760104&lt;/D&gt;&lt;D xsi:type="xsd:double"&gt;1.09514373341521&lt;/D&gt;&lt;D xsi:type="xsd:double"&gt;1.0941131897351&lt;/D&gt;&lt;D xsi:type="xsd:double"&gt;1.01808631419683&lt;/D&gt;&lt;D xsi:type="xsd:double"&gt;1.0436597453138&lt;/D&gt;&lt;D xsi:type="xsd:double"&gt;1.09215554119171&lt;/D&gt;&lt;D xsi:type="xsd:double"&gt;1.12133756252465&lt;/D&gt;&lt;D xsi:type="xsd:double"&gt;1.08412595675409&lt;/D&gt;&lt;D xsi:type="xsd:double"&gt;1.06959485939532&lt;/D&gt;&lt;D xsi:type="xsd:double"&gt;1.07634298601968&lt;/D&gt;&lt;D xsi:type="xsd:double"&gt;1.07046360060406&lt;/D&gt;&lt;D xsi:type="xsd:double"&gt;1.06996466080328&lt;/D&gt;&lt;D xsi:type="xsd:double"&gt;1.20064949466148&lt;/D&gt;&lt;D xsi:type="xsd:double"&gt;1.23691906231634&lt;/D&gt;&lt;D xsi:type="xsd:double"&gt;1.33268955051765&lt;/D&gt;&lt;D xsi:type="xsd:double"&gt;1.23850912599102&lt;/D&gt;&lt;D xsi:type="xsd:double"&gt;1.17330199269244&lt;/D&gt;&lt;D xsi:type="xsd:double"&gt;1.14252172186741&lt;/D&gt;&lt;D xsi:type="xsd:double"&gt;1.08623572906665&lt;/D&gt;&lt;D xsi:type="xsd:double"&gt;1.16801979339755&lt;/D&gt;&lt;D xsi:type="xsd:double"&gt;1.12007787826577&lt;/D&gt;&lt;D xsi:type="xsd:double"&gt;1.07165789970463&lt;/D&gt;&lt;D xsi:type="xsd:double"&gt;1.13431937320122&lt;/D&gt;&lt;D xsi:type="xsd:double"&gt;1.11001060951184&lt;/D&gt;&lt;D xsi:type="xsd:double"&gt;1.08877503990224&lt;/D&gt;&lt;D xsi:type="xsd:double"&gt;1.07330150852713&lt;/D&gt;&lt;D xsi:type="xsd:double"&gt;1.04123911669352&lt;/D&gt;&lt;D xsi:type="xsd:double"&gt;1.00604396884889&lt;/D&gt;&lt;D xsi:type="xsd:double"&gt;1.04233033287056&lt;/D&gt;&lt;D xsi:type="xsd:double"&gt;1.17664672416044&lt;/D&gt;&lt;D xsi:type="xsd:double"&gt;1.04975676174843&lt;/D&gt;&lt;D xsi:type="xsd:double"&gt;0.966866733744113&lt;/D&gt;&lt;D xsi:type="xsd:double"&gt;0.921414735419213&lt;/D&gt;&lt;D xsi:type="xsd:double"&gt;0.86793167660729&lt;/D&gt;&lt;D xsi:type="xsd:double"&gt;0.761083002726822&lt;/D&gt;&lt;D xsi:type="xsd:double"&gt;0.819685854146691&lt;/D&gt;&lt;D xsi:type="xsd:double"&gt;0.806964877622133&lt;/D&gt;&lt;D xsi:type="xsd:double"&gt;0.762865780426759&lt;/D&gt;&lt;D xsi:type="xsd:double"&gt;0.773072552749016&lt;/D&gt;&lt;D xsi:type="xsd:double"&gt;0.735110796133571&lt;/D&gt;&lt;D xsi:type="xsd:double"&gt;0.774742302386571&lt;/D&gt;&lt;D xsi:type="xsd:double"&gt;0.773395994530278&lt;/D&gt;&lt;D xsi:type="xsd:double"&gt;0.719746687632653&lt;/D&gt;&lt;D xsi:type="xsd:double"&gt;0.738928514731586&lt;/D&gt;&lt;D xsi:type="xsd:double"&gt;0.713861338806779&lt;/D&gt;&lt;D xsi:type="xsd:double"&gt;0.694105588888003&lt;/D&gt;&lt;D xsi:type="xsd:double"&gt;0.692046474713534&lt;/D&gt;&lt;D xsi:type="xsd:double"&gt;0.695081716435682&lt;/D&gt;&lt;D xsi:type="xsd:double"&gt;0.690082550255495&lt;/D&gt;&lt;D xsi:type="xsd:double"&gt;0.675630532844055&lt;/D&gt;&lt;D xsi:type="xsd:double"&gt;0.667540380464262&lt;/D&gt;&lt;D xsi:type="xsd:double"&gt;0.774345568083105&lt;/D&gt;&lt;D xsi:type="xsd:double"&gt;0.789473740154961&lt;/D&gt;&lt;D xsi:type="xsd:double"&gt;0.76219474515457&lt;/D&gt;&lt;D xsi:type="xsd:double"&gt;0.870051502992027&lt;/D&gt;&lt;D xsi:type="xsd:double"&gt;0.92751000984325&lt;/D&gt;&lt;D xsi:type="xsd:double"&gt;0.947217852597122&lt;/D&gt;&lt;D xsi:type="xsd:double"&gt;0.956709983750997&lt;/D&gt;&lt;D xsi:type="xsd:double"&gt;0.921014695819422&lt;/D&gt;&lt;D xsi:type="xsd:double"&gt;1.04051691279052&lt;/D&gt;&lt;D xsi:type="xsd:double"&gt;1.03529976360998&lt;/D&gt;&lt;D xsi:type="xsd:double"&gt;1.00914204784912&lt;/D&gt;&lt;D xsi:type="xsd:double"&gt;1.03296610809872&lt;/D&gt;&lt;D xsi:type="xsd:double"&gt;0.952512303971773&lt;/D&gt;&lt;D xsi:type="xsd:double"&gt;0.966622217592248&lt;/D&gt;&lt;D xsi:type="xsd:double"&gt;0.911089596546329&lt;/D&gt;&lt;D xsi:type="xsd:double"&gt;0.91207098866759&lt;/D&gt;&lt;D xsi:type="xsd:double"&gt;0.803683235047492&lt;/D&gt;&lt;D xsi:type="xsd:double"&gt;0.787904123132441&lt;/D&gt;&lt;D xsi:type="xsd:double"&gt;0.869799328002089&lt;/D&gt;&lt;D xsi:type="xsd:double"&gt;0.905232549959125&lt;/D&gt;&lt;D xsi:type="xsd:double"&gt;0.944717988206375&lt;/D&gt;&lt;D xsi:type="xsd:double"&gt;0.992581738622947&lt;/D&gt;&lt;D xsi:type="xsd:double"&gt;0.888143539153321&lt;/D&gt;&lt;D xsi:type="xsd:double"&gt;0.915094086618498&lt;/D&gt;&lt;D xsi:type="xsd:double"&gt;0.88666420491916&lt;/D&gt;&lt;D xsi:type="xsd:double"&gt;0.887834549298114&lt;/D&gt;&lt;D xsi:type="xsd:double"&gt;0.884949574754106&lt;/D&gt;&lt;D xsi:type="xsd:double"&gt;0.919452087543365&lt;/D&gt;&lt;D xsi:type="xsd:double"&gt;0.883071858439088&lt;/D&gt;&lt;D xsi:type="xsd:double"&gt;0.840669750071975&lt;/D&gt;&lt;D xsi:type="xsd:double"&gt;0.866313090010649&lt;/D&gt;&lt;/FQL&gt;&lt;FQL&gt;&lt;Q&gt;PASP-FDS^FG_PRICE_CHANGE(0,-1AY)&lt;/Q&gt;&lt;R&gt;1&lt;/R&gt;&lt;C&gt;1&lt;/C&gt;&lt;D xsi:type="xsd:double"&gt;-27.6679841897233&lt;/D&gt;&lt;/FQL&gt;&lt;FQL&gt;&lt;Q&gt;TRYSE10Y-FDS^FG_YIELD(0,,,,"YTM")&lt;/Q&gt;&lt;R&gt;1&lt;/R&gt;&lt;C&gt;1&lt;/C&gt;&lt;D xsi:type="xsd:double"&gt;2.094&lt;/D&gt;&lt;/FQL&gt;&lt;FQL&gt;&lt;Q&gt;EWC^FMA_EVAL_EBITDA(NTMA,0,,,"PORTAGG","MEANR")&lt;/Q&gt;&lt;R&gt;1&lt;/R&gt;&lt;C&gt;1&lt;/C&gt;&lt;D xsi:type="xsd:double"&gt;9.7585694219481&lt;/D&gt;&lt;/FQL&gt;&lt;FQL&gt;&lt;Q&gt;DBA^FG_TOTAL_RETURNC(0,-1AM)&lt;/Q&gt;&lt;R&gt;1&lt;/R&gt;&lt;C&gt;1&lt;/C&gt;&lt;D xsi:type="xsd:double"&gt;-0.04182458&lt;/D&gt;&lt;/FQL&gt;&lt;FQL&gt;&lt;Q&gt;TRYAE10Y-FDS^FG_YIELD(-10AY,0,Y,,"YTM")&lt;/Q&gt;&lt;R&gt;10&lt;/R&gt;&lt;C&gt;1&lt;/C&gt;&lt;D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xsi:type="xsd:string"&gt;@NA&lt;/D&gt;&lt;/FQL&gt;&lt;FQL&gt;&lt;Q&gt;USDSEK^FG_PRICE_CHANGE(0,-1AY)&lt;/Q&gt;&lt;R&gt;1&lt;/R&gt;&lt;C&gt;1&lt;/C&gt;&lt;D xsi:type="xsd:double"&gt;3.3764243&lt;/D&gt;&lt;/FQL&gt;&lt;FQL&gt;&lt;Q&gt;USDJPY^FG_PRICE_CHANGE(0,-1AY)&lt;/Q&gt;&lt;R&gt;1&lt;/R&gt;&lt;C&gt;1&lt;/C&gt;&lt;D xsi:type="xsd:double"&gt;9.367108&lt;/D&gt;&lt;/FQL&gt;&lt;FQL&gt;&lt;Q&gt;SPY^P_PRICE_RETURNS_PR('52W',2,-10AY,0,AM)&lt;/Q&gt;&lt;R&gt;121&lt;/R&gt;&lt;C&gt;1&lt;/C&gt;&lt;D xsi:type="xsd:double"&gt;19.343578&lt;/D&gt;&lt;D xsi:type="xsd:double"&gt;23.053265&lt;/D&gt;&lt;D xsi:type="xsd:double"&gt;18.890142&lt;/D&gt;&lt;D xsi:type="xsd:double"&gt;14.328361&lt;/D&gt;&lt;D xsi:type="xsd:double"&gt;17.154049&lt;/D&gt;&lt;D xsi:type="xsd:double"&gt;15.585554&lt;/D&gt;&lt;D xsi:type="xsd:double"&gt;17.08951&lt;/D&gt;&lt;D xsi:type="xsd:double"&gt;16.58491&lt;/D&gt;&lt;D xsi:type="xsd:double"&gt;13.141001&lt;/D&gt;&lt;D xsi:type="xsd:double"&gt;14.881182&lt;/D&gt;&lt;D xsi:type="xsd:double"&gt;12.851524&lt;/D&gt;&lt;D xsi:type="xsd:double"&gt;9.4649315&lt;/D&gt;&lt;D xsi:type="xsd:double"&gt;6.7619085&lt;/D&gt;&lt;D xsi:type="xsd:double"&gt;-1.0249257&lt;/D&gt;&lt;D xsi:type="xsd:double"&gt;0.21094084&lt;/D&gt;&lt;D xsi:type="xsd:double"&gt;7.514429&lt;/D&gt;&lt;D xsi:type="xsd:double"&gt;3.1131148&lt;/D&gt;&lt;D xsi:type="xsd:double"&gt;1.054573&lt;/D&gt;&lt;D xsi:type="xsd:double"&gt;-5.4957986&lt;/D&gt;&lt;D xsi:type="xsd:double"&gt;-5.7858586&lt;/D&gt;&lt;D xsi:type="xsd:double"&gt;-0.6346524&lt;/D&gt;&lt;D xsi:type="xsd:double"&gt;0.83578825&lt;/D&gt;&lt;D xsi:type="xsd:double"&gt;1.4943957&lt;/D&gt;&lt;D xsi:type="xsd:double"&gt;-1.389879&lt;/D&gt;&lt;D xsi:type="xsd:double"&gt;6.486678&lt;/D&gt;&lt;D xsi:type="xsd:double"&gt;14.184963&lt;/D&gt;&lt;D xsi:type="xsd:double"&gt;13.497698&lt;/D&gt;&lt;D xsi:type="xsd:double"&gt;5.4925084&lt;/D&gt;&lt;D xsi:type="xsd:double"&gt;8.120573&lt;/D&gt;&lt;D xsi:type="xsd:double"&gt;11.9133835&lt;/D&gt;&lt;D xsi:type="xsd:double"&gt;23.166048&lt;/D&gt;&lt;D xsi:type="xsd:double"&gt;25.171423&lt;/D&gt;&lt;D xsi:type="xsd:double"&gt;17.518974&lt;/D&gt;&lt;D xsi:type="xsd:double"&gt;16.474974&lt;/D&gt;&lt;D xsi:type="xsd:double"&gt;17.854774&lt;/D&gt;&lt;D xsi:type="xsd:double"&gt;22.209621&lt;/D&gt;&lt;D xsi:type="xsd:double"&gt;16.479229&lt;/D&gt;&lt;D xsi:type="xsd:double"&gt;14.625764&lt;/D&gt;&lt;D xsi:type="xsd:double"&gt;18.615925&lt;/D&gt;&lt;D xsi:type="xsd:double"&gt;22.015131&lt;/D&gt;&lt;D xsi:type="xsd:double"&gt;20.358456&lt;/D&gt;&lt;D xsi:type="xsd:double"&gt;20.673931&lt;/D&gt;&lt;D xsi:type="xsd:double"&gt;27.388168&lt;/D&gt;&lt;D xsi:type="xsd:double"&gt;19.663322&lt;/D&gt;&lt;D xsi:type="xsd:double"&gt;15.520514&lt;/D&gt;&lt;D xsi:type="xsd:double"&gt;13.833534&lt;/D&gt;&lt;D xsi:type="xsd:double"&gt;14.713049&lt;/D&gt;&lt;D xsi:type="xsd:double"&gt;13.718117&lt;/D&gt;&lt;D xsi:type="xsd:double"&gt;16.648638&lt;/D&gt;&lt;D xsi:type="xsd:double"&gt;20.034206&lt;/D&gt;&lt;D xsi:type="xsd:double"&gt;18.500423&lt;/D&gt;&lt;D xsi:type="xsd:double"&gt;5.6895256&lt;/D&gt;&lt;D xsi:type="xsd:double"&gt;4.614055&lt;/D&gt;&lt;D xsi:type="xsd:double"&gt;-6.101471&lt;/D&gt;&lt;D xsi:type="xsd:double"&gt;-4.3903055&lt;/D&gt;&lt;D xsi:type="xsd:double"&gt;2.4329662&lt;/D&gt;&lt;D xsi:type="xsd:double"&gt;8.107972&lt;/D&gt;&lt;D xsi:type="xsd:double"&gt;12.325811&lt;/D&gt;&lt;D xsi:type="xsd:double"&gt;5.680883&lt;/D&gt;&lt;D xsi:type="xsd:double"&gt;9.075129&lt;/D&gt;&lt;D xsi:type="xsd:double"&gt;8.7095375&lt;/D&gt;&lt;D xsi:type="xsd:double"&gt;2.1630168&lt;/D&gt;&lt;D xsi:type="xsd:double"&gt;4.5055985&lt;/D&gt;&lt;D xsi:type="xsd:double"&gt;13.904345&lt;/D&gt;&lt;D xsi:type="xsd:double"&gt;19.761658&lt;/D&gt;&lt;D xsi:type="xsd:double"&gt;33.662296&lt;/D&gt;&lt;D xsi:type="xsd:double"&gt;27.106857&lt;/D&gt;&lt;D xsi:type="xsd:double"&gt;13.630748&lt;/D&gt;&lt;D xsi:type="xsd:double"&gt;-5.1621795&lt;/D&gt;&lt;D xsi:type="xsd:double"&gt;-1.163888&lt;/D&gt;&lt;D xsi:type="xsd:double"&gt;7.9540014&lt;/D&gt;&lt;D xsi:type="xsd:double"&gt;5.39037&lt;/D&gt;&lt;D xsi:type="xsd:double"&gt;8.605146&lt;/D&gt;&lt;D xsi:type="xsd:double"&gt;23.12845&lt;/D&gt;&lt;D xsi:type="xsd:double"&gt;12.624121&lt;/D&gt;&lt;D xsi:type="xsd:double"&gt;14.741861&lt;/D&gt;&lt;D xsi:type="xsd:double"&gt;18.003918&lt;/D&gt;&lt;D xsi:type="xsd:double"&gt;17.057276&lt;/D&gt;&lt;D xsi:type="xsd:double"&gt;18.956911&lt;/D&gt;&lt;D xsi:type="xsd:double"&gt;24.429953&lt;/D&gt;&lt;D xsi:type="xsd:double"&gt;54.04619&lt;/D&gt;&lt;D xsi:type="xsd:double"&gt;49.962044&lt;/D&gt;&lt;D xsi:type="xsd:double"&gt;42.380356&lt;/D&gt;&lt;D xsi:type="xsd:double"&gt;40.886116&lt;/D&gt;&lt;D xsi:type="xsd:double"&gt;39.5038&lt;/D&gt;&lt;D xsi:type="xsd:double"&gt;30.321503&lt;/D&gt;&lt;D xsi:type="xsd:double"&gt;39.167713&lt;/D&gt;&lt;D xsi:type="xsd:double"&gt;36.25283&lt;/D&gt;&lt;D xsi:type="xsd:double"&gt;28.351952&lt;/D&gt;&lt;D xsi:type="xsd:double"&gt;29.753077&lt;/D&gt;&lt;D xsi:type="xsd:double"&gt;14.440823&lt;/D&gt;&lt;D xsi:type="xsd:double"&gt;16.036224&lt;/D&gt;&lt;D xsi:type="xsd:double"&gt;17.702675&lt;/D&gt;&lt;D xsi:type="xsd:double"&gt;0.9584546&lt;/D&gt;&lt;D xsi:type="xsd:double"&gt;-2.0021439&lt;/D&gt;&lt;D xsi:type="xsd:double"&gt;-6.930274&lt;/D&gt;&lt;D xsi:type="xsd:double"&gt;-10.103625&lt;/D&gt;&lt;D xsi:type="xsd:double"&gt;-7.8818502&lt;/D&gt;&lt;D xsi:type="xsd:double"&gt;-16.686832&lt;/D&gt;&lt;D xsi:type="xsd:double"&gt;-14.945591&lt;/D&gt;&lt;D xsi:type="xsd:double"&gt;-12.995881&lt;/D&gt;&lt;D xsi:type="xsd:double"&gt;-17.30991&lt;/D&gt;&lt;D xsi:type="xsd:double"&gt;-5.0867853&lt;/D&gt;&lt;D xsi:type="xsd:double"&gt;-5.9470654&lt;/D&gt;&lt;D xsi:type="xsd:double"&gt;-10.651755&lt;/D&gt;&lt;D xsi:type="xsd:double"&gt;-1.1627376&lt;/D&gt;&lt;D xsi:type="xsd:double"&gt;5.3981185&lt;/D&gt;&lt;D xsi:type="xsd:double"&gt;12.425613&lt;/D&gt;&lt;D xsi:type="xsd:double"&gt;18.451859&lt;/D&gt;&lt;D xsi:type="xsd:double"&gt;6.6054106&lt;/D&gt;&lt;D xsi:type="xsd:double"&gt;18.759464&lt;/D&gt;&lt;D xsi:type="xsd:double"&gt;9.709072&lt;/D&gt;&lt;D xsi:type="xsd:double"&gt;14.939726&lt;/D&gt;&lt;D xsi:type="xsd:double"&gt;26.121521&lt;/D&gt;&lt;D xsi:type="xsd:double"&gt;22.26609&lt;/D&gt;&lt;D xsi:type="xsd:double"&gt;29.607046&lt;/D&gt;&lt;D xsi:type="xsd:double"&gt;33.00508&lt;/D&gt;&lt;D xsi:type="xsd:double"&gt;27.52596&lt;/D&gt;&lt;D xsi:type="xsd:double"&gt;30.665434&lt;/D&gt;&lt;D xsi:type="xsd:double"&gt;28.217638&lt;/D&gt;&lt;D xsi:type="xsd:double"&gt;21.204163&lt;/D&gt;&lt;/FQL&gt;&lt;FQL&gt;&lt;Q&gt;CAGDPY@SE^EE_ACTUAL_ANNUAL(MED,0)&lt;/Q&gt;&lt;R&gt;1&lt;/R&gt;&lt;C&gt;1&lt;/C&gt;&lt;D xsi:type="xsd:double"&gt;6.4686639012956&lt;/D&gt;&lt;/FQL&gt;&lt;FQL&gt;&lt;Q&gt;CC_JP^FG_COMPANY_NAME&lt;/Q&gt;&lt;R&gt;1&lt;/R&gt;&lt;C&gt;1&lt;/C&gt;&lt;D xsi:type="xsd:string"&gt;Japan&lt;/D&gt;&lt;/FQL&gt;&lt;FQL&gt;&lt;Q&gt;QQQ^FMA_EPS(NTMA,-20AY,0,CY,,"PORTAGG","MEANR")&lt;/Q&gt;&lt;R&gt;20&lt;/R&gt;&lt;C&gt;1&lt;/C&gt;&lt;D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xsi:type="xsd:double"&gt;16.3243000822322&lt;/D&gt;&lt;/FQL&gt;&lt;FQL&gt;&lt;Q&gt;NI-FDS^FG_PRICE_MAVG(0,,,,30)&lt;/Q&gt;&lt;R&gt;1&lt;/R&gt;&lt;C&gt;1&lt;/C&gt;&lt;D xsi:type="xsd:double"&gt;16670.334&lt;/D&gt;&lt;/FQL&gt;&lt;FQL&gt;&lt;Q&gt;BRENT-FDS^FG_PRICE_CHANGE(0,-1AY)&lt;/Q&gt;&lt;R&gt;1&lt;/R&gt;&lt;C&gt;1&lt;/C&gt;&lt;D xsi:type="xsd:double"&gt;1.94728093089527&lt;/D&gt;&lt;/FQL&gt;&lt;FQL&gt;&lt;Q&gt;EWJ^FG_PRICE_MAVG(0,,,,200)&lt;/Q&gt;&lt;R&gt;1&lt;/R&gt;&lt;C&gt;1&lt;/C&gt;&lt;D xsi:type="xsd:double"&gt;66.3216&lt;/D&gt;&lt;/FQL&gt;&lt;FQL&gt;&lt;Q&gt;URTH^FG_TOTAL_RETURNC(0,-3AM)&lt;/Q&gt;&lt;R&gt;1&lt;/R&gt;&lt;C&gt;1&lt;/C&gt;&lt;D xsi:type="xsd:double"&gt;6.0631514&lt;/D&gt;&lt;/FQL&gt;&lt;FQL&gt;&lt;Q&gt;EWI^FG_TOTAL_RETURNC(0,-6AM)&lt;/Q&gt;&lt;R&gt;1&lt;/R&gt;&lt;C&gt;1&lt;/C&gt;&lt;D xsi:type="xsd:double"&gt;14.849674&lt;/D&gt;&lt;/FQL&gt;&lt;FQL&gt;&lt;Q&gt;EWG^P_PRICE(0)/P_PRICE_HIGH_PR(0,,,,,,"PRICE","INTRA","52W")&lt;/Q&gt;&lt;R&gt;1&lt;/R&gt;&lt;C&gt;1&lt;/C&gt;&lt;D xsi:type="xsd:double"&gt;0.95610344&lt;/D&gt;&lt;/FQL&gt;&lt;FQL&gt;&lt;Q&gt;EWG^FMA_COS_UP("EPS","1M",+1,0,,,"PORTAGG","MEANR")&lt;/Q&gt;&lt;R&gt;1&lt;/R&gt;&lt;C&gt;1&lt;/C&gt;&lt;D xsi:type="xsd:double"&gt;20&lt;/D&gt;&lt;/FQL&gt;&lt;FQL&gt;&lt;Q&gt;TRYJP10Y-FDS^PCTCHG(FG_YIELD(0,,,,"YTM"),FG_YIELD(-3AM,,,,"YTM"))&lt;/Q&gt;&lt;R&gt;1&lt;/R&gt;&lt;C&gt;1&lt;/C&gt;&lt;D xsi:type="xsd:double"&gt;16.109152&lt;/D&gt;&lt;/FQL&gt;&lt;FQL&gt;&lt;Q&gt;QQQ^FMA_ROE(NTMA,-20AY,NOW,FY,"PORTAGG","MEANR")&lt;/Q&gt;&lt;R&gt;20&lt;/R&gt;&lt;C&gt;1&lt;/C&gt;&lt;D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xsi:type="xsd:double"&gt;25.011729179906&lt;/D&gt;&lt;D xsi:type="xsd:double"&gt;24.5344428387709&lt;/D&gt;&lt;D xsi:type="xsd:double"&gt;26.6372021629589&lt;/D&gt;&lt;D xsi:type="xsd:double"&gt;24.0483215527383&lt;/D&gt;&lt;D xsi:type="xsd:double"&gt;25.319915472376&lt;/D&gt;&lt;/FQL&gt;&lt;FQL&gt;&lt;Q&gt;USDCHF^STD(FG_PRICE_CHANGE(0,-1AY,AM))&lt;/Q&gt;&lt;R&gt;1&lt;/R&gt;&lt;C&gt;1&lt;/C&gt;&lt;D xsi:type="xsd:double"&gt;2.30074356862434&lt;/D&gt;&lt;/FQL&gt;&lt;FQL&gt;&lt;Q&gt;USDGBP^FG_PRICE(0)&lt;/Q&gt;&lt;R&gt;1&lt;/R&gt;&lt;C&gt;1&lt;/C&gt;&lt;D xsi:type="xsd:double"&gt;0.7779982&lt;/D&gt;&lt;/FQL&gt;&lt;FQL&gt;&lt;Q&gt;USDCAD^STD(FG_PRICE_CHANGE(0,-3AY,M))&lt;/Q&gt;&lt;R&gt;1&lt;/R&gt;&lt;C&gt;1&lt;/C&gt;&lt;D xsi:type="xsd:double"&gt;1.78345213188899&lt;/D&gt;&lt;/FQL&gt;&lt;FQL&gt;&lt;Q&gt;QQQ^FMA_PE(NTMA,-10AY,0,AM,"PORTAGG","MEANR")&lt;/Q&gt;&lt;R&gt;121&lt;/R&gt;&lt;C&gt;1&lt;/C&gt;&lt;D xsi:type="xsd:double"&gt;17.5657455859805&lt;/D&gt;&lt;D xsi:type="xsd:double"&gt;17.8727289657054&lt;/D&gt;&lt;D xsi:type="xsd:double"&gt;17.4832505886197&lt;/D&gt;&lt;D xsi:type="xsd:double"&gt;17.2050403351548&lt;/D&gt;&lt;D xsi:type="xsd:double"&gt;18.2441850270861&lt;/D&gt;&lt;D xsi:type="xsd:double"&gt;17.958339907237&lt;/D&gt;&lt;D xsi:type="xsd:double"&gt;17.5113569912778&lt;/D&gt;&lt;D xsi:type="xsd:double"&gt;18.1926344305301&lt;/D&gt;&lt;D xsi:type="xsd:double"&gt;17.5273830278606&lt;/D&gt;&lt;D xsi:type="xsd:double"&gt;18.4124905946977&lt;/D&gt;&lt;D xsi:type="xsd:double"&gt;17.8956881926715&lt;/D&gt;&lt;D xsi:type="xsd:double"&gt;17.8320799132451&lt;/D&gt;&lt;D xsi:type="xsd:double"&gt;18.3101497218933&lt;/D&gt;&lt;D xsi:type="xsd:double"&gt;17.0524919150413&lt;/D&gt;&lt;D xsi:type="xsd:double"&gt;16.9661448969001&lt;/D&gt;&lt;D xsi:type="xsd:double"&gt;18.4579324643984&lt;/D&gt;&lt;D xsi:type="xsd:double"&gt;18.6961866392671&lt;/D&gt;&lt;D xsi:type="xsd:double"&gt;18.4761293752436&lt;/D&gt;&lt;D xsi:type="xsd:double"&gt;17.0258710476353&lt;/D&gt;&lt;D xsi:type="xsd:double"&gt;17.0070253303169&lt;/D&gt;&lt;D xsi:type="xsd:double"&gt;17.6086286205357&lt;/D&gt;&lt;D xsi:type="xsd:double"&gt;17.7268409953424&lt;/D&gt;&lt;D xsi:type="xsd:double"&gt;17.9140075054749&lt;/D&gt;&lt;D xsi:type="xsd:double"&gt;17.1182141324164&lt;/D&gt;&lt;D xsi:type="xsd:double"&gt;18.5546039696218&lt;/D&gt;&lt;D xsi:type="xsd:double"&gt;18.5830552838314&lt;/D&gt;&lt;D xsi:type="xsd:double"&gt;18.4763203161078&lt;/D&gt;&lt;D xsi:type="xsd:double"&gt;18.4028569975715&lt;/D&gt;&lt;D xsi:type="xsd:double"&gt;18.291097102394&lt;/D&gt;&lt;D xsi:type="xsd:double"&gt;18.3761861437113&lt;/D&gt;&lt;D xsi:type="xsd:double"&gt;18.9628335773941&lt;/D&gt;&lt;D xsi:type="xsd:double"&gt;20.1174651039059&lt;/D&gt;&lt;D xsi:type="xsd:double"&gt;19.9295749492993&lt;/D&gt;&lt;D xsi:type="xsd:double"&gt;20.2984394529589&lt;/D&gt;&lt;D xsi:type="xsd:double"&gt;20.9496030825611&lt;/D&gt;&lt;D xsi:type="xsd:double"&gt;20.586613453958&lt;/D&gt;&lt;D xsi:type="xsd:double"&gt;20.9977162128776&lt;/D&gt;&lt;D xsi:type="xsd:double"&gt;20.1885457746548&lt;/D&gt;&lt;D xsi:type="xsd:double"&gt;20.1232787434817&lt;/D&gt;&lt;D xsi:type="xsd:double"&gt;20.3138590692596&lt;/D&gt;&lt;D xsi:type="xsd:double"&gt;21.0897870461561&lt;/D&gt;&lt;D xsi:type="xsd:double"&gt;20.938321428114&lt;/D&gt;&lt;D xsi:type="xsd:double"&gt;22.1227892939184&lt;/D&gt;&lt;D xsi:type="xsd:double"&gt;21.2176653483731&lt;/D&gt;&lt;D xsi:type="xsd:double"&gt;20.3054148014353&lt;/D&gt;&lt;D xsi:type="xsd:double"&gt;19.7010079438472&lt;/D&gt;&lt;D xsi:type="xsd:double"&gt;20.0789911940664&lt;/D&gt;&lt;D xsi:type="xsd:double"&gt;20.1833370488543&lt;/D&gt;&lt;D xsi:type="xsd:double"&gt;20.9003372467683&lt;/D&gt;&lt;D xsi:type="xsd:double"&gt;20.71762135587&lt;/D&gt;&lt;D xsi:type="xsd:double"&gt;20.7156263470733&lt;/D&gt;&lt;D xsi:type="xsd:double"&gt;18.5113702674783&lt;/D&gt;&lt;D xsi:type="xsd:double"&gt;18.0946482267148&lt;/D&gt;&lt;D xsi:type="xsd:double"&gt;17.0491262047021&lt;/D&gt;&lt;D xsi:type="xsd:double"&gt;18.6337869979162&lt;/D&gt;&lt;D xsi:type="xsd:double"&gt;19.7120967160353&lt;/D&gt;&lt;D xsi:type="xsd:double"&gt;20.2836141822467&lt;/D&gt;&lt;D xsi:type="xsd:double"&gt;21.4071283731247&lt;/D&gt;&lt;D xsi:type="xsd:double"&gt;19.8598179647481&lt;/D&gt;&lt;D xsi:type="xsd:double"&gt;20.7011940365865&lt;/D&gt;&lt;D xsi:type="xsd:double"&gt;21.5314584460386&lt;/D&gt;&lt;D xsi:type="xsd:double"&gt;20.1672959732466&lt;/D&gt;&lt;D xsi:type="xsd:double"&gt;20.5160169016458&lt;/D&gt;&lt;D xsi:type="xsd:double"&gt;20.9904527425077&lt;/D&gt;&lt;D xsi:type="xsd:double"&gt;21.9760404950079&lt;/D&gt;&lt;D xsi:type="xsd:double"&gt;22.8914782976833&lt;/D&gt;&lt;D xsi:type="xsd:double"&gt;23.5188576054374&lt;/D&gt;&lt;D xsi:type="xsd:double"&gt;22.3804259254128&lt;/D&gt;&lt;D xsi:type="xsd:double"&gt;20.6685353962875&lt;/D&gt;&lt;D xsi:type="xsd:double"&gt;24.4080362506218&lt;/D&gt;&lt;D xsi:type="xsd:double"&gt;26.9142873951593&lt;/D&gt;&lt;D xsi:type="xsd:double"&gt;27.5830900161663&lt;/D&gt;&lt;D xsi:type="xsd:double"&gt;28.5986891094429&lt;/D&gt;&lt;D xsi:type="xsd:double"&gt;31.2642206631043&lt;/D&gt;&lt;D xsi:type="xsd:double"&gt;28.5903851037965&lt;/D&gt;&lt;D xsi:type="xsd:double"&gt;28.9549566645979&lt;/D&gt;&lt;D xsi:type="xsd:double"&gt;29.4492868833967&lt;/D&gt;&lt;D xsi:type="xsd:double"&gt;29.8058063962528&lt;/D&gt;&lt;D xsi:type="xsd:double"&gt;30.9069696821156&lt;/D&gt;&lt;D xsi:type="xsd:double"&gt;27.8476226514322&lt;/D&gt;&lt;D xsi:type="xsd:double"&gt;27.7774013353776&lt;/D&gt;&lt;D xsi:type="xsd:double"&gt;29.506842274044&lt;/D&gt;&lt;D xsi:type="xsd:double"&gt;27.0785704125842&lt;/D&gt;&lt;D xsi:type="xsd:double"&gt;27.977357396029&lt;/D&gt;&lt;D xsi:type="xsd:double"&gt;29.1376104139722&lt;/D&gt;&lt;D xsi:type="xsd:double"&gt;28.1400550364737&lt;/D&gt;&lt;D xsi:type="xsd:double"&gt;28.0092880561017&lt;/D&gt;&lt;D xsi:type="xsd:double"&gt;28.4518518388449&lt;/D&gt;&lt;D</t>
        </r>
      </text>
    </comment>
    <comment ref="A9" authorId="0" shapeId="0" xr:uid="{39EFD613-2FF5-42FA-ACC1-6D020A6744E7}">
      <text>
        <r>
          <rPr>
            <b/>
            <sz val="9"/>
            <color indexed="81"/>
            <rFont val="Tahoma"/>
            <charset val="1"/>
          </rPr>
          <t xml:space="preserve"> xsi:type="xsd:double"&gt;28.8558290412608&lt;/D&gt;&lt;D xsi:type="xsd:double"&gt;29.2212196155681&lt;/D&gt;&lt;D xsi:type="xsd:double"&gt;25.0372375977728&lt;/D&gt;&lt;D xsi:type="xsd:double"&gt;24.7314667362578&lt;/D&gt;&lt;D xsi:type="xsd:double"&gt;25.5247102945898&lt;/D&gt;&lt;D xsi:type="xsd:double"&gt;22.3072566463518&lt;/D&gt;&lt;D xsi:type="xsd:double"&gt;21.221106694159&lt;/D&gt;&lt;D xsi:type="xsd:double"&gt;20.8128614971554&lt;/D&gt;&lt;D xsi:type="xsd:double"&gt;21.0169746856319&lt;/D&gt;&lt;D xsi:type="xsd:double"&gt;22.4622741705828&lt;/D&gt;&lt;D xsi:type="xsd:double"&gt;19.936521660309&lt;/D&gt;&lt;D xsi:type="xsd:double"&gt;20.7068019214517&lt;/D&gt;&lt;D xsi:type="xsd:double"&gt;21.8646691791876&lt;/D&gt;&lt;D xsi:type="xsd:double"&gt;20.9910390737666&lt;/D&gt;&lt;D xsi:type="xsd:double"&gt;23.1377279559472&lt;/D&gt;&lt;D xsi:type="xsd:double"&gt;22.9845027065836&lt;/D&gt;&lt;D xsi:type="xsd:double"&gt;24.2711495656306&lt;/D&gt;&lt;D xsi:type="xsd:double"&gt;24.0223369023116&lt;/D&gt;&lt;D xsi:type="xsd:double"&gt;25.7886789109869&lt;/D&gt;&lt;D xsi:type="xsd:double"&gt;25.9310410698753&lt;/D&gt;&lt;D xsi:type="xsd:double"&gt;25.6996898496218&lt;/D&gt;&lt;D xsi:type="xsd:double"&gt;23.9069107408852&lt;/D&gt;&lt;D xsi:type="xsd:double"&gt;22.9108255060698&lt;/D&gt;&lt;D xsi:type="xsd:double"&gt;21.963148433368&lt;/D&gt;&lt;D xsi:type="xsd:double"&gt;24.3928171715046&lt;/D&gt;&lt;D xsi:type="xsd:double"&gt;25.2159876466488&lt;/D&gt;&lt;D xsi:type="xsd:double"&gt;25.938914449839&lt;/D&gt;&lt;D xsi:type="xsd:double"&gt;26.1227208576491&lt;/D&gt;&lt;D xsi:type="xsd:double"&gt;26.1461694574826&lt;/D&gt;&lt;D xsi:type="xsd:double"&gt;25.1621041501822&lt;/D&gt;&lt;D xsi:type="xsd:double"&gt;26.2153601854757&lt;/D&gt;&lt;D xsi:type="xsd:double"&gt;27.075321456889&lt;/D&gt;&lt;D xsi:type="xsd:double"&gt;25.7231507266766&lt;/D&gt;&lt;/FQL&gt;&lt;FQL&gt;&lt;Q&gt;DDR3512M-FDS^FG_PRICE_CHANGE(0,-1AY)&lt;/Q&gt;&lt;R&gt;1&lt;/R&gt;&lt;C&gt;1&lt;/C&gt;&lt;D xsi:type="xsd:double"&gt;-6.51631969923906&lt;/D&gt;&lt;/FQL&gt;&lt;FQL&gt;&lt;Q&gt;EWD^FG_PRICE_MAVG(0,,,,30)&lt;/Q&gt;&lt;R&gt;1&lt;/R&gt;&lt;C&gt;1&lt;/C&gt;&lt;D xsi:type="xsd:double"&gt;40.420666&lt;/D&gt;&lt;/FQL&gt;&lt;FQL&gt;&lt;Q&gt;FXI^FG_TOTAL_RETURNC(0,-1AM)&lt;/Q&gt;&lt;R&gt;1&lt;/R&gt;&lt;C&gt;1&lt;/C&gt;&lt;D xsi:type="xsd:double"&gt;-3.7707388&lt;/D&gt;&lt;/FQL&gt;&lt;FQL&gt;&lt;Q&gt;EWQ^FG_TOTAL_RETURNC(0,-1AM)&lt;/Q&gt;&lt;R&gt;1&lt;/R&gt;&lt;C&gt;1&lt;/C&gt;&lt;D xsi:type="xsd:double"&gt;1.044941&lt;/D&gt;&lt;/FQL&gt;&lt;FQL&gt;&lt;Q&gt;EWU^FG_TOTAL_RETURNC(0,-6AM)&lt;/Q&gt;&lt;R&gt;1&lt;/R&gt;&lt;C&gt;1&lt;/C&gt;&lt;D xsi:type="xsd:double"&gt;12.516535&lt;/D&gt;&lt;/FQL&gt;&lt;FQL&gt;&lt;Q&gt;EWG^FG_TOTAL_RETURNC(0,-3AM)&lt;/Q&gt;&lt;R&gt;1&lt;/R&gt;&lt;C&gt;1&lt;/C&gt;&lt;D xsi:type="xsd:double"&gt;3.6249757&lt;/D&gt;&lt;/FQL&gt;&lt;FQL&gt;&lt;Q&gt;ENZL^P_PRICE(0)/P_PRICE_HIGH_PR(0,,,,,,"PRICE","INTRA","52W")&lt;/Q&gt;&lt;R&gt;1&lt;/R&gt;&lt;C&gt;1&lt;/C&gt;&lt;D xsi:type="xsd:double"&gt;0.9112662&lt;/D&gt;&lt;/FQL&gt;&lt;FQL&gt;&lt;Q&gt;EWI^FMA_COS_UP("EPS","1M",+1,0,,,"PORTAGG","MEANR")&lt;/Q&gt;&lt;R&gt;1&lt;/R&gt;&lt;C&gt;1&lt;/C&gt;&lt;D xsi:type="xsd:double"&gt;10&lt;/D&gt;&lt;/FQL&gt;&lt;FQL&gt;&lt;Q&gt;EWC^FMA_COS_DOWN("EPS","1M",+1,0,,,"PORTAGG","MEANR")&lt;/Q&gt;&lt;R&gt;1&lt;/R&gt;&lt;C&gt;1&lt;/C&gt;&lt;D xsi:type="xsd:double"&gt;38&lt;/D&gt;&lt;/FQL&gt;&lt;FQL&gt;&lt;Q&gt;SPY^FMA_RBICS_REV_CURRENT(30, LOC, "PORTAGG")&lt;/Q&gt;&lt;R&gt;1&lt;/R&gt;&lt;C&gt;1&lt;/C&gt;&lt;D xsi:type="xsd:double"&gt;11.9812912809187&lt;/D&gt;&lt;/FQL&gt;&lt;FQL&gt;&lt;Q&gt;REFSEREPO-FDS^FG_YIELD(NOW,,,0)&lt;/Q&gt;&lt;R&gt;1&lt;/R&gt;&lt;C&gt;1&lt;/C&gt;&lt;D xsi:type="xsd:double"&gt;3.75&lt;/D&gt;&lt;/FQL&gt;&lt;FQL&gt;&lt;Q&gt;REFCATARG-FDS^FG_YIELD(NOW,,,0)&lt;/Q&gt;&lt;R&gt;1&lt;/R&gt;&lt;C&gt;1&lt;/C&gt;&lt;D xsi:type="xsd:double"&gt;4.5&lt;/D&gt;&lt;/FQL&gt;&lt;FQL&gt;&lt;Q&gt;EWD^FMA_PE(LTM,0,,,"PORTAGG","MEANR")&lt;/Q&gt;&lt;R&gt;1&lt;/R&gt;&lt;C&gt;1&lt;/C&gt;&lt;D xsi:type="xsd:double"&gt;14.2244421196808&lt;/D&gt;&lt;/FQL&gt;&lt;FQL&gt;&lt;Q&gt;QQQ^FMA_EVAL_EBIT(LTMA,NOW,NOW,M,"PORTAGG","MEANR")&lt;/Q&gt;&lt;R&gt;1&lt;/R&gt;&lt;C&gt;1&lt;/C&gt;&lt;D xsi:type="xsd:double"&gt;24.7931693167456&lt;/D&gt;&lt;/FQL&gt;&lt;FQL&gt;&lt;Q&gt;EWJ^FMA_PE(NTMA,0,,,"PORTAGG","MEANR")&lt;/Q&gt;&lt;R&gt;1&lt;/R&gt;&lt;C&gt;1&lt;/C&gt;&lt;D xsi:type="xsd:double"&gt;15.2944863854343&lt;/D&gt;&lt;/FQL&gt;&lt;FQL&gt;&lt;Q&gt;EWA^FMA_PE(LTM,0,,,"PORTAGG","MEANR")&lt;/Q&gt;&lt;R&gt;1&lt;/R&gt;&lt;C&gt;1&lt;/C&gt;&lt;D xsi:type="xsd:double"&gt;18.8530443590393&lt;/D&gt;&lt;/FQL&gt;&lt;FQL&gt;&lt;Q&gt;CAGDPY@NL^EE_ACTUAL_ANNUAL(MED,+1)&lt;/Q&gt;&lt;R&gt;1&lt;/R&gt;&lt;C&gt;1&lt;/C&gt;&lt;D xsi:type="xsd:double"&gt;9.5&lt;/D&gt;&lt;/FQL&gt;&lt;FQL&gt;&lt;Q&gt;CC_NZ^FG_COMPANY_NAME&lt;/Q&gt;&lt;R&gt;1&lt;/R&gt;&lt;C&gt;1&lt;/C&gt;&lt;D xsi:type="xsd:string"&gt;New Zealand&lt;/D&gt;&lt;/FQL&gt;&lt;FQL&gt;&lt;Q&gt;EWU^FMA_EPS(NTMA,-20AY,0,CY,,"PORTAGG","MEANR")&lt;/Q&gt;&lt;R&gt;20&lt;/R&gt;&lt;C&gt;1&lt;/C&gt;&lt;D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xsi:type="xsd:double"&gt;2.53482233795695&lt;/D&gt;&lt;D xsi:type="xsd:double"&gt;2.03507562384137&lt;/D&gt;&lt;D xsi:type="xsd:double"&gt;2.71427224340632&lt;/D&gt;&lt;D xsi:type="xsd:double"&gt;3.12760121442787&lt;/D&gt;&lt;D xsi:type="xsd:double"&gt;3.00269886912718&lt;/D&gt;&lt;/FQL&gt;&lt;FQL&gt;&lt;Q&gt;EWU^FG_TOTAL_RETURNC(-10AY,0,AM)&lt;/Q&gt;&lt;R&gt;121&lt;/R&gt;&lt;C&gt;1&lt;/C&gt;&lt;D xsi:type="xsd:double"&gt;0.28859377&lt;/D&gt;&lt;D xsi:type="xsd:double"&gt;-2.0623505&lt;/D&gt;&lt;D xsi:type="xsd:double"&gt;-3.917724&lt;/D&gt;&lt;D xsi:type="xsd:double"&gt;-4.6381354&lt;/D&gt;&lt;D xsi:type="xsd:double"&gt;3.4740806&lt;/D&gt;&lt;D xsi:type="xsd:double"&gt;-3.0301213&lt;/D&gt;&lt;D xsi:type="xsd:double"&gt;0.32590628&lt;/D&gt;&lt;D xsi:type="xsd:double"&gt;3.5192251&lt;/D&gt;&lt;D xsi:type="xsd:double"&gt;-3.8703024&lt;/D&gt;&lt;D xsi:type="xsd:double"&gt;5.05985&lt;/D&gt;&lt;D xsi:type="xsd:double"&gt;0.2589345&lt;/D&gt;&lt;D xsi:type="xsd:double"&gt;-0.5968213&lt;/D&gt;&lt;D xsi:type="xsd:double"&gt;-4.6031713&lt;/D&gt;&lt;D xsi:type="xsd:double"&gt;-6.821972&lt;/D&gt;&lt;D xsi:type="xsd:double"&gt;-2.0238101&lt;/D&gt;&lt;D xsi:type="xsd:double"&gt;7.047403&lt;/D&gt;&lt;D xsi:type="xsd:double"&gt;-2.553922&lt;/D&gt;&lt;D xsi:type="xsd:double"&gt;-2.6367307&lt;/D&gt;&lt;D xsi:type="xsd:double"&gt;-8.724827&lt;/D&gt;&lt;D xsi:type="xsd:double"&gt;-0.3342271&lt;/D&gt;&lt;D xsi:type="xsd:double"&gt;3.2193184&lt;/D&gt;&lt;D xsi:type="xsd:double"&gt;6.237817&lt;/D&gt;&lt;D xsi:type="xsd:double"&gt;0.73393583&lt;/D&gt;&lt;D xsi:type="xsd:double"&gt;-9.353179&lt;/D&gt;&lt;D xsi:type="xsd:double"&gt;6.314349&lt;/D&gt;&lt;D xsi:type="xsd:double"&gt;1.9367337&lt;/D&gt;&lt;D xsi:type="xsd:double"&gt;-0.9499669&lt;/D&gt;&lt;D xsi:type="xsd:double"&gt;-3.9002597&lt;/D&gt;&lt;D xsi:type="xsd:double"&gt;0.7651448&lt;/D&gt;&lt;D xsi:type="xsd:double"&gt;1.7864108&lt;/D&gt;&lt;D xsi:type="xsd:double"&gt;4.0118337&lt;/D&gt;&lt;D xsi:type="xsd:double"&gt;1.1065483&lt;/D&gt;&lt;D xsi:type="xsd:double"&gt;1.5322089&lt;/D&gt;&lt;D xsi:type="xsd:double"&gt;1.9402385&lt;/D&gt;&lt;D xsi:type="xsd:double"&gt;4.16919&lt;/D&gt;&lt;D xsi:type="xsd:double"&gt;-1.7008007&lt;/D&gt;&lt;D xsi:type="xsd:double"&gt;3.016591&lt;/D&gt;&lt;D xsi:type="xsd:double"&gt;-1.6691089&lt;/D&gt;&lt;D xsi:type="xsd:double"&gt;2.829051&lt;/D&gt;&lt;D xsi:type="xsd:double"&gt;0.34753084&lt;/D&gt;&lt;D xsi:type="xsd:double"&gt;0.8946538&lt;/D&gt;&lt;D xsi:type="xsd:double"&gt;2.9387355&lt;/D&gt;&lt;D xsi:type="xsd:double"&gt;7.24802&lt;/D&gt;&lt;D xsi:type="xsd:double"&gt;-5.6758223&lt;/D&gt;&lt;D xsi:type="xsd:double"&gt;-3.1066358&lt;/D&gt;&lt;D xsi:type="xsd:double"&gt;5.054879&lt;/D&gt;&lt;D xsi:type="xsd:double"&gt;-0.439924&lt;/D&gt;&lt;D xsi:type="xsd:double"&gt;-2.5127351&lt;/D&gt;&lt;D xsi:type="xsd:double"&gt;0.6670475&lt;/D&gt;&lt;D xsi:type="xsd:double"&gt;-2.5352836&lt;/D&gt;&lt;D xsi:type="xsd:double"&gt;1.7440081&lt;/D&gt;&lt;D xsi:type="xsd:double"&gt;-9.3550205&lt;/D&gt;&lt;D xsi:type="xsd:double"&gt;1.8910289&lt;/D&gt;&lt;D xsi:type="xsd:double"&gt;-5.914223&lt;/D&gt;&lt;D xsi:type="xsd:double"&gt;5.568838&lt;/D&gt;&lt;D xsi:type="xsd:double"&gt;6.0194135&lt;/D&gt;&lt;D xsi:type="xsd:double"&gt;0.91576576&lt;/D&gt;&lt;D xsi:type="xsd:double"&gt;1.3914108&lt;/D&gt;&lt;D xsi:type="xsd:double"&gt;-3.3412874&lt;/D&gt;&lt;D xsi:type="xsd:double"&gt;1.7748594&lt;/D&gt;&lt;D xsi:type="xsd:double"&gt;-0.34214854&lt;/D&gt;&lt;D xsi:type="xsd:double"&gt;-6.8976283&lt;/D&gt;&lt;D xsi:type="xsd:double"&gt;5.2631617&lt;/D&gt;&lt;D xsi:type="xsd:double"&gt;3.3757925&lt;/D&gt;&lt;D xsi:type="xsd:double"&gt;1.5711665&lt;/D&gt;&lt;D xsi:type="xsd:double"&gt;4.4974804&lt;/D&gt;&lt;D xsi:type="xsd:double"&gt;-0.5906701&lt;/D&gt;&lt;D xsi:type="xsd:double"&gt;-9.001785&lt;/D&gt;&lt;D xsi:type="xsd:double"&gt;-20.796602&lt;/D&gt;&lt;D xsi:type="xsd:double"&gt;0.906837&lt;/D&gt;&lt;D xsi:type="xsd:double"&gt;4.2075157&lt;/D&gt;&lt;D xsi:type="xsd:double"&gt;1.3964295&lt;/D&gt;&lt;D xsi:type="xsd:double"&gt;3.1004786&lt;/D&gt;&lt;D xsi:type="xsd:double"&gt;2.550435&lt;/D&gt;&lt;D xsi:type="xsd:double"&gt;-6.3845634&lt;/D&gt;&lt;D xsi:type="xsd:double"&gt;0.6344199&lt;/D&gt;&lt;D xsi:type="xsd:double"&gt;14.144993&lt;/D&gt;&lt;D xsi:type="xsd:double"&gt;2.7518034&lt;/D&gt;&lt;D xsi:type="xsd:double"&gt;3.9755344&lt;/D&gt;&lt;D xsi:type="xsd:double"&gt;-0.75163245&lt;/D&gt;&lt;D xsi:type="xsd:double"&gt;3.9183378&lt;/D&gt;&lt;D xsi:type="xsd:double"&gt;3.4220576&lt;/D&gt;&lt;D xsi:type="xsd:double"&gt;3.2169104&lt;/D&gt;&lt;D xsi:type="xsd:double"&gt;0.33141375&lt;/D&gt;&lt;D xsi:type="xsd:double"&gt;-1.865232&lt;/D&gt;&lt;D xsi:type="xsd:double"&gt;0.8890271&lt;/D&gt;&lt;D xsi:type="xsd:double"&gt;-1.0331213&lt;/D&gt;&lt;D xsi:type="xsd:double"&gt;4.2984366&lt;/D&gt;&lt;D xsi:type="xsd:double"&gt;-5.5637302&lt;/D&gt;&lt;D xsi:type="xsd:double"&gt;5.379379&lt;/D&gt;&lt;D xsi:type="xsd:double"&gt;1.7629147&lt;/D&gt;&lt;D xsi:type="xsd:double"&gt;2.2102833&lt;/D&gt;&lt;D xsi:type="xsd:double"&gt;-1.052016&lt;/D&gt;&lt;D xsi:type="xsd:double"&gt;-6.2315407&lt;/D&gt;&lt;D xsi:type="xsd:double"&gt;4.0944815&lt;/D&gt;&lt;D xsi:type="xsd:double"&gt;-6.3910303&lt;/D&gt;&lt;D xsi:type="xsd:double"&gt;-1.6458213&lt;/D&gt;&lt;D xsi:type="xsd:double"&gt;-0.40160418&lt;/D&gt;&lt;D xsi:type="xsd:double"&gt;-13.373655&lt;/D&gt;&lt;D xsi:type="xsd:double"&gt;8.921647&lt;/D&gt;&lt;D xsi:type="xsd:double"&gt;10.897434&lt;/D&gt;&lt;D xsi:type="xsd:double"&gt;0.42068958&lt;/D&gt;&lt;D xsi:type="xsd:double"&gt;6.2642097&lt;/D&gt;&lt;D xsi:type="xsd:double"&gt;-1.4966428&lt;/D&gt;&lt;D xsi:type="xsd:double"&gt;-3.5348833&lt;/D&gt;&lt;D xsi:type="xsd:double"&gt;7.48955&lt;/D&gt;&lt;D xsi:type="xsd:double"&gt;-2.9904306&lt;/D&gt;&lt;D xsi:type="xsd:double"&gt;0.5598545&lt;/D&gt;&lt;D xsi:type="xsd:double"&gt;4.9375057&lt;/D&gt;&lt;D xsi:type="xsd:double"&gt;-6.2537313&lt;/D&gt;&lt;D xsi:type="xsd:double"&gt;0.22236109&lt;/D&gt;&lt;D xsi:type="xsd:double"&gt;-3.232962&lt;/D&gt;&lt;D xsi:type="xsd:double"&gt;6.419921&lt;/D&gt;&lt;D xsi:type="xsd:double"&gt;4.1913867&lt;/D&gt;&lt;D xsi:type="xsd:double"&gt;-1.3599277&lt;/D&gt;&lt;D xsi:type="xsd:double"&gt;0.8272052&lt;/D&gt;&lt;D xsi:type="xsd:double"&gt;3.0385852&lt;/D&gt;&lt;D xsi:type="xsd:double"&gt;2.7130723&lt;/D&gt;&lt;D xsi:type="xsd:double"&gt;4.335344&lt;/D&gt;&lt;D xsi:type="xsd:double"&gt;-1.6890347&lt;/D&gt;&lt;D xsi:type="xsd:double"&gt;2.796805&lt;/D&gt;&lt;/FQL&gt;&lt;FQL&gt;&lt;Q&gt;PLATI-FDS^MAX(FG_PRICE(0,-5AY))&lt;/Q&gt;&lt;R&gt;1&lt;/R&gt;&lt;C&gt;1&lt;/C&gt;&lt;D xsi:type="xsd:double"&gt;1272.59&lt;/D&gt;&lt;/FQL&gt;&lt;FQL&gt;&lt;Q&gt;BRENT-FDS^FG_PRICE_CHANGE(0,-6AM)&lt;/Q&gt;&lt;R&gt;1&lt;/R&gt;&lt;C&gt;1&lt;/C&gt;&lt;D xsi:type="xsd:double"&gt;0&lt;/D&gt;&lt;/FQL&gt;&lt;FQL&gt;&lt;Q&gt;EWN^FG_PRICE_MAVG(0,,,,200)&lt;/Q&gt;&lt;R&gt;1&lt;/R&gt;&lt;C&gt;1&lt;/C&gt;&lt;D xsi:type="xsd:double"&gt;46.47386&lt;/D&gt;&lt;/FQL&gt;&lt;FQL&gt;&lt;Q&gt;EWJ^FG_PRICE_MAVG(0,,,,60)&lt;/Q&gt;&lt;R&gt;1&lt;/R&gt;&lt;C&gt;1&lt;/C&gt;&lt;D xsi:type="xsd:double"&gt;68.74184&lt;/D&gt;&lt;/FQL&gt;&lt;FQL&gt;&lt;Q&gt;URTH^FG_TOTAL_RETURNC(0,-1AM)&lt;/Q&gt;&lt;R&gt;1&lt;/R&gt;&lt;C&gt;1&lt;/C&gt;&lt;D xsi:type="xsd:double"&gt;0.29113293&lt;/D&gt;&lt;/FQL&gt;&lt;FQL&gt;&lt;Q&gt;EWI^FG_TOTAL_RETURNC(0,-3AM)&lt;/Q&gt;&lt;R&gt;1&lt;/R&gt;&lt;C&gt;1&lt;/C&gt;&lt;D xsi:type="xsd:double"&gt;3.1919956&lt;/D&gt;&lt;/FQL&gt;&lt;FQL&gt;&lt;Q&gt;TRYJP10Y-FDS^PCTCHG(FG_YIELD(0,,,,"YTM"),FG_YIELD(-1AM,,,,"YTM"))&lt;/Q&gt;&lt;R&gt;1&lt;/R&gt;&lt;C&gt;1&lt;/C&gt;&lt;D xsi:type="xsd:double"&gt;4.196704&lt;/D&gt;&lt;/FQL&gt;&lt;FQL&gt;&lt;Q&gt;TRYJP10Y-FDS^FG_YIELD(0,,,,"YTM")&lt;/Q&gt;&lt;R&gt;1&lt;/R&gt;&lt;C&gt;1&lt;/C&gt;&lt;D xsi:type="xsd:double"&gt;1.0552&lt;/D&gt;&lt;/FQL&gt;&lt;FQL&gt;&lt;Q&gt;VWO^FG_PE_NTM(0,,,90,0)&lt;/Q&gt;&lt;R&gt;1&lt;/R&gt;&lt;C&gt;1&lt;/C&gt;&lt;D xsi:type="xsd:double"&gt;2.4051451307245&lt;/D&gt;&lt;/FQL&gt;&lt;FQL&gt;&lt;Q&gt;TLT^P_PRICE(0)/P_PRICE_HIGH_PR(0,,,USD,,,"PRICE","INTRA","52W")&lt;/Q&gt;&lt;R&gt;1&lt;/R&gt;&lt;C&gt;1&lt;/C&gt;&lt;D xsi:type="xsd:double"&gt;0.9213772&lt;/D&gt;&lt;/FQL&gt;&lt;FQL&gt;&lt;Q&gt;SPY^P_PRICE(0)/P_PRICE_HIGH_PR(0,,,USD,,,"PRICE","INTRA","52W")&lt;/Q&gt;&lt;R&gt;1&lt;/R&gt;&lt;C&gt;1&lt;/C&gt;&lt;D xsi:type="xsd:double"&gt;0.96333784&lt;/D&gt;&lt;/FQL&gt;&lt;FQL&gt;&lt;Q&gt;EWL^FMA_ROE(NTMA,-20AY,NOW,FY,"PORTAGG","MEANR")&lt;/Q&gt;&lt;R&gt;20&lt;/R&gt;&lt;C&gt;1&lt;/C&gt;&lt;D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xsi:type="xsd:double"&gt;0.6127&lt;/D&gt;&lt;/FQL&gt;&lt;FQL&gt;&lt;Q&gt;USDCHF^FG_PRICE_CHANGE(0,-6AM)&lt;/Q&gt;&lt;R&gt;1&lt;/R&gt;&lt;C&gt;1&lt;/C&gt;&lt;D xsi:type="xsd:double"&gt;2.299583&lt;/D&gt;&lt;/FQL&gt;&lt;FQL&gt;&lt;Q&gt;USDGBP^FG_COMPANY_NAME&lt;/Q&gt;&lt;R&gt;1&lt;/R&gt;&lt;C&gt;1&lt;/C&gt;&lt;D xsi:type="xsd:string"&gt;British Pounds per U.S. Dollar&lt;/D&gt;&lt;/FQL&gt;&lt;FQL&gt;&lt;Q&gt;USDCAD^STD(FG_PRICE_CHANGE(0,-1AY,AM))&lt;/Q&gt;&lt;R&gt;1&lt;/R&gt;&lt;C&gt;1&lt;/C&gt;&lt;D xsi:type="xsd:double"&gt;1.61979750404125&lt;/D&gt;&lt;/FQL&gt;&lt;FQL&gt;&lt;Q&gt;EWU^FMA_PE(NTMA,-10AY,0,AM,"PORTAGG","MEANR")&lt;/Q&gt;&lt;R&gt;121&lt;/R&gt;&lt;C&gt;1&lt;/C&gt;&lt;D xsi:type="xsd:double"&gt;13.6954418706691&lt;/D&gt;&lt;D xsi:type="xsd:double"&gt;13.5426204606732&lt;/D&gt;&lt;D xsi:type="xsd:double"&gt;13.1154853356456&lt;/D&gt;&lt;D xsi:type="xsd:double"&gt;12.8528546973547&lt;/D&gt;&lt;D xsi:type="xsd:double"&gt;13.6041291594227&lt;/D&gt;&lt;D xsi:type="xsd:double"&gt;13.8539601253447&lt;/D&gt;&lt;D xsi:type="xsd:double"&gt;15.1042588896993&lt;/D&gt;&lt;D xsi:type="xsd:double"&gt;15.7421012532463&lt;/D&gt;&lt;D xsi:type="xsd:double"&gt;15.6092114535735&lt;/D&gt;&lt;D xsi:type="xsd:double"&gt;16.314163858134&lt;/D&gt;&lt;D xsi:type="xsd:double"&gt;15.9906508119046&lt;/D&gt;&lt;D xsi:type="xsd:double"&gt;15.5215753531369&lt;/D&gt;&lt;D xsi:type="xsd:double"&gt;15.1064737915233&lt;/D&gt;&lt;D xsi:type="xsd:double"&gt;13.7289220426029&lt;/D&gt;&lt;D xsi:type="xsd:double"&gt;14.303327050792&lt;/D&gt;&lt;D xsi:type="xsd:double"&gt;15.3645917610437&lt;/D&gt;&lt;D xsi:type="xsd:double"&gt;15.3327183392997&lt;/D&gt;&lt;D xsi:type="xsd:double"&gt;15.320554933019&lt;/D&gt;&lt;D xsi:type="xsd:double"&gt;15.111831198458&lt;/D&gt;&lt;D xsi:type="xsd:double"&gt;15.5831509287384&lt;/D&gt;&lt;D xsi:type="xsd:double"&gt;15.896173455917&lt;/D&gt;&lt;D xsi:type="xsd:double"&gt;16.3784808011028&lt;/D&gt;&lt;D xsi:type="xsd:double"&gt;16.0502926198189&lt;/D&gt;&lt;D xsi:type="xsd:double"&gt;15.2154223088409&lt;/D&gt;&lt;D xsi:type="xsd:double"&gt;16.1051826118953&lt;/D&gt;&lt;D xsi:type="xsd:double"&gt;16.127938229516&lt;/D&gt;&lt;D xsi:type="xsd:double"&gt;15.5446464482692&lt;/D&gt;&lt;D xsi:type="xsd:double"&gt;15.0144179662596&lt;/D&gt;&lt;D xsi:type="xsd:double"&gt;14.387931478018&lt;/D&gt;&lt;D xsi:type="xsd:double"&gt;14.2976207077027&lt;/D&gt;&lt;D xsi:type="xsd:double"&gt;14.3142093243243&lt;/D&gt;&lt;D xsi:type="xsd:double"&gt;14.404046209693&lt;/D&gt;&lt;D xsi:type="xsd:double"&gt;14.4394987479526&lt;/D&gt;&lt;D xsi:type="xsd:double"&gt;14.4735432875082&lt;/D&gt;&lt;D xsi:type="xsd:double"&gt;14.7786969487001&lt;/D&gt;&lt;D xsi:type="xsd:double"&gt;14.523001758488&lt;/D&gt;&lt;D xsi:type="xsd:double"&gt;14.8675166067502&lt;/D&gt;&lt;D xsi:type="xsd:double"&gt;14.5343493915413&lt;/D&gt;&lt;D xsi:type="xsd:double"&gt;14.397544254134&lt;/D&gt;&lt;D xsi:type="xsd:double"&gt;14.4613647653654&lt;/D&gt;&lt;D xsi:type="xsd:double"&gt;14.28897394521&lt;/D&gt;&lt;D xsi:type="xsd:double"&gt;14.5452177204018&lt;/D&gt;&lt;D xsi:type="xsd:double"&gt;14.6387740817537&lt;/D&gt;&lt;D xsi:type="xsd:double"&gt;13.2954277706663&lt;/D&gt;&lt;D xsi:type="xsd:double"&gt;13.0118036405228&lt;/D&gt;&lt;D xsi:type="xsd:double"&gt;13.7357150464135&lt;/D&gt;&lt;D xsi:type="xsd:double"&gt;13.7359389527835&lt;/D&gt;&lt;D xsi:type="xsd:double"&gt;13.1928492672577&lt;/D&gt;&lt;D xsi:type="xsd:double"&gt;13.1874519237826&lt;/D&gt;&lt;D xsi:type="xsd:double"&gt;12.8386043225702&lt;/D&gt;&lt;D xsi:type="xsd:double"&gt;12.8412898357893&lt;/D&gt;&lt;D xsi:type="xsd:double"&gt;11.5781202997867&lt;/D&gt;&lt;D xsi:type="xsd:double"&gt;11.8106370698739&lt;/D&gt;&lt;D xsi:type="xsd:double"&gt;11.3319540826588&lt;/D&gt;&lt;D xsi:type="xsd:double"&gt;11.8953897799795&lt;/D&gt;&lt;D xsi:type="xsd:double"&gt;12.4937857714463&lt;/D&gt;&lt;D xsi:type="xsd:double"&gt;12.4806510655849&lt;/D&gt;&lt;D xsi:type="xsd:double"&gt;12.6611740084252&lt;/D&gt;&lt;D xsi:type="xsd:double"&gt;12.2191402150941&lt;/D&gt;&lt;D xsi:type="xsd:double"&gt;12.5522227596503&lt;/D&gt;&lt;D xsi:type="xsd:double"&gt;12.6421405434335&lt;/D&gt;&lt;D xsi:type="xsd:double"&gt;11.8320943671557&lt;/D&gt;&lt;D xsi:type="xsd:double"&gt;12.3632993364631&lt;/D&gt;&lt;D xsi:type="xsd:double"&gt;12.6478347590967&lt;/D&gt;&lt;D xsi:type="xsd:double"&gt;12.9900397119384&lt;/D&gt;&lt;D xsi:type="xsd:double"&gt;13.5359776935462&lt;/D&gt;&lt;D xsi:type="xsd:double"&gt;13.4719154253692&lt;/D&gt;&lt;D xsi:type="xsd:double"&gt;12.7004021955063&lt;/D&gt;&lt;D xsi:type="xsd:double"&gt;11.7369885123449&lt;/D&gt;&lt;D xsi:type="xsd:double"&gt;13.924059925681&lt;/D&gt;&lt;D xsi:type="xsd:double"&gt;15.7859163891549&lt;/D&gt;&lt;D xsi:type="xsd:double"&gt;15.8076456505569&lt;/D&gt;&lt;D xsi:type="xsd:double"&gt;15.6691614451606&lt;/D&gt;&lt;D xsi:type="xsd:double"&gt;15.3841320631634&lt;/D&gt;&lt;D xsi:type="xsd:double"&gt;14.283440271017&lt;/D&gt;&lt;D xsi:type="xsd:double"&gt;13.7610999147769&lt;/D&gt;&lt;D xsi:type="xsd:double"&gt;14.7633967488643&lt;/D&gt;&lt;D xsi:type="xsd:double"&gt;14.5545680691348&lt;/D&gt;&lt;D xsi:type="xsd:double"&gt;14.2871333080377&lt;/D&gt;&lt;D xsi:type="xsd:double"&gt;13.7601498222767&lt;/D&gt;&lt;D xsi:type="xsd:double"&gt;13.6360097869677&lt;/D&gt;&lt;D xsi:type="xsd:double"&gt;13.4721564755121&lt;/D&gt;&lt;D xsi:type="xsd:double"&gt;13.1840742709931&lt;/D&gt;&lt;D xsi:type="xsd:double"&gt;13.0061946976712&lt;/D&gt;&lt;D xsi:type="xsd:double"&gt;12.3662757406509&lt;/D&gt;&lt;D xsi:type="xsd:double"&gt;12.1586100627239&lt;/D&gt;&lt;D xsi:type="xsd:double"&gt;11.9079525100283&lt;/D&gt;&lt;D xsi:type="xsd:double"&gt;12.3073578484469&lt;/D&gt;&lt;D xsi:type="xsd:double"&gt;11.6061237458364&lt;/D&gt;&lt;D xsi:type="xsd:double"&gt;12.1562975726288&lt;/D&gt;&lt;D xsi:type="xsd:double"&gt;12.2768920745255&lt;/D&gt;&lt;D xsi:type="xsd:double"&gt;12.0547836085592&lt;/D&gt;&lt;D xsi:type="xsd:double"&gt;11.5747501440389&lt;/D&gt;&lt;D xsi:type="xsd:double"&gt;10.6813632647547&lt;/D&gt;&lt;D xsi:type="xsd:double"&gt;10.5187766958202&lt;/D&gt;&lt;D xsi:type="xsd:double"&gt;9.84410230357204&lt;/D&gt;&lt;D xsi:type="xsd:double"&gt;9.78668166568289&lt;/D&gt;&lt;D xsi:type="xsd:double"&gt;9.5661027401077&lt;/D&gt;&lt;D xsi:type="xsd:double"&gt;8.52915453564075&lt;/D&gt;&lt;D xsi:type="xsd:double"&gt;8.99796488512419&lt;/D&gt;&lt;D xsi:type="xsd:double"&gt;9.77680721135533&lt;/D&gt;&lt;D xsi:type="xsd:double"&gt;9.85070294779942&lt;/D&gt;&lt;D xsi:type="xsd:double"&gt;10.547654740273&lt;/D&gt;&lt;D xsi:type="xsd:double"&gt;10.4384109019334&lt;/D&gt;&lt;D xsi:type="xsd:double"&gt;9.90372493372459&lt;/D&gt;&lt;D xsi:type="xsd:double"&gt;10.7704555191604&lt;/D&gt;&lt;D xsi:type="xsd:double"&gt;10.236786674451&lt;/D&gt;&lt;D xsi:type="xsd:double"&gt;10.189934729761&lt;/D&gt;&lt;D xsi:type="xsd:double"&gt;10.7367407274031&lt;/D&gt;&lt;D xsi:type="xsd:double"&gt;10.1623173426287&lt;/D&gt;&lt;D xsi:type="xsd:double"&gt;10.4406843068562&lt;/D&gt;&lt;D xsi:type="xsd:double"&gt;9.99559320418282&lt;/D&gt;&lt;D xsi:type="xsd:double"&gt;10.5132548535159&lt;/D&gt;&lt;D xsi:type="xsd:double"&gt;10.8851440388227&lt;/D&gt;&lt;D xsi:type="xsd:double"&gt;11.0939412923279&lt;/D&gt;&lt;D xsi:type="xsd:double"&gt;11.2263730252394&lt;/D&gt;&lt;D xsi:type="xsd:double"&gt;11.5175344647447&lt;/D&gt;&lt;D xsi:type="xsd:double"&gt;11.5913262972797&lt;/D&gt;&lt;D xsi:type="xsd:double"&gt;11.778585428804&lt;/D&gt;&lt;D xsi:type="xsd:double"&gt;11.4267704862393&lt;/D&gt;&lt;D xsi:type="xsd:double"&gt;11.4870550217515&lt;/D&gt;&lt;/FQL&gt;&lt;FQL&gt;&lt;Q&gt;DDR3512M-FDS^FG_PRICE_MAVG(0,,,,30)&lt;/Q&gt;&lt;R&gt;1&lt;/R&gt;&lt;C&gt;1&lt;/C&gt;&lt;D xsi:type="xsd:double"&gt;0.9321639&lt;/D&gt;&lt;/FQL&gt;&lt;FQL&gt;&lt;Q&gt;PLATI-FDS^FG_PRICE(0)/MAX(FG_PRICE(0,-1AY))&lt;/Q&gt;&lt;R&gt;1&lt;/R&gt;&lt;C&gt;1&lt;/C&gt;&lt;D xsi:type="xsd:double"&gt;0.880261927034612&lt;/D&gt;&lt;/FQL&gt;&lt;FQL&gt;&lt;Q&gt;FXI^PERCENT_CHANGE(FMA_EPS(+1,0,,,,"PORTAGG","MEAN"),FMA_EPS(+1,-3AM,,,,"PORTAGG","MEAN"))&lt;/Q&gt;&lt;R&gt;1&lt;/R&gt;&lt;C&gt;1&lt;/C&gt;&lt;D xsi:type="xsd:double"&gt;3.74787077364792&lt;/D&gt;&lt;/FQL&gt;&lt;FQL&gt;&lt;Q&gt;EWI^FG_TOTAL_RETURNC(0,-1AM)&lt;/Q&gt;&lt;R&gt;1&lt;/R&gt;&lt;C&gt;1&lt;/C&gt;&lt;D xsi:type="xsd:double"&gt;3.61979&lt;/D&gt;&lt;/FQL&gt;&lt;FQL&gt;&lt;Q&gt;EWQ^PERCENT_CHANGE(FMA_EPS(+1,0,,,,"PORTAGG","MEAN"),FMA_EPS(+1,-3AM,,,,"PORTAGG","MEAN"))&lt;/Q&gt;&lt;R&gt;1&lt;/R&gt;&lt;C&gt;1&lt;/C&gt;&lt;D xsi:type="xsd:double"&gt;-1.27728187207148&lt;/D&gt;&lt;/FQL&gt;&lt;FQL&gt;&lt;Q&gt;EWU^PERCENT_CHANGE(FMA_EPS(+1,0,,,,"PORTAGG","MEAN"),FMA_EPS(+1,-1AM,,,,"PORTAGG","MEAN"))&lt;/Q&gt;&lt;R&gt;1&lt;/R&gt;&lt;C&gt;1&lt;/C&gt;&lt;D xsi:type="xsd:double"&gt;-0.871649960847914&lt;/D&gt;&lt;/FQL&gt;&lt;FQL&gt;&lt;Q&gt;EWG^FG_TOTAL_RETURNC(0,-1AM)&lt;/Q&gt;&lt;R&gt;1&lt;/R&gt;&lt;C&gt;1&lt;/C&gt;&lt;D xsi:type="xsd:double"&gt;3.09515&lt;/D&gt;&lt;/FQL&gt;&lt;FQL&gt;&lt;Q&gt;ENZL^FG_TOTAL_RETURNC(0,-3AM)&lt;/Q&gt;&lt;R&gt;1&lt;/R&gt;&lt;C&gt;1&lt;/C&gt;&lt;D xsi:type="xsd:double"&gt;4.0211916&lt;/D&gt;&lt;/FQL&gt;&lt;FQL&gt;&lt;Q&gt;EWC^FMA_COS_UP("EPS","1M",+1,0,,,"PORTAGG","MEANR")&lt;/Q&gt;&lt;R&gt;1&lt;/R&gt;&lt;C&gt;1&lt;/C&gt;&lt;D xsi:type="xsd:double"&gt;34&lt;/D&gt;&lt;/FQL&gt;&lt;FQL&gt;&lt;Q&gt;QQQ^FMA_RBICS_REV_CURRENT(30, LOC, "PORTAGG")&lt;/Q&gt;&lt;R&gt;1&lt;/R&gt;&lt;C&gt;1&lt;/C&gt;&lt;D xsi:type="xsd:double"&gt;0.753235479992888&lt;/D&gt;&lt;/FQL&gt;&lt;FQL&gt;&lt;Q&gt;REFSEREPO-FDS^PROPER_NAME(0,,,"SECURITY","NAME")&lt;/Q&gt;&lt;R&gt;1&lt;/R&gt;&lt;C&gt;1&lt;/C&gt;&lt;D xsi:type="xsd:string"&gt;Sweden Repo Rate&lt;/D&gt;&lt;/FQL&gt;&lt;FQL&gt;&lt;Q&gt;REFCATARG-FDS^PROPER_NAME(0,,,"SECURITY","NAME")&lt;/Q&gt;&lt;R&gt;1&lt;/R&gt;&lt;C&gt;1&lt;/C&gt;&lt;D xsi:type="xsd:string"&gt;Canada Target Rate&lt;/D&gt;&lt;/FQL&gt;&lt;FQL&gt;&lt;Q&gt;EWD^JULIAN(FMA_DIV_YLD(NTMA,NOW,NOW,M,"PORTAGG","MEANR").DATES)&lt;/Q&gt;&lt;R&gt;1&lt;/R&gt;&lt;C&gt;1&lt;/C&gt;&lt;D xsi:type="xsd:long"&gt;45471&lt;/D&gt;&lt;/FQL&gt;&lt;FQL&gt;&lt;Q&gt;EWJ^FMA_PE(LTM,0,,,"PORTAGG","MEANR")&lt;/Q&gt;&lt;R&gt;1&lt;/R&gt;&lt;C&gt;1&lt;/C&gt;&lt;D xsi:type="xsd:double"&gt;16.9789631221606&lt;/D&gt;&lt;/FQL&gt;&lt;FQL&gt;&lt;Q&gt;EWA^JULIAN(FMA_DIV_YLD(NTMA,NOW,NOW,M,"PORTAGG","MEANR").DATES)&lt;/Q&gt;&lt;R&gt;1&lt;/R&gt;&lt;C&gt;1&lt;/C&gt;&lt;D xsi:type="xsd:long"&gt;45471&lt;/D&gt;&lt;/FQL&gt;&lt;FQL&gt;&lt;Q&gt;CAGDPY@NL^EE_ACTUAL_ANNUAL(MED,0)&lt;/Q&gt;&lt;R&gt;1&lt;/R&gt;&lt;C&gt;1&lt;/C&gt;&lt;D xsi:type="xsd:double"&gt;10.1631565168417&lt;/D&gt;&lt;/FQL&gt;&lt;FQL&gt;&lt;Q&gt;USDITL^STD(FG_PRICE_CHANGE(0,-3AY,M))&lt;/Q&gt;&lt;R&gt;1&lt;/R&gt;&lt;C&gt;1&lt;/C&gt;&lt;D xsi:type="xsd:double"&gt;2.13396081745498&lt;/D&gt;&lt;/FQL&gt;&lt;FQL&gt;&lt;Q&gt;USDCHF^FG_PRICE_CHANGE(0,-1AY)&lt;/Q&gt;&lt;R&gt;1&lt;/R&gt;&lt;C&gt;1&lt;/C&gt;&lt;D xsi:type="xsd:double"&gt;2.3055077&lt;/D&gt;&lt;/FQL&gt;&lt;FQL&gt;&lt;Q&gt;EWL^FMA_EPS(NTMA,-20AY,0,CY,,"PORTAGG","MEANR")&lt;/Q&gt;&lt;R&gt;20&lt;/R&gt;&lt;C&gt;1&lt;/C&gt;&lt;D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xsi:type="xsd:double"&gt;2.86470858427176&lt;/D&gt;&lt;/FQL&gt;&lt;FQL&gt;&lt;Q&gt;EWL^FG_TOTAL_RETURNC(-10AY,0,AM)&lt;/Q&gt;&lt;R&gt;121&lt;/R&gt;&lt;C&gt;1&lt;/C&gt;&lt;D xsi:type="xsd:double"&gt;-0.9367645&lt;/D&gt;&lt;D xsi:type="xsd:double"&gt;-0.6796658&lt;/D&gt;&lt;D xsi:type="xsd:double"&gt;-2.8265417&lt;/D&gt;&lt;D xsi:type="xsd:double"&gt;-3.0924678&lt;/D&gt;&lt;D xsi:type="xsd:double"&gt;4.8973203&lt;/D&gt;&lt;D xsi:type="xsd:double"&gt;-2.4397612&lt;/D&gt;&lt;D xsi:type="xsd:double"&gt;-0.18523335&lt;/D&gt;&lt;D xsi:type="xsd:double"&gt;3.3405423&lt;/D&gt;&lt;D xsi:type="xsd:double"&gt;0.20952225&lt;/D&gt;&lt;D xsi:type="xsd:double"&gt;3.9725304&lt;/D&gt;&lt;D xsi:type="xsd:double"&gt;0.31598806&lt;/D&gt;&lt;D xsi:type="xsd:double"&gt;-0.8075714&lt;/D&gt;&lt;D xsi:type="xsd:double"&gt;-0.35472512&lt;/D&gt;&lt;D xsi:type="xsd:double"&gt;-4.9836874&lt;/D&gt;&lt;D xsi:type="xsd:double"&gt;-6.056815&lt;/D&gt;&lt;D xsi:type="xsd:double"&gt;6.015289&lt;/D&gt;&lt;D xsi:type="xsd:double"&gt;-3.2915354&lt;/D&gt;&lt;D xsi:type="xsd:double"&gt;1.8800616&lt;/D&gt;&lt;D xsi:type="xsd:double"&gt;-7.4132977&lt;/D&gt;&lt;D xsi:type="xsd:double"&gt;-1.9243956&lt;/D&gt;&lt;D xsi:type="xsd:double"&gt;2.1723866&lt;/D&gt;&lt;D xsi:type="xsd:double"&gt;4.972565&lt;/D&gt;&lt;D xsi:type="xsd:double"&gt;0.5880475&lt;/D&gt;&lt;D xsi:type="xsd:double"&gt;-5.606866&lt;/D&gt;&lt;D xsi:type="xsd:double"&gt;5.2984834&lt;/D&gt;&lt;D xsi:type="xsd:double"&gt;1.3082862&lt;/D&gt;&lt;D xsi:type="xsd:double"&gt;1.2251616&lt;/D&gt;&lt;D xsi:type="xsd:double"&gt;-5.0376177&lt;/D&gt;&lt;D xsi:type="xsd:double"&gt;-1.8257022&lt;/D&gt;&lt;D xsi:type="xsd:double"&gt;2.6956081&lt;/D&gt;&lt;D xsi:type="xsd:double"&gt;4.991448&lt;/D&gt;&lt;D xsi:type="xsd:double"&gt;0.8466363&lt;/D&gt;&lt;D xsi:type="xsd:double"&gt;3.5518289&lt;/D&gt;&lt;D xsi:type="xsd:double"&gt;3.461182&lt;/D&gt;&lt;D xsi:type="xsd:double"&gt;5.1235676&lt;/D&gt;&lt;D xsi:type="xsd:double"&gt;0.93750954&lt;/D&gt;&lt;D xsi:type="xsd:double"&gt;0.75427294&lt;/D&gt;&lt;D xsi:type="xsd:double"&gt;-1.1229455&lt;/D&gt;&lt;D xsi:type="xsd:double"&gt;1.1065841&lt;/D&gt;&lt;D xsi:type="xsd:double"&gt;-1.2384772&lt;/D&gt;&lt;D xsi:type="xsd:double"&gt;2.6829958&lt;/D&gt;&lt;D xsi:type="xsd:double"&gt;-0.17039776&lt;/D&gt;&lt;D xsi:type="xsd:double"&gt;7.3684216&lt;/D&gt;&lt;D xsi:type="xsd:double"&gt;-5.0079584&lt;/D&gt;&lt;D xsi:type="xsd:double"&gt;-4.6861944&lt;/D&gt;&lt;D xsi:type="xsd:double"&gt;-0.05851984&lt;/D&gt;&lt;D xsi:type="xsd:double"&gt;-0.4685223&lt;/D&gt;&lt;D xsi:type="xsd:double"&gt;-2.5287867&lt;/D&gt;&lt;D xsi:type="xsd:double"&gt;6.4975142&lt;/D&gt;&lt;D xsi:type="xsd:double"&gt;0.3486395&lt;/D&gt;&lt;D xsi:type="xsd:double"&gt;1.53445&lt;/D&gt;&lt;D xsi:type="xsd:double"&gt;-8.012551&lt;/D&gt;&lt;D xsi:type="xsd:double"&gt;2.1698713&lt;/D&gt;&lt;D xsi:type="xsd:double"&gt;-5.3398013&lt;/D&gt;&lt;D xsi:type="xsd:double"&gt;5.929482&lt;/D&gt;&lt;D xsi:type="xsd:double"&gt;5.3252697&lt;/D&gt;&lt;D xsi:type="xsd:double"&gt;0.7469058&lt;/D&gt;&lt;D xsi:type="xsd:double"&gt;2.9084682&lt;/D&gt;&lt;D xsi:type="xsd:double"&gt;1.3577223&lt;/D&gt;&lt;D xsi:type="xsd:double"&gt;4.0358067&lt;/D&gt;&lt;D xsi:type="xsd:double"&gt;0&lt;/D&gt;&lt;D xsi:type="xsd:double"&gt;-0.56315064&lt;/D&gt;&lt;D xsi:type="xsd:double"&gt;1.591146&lt;/D&gt;&lt;D xsi:type="xsd:double"&gt;0.9291291&lt;/D&gt;&lt;D xsi:type="xsd:double"&gt;2.682805&lt;/D&gt;&lt;D xsi:type="xsd:double"&gt;3.7909865&lt;/D&gt;&lt;D xsi:type="xsd:double"&gt;1.9743323&lt;/D&gt;&lt;D xsi:type="xsd:double"&gt;-4.9854813&lt;/D&gt;&lt;D xsi:type="xsd:double"&gt;-10.061121&lt;/D&gt;&lt;D xsi:type="xsd:double"&gt;4.6162486&lt;/D&gt;&lt;D xsi:type="xsd:double"&gt;2.3010373&lt;/D&gt;&lt;D xsi:type="xsd:double"&gt;4.1270256&lt;/D&gt;&lt;D xsi:type="xsd:double"&gt;5.655992&lt;/D&gt;&lt;D xsi:type="xsd:double"&gt;3.1288147&lt;/D&gt;&lt;D xsi:type="xsd:double"&gt;-2.844268&lt;/D&gt;&lt;D xsi:type="xsd:double"&gt;-0.097584724&lt;/D&gt;&lt;D xsi:type="xsd:double"&gt;4.7130704&lt;/D&gt;&lt;D xsi:type="xsd:double"&gt;2.0355582&lt;/D&gt;&lt;D xsi:type="xsd:double"&gt;4.710734&lt;/D&gt;&lt;D xsi:type="xsd:double"&gt;-5.590743&lt;/D&gt;&lt;D xsi:type="xsd:double"&gt;3.5854697&lt;/D&gt;&lt;D xsi:type="xsd:double"&gt;4.488611&lt;/D&gt;&lt;D xsi:type="xsd:double"&gt;3.9324641&lt;/D&gt;&lt;D xsi:type="xsd:double"&gt;3.2895207&lt;/D&gt;&lt;D xsi:type="xsd:double"&gt;0.46634674&lt;/D&gt;&lt;D xsi:type="xsd:double"&gt;2.0585299&lt;/D&gt;&lt;D xsi:type="xsd:double"&gt;-4.7854424&lt;/D&gt;&lt;D xsi:type="xsd:double"&gt;2.6791215&lt;/D&gt;&lt;D xsi:type="xsd:double"&gt;-0.22248626&lt;/D&gt;&lt;D xsi:type="xsd:double"&gt;5.635512&lt;/D&gt;&lt;D xsi:type="xsd:double"&gt;-7.2538853&lt;/D&gt;&lt;D xsi:type="xsd:double"&gt;-0.08276701&lt;/D&gt;&lt;D xsi:type="xsd:double"&gt;1.0768294&lt;/D&gt;&lt;D xsi:type="xsd:double"&gt;-5.388242&lt;/D&gt;&lt;D xsi:type="xsd:double"&gt;-2.2087514&lt;/D&gt;&lt;D xsi:type="xsd:double"&gt;-5.4613533&lt;/D&gt;&lt;D xsi:type="xsd:double"&gt;1.0277271&lt;/D&gt;&lt;D xsi:type="xsd:double"&gt;-2.342093&lt;/D&gt;&lt;D xsi:type="xsd:double"&gt;-10.440886&lt;/D&gt;&lt;D xsi:type="xsd:double"&gt;7.2761655&lt;/D&gt;&lt;D xsi:type="xsd:double"&gt;8.446789&lt;/D&gt;&lt;D xsi:type="xsd:double"&gt;-2.441293&lt;/D&gt;&lt;D xsi:type="xsd:double"&gt;7.602489&lt;/D&gt;&lt;D xsi:type="xsd:double"&gt;-3.1450748&lt;/D&gt;&lt;D xsi:type="xsd:double"&gt;-0.59455633&lt;/D&gt;&lt;D xsi:type="xsd:double"&gt;9.753847&lt;/D&gt;&lt;D xsi:type="xsd:double"&gt;-0.77551603&lt;/D&gt;&lt;D xsi:type="xsd:double"&gt;-1.6211033&lt;/D&gt;&lt;D xsi:type="xsd:double"&gt;4.6981335&lt;/D&gt;&lt;D xsi:type="xsd:double"&gt;-4.445374&lt;/D&gt;&lt;D xsi:type="xsd:double"&gt;-4.235244&lt;/D&gt;&lt;D xsi:type="xsd:double"&gt;-3.7580192&lt;/D&gt;&lt;D xsi:type="xsd:double"&gt;7.523811&lt;/D&gt;&lt;D xsi:type="xsd:double"&gt;5.6244493&lt;/D&gt;&lt;D xsi:type="xsd:double"&gt;0.25156736&lt;/D&gt;&lt;D xsi:type="xsd:double"&gt;-1.4638245&lt;/D&gt;&lt;D xsi:type="xsd:double"&gt;0.06366968&lt;/D&gt;&lt;D xsi:type="xsd:double"&gt;-2.566284&lt;/D&gt;&lt;D xsi:type="xsd:double"&gt;5.180669&lt;/D&gt;&lt;D xsi:type="xsd:double"&gt;2.0977259&lt;/D&gt;&lt;D xsi:type="xsd:double"&gt;3.6010027&lt;/D&gt;&lt;/FQL&gt;&lt;FQL&gt;&lt;Q&gt;BRENT-FDS^FG_PRICE_CHANGE(0,-1AM)&lt;/Q&gt;&lt;R&gt;1&lt;/R&gt;&lt;C&gt;1&lt;/C&gt;&lt;D xsi:type="xsd:double"&gt;0&lt;/D&gt;&lt;/FQL&gt;&lt;FQL&gt;&lt;Q&gt;EWN^FG_PRICE_MAVG(0,,,,30)&lt;/Q&gt;&lt;R&gt;1&lt;/R&gt;&lt;C&gt;1&lt;/C&gt;&lt;D xsi:type="xsd:double"&gt;50.773&lt;/D&gt;&lt;/FQL&gt;&lt;FQL&gt;&lt;Q&gt;EWJ^FG_PRICE_MAVG(0,,,,30)&lt;/Q&gt;&lt;R&gt;1&lt;/R&gt;&lt;C&gt;1&lt;/C&gt;&lt;D xsi:type="xsd:double"&gt;68.913&lt;/D&gt;&lt;/FQL&gt;&lt;FQL&gt;&lt;Q&gt;EWN^SIZE(FG_CONSTITUENTS)&lt;/Q&gt;&lt;R&gt;1&lt;/R&gt;&lt;C&gt;1&lt;/C&gt;&lt;D xsi:type="xsd:long"&gt;53&lt;/D&gt;&lt;/FQL&gt;&lt;FQL&gt;&lt;Q&gt;TRYDE10Y-FDS^PCTCHG(FG_YIELD(0,,,,"YTM"),FG_YIELD(-3AM,,,,"YTM"))&lt;/Q&gt;&lt;R&gt;1&lt;/R&gt;&lt;C&gt;1&lt;/C&gt;&lt;D xsi:type="xsd:double"&gt;-5.8731346&lt;/D&gt;&lt;/FQL&gt;&lt;FQL&gt;&lt;Q&gt;VWO^FG_PE(0)&lt;/Q&gt;&lt;R&gt;1&lt;/R&gt;&lt;C&gt;1&lt;/C&gt;&lt;D xsi:type="xsd:double"&gt;15.0436274694864&lt;/D&gt;&lt;/FQL&gt;&lt;FQL&gt;&lt;Q&gt;EWN^FMA_EVAL_EBIT(LTMA,NOW,NOW,M,"PORTAGG","MEANR")&lt;/Q&gt;&lt;R&gt;1&lt;/R&gt;&lt;C&gt;1&lt;/C&gt;&lt;D xsi:type="xsd:double"&gt;21.9741301824235&lt;/D&gt;&lt;/FQL&gt;&lt;FQL&gt;&lt;Q&gt;QQQ^FMA_PE(NTMA,0,,,"PORTAGG","MEANR")&lt;/Q&gt;&lt;R&gt;1&lt;/R&gt;&lt;C&gt;1&lt;/C&gt;&lt;D xsi:type="xsd:double"&gt;25.7231507266766&lt;/D&gt;&lt;/FQL&gt;&lt;FQL&gt;&lt;Q&gt;EWJ^JULIAN(FMA_DIV_YLD(NTMA,NOW,NOW,M,"PORTAGG","MEANR").DATES)&lt;/Q&gt;&lt;R&gt;1&lt;/R&gt;&lt;C&gt;1&lt;/C&gt;&lt;D xsi:type="xsd:long"&gt;45471&lt;/D&gt;&lt;/FQL&gt;&lt;FQL&gt;&lt;Q&gt;TLT^FG_TOTAL_RETURNC(0,-6AM)&lt;/Q&gt;&lt;R&gt;1&lt;/R&gt;&lt;C&gt;1&lt;/C&gt;&lt;D xsi:type="xsd:double"&gt;1.1307478&lt;/D&gt;&lt;/FQL&gt;&lt;FQL&gt;&lt;Q&gt;EWJ^FMA_ROE(NTMA,-20AY,NOW,FY,"PORTAGG","MEANR")&lt;/Q&gt;&lt;R&gt;20&lt;/R&gt;&lt;C&gt;1&lt;/C&gt;&lt;D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xsi:type="xsd:double"&gt;7.43859929800855&lt;/D&gt;&lt;D xsi:type="xsd:double"&gt;9.22076567390078&lt;/D&gt;&lt;D xsi:type="xsd:double"&gt;9.22544557136733&lt;/D&gt;&lt;D xsi:type="xsd:double"&gt;9.29976871138421&lt;/D&gt;&lt;/FQL&gt;&lt;FQL&gt;&lt;Q&gt;TRYPE10Y-FDS^FG_YIELD(-10AY,0,Y,,"YTM")&lt;/Q&gt;&lt;R&gt;10&lt;/R&gt;&lt;C&gt;1&lt;/C&gt;&lt;D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xsi:type="xsd:double"&gt;6.6087&lt;/D&gt;&lt;/FQL&gt;&lt;FQL&gt;&lt;Q&gt;USDCHF^STD(FG_PRICE_CHANGE(0,-3AY,M))&lt;/Q&gt;&lt;R&gt;1&lt;/R&gt;&lt;C&gt;1&lt;/C&gt;&lt;D xsi:type="xsd:double"&gt;2.41532241496882&lt;/D&gt;&lt;/FQL&gt;&lt;FQL&gt;&lt;Q&gt;EWL^FMA_PE(NTMA,-10AY,0,AM,"PORTAGG","MEANR")&lt;/Q&gt;&lt;R&gt;121&lt;/R&gt;&lt;C&gt;1&lt;/C&gt;&lt;D xsi:type="xsd:double"&gt;16.1352763511999&lt;/D&gt;&lt;D xsi:type="xsd:double"&gt;16.1984585052422&lt;/D&gt;&lt;D xsi:type="xsd:double"&gt;15.9554300229029&lt;/D&gt;&lt;D xsi:type="xsd:double"&gt;15.4499537541042&lt;/D&gt;&lt;D xsi:type="xsd:double"&gt;16.258124500329&lt;/D&gt;&lt;D xsi:type="xsd:double"&gt;15.8332272247873&lt;/D&gt;&lt;D xsi:type="xsd:double"&gt;15.957691593593&lt;/D&gt;&lt;D xsi:type="xsd:double"&gt;17.651862268784&lt;/D&gt;&lt;D xsi:type="xsd:double"&gt;17.6160617221789&lt;/D&gt;&lt;D xsi:type="xsd:double"&gt;18.1323454585794&lt;/D&gt;&lt;D xsi:type="xsd:double"&gt;17.679598645643&lt;/D&gt;&lt;D xsi:type="xsd:double"&gt;17.189865905726&lt;/D&gt;&lt;D xsi:type="xsd:double"&gt;17.6041673664066&lt;/D&gt;&lt;D xsi:type="xsd:double"&gt;16.164270258104&lt;/D&gt;&lt;D xsi:type="xsd:double"&gt;15.9322030959026&lt;/D&gt;&lt;D xsi:type="xsd:double"&gt;16.9122038392779&lt;/D&gt;&lt;D xsi:type="xsd:double"&gt;16.9175881460355&lt;/D&gt;&lt;D xsi:type="xsd:double"&gt;16.8225317773215&lt;/D&gt;&lt;D xsi:type="xsd:double"&gt;15.9968967238139&lt;/D&gt;&lt;D xsi:type="xsd:double"&gt;16.3224517288575&lt;/D&gt;&lt;D xsi:type="xsd:double"&gt;16.2780732642842&lt;/D&gt;&lt;D xsi:type="xsd:double"&gt;16.8710400672273&lt;/D&gt;&lt;D xsi:type="xsd:double"&gt;17.2061090121648&lt;/D&gt;&lt;D xsi:type="xsd:double"&gt;16.2349952136848&lt;/D&gt;&lt;D xsi:type="xsd:double"&gt;17.1816720074916&lt;/D&gt;&lt;D xsi:type="xsd:double"&gt;17.3150831259374&lt;/D&gt;&lt;D xsi:type="xsd:double"&gt;17.1773497112409&lt;/D&gt;&lt;D xsi:type="xsd:double"&gt;16.5557046955385&lt;/D&gt;&lt;D xsi:type="xsd:double"&gt;16.3602574345351&lt;/D&gt;&lt;D xsi:type="xsd:double"&gt;16.7707930878255&lt;/D&gt;&lt;D xsi:type="xsd:double"&gt;17.2882927427867&lt;/D&gt;&lt;D xsi:type="xsd:double"&gt;17.4649750165158&lt;/D&gt;&lt;D xsi:type="xsd:double"&gt;17.6182983200908&lt;/D&gt;&lt;D xsi:type="xsd:double"&gt;17.8059009184374&lt;/D&gt;&lt;D xsi:type="xsd:double"&gt;18.0706202636987&lt;/D&gt;&lt;D xsi:type="xsd:double"&gt;18.0916648316532&lt;/D&gt;&lt;D xsi:type="xsd:double"&gt;17.7526359423009&lt;/D&gt;&lt;D xsi:type="xsd:double"&gt;17.4953411413808&lt;/D&gt;&lt;D xsi:type="xsd:double"&gt;17.6730056985008&lt;/D&gt;&lt;D xsi:type="xsd:double"&gt;17.811196461529&lt;/D&gt;&lt;D xsi:type="xsd:double"&gt;17.806639473324&lt;/D&gt;&lt;D xsi:type="xsd:double"&gt;17.6242996162374&lt;/D&gt;&lt;D xsi:type="xsd:double"&gt;17.920254159191&lt;/D&gt;&lt;D xsi:type="xsd:double"&gt;16.8457223860179&lt;/D&gt;&lt;D xsi:type="xsd:double"&gt;15.7166096311837&lt;/D&gt;&lt;D xsi:type="xsd:double"&gt;16.1182946300312&lt;/D&gt;&lt;D xsi:type="xsd:double"&gt;16.007548754669&lt;/D&gt;&lt;D xsi:type="xsd:double"&gt;15.3979216544733&lt;/D&gt;&lt;D xsi:type="xsd:double"&gt;16.2924511311362&lt;/D&gt;&lt;D xsi:type="xsd:double"&gt;16.0643108978736&lt;/D&gt;&lt;D xsi:type="xsd:double"&gt;16.095636458167&lt;/D&gt;&lt;D xsi:type="xsd:double"&gt;15.1076594589004&lt;/D&gt;&lt;D xsi:type="xsd:double"&gt;15.5133147238966&lt;/D&gt;&lt;D xsi:type="xsd:double"&gt;14.4681109251158&lt;/D&gt;&lt;D xsi:type="xsd:double"&gt;15.470504412874&lt;/D&gt;&lt;D xsi:type="xsd:double"&gt;16.3252933617288&lt;/D&gt;&lt;D xsi:type="xsd:double"&gt;16.4205663177088&lt;/D&gt;&lt;D xsi:type="xsd:double"&gt;16.9095820087618&lt;/D&gt;&lt;D xsi:type="xsd:double"&gt;16.7354551634956&lt;/D&gt;&lt;D xsi:type="xsd:double"&gt;17.049284428599&lt;/D&gt;&lt;D xsi:type="xsd:double"&gt;17.0998394595519&lt;/D&gt;&lt;D xsi:type="xsd:double"&gt;16.7177206217622&lt;/D&gt;&lt;D xsi:type="xsd:double"&gt;17.0577348682272&lt;/D&gt;&lt;D xsi:type="xsd:double"&gt;17.2394694503154&lt;/D&gt;&lt;D xsi:type="xsd:double"&gt;17.6129585715817&lt;/D&gt;&lt;D xsi:type="xsd:double"&gt;17.9268211649213&lt;/D&gt;&lt;D xsi:type="xsd:double"&gt;18.1653852915726&lt;/D&gt;&lt;D xsi:type="xsd:double"&gt;17.5304870334964&lt;/D&gt;&lt;D xsi:type="xsd:double"&gt;15.6620392518335&lt;/D&gt;&lt;D xsi:type="xsd:double"&gt;18.1155223103432&lt;/D&gt;&lt;D xsi:type="xsd:double"&gt;18.9909327988134&lt;/D&gt;&lt;D xsi:type="xsd:double"&gt;19.2339199768474&lt;/D&gt;&lt;D xsi:type="xsd:double"&gt;19.602183401478&lt;/D&gt;&lt;D xsi:type="xsd:double"&gt;19.6803802696633&lt;/D&gt;&lt;D xsi:type="xsd:double"&gt;18.8842584519426&lt;/D&gt;&lt;D xsi:type="xsd:double"&gt;18.3458765023484&lt;/D&gt;&lt;D xsi:type="xsd:double"&gt;18.8001776500563&lt;/D&gt;&lt;D xsi:type="xsd:double"&gt;18.4028477199364&lt;/D&gt;&lt;D xsi:type="xsd:double"&gt;18.9989203249812&lt;/D&gt;&lt;D xsi:type="xsd:double"&gt;18.2374865926649&lt;/D&gt;&lt;D xsi:type="xsd:double"&gt;18.7972947379431&lt;/D&gt;&lt;D xsi:type="xsd:double"&gt;18.6617599522398&lt;/D&gt;&lt;D xsi:type="xsd:double"&gt;19.2788172788843&lt;/D&gt;&lt;D xsi:type="xsd:double"&gt;19.9432397122847&lt;/D&gt;&lt;D xsi:type="xsd:double"&gt;19.6421921322078&lt;/D&gt;&lt;D xsi:type="xsd:double"&gt;19.8548712739875&lt;/D&gt;&lt;D xsi:type="xsd:double"&gt;18.7455192612306&lt;/D&gt;&lt;D xsi:type="xsd:double"&gt;18.9353258444278&lt;/D&gt;&lt;D xsi:type="xsd:double"&gt;18.689155144724&lt;/D&gt;&lt;D xsi:type="xsd:double"&gt;19.6027276504281&lt;/D&gt;&lt;D xsi:type="xsd:double"&gt;18.0825915489327&lt;/D&gt;&lt;D xsi:type="xsd:double"&gt;18.0042634078872&lt;/D&gt;&lt;D xsi:type="xsd:double"&gt;18.2115737768216&lt;/D&gt;&lt;D xsi:type="xsd:double"&gt;17.6392882263082&lt;/D&gt;&lt;D xsi:type="xsd:double"&gt;16.8052231974036&lt;/D&gt;&lt;D xsi:type="xsd:double"&gt;15.8558293765511&lt;/D&gt;&lt;D xsi:type="xsd:double"&gt;16.4685242882478&lt;/D&gt;&lt;D xsi:type="xsd:double"&gt;16.2860181061379&lt;/D&gt;&lt;D xsi:type="xsd:double"&gt;14.6761772671403&lt;/D&gt;&lt;D xsi:type="xsd:double"&gt;15.8604406480921&lt;/D&gt;&lt;D xsi:type="xsd:double"&gt;16.9603062088293&lt;/D&gt;&lt;D xsi:type="xsd:double"&gt;16.2989917004946&lt;/D&gt;&lt;D</t>
        </r>
      </text>
    </comment>
    <comment ref="A10" authorId="0" shapeId="0" xr:uid="{F7CA0D91-186E-440D-9F47-36E4086E78A7}">
      <text>
        <r>
          <rPr>
            <b/>
            <sz val="9"/>
            <color indexed="81"/>
            <rFont val="Tahoma"/>
            <charset val="1"/>
          </rPr>
          <t xml:space="preserve"> xsi:type="xsd:double"&gt;17.329610376764&lt;/D&gt;&lt;D xsi:type="xsd:double"&gt;17.1563840551575&lt;/D&gt;&lt;D xsi:type="xsd:double"&gt;16.4923371949743&lt;/D&gt;&lt;D xsi:type="xsd:double"&gt;17.4346881101789&lt;/D&gt;&lt;D xsi:type="xsd:double"&gt;17.2005575242223&lt;/D&gt;&lt;D xsi:type="xsd:double"&gt;16.2744509316927&lt;/D&gt;&lt;D xsi:type="xsd:double"&gt;16.7337654910826&lt;/D&gt;&lt;D xsi:type="xsd:double"&gt;16.3471486394983&lt;/D&gt;&lt;D xsi:type="xsd:double"&gt;16.1833879713384&lt;/D&gt;&lt;D xsi:type="xsd:double"&gt;15.3702801895767&lt;/D&gt;&lt;D xsi:type="xsd:double"&gt;16.3388403397591&lt;/D&gt;&lt;D xsi:type="xsd:double"&gt;16.782501196444&lt;/D&gt;&lt;D xsi:type="xsd:double"&gt;17.2316319338719&lt;/D&gt;&lt;D xsi:type="xsd:double"&gt;17.5300783389105&lt;/D&gt;&lt;D xsi:type="xsd:double"&gt;17.5812258234564&lt;/D&gt;&lt;D xsi:type="xsd:double"&gt;16.8194398088323&lt;/D&gt;&lt;D xsi:type="xsd:double"&gt;17.2016652484258&lt;/D&gt;&lt;D xsi:type="xsd:double"&gt;17.1545841839668&lt;/D&gt;&lt;D xsi:type="xsd:double"&gt;17.3211090149457&lt;/D&gt;&lt;/FQL&gt;&lt;FQL&gt;&lt;Q&gt;FXI^PERCENT_CHANGE(FMA_EPS(+1,0,,,,"PORTAGG","MEAN"),FMA_EPS(+1,-1AM,,,,"PORTAGG","MEAN"))&lt;/Q&gt;&lt;R&gt;1&lt;/R&gt;&lt;C&gt;1&lt;/C&gt;&lt;D xsi:type="xsd:double"&gt;1.67285133080617&lt;/D&gt;&lt;/FQL&gt;&lt;FQL&gt;&lt;Q&gt;URTH^FMA_PCT_ABOVE_MAVG(200,0,,,,"PORTAGG")&lt;/Q&gt;&lt;R&gt;1&lt;/R&gt;&lt;C&gt;1&lt;/C&gt;&lt;D xsi:type="xsd:double"&gt;65.0771388499299&lt;/D&gt;&lt;/FQL&gt;&lt;FQL&gt;&lt;Q&gt;EWI^PERCENT_CHANGE(FMA_EPS(+1,0,,,,"PORTAGG","MEAN"),FMA_EPS(+1,-3AM,,,,"PORTAGG","MEAN"))&lt;/Q&gt;&lt;R&gt;1&lt;/R&gt;&lt;C&gt;1&lt;/C&gt;&lt;D xsi:type="xsd:double"&gt;-2.70731727702463&lt;/D&gt;&lt;/FQL&gt;&lt;FQL&gt;&lt;Q&gt;EWQ^PERCENT_CHANGE(FMA_EPS(+1,0,,,,"PORTAGG","MEAN"),FMA_EPS(+1,-1AM,,,,"PORTAGG","MEAN"))&lt;/Q&gt;&lt;R&gt;1&lt;/R&gt;&lt;C&gt;1&lt;/C&gt;&lt;D xsi:type="xsd:double"&gt;-0.0537371048478806&lt;/D&gt;&lt;/FQL&gt;&lt;FQL&gt;&lt;Q&gt;EWU^FMA_PCT_ABOVE_MAVG(200,0,,,,"PORTAGG")&lt;/Q&gt;&lt;R&gt;1&lt;/R&gt;&lt;C&gt;1&lt;/C&gt;&lt;D xsi:type="xsd:double"&gt;65&lt;/D&gt;&lt;/FQL&gt;&lt;FQL&gt;&lt;Q&gt;EWG^PERCENT_CHANGE(FMA_EPS(+1,0,,,,"PORTAGG","MEAN"),FMA_EPS(+1,-3AM,,,,"PORTAGG","MEAN"))&lt;/Q&gt;&lt;R&gt;1&lt;/R&gt;&lt;C&gt;1&lt;/C&gt;&lt;D xsi:type="xsd:double"&gt;-0.240318164429368&lt;/D&gt;&lt;/FQL&gt;&lt;FQL&gt;&lt;Q&gt;ENZL^PERCENT_CHANGE(FMA_EPS(+1,0,,,,"PORTAGG","MEAN"),FMA_EPS(+1,-1AM,,,,"PORTAGG","MEAN"))&lt;/Q&gt;&lt;R&gt;1&lt;/R&gt;&lt;C&gt;1&lt;/C&gt;&lt;D xsi:type="xsd:double"&gt;-2.80458813786192&lt;/D&gt;&lt;/FQL&gt;&lt;FQL&gt;&lt;Q&gt;EWA^SIZE(FG_CONSTITUENTS)&lt;/Q&gt;&lt;R&gt;1&lt;/R&gt;&lt;C&gt;1&lt;/C&gt;&lt;D xsi:type="xsd:long"&gt;60&lt;/D&gt;&lt;/FQL&gt;&lt;FQL&gt;&lt;Q&gt;EWU^FMA_RBICS_REV_CURRENT(30, LOC, "PORTAGG")&lt;/Q&gt;&lt;R&gt;1&lt;/R&gt;&lt;C&gt;1&lt;/C&gt;&lt;D xsi:type="xsd:double"&gt;19.4049351140879&lt;/D&gt;&lt;/FQL&gt;&lt;FQL&gt;&lt;Q&gt;TRYDE10Y-FDS^FG_YIELD_NAME&lt;/Q&gt;&lt;R&gt;1&lt;/R&gt;&lt;C&gt;1&lt;/C&gt;&lt;D xsi:type="xsd:string"&gt;Germany Benchmark Bond - 10 Year&lt;/D&gt;&lt;/FQL&gt;&lt;FQL&gt;&lt;Q&gt;REFAUCASH-FDS^(SUBARRAY(NOT_NA(NO_REPEAT_F(FG_YIELD(NOW,-10AY,D))),0,1)-SUBARRAY(NOT_NA(NO_REPEAT_F(FG_YIELD(NOW,-10AY,D))),1,1))*100&lt;/Q&gt;&lt;R&gt;1&lt;/R&gt;&lt;C&gt;1&lt;/C&gt;&lt;D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xsi:type="xsd:double"&gt;25&lt;/D&gt;&lt;/FQL&gt;&lt;FQL&gt;&lt;Q&gt;ENZL^FG_FCF_YIELD_NTM(0)&lt;/Q&gt;&lt;R&gt;1&lt;/R&gt;&lt;C&gt;1&lt;/C&gt;&lt;D xsi:type="xsd:double"&gt;-0.166770809294131&lt;/D&gt;&lt;/FQL&gt;&lt;FQL&gt;&lt;Q&gt;TLT^FG_TOTAL_RETURNC(0,-1AM)&lt;/Q&gt;&lt;R&gt;1&lt;/R&gt;&lt;C&gt;1&lt;/C&gt;&lt;D xsi:type="xsd:double"&gt;0.15144348&lt;/D&gt;&lt;/FQL&gt;&lt;FQL&gt;&lt;Q&gt;EWJ^FMA_EPS(NTMA,-20AY,0,CY,,"PORTAGG","MEANR")&lt;/Q&gt;&lt;R&gt;20&lt;/R&gt;&lt;C&gt;1&lt;/C&gt;&lt;D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xsi:type="xsd:double"&gt;4.07638232764084&lt;/D&gt;&lt;D xsi:type="xsd:double"&gt;3.67789544317285&lt;/D&gt;&lt;D xsi:type="xsd:double"&gt;4.61613854439477&lt;/D&gt;&lt;D xsi:type="xsd:double"&gt;4.46089540048153&lt;/D&gt;&lt;D xsi:type="xsd:double"&gt;4.56673185665912&lt;/D&gt;&lt;/FQL&gt;&lt;FQL&gt;&lt;Q&gt;URTH^FG_TOTAL_RETURNC(0,-12AM)&lt;/Q&gt;&lt;R&gt;1&lt;/R&gt;&lt;C&gt;1&lt;/C&gt;&lt;D xsi:type="xsd:double"&gt;17.633236&lt;/D&gt;&lt;/FQL&gt;&lt;FQL&gt;&lt;Q&gt;QQQ^FMA_PCT_ABOVE_MAVG(200,0,,,,"PORTAGG")&lt;/Q&gt;&lt;R&gt;1&lt;/R&gt;&lt;C&gt;1&lt;/C&gt;&lt;D xsi:type="xsd:double"&gt;63.7254901960784&lt;/D&gt;&lt;/FQL&gt;&lt;FQL&gt;&lt;Q&gt;EWA^FMA_COS_UP("EPS","1M",+1,0,,,"PORTAGG","MEANR")&lt;/Q&gt;&lt;R&gt;1&lt;/R&gt;&lt;C&gt;1&lt;/C&gt;&lt;D xsi:type="xsd:double"&gt;20&lt;/D&gt;&lt;/FQL&gt;&lt;FQL&gt;&lt;Q&gt;TRYFR10Y-FDS^PCTCHG(FG_YIELD(0,,,,"YTM"),FG_YIELD(-1AM,,,,"YTM"))&lt;/Q&gt;&lt;R&gt;1&lt;/R&gt;&lt;C&gt;1&lt;/C&gt;&lt;D xsi:type="xsd:double"&gt;-1.672979&lt;/D&gt;&lt;/FQL&gt;&lt;FQL&gt;&lt;Q&gt;TRYCH10Y-FDS^FG_YIELD(0,,,,"YTM")&lt;/Q&gt;&lt;R&gt;1&lt;/R&gt;&lt;C&gt;1&lt;/C&gt;&lt;D xsi:type="xsd:double"&gt;0.506&lt;/D&gt;&lt;/FQL&gt;&lt;FQL&gt;&lt;Q&gt;UUP^FG_TOTAL_RETURNC(0,-6AM)&lt;/Q&gt;&lt;R&gt;1&lt;/R&gt;&lt;C&gt;1&lt;/C&gt;&lt;D xsi:type="xsd:double"&gt;3.7436962&lt;/D&gt;&lt;/FQL&gt;&lt;FQL&gt;&lt;Q&gt;WL-FDS^FG_PRICE_CHANGE(0,-6AM)&lt;/Q&gt;&lt;R&gt;1&lt;/R&gt;&lt;C&gt;1&lt;/C&gt;&lt;D xsi:type="xsd:double"&gt;-21.1644963328843&lt;/D&gt;&lt;/FQL&gt;&lt;FQL&gt;&lt;Q&gt;EWN^FG_TOTAL_RETURNC(0,-6AM)&lt;/Q&gt;&lt;R&gt;1&lt;/R&gt;&lt;C&gt;1&lt;/C&gt;&lt;D xsi:type="xsd:double"&gt;7.357824&lt;/D&gt;&lt;/FQL&gt;&lt;FQL&gt;&lt;Q&gt;EWC^FMA_PCT_ABOVE_MAVG(200,0,,,,"PORTAGG")&lt;/Q&gt;&lt;R&gt;1&lt;/R&gt;&lt;C&gt;1&lt;/C&gt;&lt;D xsi:type="xsd:double"&gt;76.1363636363636&lt;/D&gt;&lt;/FQL&gt;&lt;FQL&gt;&lt;Q&gt;ENZL^FMA_COS_UP("EPS","1M",+1,0,,,"PORTAGG","MEANR")&lt;/Q&gt;&lt;R&gt;1&lt;/R&gt;&lt;C&gt;1&lt;/C&gt;&lt;D xsi:type="xsd:double"&gt;3&lt;/D&gt;&lt;/FQL&gt;&lt;FQL&gt;&lt;Q&gt;EWA^FG_ROE(0)&lt;/Q&gt;&lt;R&gt;1&lt;/R&gt;&lt;C&gt;1&lt;/C&gt;&lt;D xsi:type="xsd:double"&gt;12.5074330886367&lt;/D&gt;&lt;/FQL&gt;&lt;FQL&gt;&lt;Q&gt;TRYCA10Y-FDS^FG_YIELD_NAME&lt;/Q&gt;&lt;R&gt;1&lt;/R&gt;&lt;C&gt;1&lt;/C&gt;&lt;D xsi:type="xsd:string"&gt;Canada Benchmark Bond - 10 Year&lt;/D&gt;&lt;/FQL&gt;&lt;FQL&gt;&lt;Q&gt;QQQ^FMA_PE(LTM,0,,,"PORTAGG","MEANR")&lt;/Q&gt;&lt;R&gt;1&lt;/R&gt;&lt;C&gt;1&lt;/C&gt;&lt;D xsi:type="xsd:double"&gt;34.2242374271217&lt;/D&gt;&lt;/FQL&gt;&lt;FQL&gt;&lt;Q&gt;USDEUR^FG_PRICE_CHANGE(0,-6AM)&lt;/Q&gt;&lt;R&gt;1&lt;/R&gt;&lt;C&gt;1&lt;/C&gt;&lt;D xsi:type="xsd:double"&gt;0.059878826&lt;/D&gt;&lt;/FQL&gt;&lt;FQL&gt;&lt;Q&gt;EWG^FG_PRICE(0)&lt;/Q&gt;&lt;R&gt;1&lt;/R&gt;&lt;C&gt;1&lt;/C&gt;&lt;D xsi:type="xsd:double"&gt;31.31&lt;/D&gt;&lt;/FQL&gt;&lt;FQL&gt;&lt;Q&gt;EWI^SIZE(FG_CONSTITUENTS)&lt;/Q&gt;&lt;R&gt;1&lt;/R&gt;&lt;C&gt;1&lt;/C&gt;&lt;D xsi:type="xsd:long"&gt;26&lt;/D&gt;&lt;/FQL&gt;&lt;FQL&gt;&lt;Q&gt;ENZL^FG_ROE(0)&lt;/Q&gt;&lt;R&gt;1&lt;/R&gt;&lt;C&gt;1&lt;/C&gt;&lt;D xsi:type="xsd:double"&gt;4.86481072173118&lt;/D&gt;&lt;/FQL&gt;&lt;FQL&gt;&lt;Q&gt;UUP^FG_TOTAL_RETURNC(0,-1AM)&lt;/Q&gt;&lt;R&gt;1&lt;/R&gt;&lt;C&gt;1&lt;/C&gt;&lt;D xsi:type="xsd:double"&gt;-1.1998653&lt;/D&gt;&lt;/FQL&gt;&lt;FQL&gt;&lt;Q&gt;TRYCH10Y-FDS^FG_YIELD(-10AY,0,Y,,"YTM")&lt;/Q&gt;&lt;R&gt;10&lt;/R&gt;&lt;C&gt;1&lt;/C&gt;&lt;D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xsi:type="xsd:double"&gt;0.703&lt;/D&gt;&lt;/FQL&gt;&lt;FQL&gt;&lt;Q&gt;W-FDS^FG_PRICE_CHANGE(0,-1AM)&lt;/Q&gt;&lt;R&gt;1&lt;/R&gt;&lt;C&gt;1&lt;/C&gt;&lt;D xsi:type="xsd:double"&gt;-3.27944572748267&lt;/D&gt;&lt;/FQL&gt;&lt;FQL&gt;&lt;Q&gt;EWI^FG_PRICE_MAVG(0,,,,60)&lt;/Q&gt;&lt;R&gt;1&lt;/R&gt;&lt;C&gt;1&lt;/C&gt;&lt;D xsi:type="xsd:double"&gt;37.548832&lt;/D&gt;&lt;/FQL&gt;&lt;FQL&gt;&lt;Q&gt;EWN^FG_TOTAL_RETURNC(0,-3AM)&lt;/Q&gt;&lt;R&gt;1&lt;/R&gt;&lt;C&gt;1&lt;/C&gt;&lt;D xsi:type="xsd:double"&gt;1.880157&lt;/D&gt;&lt;/FQL&gt;&lt;FQL&gt;&lt;Q&gt;QQQ^JULIAN(FMA_DIV_YLD(NTMA,NOW,NOW,M,"PORTAGG","MEANR").DATES)&lt;/Q&gt;&lt;R&gt;1&lt;/R&gt;&lt;C&gt;1&lt;/C&gt;&lt;D xsi:type="xsd:long"&gt;45471&lt;/D&gt;&lt;/FQL&gt;&lt;FQL&gt;&lt;Q&gt;WL-FDS^FG_PRICE(0)&lt;/Q&gt;&lt;R&gt;1&lt;/R&gt;&lt;C&gt;1&lt;/C&gt;&lt;D xsi:type="xsd:double"&gt;526.7&lt;/D&gt;&lt;/FQL&gt;&lt;FQL&gt;&lt;Q&gt;EWL^FG_TOTAL_RETURNC(0,-12AM)&lt;/Q&gt;&lt;R&gt;1&lt;/R&gt;&lt;C&gt;1&lt;/C&gt;&lt;D xsi:type="xsd:double"&gt;7.171583&lt;/D&gt;&lt;/FQL&gt;&lt;FQL&gt;&lt;Q&gt;EWI^FMA_COS_DOWN("EPS","1M",+1,0,,,"PORTAGG","MEANR")&lt;/Q&gt;&lt;R&gt;1&lt;/R&gt;&lt;C&gt;1&lt;/C&gt;&lt;D xsi:type="xsd:double"&gt;11&lt;/D&gt;&lt;/FQL&gt;&lt;FQL&gt;&lt;Q&gt;TRYGB10Y-FDS^PCTCHG(FG_YIELD(0,,,,"YTM"),FG_YIELD(-3AM,,,,"YTM"))&lt;/Q&gt;&lt;R&gt;1&lt;/R&gt;&lt;C&gt;1&lt;/C&gt;&lt;D xsi:type="xsd:double"&gt;-4.962717&lt;/D&gt;&lt;/FQL&gt;&lt;FQL&gt;&lt;Q&gt;EWC^FMA_PE(NTMA,0,,,"PORTAGG","MEANR")&lt;/Q&gt;&lt;R&gt;1&lt;/R&gt;&lt;C&gt;1&lt;/C&gt;&lt;D xsi:type="xsd:double"&gt;14.2920726451054&lt;/D&gt;&lt;/FQL&gt;&lt;FQL&gt;&lt;Q&gt;GLD^P_PRICE(0)/P_PRICE_HIGH_PR(0,,,USD,,,"PRICE","INTRA","52W")&lt;/Q&gt;&lt;R&gt;1&lt;/R&gt;&lt;C&gt;1&lt;/C&gt;&lt;D xsi:type="xsd:double"&gt;0.96072286&lt;/D&gt;&lt;/FQL&gt;&lt;FQL&gt;&lt;Q&gt;USDUSD^FG_PRICE_CHANGE(0,-6AM)&lt;/Q&gt;&lt;R&gt;1&lt;/R&gt;&lt;C&gt;1&lt;/C&gt;&lt;D xsi:type="xsd:double"&gt;0&lt;/D&gt;&lt;/FQL&gt;&lt;FQL&gt;&lt;Q&gt;PASP-FDS^FG_PRICE_CHANGE(0,-6AM)&lt;/Q&gt;&lt;R&gt;1&lt;/R&gt;&lt;C&gt;1&lt;/C&gt;&lt;D xsi:type="xsd:double"&gt;-4.18848167539267&lt;/D&gt;&lt;/FQL&gt;&lt;FQL&gt;&lt;Q&gt;EWN^FG_TOTAL_RETURNC(0,-1AM)&lt;/Q&gt;&lt;R&gt;1&lt;/R&gt;&lt;C&gt;1&lt;/C&gt;&lt;D xsi:type="xsd:double"&gt;-2.8292477&lt;/D&gt;&lt;/FQL&gt;&lt;FQL&gt;&lt;Q&gt;EWN^FMA_COS_DOWN("EPS","1M",+1,0,,,"PORTAGG","MEANR")&lt;/Q&gt;&lt;R&gt;1&lt;/R&gt;&lt;C&gt;1&lt;/C&gt;&lt;D xsi:type="xsd:double"&gt;28&lt;/D&gt;&lt;/FQL&gt;&lt;FQL&gt;&lt;Q&gt;TRYSE10Y-FDS^FG_YIELD_NAME&lt;/Q&gt;&lt;R&gt;1&lt;/R&gt;&lt;C&gt;1&lt;/C&gt;&lt;D xsi:type="xsd:string"&gt;Sweden Benchmark Bond - 10 Year&lt;/D&gt;&lt;/FQL&gt;&lt;FQL&gt;&lt;Q&gt;EWJ^P_PRICE(0)/P_PRICE_HIGH_PR(0,,,USD,,,"PRICE","INTRA","52W")&lt;/Q&gt;&lt;R&gt;1&lt;/R&gt;&lt;C&gt;1&lt;/C&gt;&lt;D xsi:type="xsd:double"&gt;0.95316726&lt;/D&gt;&lt;/FQL&gt;&lt;FQL&gt;&lt;Q&gt;SPY^FG_TOTAL_RETURNC(0,-3AM)&lt;/Q&gt;&lt;R&gt;1&lt;/R&gt;&lt;C&gt;1&lt;/C&gt;&lt;D xsi:type="xsd:double"&gt;7.4644446&lt;/D&gt;&lt;/FQL&gt;&lt;FQL&gt;&lt;Q&gt;EWC^FG_PRICE(0)&lt;/Q&gt;&lt;R&gt;1&lt;/R&gt;&lt;C&gt;1&lt;/C&gt;&lt;D xsi:type="xsd:double"&gt;38.33&lt;/D&gt;&lt;/FQL&gt;&lt;FQL&gt;&lt;Q&gt;EWL^P_PRICE(0)/P_PRICE_LOW_PR(0,,,,,,"PRICE","INTRA","52W")-1&lt;/Q&gt;&lt;R&gt;1&lt;/R&gt;&lt;C&gt;1&lt;/C&gt;&lt;D xsi:type="xsd:double"&gt;0.20481348&lt;/D&gt;&lt;/FQL&gt;&lt;FQL&gt;&lt;Q&gt;REFGBBANK-FDS^PROPER_NAME(0,,,"SECURITY","NAME")&lt;/Q&gt;&lt;R&gt;1&lt;/R&gt;&lt;C&gt;1&lt;/C&gt;&lt;D xsi:type="xsd:string"&gt;UK Bank Rate&lt;/D&gt;&lt;/FQL&gt;&lt;FQL&gt;&lt;Q&gt;BRENT-FDS^FG_PRICE_MAVG(0,,,,30)&lt;/Q&gt;&lt;R&gt;1&lt;/R&gt;&lt;C&gt;1&lt;/C&gt;&lt;D xsi:type="xsd:double"&gt;85.86&lt;/D&gt;&lt;/FQL&gt;&lt;FQL&gt;&lt;Q&gt;EWN^PERCENT_CHANGE(FMA_EPS(+1,0,,,,"PORTAGG","MEAN"),FMA_EPS(+1,-3AM,,,,"PORTAGG","MEAN"))&lt;/Q&gt;&lt;R&gt;1&lt;/R&gt;&lt;C&gt;1&lt;/C&gt;&lt;D xsi:type="xsd:double"&gt;-2.73467406061201&lt;/D&gt;&lt;/FQL&gt;&lt;FQL&gt;&lt;Q&gt;EWA^FG_TOTAL_RETURNC(0,-1AM)&lt;/Q&gt;&lt;R&gt;1&lt;/R&gt;&lt;C&gt;1&lt;/C&gt;&lt;D xsi:type="xsd:double"&gt;1.8151879&lt;/D&gt;&lt;/FQL&gt;&lt;FQL&gt;&lt;Q&gt;EWQ^FMA_ROE(NTMA,-20AY,NOW,FY,"PORTAGG","MEANR")&lt;/Q&gt;&lt;R&gt;20&lt;/R&gt;&lt;C&gt;1&lt;/C&gt;&lt;D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xsi:type="xsd:double"&gt;10.9140096452361&lt;/D&gt;&lt;D xsi:type="xsd:double"&gt;8.94223448408443&lt;/D&gt;&lt;D xsi:type="xsd:double"&gt;12.2539555485597&lt;/D&gt;&lt;D xsi:type="xsd:double"&gt;13.1476341706421&lt;/D&gt;&lt;D xsi:type="xsd:double"&gt;13.2212508616692&lt;/D&gt;&lt;/FQL&gt;&lt;FQL&gt;&lt;Q&gt;CC_CH^FG_COMPANY_NAME&lt;/Q&gt;&lt;R&gt;1&lt;/R&gt;&lt;C&gt;1&lt;/C&gt;&lt;D xsi:type="xsd:string"&gt;Switzerland&lt;/D&gt;&lt;/FQL&gt;&lt;FQL&gt;&lt;Q&gt;USDEUR^FG_COMPANY_NAME&lt;/Q&gt;&lt;R&gt;1&lt;/R&gt;&lt;C&gt;1&lt;/C&gt;&lt;D xsi:type="xsd:string"&gt;Euro per U.S. Dollar&lt;/D&gt;&lt;/FQL&gt;&lt;FQL&gt;&lt;Q&gt;EWD^FG_PRICE_MAVG(0,,,,60)&lt;/Q&gt;&lt;R&gt;1&lt;/R&gt;&lt;C&gt;1&lt;/C&gt;&lt;D xsi:type="xsd:double"&gt;40.7625&lt;/D&gt;&lt;/FQL&gt;&lt;FQL&gt;&lt;Q&gt;FXI^FG_TOTAL_RETURNC(0,-6AM)&lt;/Q&gt;&lt;R&gt;1&lt;/R&gt;&lt;C&gt;1&lt;/C&gt;&lt;D xsi:type="xsd:double"&gt;13.282108&lt;/D&gt;&lt;/FQL&gt;&lt;FQL&gt;&lt;Q&gt;TRYCH10Y-FDS^PCTCHG(FG_YIELD(0,,,,"YTM"),FG_YIELD(-3AM,,,,"YTM"))&lt;/Q&gt;&lt;R&gt;1&lt;/R&gt;&lt;C&gt;1&lt;/C&gt;&lt;D xsi:type="xsd:double"&gt;-31.621626&lt;/D&gt;&lt;/FQL&gt;&lt;FQL&gt;&lt;Q&gt;EWJ^P_PRICE_RETURNS_PR('52W',2,-10AY,0,AM)&lt;/Q&gt;&lt;R&gt;121&lt;/R&gt;&lt;C&gt;1&lt;/C&gt;&lt;D xsi:type="xsd:double"&gt;5.607581&lt;/D&gt;&lt;D xsi:type="xsd:double"&gt;7.8641295&lt;/D&gt;&lt;D xsi:type="xsd:double"&gt;-0.2465725&lt;/D&gt;&lt;D xsi:type="xsd:double"&gt;-4.945034&lt;/D&gt;&lt;D xsi:type="xsd:double"&gt;-1.6092598&lt;/D&gt;&lt;D xsi:type="xsd:double"&gt;-2.02834&lt;/D&gt;&lt;D xsi:type="xsd:double"&gt;0.49654245&lt;/D&gt;&lt;D xsi:type="xsd:double"&gt;8.730197&lt;/D&gt;&lt;D xsi:type="xsd:double"&gt;16.21641&lt;/D&gt;&lt;D xsi:type="xsd:double"&gt;21.550571&lt;/D&gt;&lt;D xsi:type="xsd:double"&gt;16.570711&lt;/D&gt;&lt;D xsi:type="xsd:double"&gt;10.102856&lt;/D&gt;&lt;D xsi:type="xsd:double"&gt;6.614852&lt;/D&gt;&lt;D xsi:type="xsd:double"&gt;2.200377&lt;/D&gt;&lt;D xsi:type="xsd:double"&gt;-0.7001519&lt;/D&gt;&lt;D xsi:type="xsd:double"&gt;12.229097&lt;/D&gt;&lt;D xsi:type="xsd:double"&gt;8.446836&lt;/D&gt;&lt;D xsi:type="xsd:double"&gt;6.880021&lt;/D&gt;&lt;D xsi:type="xsd:double"&gt;-2.170384&lt;/D&gt;&lt;D xsi:type="xsd:double"&gt;-9.703838&lt;/D&gt;&lt;D xsi:type="xsd:double"&gt;-10.511613&lt;/D&gt;&lt;D xsi:type="xsd:double"&gt;-8.1192255&lt;/D&gt;&lt;D xsi:type="xsd:double"&gt;-9.420246&lt;/D&gt;&lt;D xsi:type="xsd:double"&gt;-11.399084&lt;/D&gt;&lt;D xsi:type="xsd:double"&gt;-5.798614&lt;/D&gt;&lt;D xsi:type="xsd:double"&gt;3.1307936&lt;/D&gt;&lt;D xsi:type="xsd:double"&gt;9.572517&lt;/D&gt;&lt;D xsi:type="xsd:double"&gt;2.1770477&lt;/D&gt;&lt;D xsi:type="xsd:double"&gt;0.1711607&lt;/D&gt;&lt;D xsi:type="xsd:double"&gt;3.388548&lt;/D&gt;&lt;D xsi:type="xsd:double"&gt;16.65746&lt;/D&gt;&lt;D xsi:type="xsd:double"&gt;20.059132&lt;/D&gt;&lt;D xsi:type="xsd:double"&gt;16.50833&lt;/D&gt;&lt;D xsi:type="xsd:double"&gt;9.88977&lt;/D&gt;&lt;D xsi:type="xsd:double"&gt;15.581142&lt;/D&gt;&lt;D xsi:type="xsd:double"&gt;20.995308&lt;/D&gt;&lt;D xsi:type="xsd:double"&gt;16.715288&lt;/D&gt;&lt;D xsi:type="xsd:double"&gt;12.412394&lt;/D&gt;&lt;D xsi:type="xsd:double"&gt;12.856293&lt;/D&gt;&lt;D xsi:type="xsd:double"&gt;17.32496&lt;/D&gt;&lt;D xsi:type="xsd:double"&gt;22.511887&lt;/D&gt;&lt;D xsi:type="xsd:double"&gt;22.250128&lt;/D&gt;&lt;D xsi:type="xsd:double"&gt;27.849174&lt;/D&gt;&lt;D xsi:type="xsd:double"&gt;22.833014&lt;/D&gt;&lt;D xsi:type="xsd:double"&gt;15.460563&lt;/D&gt;&lt;D xsi:type="xsd:double"&gt;18.597376&lt;/D&gt;&lt;D xsi:type="xsd:double"&gt;14.624357&lt;/D&gt;&lt;D xsi:type="xsd:double"&gt;9.966636&lt;/D&gt;&lt;D xsi:type="xsd:double"&gt;10.829878&lt;/D&gt;&lt;D xsi:type="xsd:double"&gt;7.881522&lt;/D&gt;&lt;D xsi:type="xsd:double"&gt;10.5175495&lt;/D&gt;&lt;D xsi:type="xsd:double"&gt;-5.5586042&lt;/D&gt;&lt;D xsi:type="xsd:double"&gt;-7.3948803&lt;/D&gt;&lt;D xsi:type="xsd:double"&gt;-15.334463&lt;/D&gt;&lt;D xsi:type="xsd:double"&gt;-14.698208&lt;/D&gt;&lt;D xsi:type="xsd:double"&gt;-10.273033&lt;/D&gt;&lt;D xsi:type="xsd:double"&gt;-5.651772&lt;/D&gt;&lt;D xsi:type="xsd:double"&gt;-7.6835036&lt;/D&gt;&lt;D xsi:type="xsd:double"&gt;-9.512531&lt;/D&gt;&lt;D xsi:type="xsd:double"&gt;-5.759549&lt;/D&gt;&lt;D xsi:type="xsd:double"&gt;-5.929792&lt;/D&gt;&lt;D xsi:type="xsd:double"&gt;-5.4583073&lt;/D&gt;&lt;D xsi:type="xsd:double"&gt;-3.7040293&lt;/D&gt;&lt;D xsi:type="xsd:double"&gt;8.052039&lt;/D&gt;&lt;D xsi:type="xsd:double"&gt;11.097086&lt;/D&gt;&lt;D xsi:type="xsd:double"&gt;21.772718&lt;/D&gt;&lt;D xsi:type="xsd:double"&gt;13.955534&lt;/D&gt;&lt;D xsi:type="xsd:double"&gt;1.5881777&lt;/D&gt;&lt;D xsi:type="xsd:double"&gt;-6.5776587&lt;/D&gt;&lt;D xsi:type="xsd:double"&gt;-5.1444054&lt;/D&gt;&lt;D xsi:type="xsd:double"&gt;3.4550548&lt;/D&gt;&lt;D xsi:type="xsd:double"&gt;4.5045257&lt;/D&gt;&lt;D xsi:type="xsd:double"&gt;3.0509353&lt;/D&gt;&lt;D xsi:type="xsd:double"&gt;11.082733&lt;/D&gt;&lt;D xsi:type="xsd:double"&gt;4.7806025&lt;/D&gt;&lt;D xsi:type="xsd:double"&gt;3.12258&lt;/D&gt;&lt;D xsi:type="xsd:double"&gt;11.02873&lt;/D&gt;&lt;D xsi:type="xsd:double"&gt;11.889267&lt;/D&gt;&lt;D xsi:type="xsd:double"&gt;18.178988&lt;/D&gt;&lt;D xsi:type="xsd:double"&gt;25.749361&lt;/D&gt;&lt;D xsi:type="xsd:double"&gt;41.22019&lt;/D&gt;&lt;D xsi:type="xsd:double"&gt;36.890984&lt;/D&gt;&lt;D xsi:type="xsd:double"&gt;26.765347&lt;/D&gt;&lt;D xsi:type="xsd:double"&gt;23.535597&lt;/D&gt;&lt;D xsi:type="xsd:double"&gt;22.502888&lt;/D&gt;&lt;D xsi:type="xsd:double"&gt;17.304493&lt;/D&gt;&lt;D xsi:type="xsd:double"&gt;25.24314&lt;/D&gt;&lt;D xsi:type="xsd:double"&gt;17.883099&lt;/D&gt;&lt;D xsi:type="xsd:double"&gt;3.7154317&lt;/D&gt;&lt;D xsi:type="xsd:double"&gt;4.1419864&lt;/D&gt;&lt;D xsi:type="xsd:double"&gt;-6.8993864&lt;/D&gt;&lt;D xsi:type="xsd:double"&gt;-6.275904&lt;/D&gt;&lt;D xsi:type="xsd:double"&gt;-7.443756&lt;/D&gt;&lt;D xsi:type="xsd:double"&gt;-16.892672&lt;/D&gt;&lt;D xsi:type="xsd:double"&gt;-13.234722&lt;/D&gt;&lt;D xsi:type="xsd:double"&gt;-19.328535&lt;/D&gt;&lt;D xsi:type="xsd:double"&gt;-18.165934&lt;/D&gt;&lt;D xsi:type="xsd:double"&gt;-17.672937&lt;/D&gt;&lt;D xsi:type="xsd:double"&gt;-30.674833&lt;/D&gt;&lt;D xsi:type="xsd:double"&gt;-24.702972&lt;/D&gt;&lt;D xsi:type="xsd:double"&gt;-16.752338&lt;/D&gt;&lt;D xsi:type="xsd:double"&gt;-17.76151&lt;/D&gt;&lt;D xsi:type="xsd:double"&gt;-6.378293&lt;/D&gt;&lt;D xsi:type="xsd:double"&gt;-9.372139&lt;/D&gt;&lt;D xsi:type="xsd:double"&gt;-7.8611493&lt;/D&gt;&lt;D xsi:type="xsd:double"&gt;5.373633&lt;/D&gt;&lt;D xsi:type="xsd:double"&gt;5.146837&lt;/D&gt;&lt;D xsi:type="xsd:double"&gt;14.481068&lt;/D&gt;&lt;D xsi:type="xsd:double"&gt;17.238283&lt;/D&gt;&lt;D xsi:type="xsd:double"&gt;8.472406&lt;/D&gt;&lt;D xsi:type="xsd:double"&gt;24.58874&lt;/D&gt;&lt;D xsi:type="xsd:double"&gt;14.873255&lt;/D&gt;&lt;D xsi:type="xsd:double"&gt;13.695824&lt;/D&gt;&lt;D xsi:type="xsd:double"&gt;18.049313&lt;/D&gt;&lt;D xsi:type="xsd:double"&gt;13.842154&lt;/D&gt;&lt;D xsi:type="xsd:double"&gt;26.692808&lt;/D&gt;&lt;D xsi:type="xsd:double"&gt;27.455664&lt;/D&gt;&lt;D xsi:type="xsd:double"&gt;17.47223&lt;/D&gt;&lt;D xsi:type="xsd:double"&gt;17.091047&lt;/D&gt;&lt;D xsi:type="xsd:double"&gt;12.902414&lt;/D&gt;&lt;D xsi:type="xsd:double"&gt;11.69628&lt;/D&gt;&lt;/FQL&gt;&lt;FQL&gt;&lt;Q&gt;EWJ^FMA_PE(NTMA,-10AY,0,AM,"PORTAGG","MEANR")&lt;/Q&gt;&lt;R&gt;121&lt;/R&gt;&lt;C&gt;1&lt;/C&gt;&lt;D xsi:type="xsd:double"&gt;13.8660462033866&lt;/D&gt;&lt;D xsi:type="xsd:double"&gt;13.7029850528217&lt;/D&gt;&lt;D xsi:type="xsd:double"&gt;14.1108844820929&lt;/D&gt;&lt;D xsi:type="xsd:double"&gt;13.0926908963114&lt;/D&gt;&lt;D xsi:type="xsd:double"&gt;14.5583207386854&lt;/D&gt;&lt;D xsi:type="xsd:double"&gt;14.5334721925187&lt;/D&gt;&lt;D xsi:type="xsd:double"&gt;13.9065734261433&lt;/D&gt;&lt;D xsi:type="xsd:double"&gt;15.0869777498952&lt;/D&gt;&lt;D xsi:type="xsd:double"&gt;15.4986776989108&lt;/D&gt;&lt;D xsi:type="xsd:double"&gt;15.9175725879145&lt;/D&gt;&lt;D xsi:type="xsd:double"&gt;16.360579435439&lt;/D&gt;&lt;D xsi:type="xsd:double"&gt;15.7864572920246&lt;/D&gt;&lt;D xsi:type="xsd:double"&gt;15.510125884742&lt;/D&gt;&lt;D xsi:type="xsd:double"&gt;13.6894621636291&lt;/D&gt;&lt;D xsi:type="xsd:double"&gt;13.3711799520933&lt;/D&gt;&lt;D xsi:type="xsd:double"&gt;14.3924784592261&lt;/D&gt;&lt;D xsi:type="xsd:double"&gt;14.7104712013919&lt;/D&gt;&lt;D xsi:type="xsd:double"&gt;13.9106658051094&lt;/D&gt;&lt;D xsi:type="xsd:double"&gt;12.36791263807&lt;/D&gt;&lt;D xsi:type="xsd:double"&gt;12.3680591386574&lt;/D&gt;&lt;D xsi:type="xsd:double"&gt;12.8685116429064&lt;/D&gt;&lt;D xsi:type="xsd:double"&gt;13.3914222994103&lt;/D&gt;&lt;D xsi:type="xsd:double"&gt;13.2630296011874&lt;/D&gt;&lt;D xsi:type="xsd:double"&gt;12.1397507579059&lt;/D&gt;&lt;D xsi:type="xsd:double"&gt;13.3620555760669&lt;/D&gt;&lt;D xsi:type="xsd:double"&gt;13.088839342114&lt;/D&gt;&lt;D xsi:type="xsd:double"&gt;13.4949492296449&lt;/D&gt;&lt;D xsi:type="xsd:double"&gt;13.7479829317257&lt;/D&gt;&lt;D xsi:type="xsd:double"&gt;14.4447819648914&lt;/D&gt;&lt;D xsi:type="xsd:double"&gt;14.9474454123011&lt;/D&gt;&lt;D xsi:type="xsd:double"&gt;14.7037145423317&lt;/D&gt;&lt;D xsi:type="xsd:double"&gt;14.2943265553703&lt;/D&gt;&lt;D xsi:type="xsd:double"&gt;14.0477908752003&lt;/D&gt;&lt;D xsi:type="xsd:double"&gt;13.9177099084973&lt;/D&gt;&lt;D xsi:type="xsd:double"&gt;14.2661438925281&lt;/D&gt;&lt;D xsi:type="xsd:double"&gt;14.3677133410975&lt;/D&gt;&lt;D xsi:type="xsd:double"&gt;14.2051053640165&lt;/D&gt;&lt;D xsi:type="xsd:double"&gt;13.6238314185609&lt;/D&gt;&lt;D xsi:type="xsd:double"&gt;14.0151705166048&lt;/D&gt;&lt;D xsi:type="xsd:double"&gt;14.5314543829235&lt;/D&gt;&lt;D xsi:type="xsd:double"&gt;14.6923424566318&lt;/D&gt;&lt;D xsi:type="xsd:double"&gt;14.819108636225&lt;/D&gt;&lt;D xsi:type="xsd:double"&gt;15.1295323921333&lt;/D&gt;&lt;D xsi:type="xsd:double"&gt;13.3823037586092&lt;/D&gt;&lt;D xsi:type="xsd:double"&gt;12.4723178089234&lt;/D&gt;&lt;D xsi:type="xsd:double"&gt;13.2111099472158&lt;/D&gt;&lt;D xsi:type="xsd:double"&gt;13.1186199927756&lt;/D&gt;&lt;D xsi:type="xsd:double"&gt;12.7977246215604&lt;/D&gt;&lt;D xsi:type="xsd:double"&gt;12.9957733936107&lt;/D&gt;&lt;D xsi:type="xsd:double"&gt;12.5393664817306&lt;/D&gt;&lt;D xsi:type="xsd:double"&gt;13.3612045526556&lt;/D&gt;&lt;D xsi:type="xsd:double"&gt;11.653360445233&lt;/D&gt;&lt;D xsi:type="xsd:double"&gt;11.9838072137734&lt;/D&gt;&lt;D xsi:type="xsd:double"&gt;10.7013930266503&lt;/D&gt;&lt;D xsi:type="xsd:double"&gt;11.876042687182&lt;/D&gt;&lt;D xsi:type="xsd:double"&gt;12.5148751191713&lt;/D&gt;&lt;D xsi:type="xsd:double"&gt;12.6611893683424&lt;/D&gt;&lt;D xsi:type="xsd:double"&gt;12.7370376328623&lt;/D&gt;&lt;D xsi:type="xsd:double"&gt;12.3064041621388&lt;/D&gt;&lt;D xsi:type="xsd:double"&gt;12.5846595001696&lt;/D&gt;&lt;D xsi:type="xsd:double"&gt;12.9127069963729&lt;/D&gt;&lt;D xsi:type="xsd:double"&gt;12.2570778685744&lt;/D&gt;&lt;D xsi:type="xsd:double"&gt;13.4591900315068&lt;/D&gt;&lt;D xsi:type="xsd:double"&gt;13.7144488076876&lt;/D&gt;&lt;D xsi:type="xsd:double"&gt;14.2431900026758&lt;/D&gt;&lt;D xsi:type="xsd:double"&gt;14.6306973931429&lt;/D&gt;&lt;D xsi:type="xsd:double"&gt;14.6010547118797&lt;/D&gt;&lt;D xsi:type="xsd:double"&gt;13.7236514863779&lt;/D&gt;&lt;D xsi:type="xsd:double"&gt;12.1385021645807&lt;/D&gt;&lt;D xsi:type="xsd:double"&gt;13.5480340560973&lt;/D&gt;&lt;D xsi:type="xsd:double"&gt;15.631060205929&lt;/D&gt;&lt;D xsi:type="xsd:double"&gt;17.8509338555983&lt;/D&gt;&lt;D xsi:type="xsd:double"&gt;17.9332579095515&lt;/D&gt;&lt;D xsi:type="xsd:double"&gt;18.2138545291977&lt;/D&gt;&lt;D xsi:type="xsd:double"&gt;18.2159857559616&lt;/D&gt;&lt;D xsi:type="xsd:double"&gt;17.635142312206&lt;/D&gt;&lt;D xsi:type="xsd:double"&gt;18.6836802564897&lt;/D&gt;&lt;D xsi:type="xsd:double"&gt;18.1484885676693&lt;/D&gt;&lt;D xsi:type="xsd:double"&gt;18.5477006759988&lt;/D&gt;&lt;D xsi:type="xsd:double"&gt;17.6430214787252&lt;/D&gt;&lt;D xsi:type="xsd:double"&gt;17.8144321643781&lt;/D&gt;&lt;D xsi:type="xsd:double"&gt;16.9196202172975&lt;/D&gt;&lt;D xsi:type="xsd:double"&gt;16.3397186885297&lt;/D&gt;&lt;D xsi:type="xsd:double"&gt;16.4226621385787&lt;/D&gt;&lt;D xsi:type="xsd:double"&gt;15.8041979198645&lt;/D&gt;&lt;D xsi:type="xsd:double"&gt;15.1800831341251&lt;/D&gt;&lt;D xsi:type="xsd:double"&gt;16.0016291598623&lt;/D&gt;&lt;D xsi:type="xsd:double"&gt;15.2680276799423&lt;/D&gt;&lt;D xsi:type="xsd:double"&gt;14.8304250525776&lt;/D&gt;&lt;D xsi:type="xsd:double"&gt;14.544734060278&lt;/D&gt;&lt;D xsi:type="xsd:double"&gt;13.6088836180599&lt;/D&gt;&lt;D xsi:type="xsd:double"&gt;13.2482600401162&lt;/D&gt;&lt;D xsi:type="xsd:double"&gt;13.5439132142007&lt;/D&gt;&lt;D xsi:type="xsd:double"&gt;12.7316369934332&lt;/D&gt;&lt;D xsi:type="xsd:double"&gt;12.6184368317164&lt;/D&gt;&lt;D xsi:type="xsd:double"&gt;12.3358028562308&lt;/D&gt;&lt;D xsi:type="xsd:double"&gt;12.748762728627&lt;/D&gt;&lt;D xsi:type="xsd:double"&gt;12.9708010127525&lt;/D&gt;&lt;D xsi:type="xsd:double"&gt;12.0940440321235&lt;/D&gt;&lt;D xsi:type="xsd:double"&gt;12.4240743661334&lt;/D&gt;&lt;D xsi:type="xsd:double"&gt;13.0892738410548&lt;/D&gt;&lt;D xsi:type="xsd:double"&gt;12.2728196267468&lt;/D&gt;&lt;D xsi:type="xsd:double"&gt;12.9037163201284&lt;/D&gt;&lt;D xsi:type="xsd:double"&gt;13.0005768080757&lt;/D&gt;&lt;D xsi:type="xsd:double"&gt;12.7973014245535&lt;/D&gt;&lt;D xsi:type="xsd:double"&gt;13.3008381377611&lt;/D&gt;&lt;D xsi:type="xsd:double"&gt;14.0898732906333&lt;/D&gt;&lt;D xsi:type="xsd:double"&gt;14.7116548935784&lt;/D&gt;&lt;D xsi:type="xsd:double"&gt;14.6445979072094&lt;/D&gt;&lt;D xsi:type="xsd:double"&gt;14.1649550435335&lt;/D&gt;&lt;D xsi:type="xsd:double"&gt;14.6591580294752&lt;/D&gt;&lt;D xsi:type="xsd:double"&gt;13.6348858095841&lt;/D&gt;&lt;D xsi:type="xsd:double"&gt;14.4471916196338&lt;/D&gt;&lt;D xsi:type="xsd:double"&gt;13.9007473166186&lt;/D&gt;&lt;D xsi:type="xsd:double"&gt;14.7366073048346&lt;/D&gt;&lt;D xsi:type="xsd:double"&gt;15.5695819845137&lt;/D&gt;&lt;D xsi:type="xsd:double"&gt;15.9510253035854&lt;/D&gt;&lt;D xsi:type="xsd:double"&gt;15.1855792324996&lt;/D&gt;&lt;D xsi:type="xsd:double"&gt;15.4420210089119&lt;/D&gt;&lt;D xsi:type="xsd:double"&gt;15.5557449570533&lt;/D&gt;&lt;D xsi:type="xsd:double"&gt;15.2944863854343&lt;/D&gt;&lt;/FQL&gt;&lt;FQL&gt;&lt;Q&gt;PASP-FDS^FG_PRICE_CHANGE(0,-1AM)&lt;/Q&gt;&lt;R&gt;1&lt;/R&gt;&lt;C&gt;1&lt;/C&gt;&lt;D xsi:type="xsd:double"&gt;-2.6595744680851&lt;/D&gt;&lt;/FQL&gt;&lt;FQL&gt;&lt;Q&gt;EWN^FG_PRICE(0)&lt;/Q&gt;&lt;R&gt;1&lt;/R&gt;&lt;C&gt;1&lt;/C&gt;&lt;D xsi:type="xsd:double"&gt;48.77&lt;/D&gt;&lt;/FQL&gt;&lt;FQL&gt;&lt;Q&gt;VGK^FG_TOTAL_RETURNC(0,-12AM)&lt;/Q&gt;&lt;R&gt;1&lt;/R&gt;&lt;C&gt;1&lt;/C&gt;&lt;D xsi:type="xsd:double"&gt;11.086071&lt;/D&gt;&lt;/FQL&gt;&lt;FQL&gt;&lt;Q&gt;EWA^PERCENT_CHANGE(FMA_EPS(+1,0,,,,"PORTAGG","MEAN"),FMA_EPS(+1,-3AM,,,,"PORTAGG","MEAN"))&lt;/Q&gt;&lt;R&gt;1&lt;/R&gt;&lt;C&gt;1&lt;/C&gt;&lt;D xsi:type="xsd:double"&gt;-2.49428968349461&lt;/D&gt;&lt;/FQL&gt;&lt;FQL&gt;&lt;Q&gt;SPY^FMA_ROE(NTMA,-20AY,NOW,FY,"PORTAGG","MEANR")&lt;/Q&gt;&lt;R&gt;20&lt;/R&gt;&lt;C&gt;1&lt;/C&gt;&lt;D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xsi:type="xsd:double"&gt;18.2929292712369&lt;/D&gt;&lt;D xsi:type="xsd:double"&gt;17.2298191407891&lt;/D&gt;&lt;D xsi:type="xsd:double"&gt;20.6862902757634&lt;/D&gt;&lt;D xsi:type="xsd:double"&gt;20.5983105880676&lt;/D&gt;&lt;D xsi:type="xsd:double"&gt;20.3505037528152&lt;/D&gt;&lt;/FQL&gt;&lt;FQL&gt;&lt;Q&gt;USDITL^STD(FG_PRICE_CHANGE(0,-1AY,AM))&lt;/Q&gt;&lt;R&gt;1&lt;/R&gt;&lt;C&gt;1&lt;/C&gt;&lt;D xsi:type="xsd:double"&gt;1.7785690681542&lt;/D&gt;&lt;/FQL&gt;&lt;FQL&gt;&lt;Q&gt;ENZL^FG_PRICE_MAVG(0,,,,30)&lt;/Q&gt;&lt;R&gt;1&lt;/R&gt;&lt;C&gt;1&lt;/C&gt;&lt;D xsi:type="xsd:double"&gt;45.862427&lt;/D&gt;&lt;/FQL&gt;&lt;FQL&gt;&lt;Q&gt;FXI^FG_TOTAL_RETURNC(0,-3AM)&lt;/Q&gt;&lt;R&gt;1&lt;/R&gt;&lt;C&gt;1&lt;/C&gt;&lt;D xsi:type="xsd:double"&gt;-1.0368824&lt;/D&gt;&lt;/FQL&gt;&lt;FQL&gt;&lt;Q&gt;EWL^FG_TOTAL_RETURNC(0,-3AM)&lt;/Q&gt;&lt;R&gt;1&lt;/R&gt;&lt;C&gt;1&lt;/C&gt;&lt;D xsi:type="xsd:double"&gt;11.254096&lt;/D&gt;&lt;/FQL&gt;&lt;FQL&gt;&lt;Q&gt;TRYAU10Y-FDS^PCTCHG(FG_YIELD(0,,,,"YTM"),FG_YIELD(-1AM,,,,"YTM"))&lt;/Q&gt;&lt;R&gt;1&lt;/R&gt;&lt;C&gt;1&lt;/C&gt;&lt;D xsi:type="xsd:double"&gt;-0.023205558&lt;/D&gt;&lt;/FQL&gt;&lt;FQL&gt;&lt;Q&gt;EWL^FMA_EVAL_EBIT(LTMA,NOW,NOW,M,"PORTAGG","MEANR")&lt;/Q&gt;&lt;R&gt;1&lt;/R&gt;&lt;C&gt;1&lt;/C&gt;&lt;D xsi:type="xsd:double"&gt;16.5065801269382&lt;/D&gt;&lt;/FQL&gt;&lt;FQL&gt;&lt;Q&gt;EWA^FMA_DIV_YLD(NTMA,NOW,NOW,M,"PORTAGG","MEANR")&lt;/Q&gt;&lt;R&gt;1&lt;/R&gt;&lt;C&gt;1&lt;/C&gt;&lt;D xsi:type="xsd:double"&gt;3.93051594710948&lt;/D&gt;&lt;/FQL&gt;&lt;FQL&gt;&lt;Q&gt;EWG^FMA_DIV_YLD(NTMA,-10AY,0,AM,"PORTAGG","MEANR")&lt;/Q&gt;&lt;R&gt;121&lt;/R&gt;&lt;C&gt;1&lt;/C&gt;&lt;D xsi:type="xsd:double"&gt;3.11495652498431&lt;/D&gt;&lt;D xsi:type="xsd:double"&gt;3.13386062787971&lt;/D&gt;&lt;D xsi:type="xsd:double"&gt;3.182935331377&lt;/D&gt;&lt;D xsi:type="xsd:double"&gt;3.37862678816686&lt;/D&gt;&lt;D xsi:type="xsd:double"&gt;3.14250092386785&lt;/D&gt;&lt;D xsi:type="xsd:double"&gt;3.15223282195222&lt;/D&gt;&lt;D xsi:type="xsd:double"&gt;2.90212303748395&lt;/D&gt;&lt;D xsi:type="xsd:double"&gt;2.79493388409011&lt;/D&gt;&lt;D xsi:type="xsd:double"&gt;2.70644377383781&lt;/D&gt;&lt;D xsi:type="xsd:double"&gt;2.75375672507905&lt;/D&gt;&lt;D xsi:type="xsd:double"&gt;2.87532358673357&lt;/D&gt;&lt;D xsi:type="xsd:double"&gt;2.94388490543508&lt;/D&gt;&lt;D xsi:type="xsd:double"&gt;3.00250624526788&lt;/D&gt;&lt;D xsi:type="xsd:double"&gt;3.4124901337331&lt;/D&gt;&lt;D xsi:type="xsd:double"&gt;3.47393091041012&lt;/D&gt;&lt;D xsi:type="xsd:double"&gt;3.10250477232413&lt;/D&gt;&lt;D xsi:type="xsd:double"&gt;2.90995312974168&lt;/D&gt;&lt;D xsi:type="xsd:double"&gt;3.04073095866105&lt;/D&gt;&lt;D xsi:type="xsd:double"&gt;3.33541553316121&lt;/D&gt;&lt;D xsi:type="xsd:double"&gt;3.45753954486758&lt;/D&gt;&lt;D xsi:type="xsd:double"&gt;3.32974484077241&lt;/D&gt;&lt;D xsi:type="xsd:double"&gt;3.21285887626383&lt;/D&gt;&lt;D xsi:type="xsd:double"&gt;3.27318645295054&lt;/D&gt;&lt;D xsi:type="xsd:double"&gt;3.53145977171113&lt;/D&gt;&lt;D xsi:type="xsd:double"&gt;3.29894885386631&lt;/D&gt;&lt;D xsi:type="xsd:double"&gt;3.18279060008877&lt;/D&gt;&lt;D xsi:type="xsd:double"&gt;3.23979760962045&lt;/D&gt;&lt;D xsi:type="xsd:double"&gt;3.13551961638806&lt;/D&gt;&lt;D xsi:type="xsd:double"&gt;3.16809968362228&lt;/D&gt;&lt;D xsi:type="xsd:double"&gt;2.9775400117846&lt;/D&gt;&lt;D xsi:type="xsd:double"&gt;2.89691110616357&lt;/D&gt;&lt;D xsi:type="xsd:double"&gt;2.95468406543913&lt;/D&gt;&lt;D xsi:type="xsd:double"&gt;2.95699670271991&lt;/D&gt;&lt;D xsi:type="xsd:double"&gt;2.88080158109905&lt;/D&gt;&lt;D xsi:type="xsd:double"&gt;2.93556448903773&lt;/D&gt;&lt;D xsi:type="xsd:double"&gt;2.92976545806367&lt;/D&gt;&lt;D xsi:type="xsd:double"&gt;3.0474137864701&lt;/D&gt;&lt;D xsi:type="xsd:double"&gt;3.12322496558008&lt;/D&gt;&lt;D xsi:type="xsd:double"&gt;3.03859811626215&lt;/D&gt;&lt;D xsi:type="xsd:double"&gt;2.9237396600495&lt;/D&gt;&lt;D xsi:type="xsd:double"&gt;2.9371988832956&lt;/D&gt;&lt;D xsi:type="xsd:double"&gt;2.91841026941816&lt;/D&gt;&lt;D xsi:type="xsd:double"&gt;2.89208113356808&lt;/D&gt;&lt;D xsi:type="xsd:double"&gt;3.10871249255392&lt;/D&gt;&lt;D xsi:type="xsd:double"&gt;3.3175113649783&lt;/D&gt;&lt;D xsi:type="xsd:double"&gt;3.18034703262647&lt;/D&gt;&lt;D xsi:type="xsd:double"&gt;3.12474059873947&lt;/D&gt;&lt;D xsi:type="xsd:double"&gt;3.28500884966401&lt;/D&gt;&lt;D xsi:type="xsd:double"&gt;3.14937674848259&lt;/D&gt;&lt;D xsi:type="xsd:double"&gt;3.25061553280513&lt;/D&gt;&lt;D xsi:type="xsd:double"&gt;3.28808568155485&lt;/D&gt;&lt;D xsi:type="xsd:double"&gt;3.6315685407922&lt;/D&gt;&lt;D xsi:type="xsd:double"&gt;3.64646535055252&lt;/D&gt;&lt;D xsi:type="xsd:double"&gt;3.93683913559121&lt;/D&gt;&lt;D xsi:type="xsd:double"&gt;3.67356715145943&lt;/D&gt;&lt;D xsi:type="xsd:double"&gt;3.60957950037828&lt;/D&gt;&lt;D xsi:type="xsd:double"&gt;3.62606408294131&lt;/D&gt;&lt;D xsi:type="xsd:double"&gt;3.39101461211071&lt;/D&gt;&lt;D xsi:type="xsd:double"&gt;3.5962988092083&lt;/D&gt;&lt;D xsi:type="xsd:double"&gt;3.5344931496414&lt;/D&gt;&lt;D xsi:type="xsd:double"&gt;3.40772040183069&lt;/D&gt;&lt;D xsi:type="xsd:double"&gt;3.60630589990485&lt;/D&gt;&lt;D xsi:type="xsd:double"&gt;3.4319448941993&lt;/D&gt;&lt;D xsi:type="xsd:double"&gt;3.27408624526117&lt;/D&gt;&lt;D xsi:type="xsd:double"&gt;3.10486375426006&lt;/D&gt;&lt;D xsi:type="xsd:double"&gt;3.0825504155224&lt;/D&gt;&lt;D xsi:type="xsd:double"&gt;3.02579913794366&lt;/D&gt;&lt;D xsi:type="xsd:double"&gt;3.21459451190702&lt;/D&gt;&lt;D xsi:type="xsd:double"&gt;3.9262764395874&lt;/D&gt;&lt;D xsi:type="xsd:double"&gt;3.5389693969376&lt;/D&gt;&lt;D xsi:type="xsd:double"&gt;3.14037518571258&lt;/D&gt;&lt;D xsi:type="xsd:double"&gt;2.96999232310354&lt;/D&gt;&lt;D xsi:type="xsd:double"&gt;2.82687965803321&lt;/D&gt;&lt;D xsi:type="xsd:double"&gt;2.75742243622325&lt;/D&gt;&lt;D xsi:type="xsd:double"&gt;2.95437451677334&lt;/D&gt;&lt;D xsi:type="xsd:double"&gt;3.03090708912909&lt;/D&gt;&lt;D xsi:type="xsd:double"&gt;2.81844759997635&lt;/D&gt;&lt;D xsi:type="xsd:double"&gt;2.74037381499081&lt;/D&gt;&lt;D xsi:type="xsd:double"&gt;2.7304862107886&lt;/D&gt;&lt;D xsi:type="xsd:double"&gt;2.84200926461744&lt;/D&gt;&lt;D xsi:type="xsd:double"&gt;2.75160039071943&lt;/D&gt;&lt;D xsi:type="xsd:double"&gt;2.72704387078442&lt;/D&gt;&lt;D xsi:type="xsd:double"&gt;2.8304349784606&lt;/D&gt;&lt;D xsi:type="xsd:double"&gt;2.79086977642174&lt;/D&gt;&lt;D xsi:type="xsd:double"&gt;2.81217457589063&lt;/D&gt;&lt;D xsi:type="xsd:double"&gt;2.85742841220543&lt;/D&gt;&lt;D xsi:type="xsd:double"&gt;2.92595419658561&lt;/D&gt;&lt;D xsi:type="xsd:double"&gt;2.93009147344987&lt;/D&gt;&lt;D xsi:type="xsd:double"&gt;3.12295119942719&lt;/D&gt;&lt;D xsi:type="xsd:double"&gt;3.05342821279997&lt;/D&gt;&lt;D xsi:type="xsd:double"&gt;3.17233389330664&lt;/D&gt;&lt;D xsi:type="xsd:double"&gt;3.44573170131494&lt;/D&gt;&lt;D xsi:type="xsd:double"&gt;3.5598235181708&lt;/D&gt;&lt;D xsi:type="xsd:double"&gt;3.73837769673008&lt;/D&gt;&lt;D xsi:type="xsd:double"&gt;3.79520858464275&lt;/D&gt;&lt;D xsi:type="xsd:double"&gt;4.10523526496718&lt;/D&gt;&lt;D xsi:type="xsd:double"&gt;4.13945274213826&lt;/D&gt;&lt;D xsi:type="xsd:double"&gt;4.18329508575929&lt;/D&gt;&lt;D xsi:type="xsd:double"&gt;4.44202788760422&lt;/D&gt;&lt;D xsi:type="xsd:double"&gt;4.11980116269124&lt;/D&gt;&lt;D xsi:type="xsd:double"&gt;3.72220864372385&lt;/D&gt;&lt;D xsi:type="xsd:double"&gt;3.85450879259953&lt;/D&gt;&lt;D xsi:type="xsd:double"&gt;3.5154509833751&lt;/D&gt;&lt;D xsi:type="xsd:double"&gt;3.54292686154156&lt;/D&gt;&lt;D xsi:type="xsd:double"&gt;3.67442041607302&lt;/D&gt;&lt;D xsi:type="xsd:double"&gt;3.52249262818764&lt;/D&gt;&lt;D xsi:type="xsd:double"&gt;3.60675682757833&lt;/D&gt;&lt;D xsi:type="xsd:double"&gt;3.69246473201002&lt;/D&gt;&lt;D xsi:type="xsd:double"&gt;3.65727786606146&lt;/D&gt;&lt;D xsi:type="xsd:double"&gt;3.77656598235447&lt;/D&gt;&lt;D xsi:type="xsd:double"&gt;3.87687650012757&lt;/D&gt;&lt;D xsi:type="xsd:double"&gt;4.06780225797456&lt;/D&gt;&lt;D xsi:type="xsd:double"&gt;3.69162837087607&lt;/D&gt;&lt;D xsi:type="xsd:double"&gt;3.56141284707157&lt;/D&gt;&lt;D xsi:type="xsd:double"&gt;3.53190135389975&lt;/D&gt;&lt;D xsi:type="xsd:double"&gt;3.45843387476165&lt;/D&gt;&lt;D xsi:type="xsd:double"&gt;3.26367440709496&lt;/D&gt;&lt;D xsi:type="xsd:double"&gt;3.34150471980538&lt;/D&gt;&lt;D xsi:type="xsd:double"&gt;3.33672967467028&lt;/D&gt;&lt;D xsi:type="xsd:double"&gt;3.42555657614996&lt;/D&gt;&lt;D xsi:type="xsd:double"&gt;3.41053960536477&lt;/D&gt;&lt;/FQL&gt;&lt;FQL&gt;&lt;Q&gt;WL-FDS^FG_PRICE_CHANGE(0,-1AY)&lt;/Q&gt;&lt;R&gt;1&lt;/R&gt;&lt;C&gt;1&lt;/C&gt;&lt;D xsi:type="xsd:double"&gt;-23.2551362377969&lt;/D&gt;&lt;/FQL&gt;&lt;FQL&gt;&lt;Q&gt;W-FDS^FG_PRICE_CHANGE(0,-6AM)&lt;/Q&gt;&lt;R&gt;1&lt;/R&gt;&lt;C&gt;1&lt;/C&gt;&lt;D xsi:type="xsd:double"&gt;-12.7863390254061&lt;/D&gt;&lt;/FQL&gt;&lt;FQL&gt;&lt;Q&gt;EWC^FG_TOTAL_RETURNC(0,-1AM)&lt;/Q&gt;&lt;R&gt;1&lt;/R&gt;&lt;C&gt;1&lt;/C&gt;&lt;D xsi:type="xsd:double"&gt;3.7909627&lt;/D&gt;&lt;/FQL&gt;&lt;FQL&gt;&lt;Q&gt;VWO^FMA_COS_UP("EPS","1M",+1,0,,,"PORTAGG","MEANR")&lt;/Q&gt;&lt;R&gt;1&lt;/R&gt;&lt;C&gt;1&lt;/C&gt;&lt;D xsi:type="xsd:double"&gt;820&lt;/D&gt;&lt;/FQL&gt;&lt;FQL&gt;&lt;Q&gt;EWC^FG_ROE(0)&lt;/Q&gt;&lt;R&gt;1&lt;/R&gt;&lt;C&gt;1&lt;/C&gt;&lt;D xsi:type="xsd:double"&gt;10.9491157901172&lt;/D&gt;&lt;/FQL&gt;&lt;FQL&gt;&lt;Q&gt;TRYDE10Y-FDS^FG_YIELD(0,,,,"YTM")&lt;/Q&gt;&lt;R&gt;1&lt;/R&gt;&lt;C&gt;1&lt;/C&gt;&lt;D xsi:type="xsd:double"&gt;2.404&lt;/D&gt;&lt;/FQL&gt;&lt;FQL&gt;&lt;Q&gt;EWI^FG_FCF_YIELD_NTM(0)&lt;/Q&gt;&lt;R&gt;1&lt;/R&gt;&lt;C&gt;1&lt;/C&gt;&lt;D xsi:type="xsd:double"&gt;5.8093916798624&lt;/D&gt;&lt;/FQL&gt;&lt;FQL&gt;&lt;Q&gt;SPY^FMA_PE(LTM,0,,,"PORTAGG","MEANR")&lt;/Q&gt;&lt;R&gt;1&lt;/R&gt;&lt;C&gt;1&lt;/C&gt;&lt;D xsi:type="xsd:double"&gt;25.6514946669042&lt;/D&gt;&lt;/FQL&gt;&lt;FQL&gt;&lt;Q&gt;CAGDPY@NZ^EE_ACTUAL_ANNUAL(MED,+1)&lt;/Q&gt;&lt;R&gt;1&lt;/R&gt;&lt;C&gt;1&lt;/C&gt;&lt;D xsi:type="xsd:double"&gt;-5.4&lt;/D&gt;&lt;/FQL&gt;&lt;FQL&gt;&lt;Q&gt;USDEUR^STD(FG_PRICE_CHANGE(0,-1AY,AM))&lt;/Q&gt;&lt;R&gt;1&lt;/R&gt;&lt;C&gt;1&lt;/C&gt;&lt;D xsi:type="xsd:double"&gt;1.77857008573437&lt;/D&gt;&lt;/FQL&gt;&lt;FQL&gt;&lt;Q&gt;EWG^FG_PRICE_MAVG(0,,,,60)&lt;/Q&gt;&lt;R&gt;1&lt;/R&gt;&lt;C&gt;1&lt;/C&gt;&lt;D xsi:type="xsd:double"&gt;31.390667&lt;/D&gt;&lt;/FQL&gt;&lt;FQL&gt;&lt;Q&gt;EWN^P_PRICE(0)/P_PRICE_HIGH_PR(0,,,,,,"PRICE","INTRA","52W")&lt;/Q&gt;&lt;R&gt;1&lt;/R&gt;&lt;C&gt;1&lt;/C&gt;&lt;D xsi:type="xsd:double"&gt;0.91966814&lt;/D&gt;&lt;/FQL&gt;&lt;FQL&gt;&lt;Q&gt;EWU^FG_TOTAL_RETURNC(0,-12AM)&lt;/Q&gt;&lt;R&gt;1&lt;/R&gt;&lt;C&gt;1&lt;/C&gt;&lt;D xsi:type="xsd:double"&gt;11.8846655&lt;/D&gt;&lt;/FQL&gt;&lt;FQL&gt;&lt;Q&gt;SPY^JULIAN(FMA_DIV_YLD(NTMA,NOW,NOW,M,"PORTAGG","MEANR").DATES)&lt;/Q&gt;&lt;R&gt;1&lt;/R&gt;&lt;C&gt;1&lt;/C&gt;&lt;D xsi:type="xsd:long"&gt;45471&lt;/D&gt;&lt;/FQL&gt;&lt;FQL&gt;&lt;Q&gt;EWC^FG_FCF_YIELD_NTM(0)&lt;/Q&gt;&lt;R&gt;1&lt;/R&gt;&lt;C&gt;1&lt;/C&gt;&lt;D xsi:type="xsd:double"&gt;5.97898999030451&lt;/D&gt;&lt;/FQL&gt;&lt;FQL&gt;&lt;Q&gt;UUP^FG_TOTAL_RETURNC(0,-3AM)&lt;/Q&gt;&lt;R&gt;1&lt;/R&gt;&lt;C&gt;1&lt;/C&gt;&lt;D xsi:type="xsd:double"&gt;-0.24229884&lt;/D&gt;&lt;/FQL&gt;&lt;FQL&gt;&lt;Q&gt;TRYGR10Y-FDS^FG_YIELD(-10AY,0,Y,,"YTM")&lt;/Q&gt;&lt;R&gt;10&lt;/R&gt;&lt;C&gt;1&lt;/C&gt;&lt;D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xsi:type="xsd:double"&gt;3.099&lt;/D&gt;&lt;/FQL&gt;&lt;FQL&gt;&lt;Q&gt;EWA^FMA_DIV_YLD(NTMA,-10AY,0,AM,"PORTAGG","MEANR")&lt;/Q&gt;&lt;R&gt;121&lt;/R&gt;&lt;C&gt;1&lt;/C&gt;&lt;D xsi:type="xsd:double"&gt;4.67953477680074&lt;/D&gt;&lt;D xsi:type="xsd:double"&gt;4.67991893427489&lt;/D&gt;&lt;D xsi:type="xsd:double"&gt;5.03980277400746&lt;/D&gt;&lt;D xsi:type="xsd:double"&gt;4.92883723179607&lt;/D&gt;&lt;D xsi:type="xsd:double"&gt;4.99427002830399&lt;/D&gt;&lt;D xsi:type="xsd:double"&gt;4.9885167442505&lt;/D&gt;&lt;D xsi:type="xsd:double"&gt;4.91722740342559&lt;/D&gt;&lt;D xsi:type="xsd:double"&gt;4.57925774647235&lt;/D&gt;&lt;D xsi:type="xsd:double"&gt;4.58899040569649&lt;/D&gt;&lt;D xsi:type="xsd:double"&gt;4.56977249346208&lt;/D&gt;&lt;D xsi:type="xsd:double"&gt;4.71722143441923&lt;/D&gt;&lt;D xsi:type="xsd:double"&gt;4.89755043169825&lt;/D&gt;&lt;D xsi:type="xsd:double"&gt;4.93172134339247&lt;/D&gt;&lt;D xsi:type="xsd:double"&gt;5.3411056458973&lt;/D&gt;&lt;D xsi:type="xsd:double"&gt;5.49412199620707&lt;/D&gt;&lt;D xsi:type="xsd:double"&gt;5.10564703926402&lt;/D&gt;&lt;D xsi:type="xsd:double"&gt;5.25734935744293&lt;/D&gt;&lt;D xsi:type="xsd:double"&gt;5.19807982711408&lt;/D&gt;&lt;D xsi:type="xsd:double"&gt;5.18430965072775&lt;/D&gt;&lt;D xsi:type="xsd:double"&gt;5.05190282869525&lt;/D&gt;&lt;D xsi:type="xsd:double"&gt;4.82932140459061&lt;/D&gt;&lt;D xsi:type="xsd:double"&gt;4.6848693559953&lt;/D&gt;&lt;D xsi:type="xsd:double"&gt;4.54963270437769&lt;/D&gt;&lt;D xsi:type="xsd:double"&gt;4.78796434092586&lt;/D&gt;&lt;D xsi:type="xsd:double"&gt;4.42579065293658&lt;/D&gt;&lt;D xsi:type="xsd:double"&gt;4.4539298539889&lt;/D&gt;&lt;D xsi:type="xsd:double"&gt;4.54433390051769&lt;/D&gt;&lt;D xsi:type="xsd:double"&gt;4.60909542871968&lt;/D&gt;&lt;D xsi:type="xsd:double"&gt;4.51534005831292&lt;/D&gt;&lt;D xsi:type="xsd:double"&gt;4.55210158524389&lt;/D&gt;&lt;D xsi:type="xsd:double"&gt;4.55281586105823&lt;/D&gt;&lt;D xsi:type="xsd:double"&gt;4.54528529967618&lt;/D&gt;&lt;D xsi:type="xsd:double"&gt;4.59950294282262&lt;/D&gt;&lt;D xsi:type="xsd:double"&gt;4.49314080270065&lt;/D&gt;&lt;D xsi:type="xsd:double"&gt;4.6383672605413&lt;/D&gt;&lt;D xsi:type="xsd:double"&gt;4.64776663035163&lt;/D&gt;&lt;D xsi:type="xsd:double"&gt;4.5433465456038&lt;/D&gt;&lt;D xsi:type="xsd:double"&gt;4.55581838013535&lt;/D&gt;&lt;D xsi:type="xsd:double"&gt;4.62071160849021&lt;/D&gt;&lt;D xsi:type="xsd:double"&gt;4.48977149266328&lt;/D&gt;&lt;D xsi:type="xsd:double"&gt;4.47165488149395&lt;/D&gt;&lt;D xsi:type="xsd:double"&gt;4.45892199434263&lt;/D&gt;&lt;D xsi:type="xsd:double"&gt;4.5034632422418&lt;/D&gt;&lt;D xsi:type="xsd:double"&gt;4.57153117443756&lt;/D&gt;&lt;D xsi:type="xsd:double"&gt;4.82144958310161&lt;/D&gt;&lt;D xsi:type="xsd:double"&gt;4.77703873393892&lt;/D&gt;&lt;D xsi:type="xsd:double"&gt;4.67852969101817&lt;/D&gt;&lt;D xsi:type="xsd:double"&gt;4.63358587801675&lt;/D&gt;&lt;D xsi:type="xsd:double"&gt;4.61467877879187&lt;/D&gt;&lt;D xsi:type="xsd:double"&gt;4.66124937540194&lt;/D&gt;&lt;D xsi:type="xsd:double"&gt;4.74607902578841&lt;/D&gt;&lt;D xsi:type="xsd:double"&gt;5.20974591365752&lt;/D&gt;&lt;D xsi:type="xsd:double"&gt;5.30056927401785&lt;/D&gt;&lt;D xsi:type="xsd:double"&gt;5.5043797097099&lt;/D&gt;&lt;D xsi:type="xsd:double"&gt;5.081157564</t>
        </r>
      </text>
    </comment>
    <comment ref="A11" authorId="0" shapeId="0" xr:uid="{51FF68CF-CE48-470D-A57E-5EAF452410B0}">
      <text>
        <r>
          <rPr>
            <b/>
            <sz val="9"/>
            <color indexed="81"/>
            <rFont val="Tahoma"/>
            <charset val="1"/>
          </rPr>
          <t>13483&lt;/D&gt;&lt;D xsi:type="xsd:double"&gt;4.95235463641952&lt;/D&gt;&lt;D xsi:type="xsd:double"&gt;4.97696354722734&lt;/D&gt;&lt;D xsi:type="xsd:double"&gt;4.82419557237943&lt;/D&gt;&lt;D xsi:type="xsd:double"&gt;4.79839650290726&lt;/D&gt;&lt;D xsi:type="xsd:double"&gt;4.58967799832254&lt;/D&gt;&lt;D xsi:type="xsd:double"&gt;4.5301883556159&lt;/D&gt;&lt;D xsi:type="xsd:double"&gt;4.71183314147875&lt;/D&gt;&lt;D xsi:type="xsd:double"&gt;4.45521050998737&lt;/D&gt;&lt;D xsi:type="xsd:double"&gt;4.36245356122405&lt;/D&gt;&lt;D xsi:type="xsd:double"&gt;4.31520849114326&lt;/D&gt;&lt;D xsi:type="xsd:double"&gt;4.25037528918578&lt;/D&gt;&lt;D xsi:type="xsd:double"&gt;4.11757544654727&lt;/D&gt;&lt;D xsi:type="xsd:double"&gt;4.31203019384862&lt;/D&gt;&lt;D xsi:type="xsd:double"&gt;5.33335401650628&lt;/D&gt;&lt;D xsi:type="xsd:double"&gt;4.3272870830776&lt;/D&gt;&lt;D xsi:type="xsd:double"&gt;3.57016895324322&lt;/D&gt;&lt;D xsi:type="xsd:double"&gt;3.48487588352115&lt;/D&gt;&lt;D xsi:type="xsd:double"&gt;3.43954607348783&lt;/D&gt;&lt;D xsi:type="xsd:double"&gt;3.38854806551611&lt;/D&gt;&lt;D xsi:type="xsd:double"&gt;3.60164472863252&lt;/D&gt;&lt;D xsi:type="xsd:double"&gt;3.60844438110982&lt;/D&gt;&lt;D xsi:type="xsd:double"&gt;3.39353214393777&lt;/D&gt;&lt;D xsi:type="xsd:double"&gt;3.54441628630354&lt;/D&gt;&lt;D xsi:type="xsd:double"&gt;3.51325081103936&lt;/D&gt;&lt;D xsi:type="xsd:double"&gt;3.92576677494895&lt;/D&gt;&lt;D xsi:type="xsd:double"&gt;3.95975505274232&lt;/D&gt;&lt;D xsi:type="xsd:double"&gt;3.90182928839011&lt;/D&gt;&lt;D xsi:type="xsd:double"&gt;3.92161149152939&lt;/D&gt;&lt;D xsi:type="xsd:double"&gt;3.9565163338856&lt;/D&gt;&lt;D xsi:type="xsd:double"&gt;4.14395857570677&lt;/D&gt;&lt;D xsi:type="xsd:double"&gt;4.07363074593593&lt;/D&gt;&lt;D xsi:type="xsd:double"&gt;4.0718840241119&lt;/D&gt;&lt;D xsi:type="xsd:double"&gt;3.92999955065485&lt;/D&gt;&lt;D xsi:type="xsd:double"&gt;4.0686939432585&lt;/D&gt;&lt;D xsi:type="xsd:double"&gt;3.89749431763283&lt;/D&gt;&lt;D xsi:type="xsd:double"&gt;4.1665898146345&lt;/D&gt;&lt;D xsi:type="xsd:double"&gt;4.43313946405261&lt;/D&gt;&lt;D xsi:type="xsd:double"&gt;4.19642484982072&lt;/D&gt;&lt;D xsi:type="xsd:double"&gt;4.52296891102757&lt;/D&gt;&lt;D xsi:type="xsd:double"&gt;4.68685550578219&lt;/D&gt;&lt;D xsi:type="xsd:double"&gt;5.24087667923002&lt;/D&gt;&lt;D xsi:type="xsd:double"&gt;4.95605603219591&lt;/D&gt;&lt;D xsi:type="xsd:double"&gt;4.65888943864414&lt;/D&gt;&lt;D xsi:type="xsd:double"&gt;5.24089273943405&lt;/D&gt;&lt;D xsi:type="xsd:double"&gt;4.98239474182648&lt;/D&gt;&lt;D xsi:type="xsd:double"&gt;4.49009831368883&lt;/D&gt;&lt;D xsi:type="xsd:double"&gt;4.53297382505177&lt;/D&gt;&lt;D xsi:type="xsd:double"&gt;4.25586522222369&lt;/D&gt;&lt;D xsi:type="xsd:double"&gt;4.46372325453016&lt;/D&gt;&lt;D xsi:type="xsd:double"&gt;4.68946619732966&lt;/D&gt;&lt;D xsi:type="xsd:double"&gt;4.42156136056865&lt;/D&gt;&lt;D xsi:type="xsd:double"&gt;4.52782035848453&lt;/D&gt;&lt;D xsi:type="xsd:double"&gt;4.37465185057487&lt;/D&gt;&lt;D xsi:type="xsd:double"&gt;4.07140577109126&lt;/D&gt;&lt;D xsi:type="xsd:double"&gt;4.28194293185221&lt;/D&gt;&lt;D xsi:type="xsd:double"&gt;4.31862885341812&lt;/D&gt;&lt;D xsi:type="xsd:double"&gt;4.4962962810256&lt;/D&gt;&lt;D xsi:type="xsd:double"&gt;4.33284341485296&lt;/D&gt;&lt;D xsi:type="xsd:double"&gt;4.02285990657156&lt;/D&gt;&lt;D xsi:type="xsd:double"&gt;4.02749300057405&lt;/D&gt;&lt;D xsi:type="xsd:double"&gt;3.99239873316647&lt;/D&gt;&lt;D xsi:type="xsd:double"&gt;3.94072496762751&lt;/D&gt;&lt;D xsi:type="xsd:double"&gt;4.04483917597034&lt;/D&gt;&lt;D xsi:type="xsd:double"&gt;3.98009557837632&lt;/D&gt;&lt;D xsi:type="xsd:double"&gt;3.92003296951977&lt;/D&gt;&lt;D xsi:type="xsd:double"&gt;3.89065391077111&lt;/D&gt;&lt;/FQL&gt;&lt;FQL&gt;&lt;Q&gt;W-FDS^FG_PRICE_CHANGE(0,-3AM)&lt;/Q&gt;&lt;R&gt;1&lt;/R&gt;&lt;C&gt;1&lt;/C&gt;&lt;D xsi:type="xsd:double"&gt;-13.2200580190634&lt;/D&gt;&lt;/FQL&gt;&lt;FQL&gt;&lt;Q&gt;VGK^SIZE(FG_CONSTITUENTS)&lt;/Q&gt;&lt;R&gt;1&lt;/R&gt;&lt;C&gt;1&lt;/C&gt;&lt;D xsi:type="xsd:long"&gt;1283&lt;/D&gt;&lt;/FQL&gt;&lt;FQL&gt;&lt;Q&gt;EWI^FMA_DIV_YLD(NTMA,NOW,NOW,M,"PORTAGG","MEANR")&lt;/Q&gt;&lt;R&gt;1&lt;/R&gt;&lt;C&gt;1&lt;/C&gt;&lt;D xsi:type="xsd:double"&gt;5.49637883079903&lt;/D&gt;&lt;/FQL&gt;&lt;FQL&gt;&lt;Q&gt;CAGDPY@NZ^EE_ACTUAL_ANNUAL(MED,0)&lt;/Q&gt;&lt;R&gt;1&lt;/R&gt;&lt;C&gt;1&lt;/C&gt;&lt;D xsi:type="xsd:double"&gt;-6.9&lt;/D&gt;&lt;/FQL&gt;&lt;FQL&gt;&lt;Q&gt;EWI^P_PRICE_RETURNS_PR('52W',2,-10AY,0,AM)&lt;/Q&gt;&lt;R&gt;121&lt;/R&gt;&lt;C&gt;1&lt;/C&gt;&lt;D xsi:type="xsd:double"&gt;32.309414&lt;/D&gt;&lt;D xsi:type="xsd:double"&gt;22.333347&lt;/D&gt;&lt;D xsi:type="xsd:double"&gt;11.902988&lt;/D&gt;&lt;D xsi:type="xsd:double"&gt;-3.5899103&lt;/D&gt;&lt;D xsi:type="xsd:double"&gt;0.64741373&lt;/D&gt;&lt;D xsi:type="xsd:double"&gt;-6.7184687&lt;/D&gt;&lt;D xsi:type="xsd:double"&gt;-8.818054&lt;/D&gt;&lt;D xsi:type="xsd:double"&gt;-8.0243&lt;/D&gt;&lt;D xsi:type="xsd:double"&gt;-11.631507&lt;/D&gt;&lt;D xsi:type="xsd:double"&gt;-13.506645&lt;/D&gt;&lt;D xsi:type="xsd:double"&gt;-7.6590595&lt;/D&gt;&lt;D xsi:type="xsd:double"&gt;-7.337493&lt;/D&gt;&lt;D xsi:type="xsd:double"&gt;-7.801914&lt;/D&gt;&lt;D xsi:type="xsd:double"&gt;-5.6089344&lt;/D&gt;&lt;D xsi:type="xsd:double"&gt;-6.009364&lt;/D&gt;&lt;D xsi:type="xsd:double"&gt;3.6420584&lt;/D&gt;&lt;D xsi:type="xsd:double"&gt;-2.8629363&lt;/D&gt;&lt;D xsi:type="xsd:double"&gt;2.3598552&lt;/D&gt;&lt;D xsi:type="xsd:double"&gt;-10.304981&lt;/D&gt;&lt;D xsi:type="xsd:double"&gt;-21.930801&lt;/D&gt;&lt;D xsi:type="xsd:double"&gt;-18.100912&lt;/D&gt;&lt;D xsi:type="xsd:double"&gt;-15.345711&lt;/D&gt;&lt;D xsi:type="xsd:double"&gt;-17.984808&lt;/D&gt;&lt;D xsi:type="xsd:double"&gt;-31.18961&lt;/D&gt;&lt;D xsi:type="xsd:double"&gt;-26.611942&lt;/D&gt;&lt;D xsi:type="xsd:double"&gt;-22.212952&lt;/D&gt;&lt;D xsi:type="xsd:double"&gt;-20.830727&lt;/D&gt;&lt;D xsi:type="xsd:double"&gt;-22.595692&lt;/D&gt;&lt;D xsi:type="xsd:double"&gt;-22.720772&lt;/D&gt;&lt;D xsi:type="xsd:double"&gt;-11.171997&lt;/D&gt;&lt;D xsi:type="xsd:double"&gt;3.5439968&lt;/D&gt;&lt;D xsi:type="xsd:double"&gt;8.084286&lt;/D&gt;&lt;D xsi:type="xsd:double"&gt;9.845936&lt;/D&gt;&lt;D xsi:type="xsd:double"&gt;9.899103&lt;/D&gt;&lt;D xsi:type="xsd:double"&gt;19.481743&lt;/D&gt;&lt;D xsi:type="xsd:double"&gt;37.509216&lt;/D&gt;&lt;D xsi:type="xsd:double"&gt;39.130093&lt;/D&gt;&lt;D xsi:type="xsd:double"&gt;38.812386&lt;/D&gt;&lt;D xsi:type="xsd:double"&gt;46.35457&lt;/D&gt;&lt;D xsi:type="xsd:double"&gt;41.10068&lt;/D&gt;&lt;D xsi:type="xsd:double"&gt;50.491833&lt;/D&gt;&lt;D xsi:type="xsd:double"&gt;30.53155&lt;/D&gt;&lt;D xsi:type="xsd:double"&gt;44.272923&lt;/D&gt;&lt;D xsi:type="xsd:double"&gt;43.555214&lt;/D&gt;&lt;D xsi:type="xsd:double"&gt;28.00728&lt;/D&gt;&lt;D xsi:type="xsd:double"&gt;30.300653&lt;/D&gt;&lt;D xsi:type="xsd:double"&gt;10.0389&lt;/D&gt;&lt;D xsi:type="xsd:double"&gt;6.951821&lt;/D&gt;&lt;D xsi:type="xsd:double"&gt;2.2507071&lt;/D&gt;&lt;D xsi:type="xsd:double"&gt;-4.471034&lt;/D&gt;&lt;D xsi:type="xsd:double"&gt;-2.495581&lt;/D&gt;&lt;D xsi:type="xsd:double"&gt;-16.736746&lt;/D&gt;&lt;D xsi:type="xsd:double"&gt;-15.612114&lt;/D&gt;&lt;D xsi:type="xsd:double"&gt;-19.2164&lt;/D&gt;&lt;D xsi:type="xsd:double"&gt;-20.660568&lt;/D&gt;&lt;D xsi:type="xsd:double"&gt;-13.871586&lt;/D&gt;&lt;D xsi:type="xsd:double"&gt;-10.093612&lt;/D&gt;&lt;D xsi:type="xsd:double"&gt;-14.295459&lt;/D&gt;&lt;D xsi:type="xsd:double"&gt;-10.601598&lt;/D&gt;&lt;D xsi:type="xsd:double"&gt;-0.09781122&lt;/D&gt;&lt;D xsi:type="xsd:double"&gt;-0.6439209&lt;/D&gt;&lt;D xsi:type="xsd:double"&gt;-0.9698272&lt;/D&gt;&lt;D xsi:type="xsd:double"&gt;-1.5016794&lt;/D&gt;&lt;D xsi:type="xsd:double"&gt;19.984257&lt;/D&gt;&lt;D xsi:type="xsd:double"&gt;20.957338&lt;/D&gt;&lt;D xsi:type="xsd:double"&gt;29.454458&lt;/D&gt;&lt;D xsi:type="xsd:double"&gt;19.732594&lt;/D&gt;&lt;D xsi:type="xsd:double"&gt;7.801497&lt;/D&gt;&lt;D xsi:type="xsd:double"&gt;-18.599342&lt;/D&gt;&lt;D xsi:type="xsd:double"&gt;-24.910046&lt;/D&gt;&lt;D xsi:type="xsd:double"&gt;-16.624249&lt;/D&gt;&lt;D xsi:type="xsd:double"&gt;-11.955953&lt;/D&gt;&lt;D xsi:type="xsd:double"&gt;-7.286668&lt;/D&gt;&lt;D xsi:type="xsd:double"&gt;1.4396191&lt;/D&gt;&lt;D xsi:type="xsd:double"&gt;-10.209883&lt;/D&gt;&lt;D xsi:type="xsd:double"&gt;-12.622923&lt;/D&gt;&lt;D xsi:type="xsd:double"&gt;1.1583447&lt;/D&gt;&lt;D xsi:type="xsd:double"&gt;1.4676094&lt;/D&gt;&lt;D xsi:type="xsd:double"&gt;1.2563825&lt;/D&gt;&lt;D xsi:type="xsd:double"&gt;9.492564&lt;/D&gt;&lt;D xsi:type="xsd:double"&gt;48.293137&lt;/D&gt;&lt;D xsi:type="xsd:double"&gt;63.65739&lt;/D&gt;&lt;D xsi:type="xsd:double"&gt;56.0315&lt;/D&gt;&lt;D xsi:type="xsd:double"&gt;39.99784&lt;/D&gt;&lt;D xsi:type="xsd:double"&gt;28.713&lt;/D&gt;&lt;D xsi:type="xsd:double"&gt;26.974415&lt;/D&gt;&lt;D xsi:type="xsd:double"&gt;36.42341&lt;/D&gt;&lt;D xsi:type="xsd:double"&gt;40.003204&lt;/D&gt;&lt;D xsi:type="xsd:double"&gt;11.004424&lt;/D&gt;&lt;D xsi:type="xsd:double"&gt;13.146055&lt;/D&gt;&lt;D xsi:type="xsd:double"&gt;12.086034&lt;/D&gt;&lt;D xsi:type="xsd:double"&gt;6.8855286&lt;/D&gt;&lt;D xsi:type="xsd:double"&gt;-4.4183674&lt;/D&gt;&lt;D xsi:type="xsd:double"&gt;-13.634282&lt;/D&gt;&lt;D xsi:type="xsd:double"&gt;-10.354519&lt;/D&gt;&lt;D xsi:type="xsd:double"&gt;-20.22589&lt;/D&gt;&lt;D xsi:type="xsd:double"&gt;-26.06467&lt;/D&gt;&lt;D xsi:type="xsd:double"&gt;-25.193083&lt;/D&gt;&lt;D xsi:type="xsd:double"&gt;-30.029942&lt;/D&gt;&lt;D xsi:type="xsd:double"&gt;-25.321781&lt;/D&gt;&lt;D xsi:type="xsd:double"&gt;-12.017292&lt;/D&gt;&lt;D xsi:type="xsd:double"&gt;-13.064199&lt;/D&gt;&lt;D xsi:type="xsd:double"&gt;-1.7491221&lt;/D&gt;&lt;D xsi:type="xsd:double"&gt;1.9693971&lt;/D&gt;&lt;D xsi:type="xsd:double"&gt;5.526507&lt;/D&gt;&lt;D xsi:type="xsd:double"&gt;20.471859&lt;/D&gt;&lt;D xsi:type="xsd:double"&gt;10.455645&lt;/D&gt;&lt;D xsi:type="xsd:double"&gt;26.810242&lt;/D&gt;&lt;D xsi:type="xsd:double"&gt;50.900852&lt;/D&gt;&lt;D xsi:type="xsd:double"&gt;35.40747&lt;/D&gt;&lt;D xsi:type="xsd:double"&gt;44.569313&lt;/D&gt;&lt;D xsi:type="xsd:double"&gt;27.036798&lt;/D&gt;&lt;D xsi:type="xsd:double"&gt;24.081982&lt;/D&gt;&lt;D xsi:type="xsd:double"&gt;30.691874&lt;/D&gt;&lt;D xsi:type="xsd:double"&gt;15.982306&lt;/D&gt;&lt;D xsi:type="xsd:double"&gt;24.789656&lt;/D&gt;&lt;D xsi:type="xsd:double"&gt;34.713184&lt;/D&gt;&lt;D xsi:type="xsd:double"&gt;23.395466&lt;/D&gt;&lt;D xsi:type="xsd:double"&gt;31.866991&lt;/D&gt;&lt;D xsi:type="xsd:double"&gt;22.405922&lt;/D&gt;&lt;D xsi:type="xsd:double"&gt;17.209387&lt;/D&gt;&lt;/FQL&gt;&lt;FQL&gt;&lt;Q&gt;VWO^FG_TOTAL_RETURNC(0,-12AM)&lt;/Q&gt;&lt;R&gt;1&lt;/R&gt;&lt;C&gt;1&lt;/C&gt;&lt;D xsi:type="xsd:double"&gt;6.5253615&lt;/D&gt;&lt;/FQL&gt;&lt;FQL&gt;&lt;Q&gt;EWU^P_PRICE(0)/P_PRICE_HIGH_PR(0,,,,,,"PRICE","INTRA","52W")&lt;/Q&gt;&lt;R&gt;1&lt;/R&gt;&lt;C&gt;1&lt;/C&gt;&lt;D xsi:type="xsd:double"&gt;0.9797362&lt;/D&gt;&lt;/FQL&gt;&lt;FQL&gt;&lt;Q&gt;EWC^FMA_DIV_YLD(NTMA,NOW,NOW,M,"PORTAGG","MEANR")&lt;/Q&gt;&lt;R&gt;1&lt;/R&gt;&lt;C&gt;1&lt;/C&gt;&lt;D xsi:type="xsd:double"&gt;3.34950759018179&lt;/D&gt;&lt;/FQL&gt;&lt;FQL&gt;&lt;Q&gt;EWA^FG_TOTAL_RETURNC(0,-12AM)&lt;/Q&gt;&lt;R&gt;1&lt;/R&gt;&lt;C&gt;1&lt;/C&gt;&lt;D xsi:type="xsd:double"&gt;9.413374&lt;/D&gt;&lt;/FQL&gt;&lt;FQL&gt;&lt;Q&gt;TRYAU10Y-FDS^FG_YIELD(0,,,,"YTM")&lt;/Q&gt;&lt;R&gt;1&lt;/R&gt;&lt;C&gt;1&lt;/C&gt;&lt;D xsi:type="xsd:double"&gt;4.308&lt;/D&gt;&lt;/FQL&gt;&lt;FQL&gt;&lt;Q&gt;USDEUR^FG_PRICE_CHANGE(0,-3AM)&lt;/Q&gt;&lt;R&gt;1&lt;/R&gt;&lt;C&gt;1&lt;/C&gt;&lt;D xsi:type="xsd:double"&gt;-1.6212225&lt;/D&gt;&lt;/FQL&gt;&lt;FQL&gt;&lt;Q&gt;EWD^P_PRICE_RETURNS_PR('52W',2,-10AY,0,AM)&lt;/Q&gt;&lt;R&gt;121&lt;/R&gt;&lt;C&gt;1&lt;/C&gt;&lt;D xsi:type="xsd:double"&gt;9.675228&lt;/D&gt;&lt;D xsi:type="xsd:double"&gt;6.6081405&lt;/D&gt;&lt;D xsi:type="xsd:double"&gt;-1.6021252&lt;/D&gt;&lt;D xsi:type="xsd:double"&gt;-5.808723&lt;/D&gt;&lt;D xsi:type="xsd:double"&gt;2.0905733&lt;/D&gt;&lt;D xsi:type="xsd:double"&gt;-5.1761627&lt;/D&gt;&lt;D xsi:type="xsd:double"&gt;-4.612666&lt;/D&gt;&lt;D xsi:type="xsd:double"&gt;-1.411444&lt;/D&gt;&lt;D xsi:type="xsd:double"&gt;-2.7512968&lt;/D&gt;&lt;D xsi:type="xsd:double"&gt;-1.4478445&lt;/D&gt;&lt;D xsi:type="xsd:double"&gt;-4.4188557&lt;/D&gt;&lt;D xsi:type="xsd:double"&gt;-1.4931619&lt;/D&gt;&lt;D xsi:type="xsd:double"&gt;-5.4086566&lt;/D&gt;&lt;D xsi:type="xsd:double"&gt;-9.556448&lt;/D&gt;&lt;D xsi:type="xsd:double"&gt;-9.298193&lt;/D&gt;&lt;D xsi:type="xsd:double"&gt;-2.0266235&lt;/D&gt;&lt;D xsi:type="xsd:double"&gt;-8.825445&lt;/D&gt;&lt;D xsi:type="xsd:double"&gt;-4.15886&lt;/D&gt;&lt;D xsi:type="xsd:double"&gt;-10.430342&lt;/D&gt;&lt;D xsi:type="xsd:double"&gt;-16.779482&lt;/D&gt;&lt;D xsi:type="xsd:double"&gt;-13.572377&lt;/D&gt;&lt;D xsi:type="xsd:double"&gt;-8.276451&lt;/D&gt;&lt;D xsi:type="xsd:double"&gt;-9.564865&lt;/D&gt;&lt;D xsi:type="xsd:double"&gt;-18.894917&lt;/D&gt;&lt;D xsi:type="xsd:double"&gt;-9.6679325&lt;/D&gt;&lt;D xsi:type="xsd:double"&gt;-0.067442656&lt;/D&gt;&lt;D xsi:type="xsd:double"&gt;4.30547&lt;/D&gt;&lt;D xsi:type="xsd:double"&gt;-3.7439287&lt;/D&gt;&lt;D xsi:type="xsd:double"&gt;-2.899462&lt;/D&gt;&lt;D xsi:type="xsd:double"&gt;-0.123399496&lt;/D&gt;&lt;D xsi:type="xsd:double"&gt;13.981056&lt;/D&gt;&lt;D xsi:type="xsd:double"&gt;15.500296&lt;/D&gt;&lt;D xsi:type="xsd:double"&gt;14.931309&lt;/D&gt;&lt;D xsi:type="xsd:double"&gt;13.221455&lt;/D&gt;&lt;D xsi:type="xsd:double"&gt;18.985199&lt;/D&gt;&lt;D xsi:type="xsd:double"&gt;32.173775&lt;/D&gt;&lt;D xsi:type="xsd:double"&gt;26.384735&lt;/D&gt;&lt;D xsi:type="xsd:double"&gt;22.12187&lt;/D&gt;&lt;D xsi:type="xsd:double"&gt;25.680042&lt;/D&gt;&lt;D xsi:type="xsd:double"&gt;29.183626&lt;/D&gt;&lt;D xsi:type="xsd:double"&gt;29.71462&lt;/D&gt;&lt;D xsi:type="xsd:double"&gt;23.08402&lt;/D&gt;&lt;D xsi:type="xsd:double"&gt;23.97425&lt;/D&gt;&lt;D xsi:type="xsd:double"&gt;18.482315&lt;/D&gt;&lt;D xsi:type="xsd:double"&gt;9.2806225&lt;/D&gt;&lt;D xsi:type="xsd:double"&gt;3.8550973&lt;/D&gt;&lt;D xsi:type="xsd:double"&gt;0.9349108&lt;/D&gt;&lt;D xsi:type="xsd:double"&gt;-4.1435122&lt;/D&gt;&lt;D xsi:type="xsd:double"&gt;-1.0208786&lt;/D&gt;&lt;D xsi:type="xsd:double"&gt;-1.514113&lt;/D&gt;&lt;D xsi:type="xsd:double"&gt;-1.0303676&lt;/D&gt;&lt;D xsi:type="xsd:double"&gt;-14.568156&lt;/D&gt;&lt;D xsi:type="xsd:double"&gt;-12.209147&lt;/D&gt;&lt;D xsi:type="xsd:double"&gt;-15.630126&lt;/D&gt;&lt;D xsi:type="xsd:double"&gt;-14.793909&lt;/D&gt;&lt;D xsi:type="xsd:double"&gt;-9.630245&lt;/D&gt;&lt;D xsi:type="xsd:double"&gt;-4.6811285&lt;/D&gt;&lt;D xsi:type="xsd:double"&gt;1.39575&lt;/D&gt;&lt;D xsi:type="xsd:double"&gt;-5.7905254&lt;/D&gt;&lt;D xsi:type="xsd:double"&gt;4.453647&lt;/D&gt;&lt;D xsi:type="xsd:double"&gt;-3.4020603&lt;/D&gt;&lt;D xsi:type="xsd:double"&gt;-9.497833&lt;/D&gt;&lt;D xsi:type="xsd:double"&gt;-8.141059&lt;/D&gt;&lt;D xsi:type="xsd:double"&gt;12.355781&lt;/D&gt;&lt;D xsi:type="xsd:double"&gt;13.907409&lt;/D&gt;&lt;D xsi:type="xsd:double"&gt;27.028883&lt;/D&gt;&lt;D xsi:type="xsd:double"&gt;17.910374&lt;/D&gt;&lt;D xsi:type="xsd:double"&gt;8.964658&lt;/D&gt;&lt;D xsi:type="xsd:double"&gt;-12.307871&lt;/D&gt;&lt;D xsi:type="xsd:double"&gt;-15.198368&lt;/D&gt;&lt;D xsi:type="xsd:double"&gt;-0.24513602&lt;/D&gt;&lt;D xsi:type="xsd:double"&gt;2.0018458&lt;/D&gt;&lt;D xsi:type="xsd:double"&gt;14.916348&lt;/D&gt;&lt;D xsi:type="xsd:double"&gt;32.157005&lt;/D&gt;&lt;D xsi:type="xsd:double"&gt;18.645107&lt;/D&gt;&lt;D xsi:type="xsd:double"&gt;14.5625&lt;/D&gt;&lt;D xsi:type="xsd:double"&gt;27.227772&lt;/D&gt;&lt;D xsi:type="xsd:double"&gt;21.41837&lt;/D&gt;&lt;D xsi:type="xsd:double"&gt;29.581738&lt;/D&gt;&lt;D xsi:type="xsd:double"&gt;35.03207&lt;/D&gt;&lt;D xsi:type="xsd:double"&gt;78.92337&lt;/D&gt;&lt;D xsi:type="xsd:double"&gt;82.962166&lt;/D&gt;&lt;D xsi:type="xsd:double"&gt;67.84601&lt;/D&gt;&lt;D xsi:type="xsd:double"&gt;55.45162&lt;/D&gt;&lt;D xsi:type="xsd:double"&gt;46.09059&lt;/D&gt;&lt;D xsi:type="xsd:double"&gt;35.89734&lt;/D&gt;&lt;D xsi:type="xsd:double"&gt;41.671467&lt;/D&gt;&lt;D xsi:type="xsd:double"&gt;40.079773&lt;/D&gt;&lt;D xsi:type="xsd:double"&gt;15.103304&lt;/D&gt;&lt;D xsi:type="xsd:double"&gt;21.19168&lt;/D&gt;&lt;D xsi:type="xsd:double"&gt;3.6479235&lt;/D&gt;&lt;D xsi:type="xsd:double"&gt;-3.9637089&lt;/D&gt;&lt;D xsi:type="xsd:double"&gt;-7.834035&lt;/D&gt;&lt;D xsi:type="xsd:double"&gt;-21.710217&lt;/D&gt;&lt;D xsi:type="xsd:double"&gt;-21.038855&lt;/D&gt;&lt;D xsi:type="xsd:double"&gt;-28.20639&lt;/D&gt;&lt;D xsi:type="xsd:double"&gt;-31.056028&lt;/D&gt;&lt;D xsi:type="xsd:double"&gt;-32.185013&lt;/D&gt;&lt;D xsi:type="xsd:double"&gt;-39.380474&lt;/D&gt;&lt;D xsi:type="xsd:double"&gt;-34.309048&lt;/D&gt;&lt;D xsi:type="xsd:double"&gt;-22.166967&lt;/D&gt;&lt;D xsi:type="xsd:double"&gt;-26.43826&lt;/D&gt;&lt;D xsi:type="xsd:double"&gt;-11.229218&lt;/D&gt;&lt;D xsi:type="xsd:double"&gt;-4.7084513&lt;/D&gt;&lt;D xsi:type="xsd:double"&gt;-11.674571&lt;/D&gt;&lt;D xsi:type="xsd:double"&gt;5.6795716&lt;/D&gt;&lt;D xsi:type="xsd:double"&gt;0.99829435&lt;/D&gt;&lt;D xsi:type="xsd:double"&gt;9.222019&lt;/D&gt;&lt;D xsi:type="xsd:double"&gt;14.752853&lt;/D&gt;&lt;D xsi:type="xsd:double"&gt;3.7821174&lt;/D&gt;&lt;D xsi:type="xsd:double"&gt;22.16593&lt;/D&gt;&lt;D xsi:type="xsd:double"&gt;4.3738484&lt;/D&gt;&lt;D xsi:type="xsd:double"&gt;8.2757&lt;/D&gt;&lt;D xsi:type="xsd:double"&gt;25.317764&lt;/D&gt;&lt;D xsi:type="xsd:double"&gt;7.305062&lt;/D&gt;&lt;D xsi:type="xsd:double"&gt;16.180944&lt;/D&gt;&lt;D xsi:type="xsd:double"&gt;24.718702&lt;/D&gt;&lt;D xsi:type="xsd:double"&gt;10.989618&lt;/D&gt;&lt;D xsi:type="xsd:double"&gt;23.413599&lt;/D&gt;&lt;D xsi:type="xsd:double"&gt;21.277655&lt;/D&gt;&lt;D xsi:type="xsd:double"&gt;14.420092&lt;/D&gt;&lt;/FQL&gt;&lt;FQL&gt;&lt;Q&gt;EWI^FMA_PE(NTMA,-10AY,0,AM,"PORTAGG","MEANR")&lt;/Q&gt;&lt;R&gt;121&lt;/R&gt;&lt;C&gt;1&lt;/C&gt;&lt;D xsi:type="xsd:double"&gt;14.0916180010788&lt;/D&gt;&lt;D xsi:type="xsd:double"&gt;13.8790583105073&lt;/D&gt;&lt;D xsi:type="xsd:double"&gt;13.7311671849196&lt;/D&gt;&lt;D xsi:type="xsd:double"&gt;12.6300998106973&lt;/D&gt;&lt;D xsi:type="xsd:double"&gt;12.9970710832341&lt;/D&gt;&lt;D xsi:type="xsd:double"&gt;12.5626614558153&lt;/D&gt;&lt;D xsi:type="xsd:double"&gt;13.9736789293472&lt;/D&gt;&lt;D xsi:type="xsd:double"&gt;15.4350844657785&lt;/D&gt;&lt;D xsi:type="xsd:double"&gt;15.6338753714014&lt;/D&gt;&lt;D xsi:type="xsd:double"&gt;15.9564437245474&lt;/D&gt;&lt;D xsi:type="xsd:double"&gt;15.6459637879505&lt;/D&gt;&lt;D xsi:type="xsd:double"&gt;15.5950772367398&lt;/D&gt;&lt;D xsi:type="xsd:double"&gt;15.2380668723279&lt;/D&gt;&lt;D xsi:type="xsd:double"&gt;14.0488358573942&lt;/D&gt;&lt;D xsi:type="xsd:double"&gt;13.9557592403111&lt;/D&gt;&lt;D xsi:type="xsd:double"&gt;14.7977091982381&lt;/D&gt;&lt;D xsi:type="xsd:double"&gt;14.9168347348479&lt;/D&gt;&lt;D xsi:type="xsd:double"&gt;14.148628497712&lt;/D&gt;&lt;D xsi:type="xsd:double"&gt;13.0515843199159&lt;/D&gt;&lt;D xsi:type="xsd:double"&gt;12.8578699581264&lt;/D&gt;&lt;D xsi:type="xsd:double"&gt;13.1931440220504&lt;/D&gt;&lt;D xsi:type="xsd:double"&gt;13.5211893243869&lt;/D&gt;&lt;D xsi:type="xsd:double"&gt;13.8605755544842&lt;/D&gt;&lt;D xsi:type="xsd:double"&gt;11.4392548290109&lt;/D&gt;&lt;D xsi:type="xsd:double"&gt;12.4085898501281&lt;/D&gt;&lt;D xsi:type="xsd:double"&gt;12.5575035375855&lt;/D&gt;&lt;D xsi:type="xsd:double"&gt;11.670431742892&lt;/D&gt;&lt;D xsi:type="xsd:double"&gt;12.2195045984202&lt;/D&gt;&lt;D xsi:type="xsd:double"&gt;11.5946242379158&lt;/D&gt;&lt;D xsi:type="xsd:double"&gt;13.8971240301333&lt;/D&gt;&lt;D xsi:type="xsd:double"&gt;13.221834849032&lt;/D&gt;&lt;D xsi:type="xsd:double"&gt;12.5706849051073&lt;/D&gt;&lt;D xsi:type="xsd:double"&gt;13.5248306159699&lt;/D&gt;&lt;D xsi:type="xsd:double"&gt;13.6608395998468&lt;/D&gt;&lt;D xsi:type="xsd:double"&gt;13.5484967635559&lt;/D&gt;&lt;D xsi:type="xsd:double"&gt;13.3209860358957&lt;/D&gt;&lt;D xsi:type="xsd:double"&gt;13.5731898438431&lt;/D&gt;&lt;D xsi:type="xsd:double"&gt;13.2872041209754&lt;/D&gt;&lt;D xsi:type="xsd:double"&gt;13.4940567564298&lt;/D&gt;&lt;D xsi:type="xsd:double"&gt;13.6608286865107&lt;/D&gt;&lt;D xsi:type="xsd:double"&gt;13.2833773757802&lt;/D&gt;&lt;D xsi:type="xsd:double"&gt;13.1951774303879&lt;/D&gt;&lt;D xsi:type="xsd:double"&gt;13.4628376783266&lt;/D&gt;&lt;D xsi:type="xsd:double"&gt;12.5821516194699&lt;/D&gt;&lt;D xsi:type="xsd:double"&gt;12.2003946713251&lt;/D&gt;&lt;D xsi:type="xsd:double"&gt;13.1134622162518&lt;/D&gt;&lt;D xsi:type="xsd:double"&gt;11.778886222646&lt;/D&gt;&lt;D xsi:type="xsd:double"&gt;11.2627359188914&lt;/D&gt;&lt;D xsi:type="xsd:double"&gt;11.5168496681197&lt;/D&gt;&lt;D xsi:type="xsd:double"&gt;10.8579270209236&lt;/D&gt;&lt;D xsi:type="xsd:double"&gt;11.0733652366245&lt;/D&gt;&lt;D xsi:type="xsd:double"&gt;9.59714379893144&lt;/D&gt;&lt;D xsi:type="xsd:double"&gt;9.70033061591501&lt;/D&gt;&lt;D xsi:type="xsd:double"&gt;9.21344414478552&lt;/D&gt;&lt;D xsi:type="xsd:double"&gt;9.8969749676626&lt;/D&gt;&lt;D xsi:type="xsd:double"&gt;10.4954957761803&lt;/D&gt;&lt;D xsi:type="xsd:double"&gt;10.7216680795177&lt;/D&gt;&lt;D xsi:type="xsd:double"&gt;10.8643545121416&lt;/D&gt;&lt;D xsi:type="xsd:double"&gt;10.1556415681396&lt;/D&gt;&lt;D xsi:type="xsd:double"&gt;10.3925922403876&lt;/D&gt;&lt;D xsi:type="xsd:double"&gt;10.7585131182568&lt;/D&gt;&lt;D xsi:type="xsd:double"&gt;10.1808641763516&lt;/D&gt;&lt;D xsi:type="xsd:double"&gt;10.7538874779469&lt;/D&gt;&lt;D xsi:type="xsd:double"&gt;11.0901514356213&lt;/D&gt;&lt;D xsi:type="xsd:double"&gt;11.2993142551115&lt;/D&gt;&lt;D xsi:type="xsd:double"&gt;11.5912673630475&lt;/D&gt;&lt;D xsi:type="xsd:double"&gt;11.5417099238786&lt;/D&gt;&lt;D xsi:type="xsd:double"&gt;11.2192565887347&lt;/D&gt;&lt;D xsi:type="xsd:double"&gt;9.45346184148057&lt;/D&gt;&lt;D xsi:type="xsd:double"&gt;12.0700922455772&lt;/D&gt;&lt;D xsi:type="xsd:double"&gt;15.4203450136353&lt;/D&gt;&lt;D xsi:type="xsd:double"&gt;17.1626935860264&lt;/D&gt;&lt;D xsi:type="xsd:double"&gt;17.4915347088526&lt;/D&gt;&lt;D xsi:type="xsd:double"&gt;16.1933219701287&lt;/D&gt;&lt;D xsi:type="xsd:double"&gt;14.6065815705757&lt;/D&gt;&lt;D xsi:type="xsd:double"&gt;14.112002169921&lt;/D&gt;&lt;D xsi:type="xsd:double"&gt;15.3715733329571&lt;/D&gt;&lt;D xsi:type="xsd:double"&gt;14.8376441783332&lt;/D&gt;&lt;D xsi:type="xsd:double"&gt;13.5359950866168&lt;/D&gt;&lt;D xsi:type="xsd:double"&gt;13.701980133488&lt;/D&gt;&lt;D xsi:type="xsd:double"&gt;13.9292694660268&lt;/D&gt;&lt;D xsi:type="xsd:double"&gt;13.7450084599577&lt;/D&gt;&lt;D xsi:type="xsd:double"&gt;13.2518022510678&lt;/D&gt;&lt;D xsi:type="xsd:double"&gt;13.6286796464373&lt;/D&gt;&lt;D xsi:type="xsd:double"&gt;13.1246937637219&lt;/D&gt;&lt;D xsi:type="xsd:double"&gt;11.9573475436459&lt;/D&gt;&lt;D xsi:type="xsd:double"&gt;11.7405863495244&lt;/D&gt;&lt;D xsi:type="xsd:double"&gt;11.8853890700422&lt;/D&gt;&lt;D xsi:type="xsd:double"&gt;10.9811363781928&lt;/D&gt;&lt;D xsi:type="xsd:double"&gt;10.9682717985864&lt;/D&gt;&lt;D xsi:type="xsd:double"&gt;10.7594492383259&lt;/D&gt;&lt;D xsi:type="xsd:double"&gt;9.96708913223727&lt;/D&gt;&lt;D xsi:type="xsd:double"&gt;9.54851222988517&lt;/D&gt;&lt;D xsi:type="xsd:double"&gt;9.21411463801458&lt;/D&gt;&lt;D xsi:type="xsd:double"&gt;9.05505952624689&lt;/D&gt;&lt;D xsi:type="xsd:double"&gt;7.99657496674538&lt;/D&gt;&lt;D xsi:type="xsd:double"&gt;7.51512394613455&lt;/D&gt;&lt;D xsi:type="xsd:double"&gt;7.42976503025865&lt;/D&gt;&lt;D xsi:type="xsd:double"&gt;7.31779353906172&lt;/D&gt;&lt;D xsi:type="xsd:double"&gt;7.76955926646144&lt;/D&gt;&lt;D xsi:type="xsd:double"&gt;8.2343516977562&lt;/D&gt;&lt;D xsi:type="xsd:double"&gt;7.67032305708453&lt;/D&gt;&lt;D xsi:type="xsd:double"&gt;8.36217786083367&lt;/D&gt;&lt;D xsi:type="xsd:double"&gt;8.14323621308657&lt;/D&gt;&lt;D xsi:type="xsd:double"&gt;8.10461998576169&lt;/D&gt;&lt;D xsi:type="xsd:double"&gt;8.55276631260551&lt;/D&gt;&lt;D xsi:type="xsd:double"&gt;8.12436312729496&lt;/D&gt;&lt;D xsi:type="xsd:double"&gt;8.50711071113221&lt;/D&gt;&lt;D xsi:type="xsd:double"&gt;8.68321821177006&lt;/D&gt;&lt;D xsi:type="xsd:double"&gt;8.23393236355014&lt;/D&gt;&lt;D xsi:type="xsd:double"&gt;8.22702549320187&lt;/D&gt;&lt;D xsi:type="xsd:double"&gt;7.86501379828856&lt;/D&gt;&lt;D xsi:type="xsd:double"&gt;8.33084665597349&lt;/D&gt;&lt;D xsi:type="xsd:double"&gt;8.90193088824779&lt;/D&gt;&lt;D xsi:type="xsd:double"&gt;8.95295433427643&lt;/D&gt;&lt;D xsi:type="xsd:double"&gt;9.2536741208194&lt;/D&gt;&lt;D xsi:type="xsd:double"&gt;9.81640214818198&lt;/D&gt;&lt;D xsi:type="xsd:double"&gt;9.57997279571212&lt;/D&gt;&lt;D xsi:type="xsd:double"&gt;9.71495700623428&lt;/D&gt;&lt;D xsi:type="xsd:double"&gt;9.41927534140066&lt;/D&gt;&lt;D xsi:type="xsd:double"&gt;9.61692247940046&lt;/D&gt;&lt;/FQL&gt;&lt;FQL&gt;&lt;Q&gt;EWC^FG_PRICE_MAVG(0,,,,30)&lt;/Q&gt;&lt;R&gt;1&lt;/R&gt;&lt;C&gt;1&lt;/C&gt;&lt;D xsi:type="xsd:double"&gt;37.638332&lt;/D&gt;&lt;/FQL&gt;&lt;FQL&gt;&lt;Q&gt;VWO^P_PRICE(0)/P_PRICE_HIGH_PR(0,,,,,,"PRICE","INTRA","52W")&lt;/Q&gt;&lt;R&gt;1&lt;/R&gt;&lt;C&gt;1&lt;/C&gt;&lt;D xsi:type="xsd:double"&gt;0.95615095&lt;/D&gt;&lt;/FQL&gt;&lt;FQL&gt;&lt;Q&gt;TRYEU10Y-FDS^FG_YIELD(-10AY,0,Y,,"YTM")&lt;/Q&gt;&lt;R&gt;10&lt;/R&gt;&lt;C&gt;1&lt;/C&gt;&lt;D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xsi:type="xsd:double"&gt;2.004&lt;/D&gt;&lt;/FQL&gt;&lt;FQL&gt;&lt;Q&gt;BRENT-FDS^FG_PRICE(0)/MAX(FG_PRICE(0,-1AY))&lt;/Q&gt;&lt;R&gt;1&lt;/R&gt;&lt;C&gt;1&lt;/C&gt;&lt;D xsi:type="xsd:double"&gt;0.870614479821537&lt;/D&gt;&lt;/FQL&gt;&lt;FQL&gt;&lt;Q&gt;EWI^FG_PRICE_MAVG(0,,,,30)&lt;/Q&gt;&lt;R&gt;1&lt;/R&gt;&lt;C&gt;1&lt;/C&gt;&lt;D xsi:type="xsd:double"&gt;36.850666&lt;/D&gt;&lt;/FQL&gt;&lt;FQL&gt;&lt;Q&gt;EWA^FG_TOTAL_RETURNC(0,-3AM)&lt;/Q&gt;&lt;R&gt;1&lt;/R&gt;&lt;C&gt;1&lt;/C&gt;&lt;D xsi:type="xsd:double"&gt;6.074691&lt;/D&gt;&lt;/FQL&gt;&lt;FQL&gt;&lt;Q&gt;TRYNZ10Y-FDS^FG_YIELD(0,,,,"YTM")&lt;/Q&gt;&lt;R&gt;1&lt;/R&gt;&lt;C&gt;1&lt;/C&gt;&lt;D xsi:type="xsd:double"&gt;4.3869&lt;/D&gt;&lt;/FQL&gt;&lt;FQL&gt;&lt;Q&gt;EWU^FMA_EVAL_EBITDA(NTMA,0,,,"PORTAGG","MEANR")&lt;/Q&gt;&lt;R&gt;1&lt;/R&gt;&lt;C&gt;1&lt;/C&gt;&lt;D xsi:type="xsd:double"&gt;7.43298262462754&lt;/D&gt;&lt;/FQL&gt;&lt;FQL&gt;&lt;Q&gt;TRYFR10Y-FDS^FG_YIELD(-10AY,0,Y,,"YTM")&lt;/Q&gt;&lt;R&gt;10&lt;/R&gt;&lt;C&gt;1&lt;/C&gt;&lt;D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xsi:type="xsd:double"&gt;2.534&lt;/D&gt;&lt;/FQL&gt;&lt;FQL&gt;&lt;Q&gt;CC_GB^FG_COMPANY_NAME&lt;/Q&gt;&lt;R&gt;1&lt;/R&gt;&lt;C&gt;1&lt;/C&gt;&lt;D xsi:type="xsd:string"&gt;United Kingdom&lt;/D&gt;&lt;/FQL&gt;&lt;FQL&gt;&lt;Q&gt;USDEUR^FG_PRICE_CHANGE(0,-1AY)&lt;/Q&gt;&lt;R&gt;1&lt;/R&gt;&lt;C&gt;1&lt;/C&gt;&lt;D xsi:type="xsd:double"&gt;1.9159913&lt;/D&gt;&lt;/FQL&gt;&lt;FQL&gt;&lt;Q&gt;EWD^FMA_PE(NTMA,-10AY,0,AM,"PORTAGG","MEANR")&lt;/Q&gt;&lt;R&gt;121&lt;/R&gt;&lt;C&gt;1&lt;/C&gt;&lt;D xsi:type="xsd:double"&gt;15.6957184032946&lt;/D&gt;&lt;D xsi:type="xsd:double"&gt;14.8705376916171&lt;/D&gt;&lt;D xsi:type="xsd:double"&gt;14.6050360839399&lt;/D&gt;&lt;D xsi:type="xsd:double"&gt;14.1301609047894&lt;/D&gt;&lt;D xsi:type="xsd:double"&gt;15.6682014764798&lt;/D&gt;&lt;D xsi:type="xsd:double"&gt;15.7046229483106&lt;/D&gt;&lt;D xsi:type="xsd:double"&gt;16.5058168502483&lt;/D&gt;&lt;D xsi:type="xsd:double"&gt;17.1373473297752&lt;/D&gt;&lt;D xsi:type="xsd:double"&gt;17.0906730152926&lt;/D&gt;&lt;D xsi:type="xsd:double"&gt;16.6952859620128&lt;/D&gt;&lt;D xsi:type="xsd:double"&gt;16.4186449507939&lt;/D&gt;&lt;D xsi:type="xsd:double"&gt;16.0282338496078&lt;/D&gt;&lt;D xsi:type="xsd:double"&gt;15.9994207266152&lt;/D&gt;&lt;D xsi:type="xsd:double"&gt;14.5091684555695&lt;/D&gt;&lt;D xsi:type="xsd:double"&gt;14.119600017297&lt;/D&gt;&lt;D xsi:type="xsd:double"&gt;15.5307119686232&lt;/D&gt;&lt;D xsi:type="xsd:double"&gt;15.3683472713801&lt;/D&gt;&lt;D xsi:type="xsd:double"&gt;14.9834059643114&lt;/D&gt;&lt;D xsi:type="xsd:double"&gt;14.5439194185217&lt;/D&gt;&lt;D xsi:type="xsd:double"&gt;15.1124638352433&lt;/D&gt;&lt;D xsi:type="xsd:double"&gt;14.8304582920345&lt;/D&gt;&lt;D xsi:type="xsd:double"&gt;15.5962556299331&lt;/D&gt;&lt;D xsi:type="xsd:double"&gt;15.1109066414384&lt;/D&gt;&lt;D xsi:type="xsd:double"&gt;14.9556988932027&lt;/D&gt;&lt;D xsi:type="xsd:double"&gt;15.1856130775002&lt;/D&gt;&lt;D xsi:type="xsd:double"&gt;15.4426152553483&lt;/D&gt;&lt;D xsi:type="xsd:double"&gt;15.4248489694711&lt;/D&gt;&lt;D xsi:type="xsd:double"&gt;16.2606315355259&lt;/D&gt;&lt;D xsi:type="xsd:double"&gt;16.2791116851503&lt;/D&gt;&lt;D xsi:type="xsd:double"&gt;16.503854002506&lt;/D&gt;&lt;D xsi:type="xsd:double"&gt;16.5591539834831&lt;/D&gt;&lt;D xsi:type="xsd:double"&gt;16.3949769977963&lt;/D&gt;&lt;D xsi:type="xsd:double"&gt;17.1044611516613&lt;/D&gt;&lt;D xsi:type="xsd:double"&gt;17.2347633613478&lt;/D&gt;&lt;D xsi:type="xsd:double"&gt;18.0171480827448&lt;/D&gt;&lt;D xsi:type="xsd:double"&gt;16.8613737337367&lt;/D&gt;&lt;D xsi:type="xsd:double"&gt;16.3609764601548&lt;/D&gt;&lt;D xsi:type="xsd:double"&gt;15.7196082429829&lt;/D&gt;&lt;D xsi:type="xsd:double"&gt;16.4850317418994&lt;/D&gt;&lt;D xsi:type="xsd:double"&gt;17.1678046829742&lt;/D&gt;&lt;D xsi:type="xsd:double"&gt;16.6534299235491&lt;/D&gt;&lt;D xsi:type="xsd:double"&gt;16.4203912506951&lt;/D&gt;&lt;D xsi:type="xsd:double"&gt;16.6833353702567&lt;/D&gt;&lt;D xsi:type="xsd:double"&gt;16.4437210298115&lt;/D&gt;&lt;D xsi:type="xsd:double"&gt;15.4104305385713&lt;/D&gt;&lt;D xsi:type="xsd:double"&gt;15.9194387853305&lt;/D&gt;&lt;D xsi:type="xsd:double"&gt;15.7591945336442&lt;/D&gt;&lt;D xsi:type="xsd:double"&gt;15.0487068068376&lt;/D&gt;&lt;D xsi:type="xsd:double"&gt;15.5541684959768&lt;/D&gt;&lt;D xsi:type="xsd:double"&gt;15.7745743436895&lt;/D&gt;&lt;D xsi:type="xsd:double"&gt;15.8573638285185&lt;/D&gt;&lt;D xsi:type="xsd:double"&gt;13.9171393119493&lt;/D&gt;&lt;D xsi:type="xsd:double"&gt;14.0364179101012&lt;/D&gt;&lt;D xsi:type="xsd:double"&gt;13.2602411927482&lt;/D&gt;&lt;D xsi:type="xsd:double"&gt;13.4976109215811&lt;/D&gt;&lt;D xsi:type="xsd:double"&gt;14.85041033141&lt;/D&gt;&lt;D xsi:type="xsd:double"&gt;14.8957913820716&lt;/D&gt;&lt;D xsi:type="xsd:double"&gt;15.8891311389215&lt;/D&gt;&lt;D xsi:type="xsd:double"&gt;14.6740338549251&lt;/D&gt;&lt;D xsi:type="xsd:double"&gt;14.9305008379983&lt;/D&gt;&lt;D xsi:type="xsd:double"&gt;15.0298218518699&lt;/D&gt;&lt;D xsi:type="xsd:double"&gt;13.4814675992757&lt;/D&gt;&lt;D xsi:type="xsd:double"&gt;14.9239850086353&lt;/D&gt;&lt;D xsi:type="xsd:double"&gt;15.8094376818711&lt;/D&gt;&lt;D xsi:type="xsd:double"&gt;15.7013791936501&lt;/D&gt;&lt;D xsi:type="xsd:double"&gt;16.3192580188586&lt;/D&gt;&lt;D xsi:type="xsd:double"&gt;16.4700030136057&lt;/D&gt;&lt;D xsi:type="xsd:double"&gt;16.0484017642034&lt;/D&gt;&lt;D xsi:type="xsd:double"&gt;13.897511339482&lt;/D&gt;&lt;D xsi:type="xsd:double"&gt;16.4201515965494&lt;/D&gt;&lt;D xsi:type="xsd:double"&gt;18.2065588789901&lt;/D&gt;&lt;D xsi:type="xsd:double"&gt;19.2204692405169&lt;/D&gt;&lt;D xsi:type="xsd:double"&gt;18.6877888154449&lt;/D&gt;&lt;D xsi:type="xsd:double"&gt;18.4292964318944&lt;/D&gt;&lt;D xsi:type="xsd:double"&gt;17.859413085237&lt;/D&gt;&lt;D xsi:type="xsd:double"&gt;16.6358232520993&lt;/D&gt;&lt;D xsi:type="xsd:double"&gt;17.3826824705018&lt;/D&gt;&lt;D xsi:type="xsd:double"&gt;17.076698830785&lt;/D&gt;&lt;D xsi:type="xsd:double"&gt;18.9704160201187&lt;/D&gt;&lt;D xsi:type="xsd:double"&gt;18.7197263433983&lt;/D&gt;&lt;D xsi:type="xsd:double"&gt;20.2493086934537&lt;/D&gt;&lt;D xsi:type="xsd:double"&gt;19.3913112357542&lt;/D&gt;&lt;D xsi:type="xsd:double"&gt;17.6567913243689&lt;/D&gt;&lt;D xsi:type="xsd:double"&gt;18.6648337951173&lt;/D&gt;&lt;D xsi:type="xsd:double"&gt;19.056545193942&lt;/D&gt;&lt;D xsi:type="xsd:double"&gt;18.4941421596221&lt;/D&gt;&lt;D xsi:type="xsd:double"&gt;18.2378660806584&lt;/D&gt;&lt;D xsi:type="xsd:double"&gt;18.5869631012286&lt;/D&gt;&lt;D xsi:type="xsd:double"&gt;17.8354785772976&lt;/D&gt;&lt;D xsi:type="xsd:double"&gt;18.3021437850269&lt;/D&gt;&lt;D xsi:type="xsd:double"&gt;16.6252852234055&lt;/D&gt;&lt;D xsi:type="xsd:double"&gt;15.1580977838716&lt;/D&gt;&lt;D xsi:type="xsd:double"&gt;15.0101862994421&lt;/D&gt;&lt;D xsi:type="xsd:double"&gt;14.3729162168318&lt;/D&gt;&lt;D xsi:type="xsd:double"&gt;15.4688069650188&lt;/D&gt;&lt;D xsi:type="xsd:double"&gt;14.1239383237017&lt;/D&gt;&lt;D xsi:type="xsd:double"&gt;14.8328948212834&lt;/D&gt;&lt;D xsi:type="xsd:double"&gt;14.2163064277922&lt;/D&gt;&lt;D xsi:type="xsd:double"&gt;12.9034336993151&lt;/D&gt;&lt;D xsi:type="xsd:double"&gt;13.2404377631716&lt;/D&gt;&lt;D xsi:type="xsd:double"&gt;13.1333707215908&lt;/D&gt;&lt;D xsi:type="xsd:double"&gt;12.7279571936151&lt;/D&gt;&lt;D xsi:type="xsd:double"&gt;13.9755581821318&lt;/D&gt;&lt;D xsi:type="xsd:double"&gt;13.9315483681901&lt;/D&gt;&lt;D xsi:type="xsd:double"&gt;13.0127937950841&lt;/D&gt;&lt;D xsi:type="xsd:double"&gt;13.7318207777463&lt;/D&gt;&lt;D xsi:type="xsd:double"&gt;13.539760546032&lt;/D&gt;&lt;D xsi:type="xsd:double"&gt;13.2552641399776&lt;/D&gt;&lt;D xsi:type="xsd:double"&gt;13.292576639988&lt;/D&gt;&lt;D xsi:type="xsd:double"&gt;12.5295763876203&lt;/D&gt;&lt;D xsi:type="xsd:double"&gt;12.7301149312992&lt;/D&gt;&lt;D xsi:type="xsd:double"&gt;12.4523344044205&lt;/D&gt;&lt;D xsi:type="xsd:double"&gt;13.547384672793&lt;/D&gt;&lt;D xsi:type="xsd:double"&gt;15.6223358518721&lt;/D&gt;&lt;D xsi:type="xsd:double"&gt;15.4849573842263&lt;/D&gt;&lt;D xsi:type="xsd:double"&gt;16.1977426334385&lt;/D&gt;&lt;D xsi:type="xsd:double"&gt;16.7611925289402&lt;/D&gt;&lt;D xsi:type="xsd:double"&gt;16.0409530901524&lt;/D&gt;&lt;D xsi:type="xsd:double"&gt;16.3840604344195&lt;/D&gt;&lt;D xsi:type="xsd:double"&gt;15.9192626069432&lt;/D&gt;&lt;D xsi:type="xsd:double"&gt;16.1018302735349&lt;/D&gt;&lt;/FQL&gt;&lt;FQL&gt;&lt;Q&gt;EWQ^SIZE(FG_CONSTITUENTS)&lt;/Q&gt;&lt;R&gt;1&lt;/R&gt;&lt;C&gt;1&lt;/C&gt;&lt;D xsi:type="xsd:long"&gt;63&lt;/D&gt;&lt;/FQL&gt;&lt;FQL&gt;&lt;Q&gt;TRYGB10Y-FDS^PCTCHG(FG_YIELD(0,,,,"YTM"),FG_YIELD(-1AM,,,,"YTM"))&lt;/Q&gt;&lt;R&gt;1&lt;/R&gt;&lt;C&gt;1&lt;/C&gt;&lt;D xsi:type="xsd:double"&gt;-1.42581&lt;/D&gt;&lt;/FQL&gt;&lt;FQL&gt;&lt;Q&gt;EWD^FG_FCF_YIELD_NTM(0)&lt;/Q&gt;&lt;R&gt;1&lt;/R&gt;&lt;C&gt;1&lt;/C&gt;&lt;D xsi:type="xsd:double"&gt;5.08914763615821&lt;/D&gt;&lt;/FQL&gt;&lt;FQL&gt;&lt;Q&gt;EWA^FMA_EVAL_EBITDA(NTMA,0,,,"PORTAGG","MEANR")&lt;/Q&gt;&lt;R&gt;1&lt;/R&gt;&lt;C&gt;1&lt;/C&gt;&lt;D xsi:type="xsd:double"&gt;8.60423173694872&lt;/D&gt;&lt;/FQL&gt;&lt;FQL&gt;&lt;Q&gt;QQQ^P_PRICE_RETURNS_PR('52W',2,-10AY,0,AM)&lt;/Q&gt;&lt;R&gt;121&lt;/R&gt;&lt;C&gt;1&lt;/C&gt;&lt;D xsi:type="xsd:double"&gt;31.022585&lt;/D&gt;&lt;D xsi:type="xsd:double"&gt;31.703926&lt;/D&gt;&lt;D xsi:type="xsd:double"&gt;26.608444&lt;/D&gt;&lt;D xsi:type="xsd:double"&gt;21.58128&lt;/D&gt;&lt;D xsi:type="xsd:double"&gt;26.52161&lt;/D&gt;&lt;D xsi:type="xsd:double"&gt;21.549511&lt;/D&gt;&lt;D xsi:type="xsd:double"&gt;21.897352&lt;/D&gt;&lt;D xsi:type="xsd:double"&gt;22.516119&lt;/D&gt;&lt;D xsi:type="xsd:double"&gt;21.62856&lt;/D&gt;&lt;D xsi:type="xsd:double"&gt;27.60278&lt;/D&gt;&lt;D xsi:type="xsd:double"&gt;22.84423&lt;/D&gt;&lt;D xsi:type="xsd:double"&gt;18.322432&lt;/D&gt;&lt;D xsi:type="xsd:double"&gt;15.621686&lt;/D&gt;&lt;D xsi:type="xsd:double"&gt;4.6585083&lt;/D&gt;&lt;D xsi:type="xsd:double"&gt;6.4388633&lt;/D&gt;&lt;D xsi:type="xsd:double"&gt;15.666962&lt;/D&gt;&lt;D xsi:type="xsd:double"&gt;10.058033&lt;/D&gt;&lt;D xsi:type="xsd:double"&gt;9.051704&lt;/D&gt;&lt;D xsi:type="xsd:double"&gt;0.06186962&lt;/D&gt;&lt;D xsi:type="xsd:double"&gt;-4.0344477&lt;/D&gt;&lt;D xsi:type="xsd:double"&gt;0.46263933&lt;/D&gt;&lt;D xsi:type="xsd:double"&gt;-0.82114935&lt;/D&gt;&lt;D xsi:type="xsd:double"&gt;1.4234424&lt;/D&gt;&lt;D xsi:type="xsd:double"&gt;-4.3124557&lt;/D&gt;&lt;D xsi:type="xsd:double"&gt;3.57697&lt;/D&gt;&lt;D xsi:type="xsd:double"&gt;14.6246195&lt;/D&gt;&lt;D xsi:type="xsd:double"&gt;15.301681&lt;/D&gt;&lt;D xsi:type="xsd:double"&gt;6.087959&lt;/D&gt;&lt;D xsi:type="xsd:double"&gt;5.2518845&lt;/D&gt;&lt;D xsi:type="xsd:double"&gt;7.932508&lt;/D&gt;&lt;D xsi:type="xsd:double"&gt;23.085487&lt;/D&gt;&lt;D xsi:type="xsd:double"&gt;28.439962&lt;/D&gt;&lt;D xsi:type="xsd:double"&gt;23.040903&lt;/D&gt;&lt;D xsi:type="xsd:double"&gt;25.705862&lt;/D&gt;&lt;D xsi:type="xsd:double"&gt;30.223274&lt;/D&gt;&lt;D xsi:type="xsd:double"&gt;36.190178&lt;/D&gt;&lt;D xsi:type="xsd:double"&gt;28.62909&lt;/D&gt;&lt;D xsi:type="xsd:double"&gt;23.00582&lt;/D&gt;&lt;D xsi:type="xsd:double"&gt;23.235535&lt;/D&gt;&lt;D xsi:type="xsd:double"&gt;25.386524&lt;/D&gt;&lt;D xsi:type="xsd:double"&gt;33.27626&lt;/D&gt;&lt;D xsi:type="xsd:double"&gt;31.40422&lt;/D&gt;&lt;D xsi:type="xsd:double"&gt;37.376022&lt;/D&gt;&lt;D xsi:type="xsd:double"&gt;32.00867&lt;/D&gt;&lt;D xsi:type="xsd:double"&gt;26.945639&lt;/D&gt;&lt;D xsi:type="xsd:double"&gt;21.089481&lt;/D&gt;&lt;D xsi:type="xsd:double"&gt;21.440971&lt;/D&gt;&lt;D xsi:type="xsd:double"&gt;23.390747&lt;/D&gt;&lt;D xsi:type="xsd:double"&gt;25.289774&lt;/D&gt;&lt;D xsi:type="xsd:double"&gt;29.301273&lt;/D&gt;&lt;D xsi:type="xsd:double"&gt;29.69693&lt;/D&gt;&lt;D xsi:type="xsd:double"&gt;14.277113&lt;/D&gt;&lt;D xsi:type="xsd:double"&gt;5.0445795&lt;/D&gt;&lt;D xsi:type="xsd:double"&gt;-1.7611146&lt;/D&gt;&lt;D xsi:type="xsd:double"&gt;-1.0620892&lt;/D&gt;&lt;D xsi:type="xsd:double"&gt;2.8081536&lt;/D&gt;&lt;D xsi:type="xsd:double"&gt;9.86011&lt;/D&gt;&lt;D xsi:type="xsd:double"&gt;18.717861&lt;/D&gt;&lt;D xsi:type="xsd:double"&gt;5.9936643&lt;/D&gt;&lt;D xsi:type="xsd:double"&gt;8.921301&lt;/D&gt;&lt;D xsi:type="xsd:double"&gt;9.416413&lt;/D&gt;&lt;D xsi:type="xsd:double"&gt;2.1714091&lt;/D&gt;&lt;D xsi:type="xsd:double"&gt;3.6983728&lt;/D&gt;&lt;D xsi:type="xsd:double"&gt;15.398884&lt;/D&gt;&lt;D xsi:type="xsd:double"&gt;26.743258&lt;/D&gt;&lt;D xsi:type="xsd:double"&gt;41.380703&lt;/D&gt;&lt;D xsi:type="xsd:double"&gt;37.581097&lt;/D&gt;&lt;D xsi:type="xsd:double"&gt;25.654089&lt;/D&gt;&lt;D xsi:type="xsd:double"&gt;8.092129&lt;/D&gt;&lt;D xsi:type="xsd:double"&gt;13.682116&lt;/D&gt;&lt;D xsi:type="xsd:double"&gt;29.656578&lt;/D&gt;&lt;D xsi:type="xsd:double"&gt;30.337166&lt;/D&gt;&lt;D xsi:type="xsd:double"&gt;32.009674&lt;/D&gt;&lt;D xsi:type="xsd:double"&gt;59.241306&lt;/D&gt;&lt;D xsi:type="xsd:double"&gt;43.934788&lt;/D&gt;&lt;D xsi:type="xsd:double"&gt;44.432594&lt;/D&gt;&lt;D xsi:type="xsd:double"&gt;46.164&lt;/D&gt;&lt;D xsi:type="xsd:double"&gt;47.11615&lt;/D&gt;&lt;D xsi:type="xsd:double"&gt;48.60095&lt;/D&gt;&lt;D xsi:type="xsd:double"&gt;46.148014&lt;/D&gt;&lt;D xsi:type="xsd:double"&gt;65.69682&lt;/D&gt;&lt;D xsi:type="xsd:double"&gt;60.756718&lt;/D&gt;&lt;D xsi:type="xsd:double"&gt;46.79328&lt;/D&gt;&lt;D xsi:type="xsd:double"&gt;42.845142&lt;/D&gt;&lt;D xsi:type="xsd:double"&gt;45.006966&lt;/D&gt;&lt;D xsi:type="xsd:double"&gt;28.281998&lt;/D&gt;&lt;D xsi:type="xsd:double"&gt;41.42488&lt;/D&gt;&lt;D xsi:type="xsd:double"&gt;35.896347&lt;/D&gt;&lt;D xsi:type="xsd:double"&gt;32.74374&lt;/D&gt;&lt;D xsi:type="xsd:double"&gt;29.40756&lt;/D&gt;&lt;D xsi:type="xsd:double"&gt;5.3689003&lt;/D&gt;&lt;D xsi:type="xsd:double"&gt;11.062706&lt;/D&gt;&lt;D xsi:type="xsd:double"&gt;15.98078&lt;/D&gt;&lt;D xsi:type="xsd:double"&gt;-6.720895&lt;/D&gt;&lt;D xsi:type="xsd:double"&gt;-9.983092&lt;/D&gt;&lt;D xsi:type="xsd:double"&gt;-15.33202&lt;/D&gt;&lt;D xsi:type="xsd:double"&gt;-19.671219&lt;/D&gt;&lt;D xsi:type="xsd:double"&gt;-16.989946&lt;/D&gt;&lt;D xsi:type="xsd:double"&gt;-26.051586&lt;/D&gt;&lt;D xsi:type="xsd:double"&gt;-26.2361&lt;/D&gt;&lt;D xsi:type="xsd:double"&gt;-27.6007&lt;/D&gt;&lt;D xsi:type="xsd:double"&gt;-32.1465&lt;/D&gt;&lt;D xsi:type="xsd:double"&gt;-14.242399&lt;/D&gt;&lt;D xsi:type="xsd:double"&gt;-13.655591&lt;/D&gt;&lt;D xsi:type="xsd:double"&gt;-12.896097&lt;/D&gt;&lt;D xsi:type="xsd:double"&gt;-0.9091675&lt;/D&gt;&lt;D xsi:type="xsd:double"&gt;17.284012&lt;/D&gt;&lt;D xsi:type="xsd:double"&gt;22.275675&lt;/D&gt;&lt;D xsi:type="xsd:double"&gt;29.16335&lt;/D&gt;&lt;D xsi:type="xsd:double"&gt;14.36199&lt;/D&gt;&lt;D xsi:type="xsd:double"&gt;29.978348&lt;/D&gt;&lt;D xsi:type="xsd:double"&gt;24.491703&lt;/D&gt;&lt;D xsi:type="xsd:double"&gt;35.78074&lt;/D&gt;&lt;D xsi:type="xsd:double"&gt;54.658173&lt;/D&gt;&lt;D xsi:type="xsd:double"&gt;45.472862&lt;/D&gt;&lt;D xsi:type="xsd:double"&gt;50.610863&lt;/D&gt;&lt;D xsi:type="xsd:double"&gt;43.546223&lt;/D&gt;&lt;D xsi:type="xsd:double"&gt;39.118492&lt;/D&gt;&lt;D xsi:type="xsd:double"&gt;39.001442&lt;/D&gt;&lt;D xsi:type="xsd:double"&gt;35.227047&lt;/D&gt;&lt;D xsi:type="xsd:double"&gt;23.479605&lt;/D&gt;&lt;/FQL&gt;&lt;FQL&gt;&lt;Q&gt;PASP-FDS^FG_PRICE_CHANGE(0,-3AM)&lt;/Q&gt;&lt;R&gt;1&lt;/R&gt;&lt;C&gt;1&lt;/C&gt;&lt;D xsi:type="xsd:double"&gt;-6.82281059063137&lt;/D&gt;&lt;/FQL&gt;&lt;FQL&gt;&lt;Q&gt;EWA^FG_PRICE(0)&lt;/Q&gt;&lt;R&gt;1&lt;/R&gt;&lt;C&gt;1&lt;/C&gt;&lt;D xsi:type="xsd:double"&gt;24.68&lt;/D&gt;&lt;/FQL&gt;&lt;FQL&gt;&lt;Q&gt;EWU^FG_FCF_YIELD_NTM(0)&lt;/Q&gt;&lt;R&gt;1&lt;/R&gt;&lt;C&gt;1&lt;/C&gt;&lt;D xsi:type="xsd:double"&gt;6.22979986884211&lt;/D&gt;&lt;/FQL&gt;&lt;FQL&gt;&lt;Q&gt;SPY^FG_TOTAL_RETURNC(0,-1AM)&lt;/Q&gt;&lt;R&gt;1&lt;/R&gt;&lt;C&gt;1&lt;/C&gt;&lt;D xsi:type="xsd:double"&gt;-0.19614697&lt;/D&gt;&lt;/FQL&gt;&lt;FQL&gt;&lt;Q&gt;TRYPL10Y-FDS^FG_YIELD(-10AY,0,Y,,"YTM")&lt;/Q&gt;&lt;R&gt;10&lt;/R&gt;&lt;C&gt;1&lt;/C&gt;&lt;D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xsi:type="xsd:double"&gt;5.1912&lt;/D&gt;&lt;/FQL&gt;&lt;FQL&gt;&lt;Q&gt;EWL^P_PRICE(0)/P_PRICE_HIGH_PR(0,,,,,,"PRICE","INTRA","52W")&lt;/Q&gt;&lt;R&gt;1&lt;/R&gt;&lt;C&gt;1&lt;/C&gt;&lt;D xsi:type="xsd:double"&gt;0.9887419&lt;/D&gt;&lt;/FQL&gt;&lt;FQL&gt;&lt;Q&gt;EWQ^FMA_COS_DOWN("EPS","1M",+1,0,,,"PORTAGG","MEANR")&lt;/Q&gt;&lt;R&gt;1&lt;/R&gt;&lt;C&gt;1&lt;/C&gt;&lt;D xsi:type="xsd:double"&gt;37&lt;/D&gt;&lt;/FQL&gt;&lt;FQL&gt;&lt;Q&gt;REFCHMPR-FDS^(SUBARRAY(NOT_NA(NO_REPEAT_F(FG_YIELD(NOW,-10AY,D))),0,1)-SUBARRAY(NOT_NA(NO_REPEAT_F(FG_YIELD(NOW,-10AY,D))),1,1))*100&lt;/Q&gt;&lt;R&gt;1&lt;/R&gt;&lt;C&gt;1&lt;/C&gt;&lt;D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xsi:type="xsd:double"&gt;-25&lt;/D&gt;&lt;/FQL&gt;&lt;FQL&gt;&lt;Q&gt;CC_FR^IMF_IFS_RCPI_Q(0)&lt;/Q&gt;&lt;R&gt;1&lt;/R&gt;&lt;C&gt;1&lt;/C&gt;&lt;D xsi:type="xsd:double"&gt;2.2093682</t>
        </r>
      </text>
    </comment>
    <comment ref="A12" authorId="0" shapeId="0" xr:uid="{B2B9072A-65CA-49D2-B622-C403FFB10B72}">
      <text>
        <r>
          <rPr>
            <b/>
            <sz val="9"/>
            <color indexed="81"/>
            <rFont val="Tahoma"/>
            <charset val="1"/>
          </rPr>
          <t>&lt;/D&gt;&lt;/FQL&gt;&lt;FQL&gt;&lt;Q&gt;EWD^FMA_DIV_YLD(NTMA,NOW,NOW,M,"PORTAGG","MEANR")&lt;/Q&gt;&lt;R&gt;1&lt;/R&gt;&lt;C&gt;1&lt;/C&gt;&lt;D xsi:type="xsd:double"&gt;3.23094000575736&lt;/D&gt;&lt;/FQL&gt;&lt;FQL&gt;&lt;Q&gt;EWA^FG_FCF_YIELD_NTM(0)&lt;/Q&gt;&lt;R&gt;1&lt;/R&gt;&lt;C&gt;1&lt;/C&gt;&lt;D xsi:type="xsd:double"&gt;5.09096211144267&lt;/D&gt;&lt;/FQL&gt;&lt;FQL&gt;&lt;Q&gt;USDCAD^FG_PRICE(0)&lt;/Q&gt;&lt;R&gt;1&lt;/R&gt;&lt;C&gt;1&lt;/C&gt;&lt;D xsi:type="xsd:double"&gt;1.384&lt;/D&gt;&lt;/FQL&gt;&lt;FQL&gt;&lt;Q&gt;BRENT-FDS^FG_PRICE(0)&lt;/Q&gt;&lt;R&gt;1&lt;/R&gt;&lt;C&gt;1&lt;/C&gt;&lt;D xsi:type="xsd:double"&gt;85.86&lt;/D&gt;&lt;/FQL&gt;&lt;FQL&gt;&lt;Q&gt;EWN^PERCENT_CHANGE(FMA_EPS(+1,0,,,,"PORTAGG","MEAN"),FMA_EPS(+1,-1AM,,,,"PORTAGG","MEAN"))&lt;/Q&gt;&lt;R&gt;1&lt;/R&gt;&lt;C&gt;1&lt;/C&gt;&lt;D xsi:type="xsd:double"&gt;-0.710738689340707&lt;/D&gt;&lt;/FQL&gt;&lt;FQL&gt;&lt;Q&gt;REFCHMPR-FDS^FG_YIELD(NOW,,,0)&lt;/Q&gt;&lt;R&gt;1&lt;/R&gt;&lt;C&gt;1&lt;/C&gt;&lt;D xsi:type="xsd:double"&gt;1.25&lt;/D&gt;&lt;/FQL&gt;&lt;FQL&gt;&lt;Q&gt;TRYZA10Y-FDS^FG_YIELD(-10AY,0,Y,,"YTM")&lt;/Q&gt;&lt;R&gt;10&lt;/R&gt;&lt;C&gt;1&lt;/C&gt;&lt;D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xsi:type="xsd:double"&gt;11.358896&lt;/D&gt;&lt;/FQL&gt;&lt;FQL&gt;&lt;Q&gt;EWQ^FMA_COS_UP("EPS","1M",+1,0,,,"PORTAGG","MEANR")&lt;/Q&gt;&lt;R&gt;1&lt;/R&gt;&lt;C&gt;1&lt;/C&gt;&lt;D xsi:type="xsd:double"&gt;18&lt;/D&gt;&lt;/FQL&gt;&lt;FQL&gt;&lt;Q&gt;EWD^FMA_PE(NTMA,0,,,"PORTAGG","MEANR")&lt;/Q&gt;&lt;R&gt;1&lt;/R&gt;&lt;C&gt;1&lt;/C&gt;&lt;D xsi:type="xsd:double"&gt;16.1018302735349&lt;/D&gt;&lt;/FQL&gt;&lt;FQL&gt;&lt;Q&gt;USDAUD^STD(FG_PRICE_CHANGE(0,-3AY,M))&lt;/Q&gt;&lt;R&gt;1&lt;/R&gt;&lt;C&gt;1&lt;/C&gt;&lt;D xsi:type="xsd:double"&gt;3.06129369010948&lt;/D&gt;&lt;/FQL&gt;&lt;FQL&gt;&lt;Q&gt;EWA^P_PRICE_RETURNS_PR('52W',2,-10AY,0,AM)&lt;/Q&gt;&lt;R&gt;121&lt;/R&gt;&lt;C&gt;1&lt;/C&gt;&lt;D xsi:type="xsd:double"&gt;17.12309&lt;/D&gt;&lt;D xsi:type="xsd:double"&gt;18.310738&lt;/D&gt;&lt;D xsi:type="xsd:double"&gt;-2.333337&lt;/D&gt;&lt;D xsi:type="xsd:double"&gt;-3.7249744&lt;/D&gt;&lt;D xsi:type="xsd:double"&gt;-1.6968906&lt;/D&gt;&lt;D xsi:type="xsd:double"&gt;-4.3179154&lt;/D&gt;&lt;D xsi:type="xsd:double"&gt;1.0073185&lt;/D&gt;&lt;D xsi:type="xsd:double"&gt;-1.5183508&lt;/D&gt;&lt;D xsi:type="xsd:double"&gt;-2.8111398&lt;/D&gt;&lt;D xsi:type="xsd:double"&gt;-5.5024266&lt;/D&gt;&lt;D xsi:type="xsd:double"&gt;-9.816837&lt;/D&gt;&lt;D xsi:type="xsd:double"&gt;-14.214373&lt;/D&gt;&lt;D xsi:type="xsd:double"&gt;-20.862425&lt;/D&gt;&lt;D xsi:type="xsd:double"&gt;-26.10696&lt;/D&gt;&lt;D xsi:type="xsd:double"&gt;-21.644514&lt;/D&gt;&lt;D xsi:type="xsd:double"&gt;-16.20567&lt;/D&gt;&lt;D xsi:type="xsd:double"&gt;-15.186244&lt;/D&gt;&lt;D xsi:type="xsd:double"&gt;-10.891843&lt;/D&gt;&lt;D xsi:type="xsd:double"&gt;-17.604065&lt;/D&gt;&lt;D xsi:type="xsd:double"&gt;-22.559196&lt;/D&gt;&lt;D xsi:type="xsd:double"&gt;-16.026323&lt;/D&gt;&lt;D xsi:type="xsd:double"&gt;-10.687059&lt;/D&gt;&lt;D xsi:type="xsd:double"&gt;-9.518946&lt;/D&gt;&lt;D xsi:type="xsd:double"&gt;-10.212874&lt;/D&gt;&lt;D xsi:type="xsd:double"&gt;5.951476&lt;/D&gt;&lt;D xsi:type="xsd:double"&gt;14.13393&lt;/D&gt;&lt;D xsi:type="xsd:double"&gt;18.911123&lt;/D&gt;&lt;D xsi:type="xsd:double"&gt;8.899832&lt;/D&gt;&lt;D xsi:type="xsd:double"&gt;13.336563&lt;/D&gt;&lt;D xsi:type="xsd:double"&gt;11.527753&lt;/D&gt;&lt;D xsi:type="xsd:double"&gt;28.595293&lt;/D&gt;&lt;D xsi:type="xsd:double"&gt;30.783998&lt;/D&gt;&lt;D xsi:type="xsd:double"&gt;20.049631&lt;/D&gt;&lt;D xsi:type="xsd:double"&gt;14.952982&lt;/D&gt;&lt;D xsi:type="xsd:double"&gt;15.362465&lt;/D&gt;&lt;D xsi:type="xsd:double"&gt;18.574715&lt;/D&gt;&lt;D xsi:type="xsd:double"&gt;16.82875&lt;/D&gt;&lt;D xsi:type="xsd:double"&gt;13.696575&lt;/D&gt;&lt;D xsi:type="xsd:double"&gt;14.902962&lt;/D&gt;&lt;D xsi:type="xsd:double"&gt;15.521288&lt;/D&gt;&lt;D xsi:type="xsd:double"&gt;16.743195&lt;/D&gt;&lt;D xsi:type="xsd:double"&gt;19.965446&lt;/D&gt;&lt;D xsi:type="xsd:double"&gt;18.307507&lt;/D&gt;&lt;D xsi:type="xsd:double"&gt;11.307276&lt;/D&gt;&lt;D xsi:type="xsd:double"&gt;5.140245&lt;/D&gt;&lt;D xsi:type="xsd:double"&gt;3.9675236&lt;/D&gt;&lt;D xsi:type="xsd:double"&gt;8.508146&lt;/D&gt;&lt;D xsi:type="xsd:double"&gt;9.401417&lt;/D&gt;&lt;D xsi:type="xsd:double"&gt;3.690195&lt;/D&gt;&lt;D xsi:type="xsd:double"&gt;4.188788&lt;/D&gt;&lt;D xsi:type="xsd:double"&gt;3.3041&lt;/D&gt;&lt;D xsi:type="xsd:double"&gt;-8.102739&lt;/D&gt;&lt;D xsi:type="xsd:double"&gt;-5.192089&lt;/D&gt;&lt;D xsi:type="xsd:double"&gt;-12.180239&lt;/D&gt;&lt;D xsi:type="xsd:double"&gt;-8.696413&lt;/D&gt;&lt;D xsi:type="xsd:double"&gt;-3.4485161&lt;/D&gt;&lt;D xsi:type="xsd:double"&gt;1.9425035&lt;/D&gt;&lt;D xsi:type="xsd:double"&gt;4.367888&lt;/D&gt;&lt;D xsi:type="xsd:double"&gt;2.5846362&lt;/D&gt;&lt;D xsi:type="xsd:double"&gt;6.21773&lt;/D&gt;&lt;D xsi:type="xsd:double"&gt;5.8410525&lt;/D&gt;&lt;D xsi:type="xsd:double"&gt;-0.13686419&lt;/D&gt;&lt;D xsi:type="xsd:double"&gt;6.2672377&lt;/D&gt;&lt;D xsi:type="xsd:double"&gt;19.74963&lt;/D&gt;&lt;D xsi:type="xsd:double"&gt;15.555525&lt;/D&gt;&lt;D xsi:type="xsd:double"&gt;24.517036&lt;/D&gt;&lt;D xsi:type="xsd:double"&gt;19.976568&lt;/D&gt;&lt;D xsi:type="xsd:double"&gt;3.061533&lt;/D&gt;&lt;D xsi:type="xsd:double"&gt;-23.844152&lt;/D&gt;&lt;D xsi:type="xsd:double"&gt;-21.902138&lt;/D&gt;&lt;D xsi:type="xsd:double"&gt;-14.201302&lt;/D&gt;&lt;D xsi:type="xsd:double"&gt;-13.325387&lt;/D&gt;&lt;D xsi:type="xsd:double"&gt;-9.104234&lt;/D&gt;&lt;D xsi:type="xsd:double"&gt;1.6577005&lt;/D&gt;&lt;D xsi:type="xsd:double"&gt;-7.804412&lt;/D&gt;&lt;D xsi:type="xsd:double"&gt;-6.201392&lt;/D&gt;&lt;D xsi:type="xsd:double"&gt;7.2179794&lt;/D&gt;&lt;D xsi:type="xsd:double"&gt;8.172512&lt;/D&gt;&lt;D xsi:type="xsd:double"&gt;10.046959&lt;/D&gt;&lt;D xsi:type="xsd:double"&gt;18.37864&lt;/D&gt;&lt;D xsi:type="xsd:double"&gt;63.501835&lt;/D&gt;&lt;D xsi:type="xsd:double"&gt;64.52321&lt;/D&gt;&lt;D xsi:type="xsd:double"&gt;49.852337&lt;/D&gt;&lt;D xsi:type="xsd:double"&gt;41.04769&lt;/D&gt;&lt;D xsi:type="xsd:double"&gt;32.32298&lt;/D&gt;&lt;D xsi:type="xsd:double"&gt;25.75699&lt;/D&gt;&lt;D xsi:type="xsd:double"&gt;32.350517&lt;/D&gt;&lt;D xsi:type="xsd:double"&gt;32.47813&lt;/D&gt;&lt;D xsi:type="xsd:double"&gt;7.185817&lt;/D&gt;&lt;D xsi:type="xsd:double"&gt;8.832991&lt;/D&gt;&lt;D xsi:type="xsd:double"&gt;-3.4021497&lt;/D&gt;&lt;D xsi:type="xsd:double"&gt;0.88214874&lt;/D&gt;&lt;D xsi:type="xsd:double"&gt;13.067794&lt;/D&gt;&lt;D xsi:type="xsd:double"&gt;-2.798599&lt;/D&gt;&lt;D xsi:type="xsd:double"&gt;-3.4476995&lt;/D&gt;&lt;D xsi:type="xsd:double"&gt;-12.220329&lt;/D&gt;&lt;D xsi:type="xsd:double"&gt;-10.261363&lt;/D&gt;&lt;D xsi:type="xsd:double"&gt;-6.3238087&lt;/D&gt;&lt;D xsi:type="xsd:double"&gt;-16.407835&lt;/D&gt;&lt;D xsi:type="xsd:double"&gt;-16.212315&lt;/D&gt;&lt;D xsi:type="xsd:double"&gt;-2.4784625&lt;/D&gt;&lt;D xsi:type="xsd:double"&gt;-5.295616&lt;/D&gt;&lt;D xsi:type="xsd:double"&gt;14.487732&lt;/D&gt;&lt;D xsi:type="xsd:double"&gt;1.307559&lt;/D&gt;&lt;D xsi:type="xsd:double"&gt;-12.159747&lt;/D&gt;&lt;D xsi:type="xsd:double"&gt;-1.5698969&lt;/D&gt;&lt;D xsi:type="xsd:double"&gt;-3.4985542&lt;/D&gt;&lt;D xsi:type="xsd:double"&gt;6.5250874&lt;/D&gt;&lt;D xsi:type="xsd:double"&gt;12.046599&lt;/D&gt;&lt;D xsi:type="xsd:double"&gt;-2.3389876&lt;/D&gt;&lt;D xsi:type="xsd:double"&gt;11.916388&lt;/D&gt;&lt;D xsi:type="xsd:double"&gt;2.494526&lt;/D&gt;&lt;D xsi:type="xsd:double"&gt;0.5623579&lt;/D&gt;&lt;D xsi:type="xsd:double"&gt;13.866604&lt;/D&gt;&lt;D xsi:type="xsd:double"&gt;-1.5383601&lt;/D&gt;&lt;D xsi:type="xsd:double"&gt;8.118189&lt;/D&gt;&lt;D xsi:type="xsd:double"&gt;14.662313&lt;/D&gt;&lt;D xsi:type="xsd:double"&gt;7.9960465&lt;/D&gt;&lt;D xsi:type="xsd:double"&gt;15.331221&lt;/D&gt;&lt;D xsi:type="xsd:double"&gt;13.712788&lt;/D&gt;&lt;D xsi:type="xsd:double"&gt;9.413374&lt;/D&gt;&lt;/FQL&gt;&lt;FQL&gt;&lt;Q&gt;EWA^FMA_PE(NTMA,-10AY,0,AM,"PORTAGG","MEANR")&lt;/Q&gt;&lt;R&gt;121&lt;/R&gt;&lt;C&gt;1&lt;/C&gt;&lt;D xsi:type="xsd:double"&gt;14.8958296660377&lt;/D&gt;&lt;D xsi:type="xsd:double"&gt;14.9299694884885&lt;/D&gt;&lt;D xsi:type="xsd:double"&gt;13.9043161430432&lt;/D&gt;&lt;D xsi:type="xsd:double"&gt;14.3210052169147&lt;/D&gt;&lt;D xsi:type="xsd:double"&gt;14.1513824576626&lt;/D&gt;&lt;D xsi:type="xsd:double"&gt;14.3533535242629&lt;/D&gt;&lt;D xsi:type="xsd:double"&gt;15.0707150867402&lt;/D&gt;&lt;D xsi:type="xsd:double"&gt;16.1798825039415&lt;/D&gt;&lt;D xsi:type="xsd:double"&gt;16.2666584307181&lt;/D&gt;&lt;D xsi:type="xsd:double"&gt;16.5986785497397&lt;/D&gt;&lt;D xsi:type="xsd:double"&gt;16.0289523548149&lt;/D&gt;&lt;D xsi:type="xsd:double"&gt;15.3132454893494&lt;/D&gt;&lt;D xsi:type="xsd:double"&gt;15.2628679678094&lt;/D&gt;&lt;D xsi:type="xsd:double"&gt;14.4474839532821&lt;/D&gt;&lt;D xsi:type="xsd:double"&gt;14.1964293388636&lt;/D&gt;&lt;D xsi:type="xsd:double"&gt;15.3033627352412&lt;/D&gt;&lt;D xsi:type="xsd:double"&gt;15.0758889831433&lt;/D&gt;&lt;D xsi:type="xsd:double"&gt;15.4374158399116&lt;/D&gt;&lt;D xsi:type="xsd:double"&gt;15.0849348538199&lt;/D&gt;&lt;D xsi:type="xsd:double"&gt;15.077202287216&lt;/D&gt;&lt;D xsi:type="xsd:double"&gt;15.7665172006967&lt;/D&gt;&lt;D xsi:type="xsd:double"&gt;16.1460623485286&lt;/D&gt;&lt;D xsi:type="xsd:double"&gt;16.5221401814202&lt;/D&gt;&lt;D xsi:type="xsd:double"&gt;15.6222328884701&lt;/D&gt;&lt;D xsi:type="xsd:double"&gt;16.7959790951639&lt;/D&gt;&lt;D xsi:type="xsd:double"&gt;16.7436373869721&lt;/D&gt;&lt;D xsi:type="xsd:double"&gt;16.2839274952513&lt;/D&gt;&lt;D xsi:type="xsd:double"&gt;15.8893767250447&lt;/D&gt;&lt;D xsi:type="xsd:double"&gt;16.0899706638585&lt;/D&gt;&lt;D xsi:type="xsd:double"&gt;15.7168049140357&lt;/D&gt;&lt;D xsi:type="xsd:double"&gt;15.6920770570483&lt;/D&gt;&lt;D xsi:type="xsd:double"&gt;15.8540378913022&lt;/D&gt;&lt;D xsi:type="xsd:double"&gt;15.5552445288805&lt;/D&gt;&lt;D xsi:type="xsd:double"&gt;15.9139028643459&lt;/D&gt;&lt;D xsi:type="xsd:double"&gt;15.3746191871798&lt;/D&gt;&lt;D xsi:type="xsd:double"&gt;15.3537595882767&lt;/D&gt;&lt;D xsi:type="xsd:double"&gt;15.8103070405955&lt;/D&gt;&lt;D xsi:type="xsd:double"&gt;15.7824154832613&lt;/D&gt;&lt;D xsi:type="xsd:double"&gt;15.3928449202409&lt;/D&gt;&lt;D xsi:type="xsd:double"&gt;15.845455828531&lt;/D&gt;&lt;D xsi:type="xsd:double"&gt;15.9332336571924&lt;/D&gt;&lt;D xsi:type="xsd:double"&gt;15.9635425252946&lt;/D&gt;&lt;D xsi:type="xsd:double"&gt;15.825534674446&lt;/D&gt;&lt;D xsi:type="xsd:double"&gt;15.6377095815979&lt;/D&gt;&lt;D xsi:type="xsd:double"&gt;14.8422082204757&lt;/D&gt;&lt;D xsi:type="xsd:double"&gt;14.9916404956643&lt;/D&gt;&lt;D xsi:type="xsd:double"&gt;15.2549722770613&lt;/D&gt;&lt;D xsi:type="xsd:double"&gt;15.4571770270812&lt;/D&gt;&lt;D xsi:type="xsd:double"&gt;15.5195635699127&lt;/D&gt;&lt;D xsi:type="xsd:double"&gt;15.5465024911069&lt;/D&gt;&lt;D xsi:type="xsd:double"&gt;15.2804791083467&lt;/D&gt;&lt;D xsi:type="xsd:double"&gt;13.8735515723673&lt;/D&gt;&lt;D xsi:type="xsd:double"&gt;14.0936951332199&lt;/D&gt;&lt;D xsi:type="xsd:double"&gt;13.5803836523841&lt;/D&gt;&lt;D xsi:type="xsd:double"&gt;14.7696178694428&lt;/D&gt;&lt;D xsi:type="xsd:double"&gt;15.2555252730345&lt;/D&gt;&lt;D xsi:type="xsd:double"&gt;15.2223555871541&lt;/D&gt;&lt;D xsi:type="xsd:double"&gt;15.5430077856131&lt;/D&gt;&lt;D xsi:type="xsd:double"&gt;15.6744808786086&lt;/D&gt;&lt;D xsi:type="xsd:double"&gt;16.2498824228411&lt;/D&gt;&lt;D xsi:type="xsd:double"&gt;16.3887207137146&lt;/D&gt;&lt;D xsi:type="xsd:double"&gt;15.8129253888022&lt;/D&gt;&lt;D xsi:type="xsd:double"&gt;16.610947107203&lt;/D&gt;&lt;D xsi:type="xsd:double"&gt;16.9948130377705&lt;/D&gt;&lt;D xsi:type="xsd:double"&gt;17.2786619666564&lt;/D&gt;&lt;D xsi:type="xsd:double"&gt;17.4127812680958&lt;/D&gt;&lt;D xsi:type="xsd:double"&gt;18.1516172194188&lt;/D&gt;&lt;D xsi:type="xsd:double"&gt;17.2320419905816&lt;/D&gt;&lt;D xsi:type="xsd:double"&gt;13.9233508209188&lt;/D&gt;&lt;D xsi:type="xsd:double"&gt;16.1564631300181&lt;/D&gt;&lt;D xsi:type="xsd:double"&gt;18.6248796434195&lt;/D&gt;&lt;D xsi:type="xsd:double"&gt;18.8234789611661&lt;/D&gt;&lt;D xsi:type="xsd:double"&gt;19.2925175236911&lt;/D&gt;&lt;D xsi:type="xsd:double"&gt;19.6532313562498&lt;/D&gt;&lt;D xsi:type="xsd:double"&gt;18.471502179878&lt;/D&gt;&lt;D xsi:type="xsd:double"&gt;18.5619733325001&lt;/D&gt;&lt;D xsi:type="xsd:double"&gt;19.9266244660146&lt;/D&gt;&lt;D xsi:type="xsd:double"&gt;19.2405379037905&lt;/D&gt;&lt;D xsi:type="xsd:double"&gt;19.337231276032&lt;/D&gt;&lt;D xsi:type="xsd:double"&gt;17.9550506925964&lt;/D&gt;&lt;D xsi:type="xsd:double"&gt;17.736930570692&lt;/D&gt;&lt;D xsi:type="xsd:double"&gt;18.10063068003&lt;/D&gt;&lt;D xsi:type="xsd:double"&gt;17.8428006572348&lt;/D&gt;&lt;D xsi:type="xsd:double"&gt;17.7415095016848&lt;/D&gt;&lt;D xsi:type="xsd:double"&gt;16.8298039435008&lt;/D&gt;&lt;D xsi:type="xsd:double"&gt;17.1840523389851&lt;/D&gt;&lt;D xsi:type="xsd:double"&gt;17.0216398449806&lt;/D&gt;&lt;D xsi:type="xsd:double"&gt;17.6496028598593&lt;/D&gt;&lt;D xsi:type="xsd:double"&gt;16.9111747813273&lt;/D&gt;&lt;D xsi:type="xsd:double"&gt;17.4037187717023&lt;/D&gt;&lt;D xsi:type="xsd:double"&gt;16.1501596683866&lt;/D&gt;&lt;D xsi:type="xsd:double"&gt;15.3303438279865&lt;/D&gt;&lt;D xsi:type="xsd:double"&gt;16.2078788866837&lt;/D&gt;&lt;D xsi:type="xsd:double"&gt;14.8805117636628&lt;/D&gt;&lt;D xsi:type="xsd:double"&gt;14.1537286047387&lt;/D&gt;&lt;D xsi:type="xsd:double"&gt;12.6277219563076&lt;/D&gt;&lt;D xsi:type="xsd:double"&gt;13.571789850401&lt;/D&gt;&lt;D xsi:type="xsd:double"&gt;14.2317782325453&lt;/D&gt;&lt;D xsi:type="xsd:double"&gt;12.5838894973987&lt;/D&gt;&lt;D xsi:type="xsd:double"&gt;13.3201337466437&lt;/D&gt;&lt;D xsi:type="xsd:double"&gt;14.6000012117347&lt;/D&gt;&lt;D xsi:type="xsd:double"&gt;14.2224203334722&lt;/D&gt;&lt;D xsi:type="xsd:double"&gt;14.9424238427143&lt;/D&gt;&lt;D xsi:type="xsd:double"&gt;14.5643934953363&lt;/D&gt;&lt;D xsi:type="xsd:double"&gt;13.8017319081492&lt;/D&gt;&lt;D xsi:type="xsd:double"&gt;14.5930196120808&lt;/D&gt;&lt;D xsi:type="xsd:double"&gt;14.1902734950577&lt;/D&gt;&lt;D xsi:type="xsd:double"&gt;14.6044385908539&lt;/D&gt;&lt;D xsi:type="xsd:double"&gt;15.7264738892274&lt;/D&gt;&lt;D xsi:type="xsd:double"&gt;15.0249232458851&lt;/D&gt;&lt;D xsi:type="xsd:double"&gt;14.8425030149593&lt;/D&gt;&lt;D xsi:type="xsd:double"&gt;14.3203129916682&lt;/D&gt;&lt;D xsi:type="xsd:double"&gt;15.1644585758691&lt;/D&gt;&lt;D xsi:type="xsd:double"&gt;16.2587335051808&lt;/D&gt;&lt;D xsi:type="xsd:double"&gt;16.3314154843917&lt;/D&gt;&lt;D xsi:type="xsd:double"&gt;16.5267013122304&lt;/D&gt;&lt;D xsi:type="xsd:double"&gt;16.6961680260025&lt;/D&gt;&lt;D xsi:type="xsd:double"&gt;16.2531162313433&lt;/D&gt;&lt;D xsi:type="xsd:double"&gt;16.6270919335406&lt;/D&gt;&lt;D xsi:type="xsd:double"&gt;16.8997615930303&lt;/D&gt;&lt;D xsi:type="xsd:double"&gt;16.9975756053481&lt;/D&gt;&lt;/FQL&gt;&lt;FQL&gt;&lt;Q&gt;COPP-FDS^MAX(FG_PRICE(0,-5AY))&lt;/Q&gt;&lt;R&gt;1&lt;/R&gt;&lt;C&gt;1&lt;/C&gt;&lt;D xsi:type="xsd:double"&gt;5.119&lt;/D&gt;&lt;/FQL&gt;&lt;FQL&gt;&lt;Q&gt;USDSEK^STD(FG_PRICE_CHANGE(0,-3AY,M))&lt;/Q&gt;&lt;R&gt;1&lt;/R&gt;&lt;C&gt;1&lt;/C&gt;&lt;D xsi:type="xsd:double"&gt;2.96832492591346&lt;/D&gt;&lt;/FQL&gt;&lt;FQL&gt;&lt;Q&gt;EWD^FG_TOTAL_RETURNC(-10AY,0,AM)&lt;/Q&gt;&lt;R&gt;121&lt;/R&gt;&lt;C&gt;1&lt;/C&gt;&lt;D xsi:type="xsd:double"&gt;0.94151497&lt;/D&gt;&lt;D xsi:type="xsd:double"&gt;-2.8547287&lt;/D&gt;&lt;D xsi:type="xsd:double"&gt;-4.189694&lt;/D&gt;&lt;D xsi:type="xsd:double"&gt;-2.064985&lt;/D&gt;&lt;D xsi:type="xsd:double"&gt;5.023253&lt;/D&gt;&lt;D xsi:type="xsd:double"&gt;-4.440689&lt;/D&gt;&lt;D xsi:type="xsd:double"&gt;-0.09337664&lt;/D&gt;&lt;D xsi:type="xsd:double"&gt;6.8535805&lt;/D&gt;&lt;D xsi:type="xsd:double"&gt;-1.6326487&lt;/D&gt;&lt;D xsi:type="xsd:double"&gt;2.0450473&lt;/D&gt;&lt;D xsi:type="xsd:double"&gt;-0.8713305&lt;/D&gt;&lt;D xsi:type="xsd:double"&gt;0.42470694&lt;/D&gt;&lt;D xsi:type="xsd:double"&gt;-3.563881&lt;/D&gt;&lt;D xsi:type="xsd:double"&gt;-6.6395283&lt;/D&gt;&lt;D xsi:type="xsd:double"&gt;-3.8577676&lt;/D&gt;&lt;D xsi:type="xsd:double"&gt;5.7222605&lt;/D&gt;&lt;D xsi:type="xsd:double"&gt;-2.178216&lt;/D&gt;&lt;D xsi:type="xsd:double"&gt;0.39266348&lt;/D&gt;&lt;D xsi:type="xsd:double"&gt;-6.659937&lt;/D&gt;&lt;D xsi:type="xsd:double"&gt;-0.7207215&lt;/D&gt;&lt;D xsi:type="xsd:double"&gt;3.7023664&lt;/D&gt;&lt;D xsi:type="xsd:double"&gt;6.6853285&lt;/D&gt;&lt;D xsi:type="xsd:double"&gt;-2.2637725&lt;/D&gt;&lt;D xsi:type="xsd:double"&gt;-9.581083&lt;/D&gt;&lt;D xsi:type="xsd:double"&gt;6.985712&lt;/D&gt;&lt;D xsi:type="xsd:double"&gt;3.282833&lt;/D&gt;&lt;D xsi:type="xsd:double"&gt;0.34928322&lt;/D&gt;&lt;D xsi:type="xsd:double"&gt;-2.436471&lt;/D&gt;&lt;D xsi:type="xsd:double"&gt;-1.3200164&lt;/D&gt;&lt;D xsi:type="xsd:double"&gt;3.05444&lt;/D&gt;&lt;D xsi:type="xsd:double"&gt;6.736839&lt;/D&gt;&lt;D xsi:type="xsd:double"&gt;0.16436577&lt;/D&gt;&lt;D xsi:type="xsd:double"&gt;3.6429286&lt;/D&gt;&lt;D xsi:type="xsd:double"&gt;5.098164&lt;/D&gt;&lt;D xsi:type="xsd:double"&gt;2.7116656&lt;/D&gt;&lt;D xsi:type="xsd:double"&gt;0.4411459&lt;/D&gt;&lt;D xsi:type="xsd:double"&gt;2.299881&lt;/D&gt;&lt;D xsi:type="xsd:double"&gt;0.4963398&lt;/D&gt;&lt;D xsi:type="xsd:double"&gt;2.5566578&lt;/D&gt;&lt;D xsi:type="xsd:double"&gt;0.28328896&lt;/D&gt;&lt;D xsi:type="xsd:double"&gt;-1.6666651&lt;/D&gt;&lt;D xsi:type="xsd:double"&gt;-1.4652908&lt;/D&gt;&lt;D xsi:type="xsd:double"&gt;7.5088263&lt;/D&gt;&lt;D xsi:type="xsd:double"&gt;-4.2727947&lt;/D&gt;&lt;D xsi:type="xsd:double"&gt;-4.406297&lt;/D&gt;&lt;D xsi:type="xsd:double"&gt;-0.11972785&lt;/D&gt;&lt;D xsi:type="xsd:double"&gt;-0.029963255&lt;/D&gt;&lt;D xsi:type="xsd:double"&gt;-4.752117&lt;/D&gt;&lt;D xsi:type="xsd:double"&gt;5.6324124&lt;/D&gt;&lt;D xsi:type="xsd:double"&gt;-1.3408184&lt;/D&gt;&lt;D xsi:type="xsd:double"&gt;4.456389&lt;/D&gt;&lt;D xsi:type="xsd:double"&gt;-13.43419&lt;/D&gt;&lt;D xsi:type="xsd:double"&gt;1.0485768&lt;/D&gt;&lt;D xsi:type="xsd:double"&gt;-5.3049326&lt;/D&gt;&lt;D xsi:type="xsd:double"&gt;7.7119827&lt;/D&gt;&lt;D xsi:type="xsd:double"&gt;2.3413658&lt;/D&gt;&lt;D xsi:type="xsd:double"&gt;0.8289099&lt;/D&gt;&lt;D xsi:type="xsd:double"&gt;6.2479496&lt;/D&gt;&lt;D xsi:type="xsd:double"&gt;-6.5304875&lt;/D&gt;&lt;D xsi:type="xsd:double"&gt;4.9443603&lt;/D&gt;&lt;D xsi:type="xsd:double"&gt;-2.311945&lt;/D&gt;&lt;D xsi:type="xsd:double"&gt;-7.5666666&lt;/D&gt;&lt;D xsi:type="xsd:double"&gt;6.022358&lt;/D&gt;&lt;D xsi:type="xsd:double"&gt;7.176876&lt;/D&gt;&lt;D xsi:type="xsd:double"&gt;1.2059689&lt;/D&gt;&lt;D xsi:type="xsd:double"&gt;5.603385&lt;/D&gt;&lt;D xsi:type="xsd:double"&gt;-0.9019792&lt;/D&gt;&lt;D xsi:type="xsd:double"&gt;-4.5813084&lt;/D&gt;&lt;D xsi:type="xsd:double"&gt;-18.855328&lt;/D&gt;&lt;D xsi:type="xsd:double"&gt;3.095603&lt;/D&gt;&lt;D xsi:type="xsd:double"&gt;9.578109&lt;/D&gt;&lt;D xsi:type="xsd:double"&gt;7.308233&lt;/D&gt;&lt;D xsi:type="xsd:double"&gt;11.4137535&lt;/D&gt;&lt;D xsi:type="xsd:double"&gt;5.0058246&lt;/D&gt;&lt;D xsi:type="xsd:double"&gt;-5.238366&lt;/D&gt;&lt;D xsi:type="xsd:double"&gt;3.9485335&lt;/D&gt;&lt;D xsi:type="xsd:double"&gt;12.324131&lt;/D&gt;&lt;D xsi:type="xsd:double"&gt;0.5717397&lt;/D&gt;&lt;D xsi:type="xsd:double"&gt;6.047678&lt;/D&gt;&lt;D xsi:type="xsd:double"&gt;-0.5679071&lt;/D&gt;&lt;D xsi:type="xsd:double"&gt;7.5202227&lt;/D&gt;&lt;D xsi:type="xsd:double"&gt;5.422759&lt;/D&gt;&lt;D xsi:type="xsd:double"&gt;0.5248785&lt;/D&gt;&lt;D xsi:type="xsd:double"&gt;0.51208735&lt;/D&gt;&lt;D xsi:type="xsd:double"&gt;3.529656&lt;/D&gt;&lt;D xsi:type="xsd:double"&gt;-2.3208022&lt;/D&gt;&lt;D xsi:type="xsd:double"&gt;-1.9344032&lt;/D&gt;&lt;D xsi:type="xsd:double"&gt;3.5377383&lt;/D&gt;&lt;D xsi:type="xsd:double"&gt;-7.7034593&lt;/D&gt;&lt;D xsi:type="xsd:double"&gt;5.4131627&lt;/D&gt;&lt;D xsi:type="xsd:double"&gt;-8.892298&lt;/D&gt;&lt;D xsi:type="xsd:double"&gt;-6.3132524&lt;/D&gt;&lt;D xsi:type="xsd:double"&gt;-0.07717013&lt;/D&gt;&lt;D xsi:type="xsd:double"&gt;-9.060478&lt;/D&gt;&lt;D xsi:type="xsd:double"&gt;1.3869166&lt;/D&gt;&lt;D xsi:type="xsd:double"&gt;-8.825434&lt;/D&gt;&lt;D xsi:type="xsd:double"&gt;-0.34656525&lt;/D&gt;&lt;D xsi:type="xsd:double"&gt;-3.9203286&lt;/D&gt;&lt;D xsi:type="xsd:double"&gt;-12.339586&lt;/D&gt;&lt;D xsi:type="xsd:double"&gt;12.199699&lt;/D&gt;&lt;D xsi:type="xsd:double"&gt;13.282037&lt;/D&gt;&lt;D xsi:type="xsd:double"&gt;-3.824228&lt;/D&gt;&lt;D xsi:type="xsd:double"&gt;9.944403&lt;/D&gt;&lt;D xsi:type="xsd:double"&gt;-1.9662857&lt;/D&gt;&lt;D xsi:type="xsd:double"&gt;-4.3266535&lt;/D&gt;&lt;D xsi:type="xsd:double"&gt;8.056307&lt;/D&gt;&lt;D xsi:type="xsd:double"&gt;-3.1042218&lt;/D&gt;&lt;D xsi:type="xsd:double"&gt;-1.4015973&lt;/D&gt;&lt;D xsi:type="xsd:double"&gt;4.699731&lt;/D&gt;&lt;D xsi:type="xsd:double"&gt;-9.531725&lt;/D&gt;&lt;D xsi:type="xsd:double"&gt;-0.88821054&lt;/D&gt;&lt;D xsi:type="xsd:double"&gt;-4.1409135&lt;/D&gt;&lt;D xsi:type="xsd:double"&gt;16.441&lt;/D&gt;&lt;D xsi:type="xsd:double"&gt;12.341892&lt;/D&gt;&lt;D xsi:type="xsd:double"&gt;-5.858588&lt;/D&gt;&lt;D xsi:type="xsd:double"&gt;6.1427116&lt;/D&gt;&lt;D xsi:type="xsd:double"&gt;2.704072&lt;/D&gt;&lt;D xsi:type="xsd:double"&gt;-3.838575&lt;/D&gt;&lt;D xsi:type="xsd:double"&gt;6.6018343&lt;/D&gt;&lt;D xsi:type="xsd:double"&gt;-2.071637&lt;/D&gt;&lt;D xsi:type="xsd:double"&gt;-1.220429&lt;/D&gt;&lt;/FQL&gt;&lt;FQL&gt;&lt;Q&gt;EWL^FMA_PE(LTMA,-10AY,0,AM,"PORTAGG","MEANR")&lt;/Q&gt;&lt;R&gt;121&lt;/R&gt;&lt;C&gt;1&lt;/C&gt;&lt;D xsi:type="xsd:double"&gt;17.2824090383572&lt;/D&gt;&lt;D xsi:type="xsd:double"&gt;17.427559021687&lt;/D&gt;&lt;D xsi:type="xsd:double"&gt;17.2698775866963&lt;/D&gt;&lt;D xsi:type="xsd:double"&gt;16.8782642813845&lt;/D&gt;&lt;D xsi:type="xsd:double"&gt;17.734943490231&lt;/D&gt;&lt;D xsi:type="xsd:double"&gt;17.3627595471822&lt;/D&gt;&lt;D xsi:type="xsd:double"&gt;16.5860683086307&lt;/D&gt;&lt;D xsi:type="xsd:double"&gt;18.0220959471973&lt;/D&gt;&lt;D xsi:type="xsd:double"&gt;18.0025801512176&lt;/D&gt;&lt;D xsi:type="xsd:double"&gt;18.1951277739111&lt;/D&gt;&lt;D xsi:type="xsd:double"&gt;18.0849156587925&lt;/D&gt;&lt;D xsi:type="xsd:double"&gt;17.8976156300915&lt;/D&gt;&lt;D xsi:type="xsd:double"&gt;18.1484670385573&lt;/D&gt;&lt;D xsi:type="xsd:double"&gt;17.1583149635208&lt;/D&gt;&lt;D xsi:type="xsd:double"&gt;16.9487651228455&lt;/D&gt;&lt;D xsi:type="xsd:double"&gt;17.7349971107265&lt;/D&gt;&lt;D xsi:type="xsd:double"&gt;17.5500292007001&lt;/D&gt;&lt;D xsi:type="xsd:double"&gt;17.3473832510538&lt;/D&gt;&lt;D xsi:type="xsd:double"&gt;16.6149170311924&lt;/D&gt;&lt;D xsi:type="xsd:double"&gt;16.6073382950339&lt;/D&gt;&lt;D xsi:type="xsd:double"&gt;16.595976802544&lt;/D&gt;&lt;D xsi:type="xsd:double"&gt;16.8595905890579&lt;/D&gt;&lt;D xsi:type="xsd:double"&gt;17.135999976495&lt;/D&gt;&lt;D xsi:type="xsd:double"&gt;16.8231335285483&lt;/D&gt;&lt;D xsi:type="xsd:double"&gt;17.496222338858&lt;/D&gt;&lt;D xsi:type="xsd:double"&gt;17.8529501611658&lt;/D&gt;&lt;D xsi:type="xsd:double"&gt;18.0213766768524&lt;/D&gt;&lt;D xsi:type="xsd:double"&gt;17.6702235113837&lt;/D&gt;&lt;D xsi:type="xsd:double"&gt;17.5400228459349&lt;/D&gt;&lt;D xsi:type="xsd:double"&gt;18.1541870789835&lt;/D&gt;&lt;D xsi:type="xsd:double"&gt;18.6815919443021&lt;/D&gt;&lt;D xsi:type="xsd:double"&gt;19.6013938141022&lt;/D&gt;&lt;D xsi:type="xsd:double"&gt;19.5707082797753&lt;/D&gt;&lt;D xsi:type="xsd:double"&gt;19.492884832652&lt;/D&gt;&lt;D xsi:type="xsd:double"&gt;19.5386254545056&lt;/D&gt;&lt;D xsi:type="xsd:double"&gt;19.5285095100616&lt;/D&gt;&lt;D xsi:type="xsd:double"&gt;19.3128365804319&lt;/D&gt;&lt;D xsi:type="xsd:double"&gt;19.1529823204513&lt;/D&gt;&lt;D xsi:type="xsd:double"&gt;19.3541178726182&lt;/D&gt;&lt;D xsi:type="xsd:double"&gt;20.1407302668335&lt;/D&gt;&lt;D xsi:type="xsd:double"&gt;20.4880886249465&lt;/D&gt;&lt;D xsi:type="xsd:double"&gt;20.6197385987389&lt;/D&gt;&lt;D xsi:type="xsd:double"&gt;22.2579310036866&lt;/D&gt;&lt;D xsi:type="xsd:double"&gt;21.5949797216995&lt;/D&gt;&lt;D xsi:type="xsd:double"&gt;20.67983555138&lt;/D&gt;&lt;D xsi:type="xsd:double"&gt;20.3424281337264&lt;/D&gt;&lt;D xsi:type="xsd:double"&gt;19.9247140924011&lt;/D&gt;&lt;D xsi:type="xsd:double"&gt;19.2181477253809&lt;/D&gt;&lt;D xsi:type="xsd:double"&gt;19.3335181129103&lt;/D&gt;&lt;D xsi:type="xsd:double"&gt;18.8885228351161&lt;/D&gt;&lt;D xsi:type="xsd:double"&gt;18.6226486419275&lt;/D&gt;&lt;D xsi:type="xsd:double"&gt;17.492504930415&lt;/D&gt;&lt;D xsi:type="xsd:double"&gt;17.6109925942468&lt;/D&gt;&lt;D xsi:type="xsd:double"&gt;16.2145847016698&lt;/D&gt;&lt;D xsi:type="xsd:double"&gt;17.5052777948466&lt;/D&gt;&lt;D xsi:type="xsd:double"&gt;18.4845036219348&lt;/D&gt;&lt;D xsi:type="xsd:double"&gt;18.2468139216069&lt;/D&gt;&lt;D xsi:type="xsd:double"&gt;18.2908046453804&lt;/D&gt;&lt;D xsi:type="xsd:double"&gt;18.1727735247626&lt;/D&gt;&lt;D xsi:type="xsd:double"&gt;18.3053139709969&lt;/D&gt;&lt;D xsi:type="xsd:double"&gt;18.3386740551822&lt;/D&gt;&lt;D xsi:type="xsd:double"&gt;18.1181887980627&lt;/D&gt;&lt;D xsi:type="xsd:double"&gt;18.3785874677238&lt;/D&gt;&lt;D xsi:type="xsd:double"&gt;18.5971199354437&lt;/D&gt;&lt;D xsi:type="xsd:double"&gt;19.1296050991162&lt;/D&gt;&lt;D xsi:type="xsd:double"&gt;19.7156293387664&lt;/D&gt;&lt;D xsi:type="xsd:double"&gt;20.1573783283197&lt;/D&gt;&lt;D xsi:type="xsd:double"&gt;19.1743612877618&lt;/D&gt;&lt;D xsi:type="xsd:double"&gt;17.7273272067723&lt;/D&gt;&lt;D xsi:type="xsd:double"&gt;18.4746815456843&lt;/D&gt;&lt;D xsi:type="xsd:double"&gt;19.0833318056181&lt;/D&gt;&lt;D xsi:type="xsd:double"&gt;19.4727075203472&lt;/D&gt;&lt;D xsi:type="xsd:double"&gt;20.0411505631006&lt;/D&gt;&lt;D xsi:type="xsd:double"&gt;20.6850303621673&lt;/D&gt;&lt;D xsi:type="xsd:double"&gt;20.5875359836047&lt;/D&gt;&lt;D xsi:type="xsd:double"&gt;20.4797462606066&lt;/D&gt;&lt;D xsi:type="xsd:double"&gt;21.271210839808&lt;/D&gt;&lt;D xsi:type="xsd:double"&gt;21.3804125563601&lt;/D&gt;&lt;D xsi:type="xsd:double"&gt;21.7426750693549&lt;/D&gt;&lt;D xsi:type="xsd:double"&gt;20.4823143891709&lt;/D&gt;&lt;D xsi:type="xsd:double"&gt;20.4682490884232&lt;/D&gt;&lt;D xsi:type="xsd:double"&gt;20.2845455938056&lt;/D&gt;&lt;D xsi:type="xsd:double"&gt;20.5777738332771&lt;/D&gt;&lt;D xsi:type="xsd:double"&gt;20.9514174767073&lt;/D&gt;&lt;D xsi:type="xsd:double"&gt;20.8715654167005&lt;/D&gt;&lt;D xsi:type="xsd:double"&gt;21.1556802123336&lt;/D&gt;&lt;D xsi:type="xsd:double"&gt;20.4162156151816&lt;/D&gt;&lt;D xsi:type="xsd:double"&gt;20.6145794057623&lt;/D&gt;&lt;D xsi:type="xsd:double"&gt;20.4141359545974&lt;/D&gt;&lt;D xsi:type="xsd:double"&gt;21.4214549815714&lt;/D&gt;&lt;D xsi:type="xsd:double"&gt;19.9145937740504&lt;/D&gt;&lt;D xsi:type="xsd:double"&gt;18.4032207270857&lt;/D&gt;&lt;D xsi:type="xsd:double"&gt;18.5447616049369&lt;/D&gt;&lt;D xsi:type="xsd:double"&gt;18.427385184645&lt;/D&gt;&lt;D xsi:type="xsd:double"&gt;18.1218493925209&lt;/D&gt;&lt;D xsi:type="xsd:double"&gt;17.6638975897577&lt;/D&gt;&lt;D xsi:type="xsd:double"&gt;17.9467740745989&lt;/D&gt;&lt;D xsi:type="xsd:double"&gt;17.9994950947415&lt;/D&gt;&lt;D xsi:type="xsd:double"&gt;16.7738324988177&lt;/D&gt;&lt;D xsi:type="xsd:double"&gt;17.8138167596435&lt;/D&gt;&lt;D xsi:type="xsd:double"&gt;19.848209641085&lt;/D&gt;&lt;D xsi:type="xsd:double"&gt;20.1016253030926&lt;/D&gt;&lt;D xsi:type="xsd:double"&gt;21.2136909722349&lt;/D&gt;&lt;D xsi:type="xsd:double"&gt;20.8512471452258&lt;/D&gt;&lt;D xsi:type="xsd:double"&gt;20.3373746065953&lt;/D&gt;&lt;D xsi:type="xsd:double"&gt;20.2838501805546&lt;/D&gt;&lt;D xsi:type="xsd:double"&gt;19.9348962068841&lt;/D&gt;&lt;D xsi:type="xsd:double"&gt;19.2275424043687&lt;/D&gt;&lt;D xsi:type="xsd:double"&gt;19.1761435566022&lt;/D&gt;&lt;D xsi:type="xsd:double"&gt;18.7027167392701&lt;/D&gt;&lt;D xsi:type="xsd:double"&gt;18.4217739941729&lt;/D&gt;&lt;D xsi:type="xsd:double"&gt;17.5693935979082&lt;/D&gt;&lt;D xsi:type="xsd:double"&gt;18.0835719567896&lt;/D&gt;&lt;D xsi:type="xsd:double"&gt;18.3644579997738&lt;/D&gt;&lt;D xsi:type="xsd:double"&gt;18.6721673798354&lt;/D&gt;&lt;D xsi:type="xsd:double"&gt;19.2912564929904&lt;/D&gt;&lt;D xsi:type="xsd:double"&gt;19.143560749594&lt;/D&gt;&lt;D xsi:type="xsd:double"&gt;18.8326628402453&lt;/D&gt;&lt;D xsi:type="xsd:double"&gt;18.8627426837612&lt;/D&gt;&lt;D xsi:type="xsd:double"&gt;18.7986048509198&lt;/D&gt;&lt;D xsi:type="xsd:double"&gt;18.8654529773735&lt;/D&gt;&lt;/FQL&gt;&lt;FQL&gt;&lt;Q&gt;NI-FDS^FG_PRICE_CHANGE(0,-1AM)&lt;/Q&gt;&lt;R&gt;1&lt;/R&gt;&lt;C&gt;1&lt;/C&gt;&lt;D xsi:type="xsd:double"&gt;-8.04257835600236&lt;/D&gt;&lt;/FQL&gt;&lt;FQL&gt;&lt;Q&gt;EWQ^FG_PRICE(0)&lt;/Q&gt;&lt;R&gt;1&lt;/R&gt;&lt;C&gt;1&lt;/C&gt;&lt;D xsi:type="xsd:double"&gt;38.68&lt;/D&gt;&lt;/FQL&gt;&lt;FQL&gt;&lt;Q&gt;SPY^FG_TOTAL_RETURNC(0,-12AM)&lt;/Q&gt;&lt;R&gt;1&lt;/R&gt;&lt;C&gt;1&lt;/C&gt;&lt;D xsi:type="xsd:double"&gt;21.204163&lt;/D&gt;&lt;/FQL&gt;&lt;FQL&gt;&lt;Q&gt;ENZL^FMA_PCT_ABOVE_MAVG(200,0,,,,"PORTAGG")&lt;/Q&gt;&lt;R&gt;1&lt;/R&gt;&lt;C&gt;1&lt;/C&gt;&lt;D xsi:type="xsd:double"&gt;57.1428571428571&lt;/D&gt;&lt;/FQL&gt;&lt;FQL&gt;&lt;Q&gt;EWQ^FMA_RBICS_REV_CURRENT(30, LOC, "PORTAGG")&lt;/Q&gt;&lt;R&gt;1&lt;/R&gt;&lt;C&gt;1&lt;/C&gt;&lt;D xsi:type="xsd:double"&gt;11.1513304275671&lt;/D&gt;&lt;/FQL&gt;&lt;FQL&gt;&lt;Q&gt;CC_CA^IMF_IFS_RCPI_Q(0)&lt;/Q&gt;&lt;R&gt;0&lt;/R&gt;&lt;C&gt;0&lt;/C&gt;&lt;/FQL&gt;&lt;FQL&gt;&lt;Q&gt;USO^P_PRICE(0)/P_PRICE_HIGH_PR(0,,,USD,,,"PRICE","INTRA","52W")&lt;/Q&gt;&lt;R&gt;1&lt;/R&gt;&lt;C&gt;1&lt;/C&gt;&lt;D xsi:type="xsd:double"&gt;0.9124805&lt;/D&gt;&lt;/FQL&gt;&lt;FQL&gt;&lt;Q&gt;CAGDPY@IT^EE_ACTUAL_ANNUAL(MED,0)&lt;/Q&gt;&lt;R&gt;1&lt;/R&gt;&lt;C&gt;1&lt;/C&gt;&lt;D xsi:type="xsd:double"&gt;0.464184965048982&lt;/D&gt;&lt;/FQL&gt;&lt;FQL&gt;&lt;Q&gt;USDNZD^STD(FG_PRICE_CHANGE(0,-3AY,M))&lt;/Q&gt;&lt;R&gt;1&lt;/R&gt;&lt;C&gt;1&lt;/C&gt;&lt;D xsi:type="xsd:double"&gt;3.46200598131402&lt;/D&gt;&lt;/FQL&gt;&lt;FQL&gt;&lt;Q&gt;TIOS-FDS^FG_PRICE_CHANGE(0,-1AY)&lt;/Q&gt;&lt;R&gt;1&lt;/R&gt;&lt;C&gt;1&lt;/C&gt;&lt;D xsi:type="xsd:double"&gt;-5.09345380458853&lt;/D&gt;&lt;/FQL&gt;&lt;FQL&gt;&lt;Q&gt;QQQ^FG_PRICE_MAVG(0,,,,30)&lt;/Q&gt;&lt;R&gt;1&lt;/R&gt;&lt;C&gt;1&lt;/C&gt;&lt;D xsi:type="xsd:double"&gt;483.32434&lt;/D&gt;&lt;/FQL&gt;&lt;FQL&gt;&lt;Q&gt;VGK^FMA_PCT_ABOVE_MAVG(200,0,,,,"PORTAGG")&lt;/Q&gt;&lt;R&gt;1&lt;/R&gt;&lt;C&gt;1&lt;/C&gt;&lt;D xsi:type="xsd:double"&gt;60.1114649681529&lt;/D&gt;&lt;/FQL&gt;&lt;FQL&gt;&lt;Q&gt;FXI^SIZE(FG_CONSTITUENTS)&lt;/Q&gt;&lt;R&gt;1&lt;/R&gt;&lt;C&gt;1&lt;/C&gt;&lt;D xsi:type="xsd:long"&gt;52&lt;/D&gt;&lt;/FQL&gt;&lt;FQL&gt;&lt;Q&gt;EWL^FMA_PE(LTM,0,,,"PORTAGG","MEANR")&lt;/Q&gt;&lt;R&gt;1&lt;/R&gt;&lt;C&gt;1&lt;/C&gt;&lt;D xsi:type="xsd:double"&gt;17.4209963003679&lt;/D&gt;&lt;/FQL&gt;&lt;FQL&gt;&lt;Q&gt;ENZL^FMA_PE(LTM,0,,,"PORTAGG","MEANR")&lt;/Q&gt;&lt;R&gt;1&lt;/R&gt;&lt;C&gt;1&lt;/C&gt;&lt;D xsi:type="xsd:double"&gt;33.7049361743469&lt;/D&gt;&lt;/FQL&gt;&lt;FQL&gt;&lt;Q&gt;TRYBR10Y-FDS^FG_YIELD(-10AY,0,Y,,"YTM")&lt;/Q&gt;&lt;R&gt;10&lt;/R&gt;&lt;C&gt;1&lt;/C&gt;&lt;D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xsi:type="xsd:double"&gt;10.455909&lt;/D&gt;&lt;/FQL&gt;&lt;FQL&gt;&lt;Q&gt;EWN^FG_TOTAL_RETURNC(-10AY,0,AM)&lt;/Q&gt;&lt;R&gt;121&lt;/R&gt;&lt;C&gt;1&lt;/C&gt;&lt;D xsi:type="xsd:double"&gt;-3.7007868&lt;/D&gt;&lt;D xsi:type="xsd:double"&gt;0.49060583&lt;/D&gt;&lt;D xsi:type="xsd:double"&gt;-1.4239252&lt;/D&gt;&lt;D xsi:type="xsd:double"&gt;-4.4985533&lt;/D&gt;&lt;D xsi:type="xsd:double"&gt;6.914437&lt;/D&gt;&lt;D xsi:type="xsd:double"&gt;-0.99635124&lt;/D&gt;&lt;D xsi:type="xsd:double"&gt;-0.6554663&lt;/D&gt;&lt;D xsi:type="xsd:double"&gt;5.6082487&lt;/D&gt;&lt;D xsi:type="xsd:double"&gt;-1.093328&lt;/D&gt;&lt;D xsi:type="xsd:double"&gt;4.224241&lt;/D&gt;&lt;D xsi:type="xsd:double"&gt;-0.15150905&lt;/D&gt;&lt;D xsi:type="xsd:double"&gt;2.8284073&lt;/D&gt;&lt;D xsi:type="xsd:double"&gt;-2.1649957&lt;/D&gt;&lt;D xsi:type="xsd:double"&gt;-6.810379&lt;/D&gt;&lt;D xsi:type="xsd:double"&gt;-4.605937&lt;/D&gt;&lt;D xsi:type="xsd:double"&gt;7.939911&lt;/D&gt;&lt;D xsi:type="xsd:double"&gt;-1.7892599&lt;/D&gt;&lt;D xsi:type="xsd:double"&gt;-1.4217496&lt;/D&gt;&lt;D xsi:type="xsd:double"&gt;-5.165291&lt;/D&gt;&lt;D xsi:type="xsd:double"&gt;-0.9586096&lt;/D&gt;&lt;D xsi:type="xsd:double"&gt;6.423235&lt;/D&gt;&lt;D xsi:type="xsd:double"&gt;2.232325&lt;/D&gt;&lt;D xsi:type="xsd:double"&gt;1.132226&lt;/D&gt;&lt;D xsi:type="xsd:double"&gt;-9.587013&lt;/D&gt;&lt;D xsi:type="xsd:double"&gt;7.0435166&lt;/D&gt;&lt;D xsi:type="xsd:double"&gt;3.3109784&lt;/D&gt;&lt;D xsi:type="xsd:double"&gt;0.10142326&lt;/D&gt;&lt;D xsi:type="xsd:double"&gt;-1.195544&lt;/D&gt;&lt;D xsi:type="xsd:double"&gt;-2.7891636&lt;/D&gt;&lt;D xsi:type="xsd:double"&gt;2.912593&lt;/D&gt;&lt;D xsi:type="xsd:double"&gt;2.9069781&lt;/D&gt;&lt;D xsi:type="xsd:double"&gt;2.46166&lt;/D&gt;&lt;D xsi:type="xsd:double"&gt;5.7896852&lt;/D&gt;&lt;D xsi:type="xsd:double"&gt;4.560685&lt;/D&gt;&lt;D xsi:type="xsd:double"&gt;4.895854&lt;/D&gt;&lt;D xsi:type="xsd:double"&gt;-0.21715164&lt;/D&gt;&lt;D xsi:type="xsd:double"&gt;5.3546786&lt;/D&gt;&lt;D xsi:type="xsd:double"&gt;0.2124548&lt;/D&gt;&lt;D xsi:type="xsd:double"&gt;0.4240036&lt;/D&gt;&lt;D xsi:type="xsd:double"&gt;2.435851&lt;/D&gt;&lt;D xsi:type="xsd:double"&gt;0.6975293&lt;/D&gt;&lt;D xsi:type="xsd:double"&gt;0.21762848&lt;/D&gt;&lt;D xsi:type="xsd:double"&gt;7.551348&lt;/D&gt;&lt;D xsi:type="xsd:double"&gt;-4.171568&lt;/D&gt;&lt;D xsi:type="xsd:double"&gt;-2.084607&lt;/D&gt;&lt;D xsi:type="xsd:double"&gt;0.9705663&lt;/D&gt;&lt;D xsi:type="xsd:double"&gt;-1.0542631&lt;/D&gt;&lt;D xsi:type="xsd:double"&gt;-2.8960705&lt;/D&gt;&lt;D xsi:type="xsd:double"&gt;3.7389278&lt;/D&gt;&lt;D xsi:type="xsd:double"&gt;-1.8337011&lt;/D&gt;&lt;D xsi:type="xsd:double"&gt;-1.4814794&lt;/D&gt;&lt;D xsi:type="xsd:double"&gt;-10.4609375&lt;/D&gt;&lt;D xsi:type="xsd:double"&gt;3.4319162&lt;/D&gt;&lt;D xsi:type="xsd:double"&gt;-7.4278297&lt;/D&gt;&lt;D xsi:type="xsd:double"&gt;7.586205&lt;/D&gt;&lt;D xsi:type="xsd:double"&gt;6.125355&lt;/D&gt;&lt;D xsi:type="xsd:double"&gt;-0.3691256&lt;/D&gt;&lt;D xsi:type="xsd:double"&gt;4.78276&lt;/D&gt;&lt;D xsi:type="xsd:double"&gt;-2.764386&lt;/D&gt;&lt;D xsi:type="xsd:double"&gt;3.3077478&lt;/D&gt;&lt;D xsi:type="xsd:double"&gt;3.4098387&lt;/D&gt;&lt;D xsi:type="xsd:double"&gt;-5.136335&lt;/D&gt;&lt;D xsi:type="xsd:double"&gt;4.8128366&lt;/D&gt;&lt;D xsi:type="xsd:double"&gt;1.753819&lt;/D&gt;&lt;D xsi:type="xsd:double"&gt;2.538395&lt;/D&gt;&lt;D xsi:type="xsd:double"&gt;3.6023736&lt;/D&gt;&lt;D xsi:type="xsd:double"&gt;-0.17771721&lt;/D&gt;&lt;D xsi:type="xsd:double"&gt;-5.8457017&lt;/D&gt;&lt;D xsi:type="xsd:double"&gt;-16.010088&lt;/D&gt;&lt;D xsi:type="xsd:double"&gt;4.3151975&lt;/D&gt;&lt;D xsi:type="xsd:double"&gt;7.553959&lt;/D&gt;&lt;D xsi:type="xsd:double"&gt;8.911049&lt;/D&gt;&lt;D xsi:type="xsd:double"&gt;6.30213&lt;/D&gt;&lt;D xsi:type="xsd:double"&gt;5.027604&lt;/D&gt;&lt;D xsi:type="xsd:double"&gt;-5.3680124&lt;/D&gt;&lt;D xsi:type="xsd:double"&gt;3.3041&lt;/D&gt;&lt;D xsi:type="xsd:double"&gt;10.104728&lt;/D&gt;&lt;D xsi:type="xsd:double"&gt;6.8520427&lt;/D&gt;&lt;D xsi:type="xsd:double"&gt;5.527401&lt;/D&gt;&lt;D xsi:type="xsd:double"&gt;0.6861806&lt;/D&gt;&lt;D xsi:type="xsd:double"&gt;5.270326&lt;/D&gt;&lt;D xsi:type="xsd:double"&gt;5.9128165&lt;/D&gt;&lt;D xsi:type="xsd:double"&gt;0.46862364&lt;/D&gt;&lt;D xsi:type="xsd:double"&gt;-0.39929152&lt;/D&gt;&lt;D xsi:type="xsd:double"&gt;1.3937235&lt;/D&gt;&lt;D xsi:type="xsd:double"&gt;4.50778&lt;/D&gt;&lt;D xsi:type="xsd:double"&gt;1.2185693&lt;/D&gt;&lt;D xsi:type="xsd:double"&gt;-0.40130615&lt;/D&gt;&lt;D xsi:type="xsd:double"&gt;-5.2187204&lt;/D&gt;&lt;D xsi:type="xsd:double"&gt;1.0834217&lt;/D&gt;&lt;D xsi:type="xsd:double"&gt;-9.005022&lt;/D&gt;&lt;D xsi:type="xsd:double"&gt;-3.4459949&lt;/D&gt;&lt;D xsi:type="xsd:double"&gt;-2.562338&lt;/D&gt;&lt;D xsi:type="xsd:double"&gt;-10.213661&lt;/D&gt;&lt;D xsi:type="xsd:double"&gt;0.62761307&lt;/D&gt;&lt;D xsi:type="xsd:double"&gt;-5.852008&lt;/D&gt;&lt;D xsi:type="xsd:double"&gt;0.7270813&lt;/D&gt;&lt;D xsi:type="xsd:double"&gt;-2.7484775&lt;/D&gt;&lt;D xsi:type="xsd:double"&gt;-12.617749&lt;/D&gt;&lt;D xsi:type="xsd:double"&gt;8.3959465&lt;/D&gt;&lt;D xsi:type="xsd:double"&gt;16.214584&lt;/D&gt;&lt;D xsi:type="xsd:double"&gt;-2.0145655&lt;/D&gt;&lt;D xsi:type="xsd:double"&gt;13.715053&lt;/D&gt;&lt;D xsi:type="xsd:double"&gt;-5.2693186&lt;/D&gt;&lt;D xsi:type="xsd:double"&gt;0.0741601&lt;/D&gt;&lt;D xsi:type="xsd:double"&gt;2.618575&lt;/D&gt;&lt;D xsi:type="xsd:double"&gt;3.5387516&lt;/D&gt;&lt;D xsi:type="xsd:double"&gt;-1.6421735&lt;/D&gt;&lt;D xsi:type="xsd:double"&gt;5.210948&lt;/D&gt;&lt;D xsi:type="xsd:double"&gt;-7.6678395&lt;/D&gt;&lt;D xsi:type="xsd:double"&gt;-7.480061&lt;/D&gt;&lt;D xsi:type="xsd:double"&gt;-2.1279275&lt;/D&gt;&lt;D xsi:type="xsd:double"&gt;15.108705&lt;/D&gt;&lt;D xsi:type="xsd:double"&gt;6.2250733&lt;/D&gt;&lt;D xsi:type="xsd:double"&gt;2.8661013&lt;/D&gt;&lt;D xsi:type="xsd:double"&gt;3.8963914&lt;/D&gt;&lt;D xsi:type="xsd:double"&gt;3.28933&lt;/D&gt;&lt;D xsi:type="xsd:double"&gt;-1.8052697&lt;/D&gt;&lt;D xsi:type="xsd:double"&gt;6.8374276&lt;/D&gt;&lt;D xsi:type="xsd:double"&gt;-1.8634915&lt;/D&gt;&lt;D xsi:type="xsd:double"&gt;-2.8292477&lt;/D&gt;&lt;/FQL&gt;&lt;FQL&gt;&lt;Q&gt;EWG^FMA_PE(LTMA,-10AY,0,AM,"PORTAGG","MEANR")&lt;/Q&gt;&lt;R&gt;121&lt;/R&gt;&lt;C&gt;1&lt;/C&gt;&lt;D xsi:type="xsd:double"&gt;14.3897941389999&lt;/D&gt;&lt;D xsi:type="xsd:double"&gt;14.2745079061226&lt;/D&gt;&lt;D xsi:type="xsd:double"&gt;14.0645982560273&lt;/D&gt;&lt;D xsi:type="xsd:double"&gt;13.408668354228&lt;/D&gt;&lt;D xsi:type="xsd:double"&gt;14.4278581444787&lt;/D&gt;&lt;D xsi:type="xsd:double"&gt;14.4741141790598&lt;/D&gt;&lt;D xsi:type="xsd:double"&gt;15.7172638188525&lt;/D&gt;&lt;D xsi:type="xsd:double"&gt;16.3897078986909&lt;/D&gt;&lt;D xsi:type="xsd:double"&gt;16.4966664043106&lt;/D&gt;&lt;D xsi:type="xsd:double"&gt;16.4093057839537&lt;/D&gt;&lt;D xsi:type="xsd:double"&gt;16.0589413417043&lt;/D&gt;&lt;D xsi:type="xsd:double"&gt;15.7754827832166&lt;/D&gt;&lt;D xsi:type="xsd:double"&gt;15.4742431964141&lt;/D&gt;&lt;D xsi:type="xsd:double"&gt;14.2397661064254&lt;/D&gt;&lt;D xsi:type="xsd:double"&gt;13.698006976901&lt;/D&gt;&lt;D xsi:type="xsd:double"&gt;14.4750306409717&lt;/D&gt;&lt;D xsi:type="xsd:double"&gt;14.8397760311147&lt;/D&gt;&lt;D xsi:type="xsd:double"&gt;14.0848073133548&lt;/D&gt;&lt;D xsi:type="xsd:double"&gt;12.7793827168709&lt;/D&gt;&lt;D xsi:type="xsd:double"&gt;12.6511839848056&lt;/D&gt;&lt;D xsi:type="xsd:double"&gt;12.7350620119251&lt;/D&gt;&lt;D xsi:type="xsd:double"&gt;12.9534547358821&lt;/D&gt;&lt;D xsi:type="xsd:double"&gt;12.950152657466&lt;/D&gt;&lt;D xsi:type="xsd:double"&gt;12.5599472119305&lt;/D&gt;&lt;D xsi:type="xsd:double"&gt;13.0741434967674&lt;/D&gt;&lt;D xsi:type="xsd:double"&gt;13.3854191212356&lt;/D&gt;&lt;D xsi:type="xsd:double"&gt;13.4641406922538&lt;/D&gt;&lt;D xsi:type="xsd:double"&gt;13.8426259443546&lt;/D&gt;&lt;D xsi:type="xsd:double"&gt;13.7594308090077&lt;/D&gt;&lt;D xsi:type="xsd:double"&gt;14.7164538673077&lt;/D&gt;&lt;D xsi:type="xsd:double"&gt;15.2023965586817&lt;/D&gt;&lt;D xsi:type="xsd:double"&gt;15.0047171548094&lt;/D&gt;&lt;D xsi:type="xsd:double"&gt;14.929957922802&lt;/D&gt;&lt;D xsi:type="xsd:double"&gt;14.9357720363112&lt;/D&gt;&lt;D xsi:type="xsd:double"&gt;14.7811984215352&lt;/D&gt;&lt;D xsi:type="xsd:double"&gt;14.7380842970864&lt;/D&gt;&lt;D xsi:type="xsd:double"&gt;14.4161114719874&lt;/D&gt;&lt;D xsi:type="xsd:double"&gt;14.1681228163519&lt;/D&gt;&lt;D xsi:type="xsd:double"&gt;14.4434641570347&lt;/D&gt;&lt;D xsi:type="xsd:double"&gt;15.0148422070078&lt;/D&gt;&lt;D xsi:type="xsd:double"&gt;15.2718524542402&lt;/D&gt;&lt;D xsi:type="xsd:double"&gt;15.4533698837963&lt;/D&gt;&lt;D xsi:type="xsd:double"&gt;15.5625769581742&lt;/D&gt;&lt;D xsi:type="xsd:double"&gt;14.3802452656403&lt;/D&gt;&lt;D xsi:type="xsd:double"&gt;14.0330408358331&lt;/D&gt;&lt;D xsi:type="xsd:double"&gt;14.1382423869839&lt;/D&gt;&lt;D xsi:type="xsd:double"&gt;14.1462469085437&lt;/D&gt;&lt;D xsi:type="xsd:double"&gt;13.8685799939365&lt;/D&gt;&lt;D xsi:type="xsd:double"&gt;14.196114483033&lt;/D&gt;&lt;D xsi:type="xsd:double"&gt;14.0354116923586&lt;/D&gt;&lt;D xsi:type="xsd:double"&gt;14.0087231112272&lt;/D&gt;&lt;D xsi:type="xsd:double"&gt;13.0385689251633&lt;/D&gt;&lt;D xsi:type="xsd:double"&gt;12.9905513383978&lt;/D&gt;&lt;D xsi:type="xsd:double"&gt;12.1334201699405&lt;/D&gt;&lt;D xsi:type="xsd:double"&gt;12.9844578798768&lt;/D&gt;&lt;D xsi:type="xsd:double"&gt;13.2578457995986&lt;/D&gt;&lt;D xsi:type="xsd:double"&gt;13.1581826300358&lt;/D&gt;&lt;D xsi:type="xsd:double"&gt;13.4034774668338&lt;/D&gt;&lt;D xsi:type="xsd:double"&gt;13.1723910952703&lt;/D&gt;&lt;D xsi:type="xsd:double"&gt;13.3261879967429&lt;/D&gt;&lt;D xsi:type="xsd:double"&gt;13.6674042358793&lt;/D&gt;&lt;D xsi:type="xsd:double"&gt;13.3452808601706&lt;/D&gt;&lt;D xsi:type="xsd:double"&gt;13.9470689412837&lt;/D&gt;&lt;D xsi:type="xsd:double"&gt;14.7272506897877&lt;/D&gt;&lt;D xsi:type="xsd:double"&gt;15.2018072541382&lt;/D&gt;&lt;D xsi:type="xsd:double"&gt;15.5312237547034&lt;/D&gt;&lt;D xsi:type="xsd:double"&gt;15.7825810921999&lt;/D&gt;&lt;D xsi:type="xsd:double"&gt;15.0541918272441&lt;/D&gt;&lt;D xsi:type="xsd:double"&gt;13.7806942478015&lt;/D&gt;&lt;D xsi:type="xsd:double"&gt;14.5494265619986&lt;/D&gt;&lt;D xsi:type="xsd:double"&gt;16.0447224978725&lt;/D&gt;&lt;D xsi:type="xsd:double"&gt;17.3067140004735&lt;/D&gt;&lt;D xsi:type="xsd:double"&gt;18.7737065386685&lt;/D&gt;&lt;D xsi:type="xsd:double"&gt;20.1456857261244&lt;/D&gt;&lt;D xsi:type="xsd:double"&gt;19.8104486582935&lt;/D&gt;&lt;D xsi:type="xsd:double"&gt;19.4152285707309&lt;/D&gt;&lt;D xsi:type="xsd:double"&gt;21.6838106139247&lt;/D&gt;&lt;D xsi:type="xsd:double"&gt;21.7071707790833&lt;/D&gt;&lt;D xsi:type="xsd:double"&gt;21.5188926521404&lt;/D&gt;&lt;D xsi:type="xsd:double"&gt;20.2950863016861&lt;/D&gt;&lt;D xsi:type="xsd:double"&gt;20.0596312313536&lt;/D&gt;&lt;D xsi:type="xsd:double"&gt;19.5576899067087&lt;/D&gt;&lt;D xsi:type="xsd:double"&gt;18.8698887042651&lt;/D&gt;&lt;D xsi:type="xsd:double"&gt;18.4824892672078&lt;/D&gt;&lt;D xsi:type="xsd:double"&gt;17.7721121151122&lt;/D&gt;&lt;D xsi:type="xsd:double"&gt;16.98157921090</t>
        </r>
      </text>
    </comment>
    <comment ref="A13" authorId="0" shapeId="0" xr:uid="{1AE772FC-55F4-4258-BB2E-78E7FFE20EC3}">
      <text>
        <r>
          <rPr>
            <b/>
            <sz val="9"/>
            <color indexed="81"/>
            <rFont val="Tahoma"/>
            <charset val="1"/>
          </rPr>
          <t>7&lt;/D&gt;&lt;D xsi:type="xsd:double"&gt;16.2270109632378&lt;/D&gt;&lt;D xsi:type="xsd:double"&gt;15.8703027629701&lt;/D&gt;&lt;D xsi:type="xsd:double"&gt;14.326653939516&lt;/D&gt;&lt;D xsi:type="xsd:double"&gt;14.1969419195821&lt;/D&gt;&lt;D xsi:type="xsd:double"&gt;13.6328486674345&lt;/D&gt;&lt;D xsi:type="xsd:double"&gt;12.6280547266543&lt;/D&gt;&lt;D xsi:type="xsd:double"&gt;12.434372385204&lt;/D&gt;&lt;D xsi:type="xsd:double"&gt;12.2183524606643&lt;/D&gt;&lt;D xsi:type="xsd:double"&gt;12.0722026926593&lt;/D&gt;&lt;D xsi:type="xsd:double"&gt;11.5482627998613&lt;/D&gt;&lt;D xsi:type="xsd:double"&gt;11.3875770018421&lt;/D&gt;&lt;D xsi:type="xsd:double"&gt;10.7798534425797&lt;/D&gt;&lt;D xsi:type="xsd:double"&gt;10.2299740297897&lt;/D&gt;&lt;D xsi:type="xsd:double"&gt;10.5399536541211&lt;/D&gt;&lt;D xsi:type="xsd:double"&gt;11.1645589056172&lt;/D&gt;&lt;D xsi:type="xsd:double"&gt;10.4909403059387&lt;/D&gt;&lt;D xsi:type="xsd:double"&gt;11.4095510805681&lt;/D&gt;&lt;D xsi:type="xsd:double"&gt;11.2426590903653&lt;/D&gt;&lt;D xsi:type="xsd:double"&gt;11.2659756214345&lt;/D&gt;&lt;D xsi:type="xsd:double"&gt;11.4249409594464&lt;/D&gt;&lt;D xsi:type="xsd:double"&gt;11.2915354973394&lt;/D&gt;&lt;D xsi:type="xsd:double"&gt;11.1869090088346&lt;/D&gt;&lt;D xsi:type="xsd:double"&gt;11.3109908531585&lt;/D&gt;&lt;D xsi:type="xsd:double"&gt;11.1110202044502&lt;/D&gt;&lt;D xsi:type="xsd:double"&gt;10.9793026517013&lt;/D&gt;&lt;D xsi:type="xsd:double"&gt;10.6238886383628&lt;/D&gt;&lt;D xsi:type="xsd:double"&gt;11.462071158707&lt;/D&gt;&lt;D xsi:type="xsd:double"&gt;11.91675822594&lt;/D&gt;&lt;D xsi:type="xsd:double"&gt;12.0961878972339&lt;/D&gt;&lt;D xsi:type="xsd:double"&gt;12.389700973642&lt;/D&gt;&lt;D xsi:type="xsd:double"&gt;12.5902022128915&lt;/D&gt;&lt;D xsi:type="xsd:double"&gt;12.5398847314937&lt;/D&gt;&lt;D xsi:type="xsd:double"&gt;12.558474663946&lt;/D&gt;&lt;D xsi:type="xsd:double"&gt;12.4362604327796&lt;/D&gt;&lt;D xsi:type="xsd:double"&gt;12.5531303363697&lt;/D&gt;&lt;/FQL&gt;&lt;FQL&gt;&lt;Q&gt;PLATI-FDS^FG_PRICE_CHANGE(0,-3AM)&lt;/Q&gt;&lt;R&gt;1&lt;/R&gt;&lt;C&gt;1&lt;/C&gt;&lt;D xsi:type="xsd:double"&gt;2.28260869565218&lt;/D&gt;&lt;/FQL&gt;&lt;FQL&gt;&lt;Q&gt;EWJ^PERCENT_CHANGE(FMA_EPS(+1,0,,,,"PORTAGG","MEAN"),FMA_EPS(+1,-3AM,,,,"PORTAGG","MEAN"))&lt;/Q&gt;&lt;R&gt;1&lt;/R&gt;&lt;C&gt;1&lt;/C&gt;&lt;D xsi:type="xsd:double"&gt;-0.380290789443318&lt;/D&gt;&lt;/FQL&gt;&lt;FQL&gt;&lt;Q&gt;EWL^FMA_COS_DOWN("EPS","1M",+1,0,,,"PORTAGG","MEANR")&lt;/Q&gt;&lt;R&gt;1&lt;/R&gt;&lt;C&gt;1&lt;/C&gt;&lt;D xsi:type="xsd:double"&gt;18&lt;/D&gt;&lt;/FQL&gt;&lt;FQL&gt;&lt;Q&gt;EWJ^FMA_RBICS_REV_CURRENT(30, LOC, "PORTAGG")&lt;/Q&gt;&lt;R&gt;1&lt;/R&gt;&lt;C&gt;1&lt;/C&gt;&lt;D xsi:type="xsd:double"&gt;18.9435007684703&lt;/D&gt;&lt;/FQL&gt;&lt;FQL&gt;&lt;Q&gt;REFCATARG-FDS^(SUBARRAY(NOT_NA(NO_REPEAT_F(FG_YIELD(NOW,-10AY,D))),0,1)-SUBARRAY(NOT_NA(NO_REPEAT_F(FG_YIELD(NOW,-10AY,D))),1,1))*100&lt;/Q&gt;&lt;R&gt;1&lt;/R&gt;&lt;C&gt;1&lt;/C&gt;&lt;D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xsi:type="xsd:double"&gt;-25&lt;/D&gt;&lt;/FQL&gt;&lt;FQL&gt;&lt;Q&gt;CC_AU^IMF_IFS_RCPI_Q(0)&lt;/Q&gt;&lt;R&gt;0&lt;/R&gt;&lt;C&gt;0&lt;/C&gt;&lt;/FQL&gt;&lt;FQL&gt;&lt;Q&gt;EWQ^FMA_EVAL_EBITDA(NTMA,0,,,"PORTAGG","MEANR")&lt;/Q&gt;&lt;R&gt;1&lt;/R&gt;&lt;C&gt;1&lt;/C&gt;&lt;D xsi:type="xsd:double"&gt;8.87958773222007&lt;/D&gt;&lt;/FQL&gt;&lt;FQL&gt;&lt;Q&gt;USO^FG_TOTAL_RETURNC(0,-3AM)&lt;/Q&gt;&lt;R&gt;1&lt;/R&gt;&lt;C&gt;1&lt;/C&gt;&lt;D xsi:type="xsd:double"&gt;-5.324042&lt;/D&gt;&lt;/FQL&gt;&lt;FQL&gt;&lt;Q&gt;CAGDPY@SE^EE_ACTUAL_ANNUAL(MED,+1)&lt;/Q&gt;&lt;R&gt;1&lt;/R&gt;&lt;C&gt;1&lt;/C&gt;&lt;D xsi:type="xsd:double"&gt;6&lt;/D&gt;&lt;/FQL&gt;&lt;FQL&gt;&lt;Q&gt;USDSEK^FG_PRICE(0)&lt;/Q&gt;&lt;R&gt;1&lt;/R&gt;&lt;C&gt;1&lt;/C&gt;&lt;D xsi:type="xsd:double"&gt;10.80785&lt;/D&gt;&lt;/FQL&gt;&lt;FQL&gt;&lt;Q&gt;USDGBP^FG_PRICE_CHANGE(0,-1AY)&lt;/Q&gt;&lt;R&gt;1&lt;/R&gt;&lt;C&gt;1&lt;/C&gt;&lt;D xsi:type="xsd:double"&gt;0.5368233&lt;/D&gt;&lt;/FQL&gt;&lt;FQL&gt;&lt;Q&gt;USDNZD^FG_PRICE_CHANGE(0,-6AM)&lt;/Q&gt;&lt;R&gt;1&lt;/R&gt;&lt;C&gt;1&lt;/C&gt;&lt;D xsi:type="xsd:double"&gt;3.6153793&lt;/D&gt;&lt;/FQL&gt;&lt;FQL&gt;&lt;Q&gt;EWG^FG_TOTAL_RETURNC(-10AY,0,AM)&lt;/Q&gt;&lt;R&gt;121&lt;/R&gt;&lt;C&gt;1&lt;/C&gt;&lt;D xsi:type="xsd:double"&gt;-3.05565&lt;/D&gt;&lt;D xsi:type="xsd:double"&gt;-2.786994&lt;/D&gt;&lt;D xsi:type="xsd:double"&gt;-4.2320786&lt;/D&gt;&lt;D xsi:type="xsd:double"&gt;-5.3813276&lt;/D&gt;&lt;D xsi:type="xsd:double"&gt;8.851231&lt;/D&gt;&lt;D xsi:type="xsd:double"&gt;-2.491349&lt;/D&gt;&lt;D xsi:type="xsd:double"&gt;0.92264414&lt;/D&gt;&lt;D xsi:type="xsd:double"&gt;4.008436&lt;/D&gt;&lt;D xsi:type="xsd:double"&gt;1.4536858&lt;/D&gt;&lt;D xsi:type="xsd:double"&gt;-0.73308945&lt;/D&gt;&lt;D xsi:type="xsd:double"&gt;-1.477009&lt;/D&gt;&lt;D xsi:type="xsd:double"&gt;1.5274763&lt;/D&gt;&lt;D xsi:type="xsd:double"&gt;-3.5507023&lt;/D&gt;&lt;D xsi:type="xsd:double"&gt;-6.2654915&lt;/D&gt;&lt;D xsi:type="xsd:double"&gt;-6.7220507&lt;/D&gt;&lt;D xsi:type="xsd:double"&gt;10.121452&lt;/D&gt;&lt;D xsi:type="xsd:double"&gt;-1.1397123&lt;/D&gt;&lt;D xsi:type="xsd:double"&gt;-0.37187934&lt;/D&gt;&lt;D xsi:type="xsd:double"&gt;-8.809257&lt;/D&gt;&lt;D xsi:type="xsd:double"&gt;-3.1928003&lt;/D&gt;&lt;D xsi:type="xsd:double"&gt;6.4270616&lt;/D&gt;&lt;D xsi:type="xsd:double"&gt;4.966235&lt;/D&gt;&lt;D xsi:type="xsd:double"&gt;-1.286906&lt;/D&gt;&lt;D xsi:type="xsd:double"&gt;-7.742339&lt;/D&gt;&lt;D xsi:type="xsd:double"&gt;6.726265&lt;/D&gt;&lt;D xsi:type="xsd:double"&gt;4.3079376&lt;/D&gt;&lt;D xsi:type="xsd:double"&gt;-0.5353689&lt;/D&gt;&lt;D xsi:type="xsd:double"&gt;-0.80738664&lt;/D&gt;&lt;D xsi:type="xsd:double"&gt;-3.2170534&lt;/D&gt;&lt;D xsi:type="xsd:double"&gt;5.4026484&lt;/D&gt;&lt;D xsi:type="xsd:double"&gt;5.587232&lt;/D&gt;&lt;D xsi:type="xsd:double"&gt;-1.079917&lt;/D&gt;&lt;D xsi:type="xsd:double"&gt;3.893745&lt;/D&gt;&lt;D xsi:type="xsd:double"&gt;4.1331053&lt;/D&gt;&lt;D xsi:type="xsd:double"&gt;3.5654306&lt;/D&gt;&lt;D xsi:type="xsd:double"&gt;1.2521744&lt;/D&gt;&lt;D xsi:type="xsd:double"&gt;0.7848263&lt;/D&gt;&lt;D xsi:type="xsd:double"&gt;0.87605715&lt;/D&gt;&lt;D xsi:type="xsd:double"&gt;2.1872044&lt;/D&gt;&lt;D xsi:type="xsd:double"&gt;2.8958082&lt;/D&gt;&lt;D xsi:type="xsd:double"&gt;1.927197&lt;/D&gt;&lt;D xsi:type="xsd:double"&gt;-0.40952563&lt;/D&gt;&lt;D xsi:type="xsd:double"&gt;7.3716044&lt;/D&gt;&lt;D xsi:type="xsd:double"&gt;-6.3590407&lt;/D&gt;&lt;D xsi:type="xsd:double"&gt;-3.99639&lt;/D&gt;&lt;D xsi:type="xsd:double"&gt;1.7840385&lt;/D&gt;&lt;D xsi:type="xsd:double"&gt;-0.9840071&lt;/D&gt;&lt;D xsi:type="xsd:double"&gt;-4.614621&lt;/D&gt;&lt;D xsi:type="xsd:double"&gt;4.0013313&lt;/D&gt;&lt;D xsi:type="xsd:double"&gt;-2.6290476&lt;/D&gt;&lt;D xsi:type="xsd:double"&gt;-0.032925606&lt;/D&gt;&lt;D xsi:type="xsd:double"&gt;-11.791831&lt;/D&gt;&lt;D xsi:type="xsd:double"&gt;1.0455489&lt;/D&gt;&lt;D xsi:type="xsd:double"&gt;-7.2062016&lt;/D&gt;&lt;D xsi:type="xsd:double"&gt;7.3277593&lt;/D&gt;&lt;D xsi:type="xsd:double"&gt;1.3729095&lt;/D&gt;&lt;D xsi:type="xsd:double"&gt;-1.5373349&lt;/D&gt;&lt;D xsi:type="xsd:double"&gt;6.096661&lt;/D&gt;&lt;D xsi:type="xsd:double"&gt;-2.9432356&lt;/D&gt;&lt;D xsi:type="xsd:double"&gt;2.592349&lt;/D&gt;&lt;D xsi:type="xsd:double"&gt;-0.43383837&lt;/D&gt;&lt;D xsi:type="xsd:double"&gt;-5.8823586&lt;/D&gt;&lt;D xsi:type="xsd:double"&gt;3.1635761&lt;/D&gt;&lt;D xsi:type="xsd:double"&gt;6.245327&lt;/D&gt;&lt;D xsi:type="xsd:double"&gt;2.2879243&lt;/D&gt;&lt;D xsi:type="xsd:double"&gt;1.2044072&lt;/D&gt;&lt;D xsi:type="xsd:double"&gt;0.7480383&lt;/D&gt;&lt;D xsi:type="xsd:double"&gt;-8.268642&lt;/D&gt;&lt;D xsi:type="xsd:double"&gt;-19.13172&lt;/D&gt;&lt;D xsi:type="xsd:double"&gt;2.411282&lt;/D&gt;&lt;D xsi:type="xsd:double"&gt;11.683691&lt;/D&gt;&lt;D xsi:type="xsd:double"&gt;6.790328&lt;/D&gt;&lt;D xsi:type="xsd:double"&gt;9.3338375&lt;/D&gt;&lt;D xsi:type="xsd:double"&gt;5.025816&lt;/D&gt;&lt;D xsi:type="xsd:double"&gt;-6.3913527&lt;/D&gt;&lt;D xsi:type="xsd:double"&gt;-1.6806722&lt;/D&gt;&lt;D xsi:type="xsd:double"&gt;8.903133&lt;/D&gt;&lt;D xsi:type="xsd:double"&gt;5.432129&lt;/D&gt;&lt;D xsi:type="xsd:double"&gt;2.135682&lt;/D&gt;&lt;D xsi:type="xsd:double"&gt;-1.5682697&lt;/D&gt;&lt;D xsi:type="xsd:double"&gt;3.7488341&lt;/D&gt;&lt;D xsi:type="xsd:double"&gt;5.992174&lt;/D&gt;&lt;D xsi:type="xsd:double"&gt;1.4204502&lt;/D&gt;&lt;D xsi:type="xsd:double"&gt;-0.23801327&lt;/D&gt;&lt;D xsi:type="xsd:double"&gt;-1.2564182&lt;/D&gt;&lt;D xsi:type="xsd:double"&gt;0.2891779&lt;/D&gt;&lt;D xsi:type="xsd:double"&gt;-2.0472884&lt;/D&gt;&lt;D xsi:type="xsd:double"&gt;0.058877468&lt;/D&gt;&lt;D xsi:type="xsd:double"&gt;-5.942929&lt;/D&gt;&lt;D xsi:type="xsd:double"&gt;2.8969526&lt;/D&gt;&lt;D xsi:type="xsd:double"&gt;-3.017062&lt;/D&gt;&lt;D xsi:type="xsd:double"&gt;-4.900408&lt;/D&gt;&lt;D xsi:type="xsd:double"&gt;-5.884308&lt;/D&gt;&lt;D xsi:type="xsd:double"&gt;-8.724833&lt;/D&gt;&lt;D xsi:type="xsd:double"&gt;4.3730617&lt;/D&gt;&lt;D xsi:type="xsd:double"&gt;-8.52828&lt;/D&gt;&lt;D xsi:type="xsd:double"&gt;-6.3518643&lt;/D&gt;&lt;D xsi:type="xsd:double"&gt;-3.4805894&lt;/D&gt;&lt;D xsi:type="xsd:double"&gt;-8.599162&lt;/D&gt;&lt;D xsi:type="xsd:double"&gt;12.190187&lt;/D&gt;&lt;D xsi:type="xsd:double"&gt;13.88638&lt;/D&gt;&lt;D xsi:type="xsd:double"&gt;-2.065283&lt;/D&gt;&lt;D xsi:type="xsd:double"&gt;13.263249&lt;/D&gt;&lt;D xsi:type="xsd:double"&gt;-3.4630477&lt;/D&gt;&lt;D xsi:type="xsd:double"&gt;0.2588749&lt;/D&gt;&lt;D xsi:type="xsd:double"&gt;7.2666883&lt;/D&gt;&lt;D xsi:type="xsd:double"&gt;-1.7193973&lt;/D&gt;&lt;D xsi:type="xsd:double"&gt;0.30126572&lt;/D&gt;&lt;D xsi:type="xsd:double"&gt;3.7992835&lt;/D&gt;&lt;D xsi:type="xsd:double"&gt;-5.455804&lt;/D&gt;&lt;D xsi:type="xsd:double"&gt;-5.149746&lt;/D&gt;&lt;D xsi:type="xsd:double"&gt;-4.428184&lt;/D&gt;&lt;D xsi:type="xsd:double"&gt;13.698626&lt;/D&gt;&lt;D xsi:type="xsd:double"&gt;5.214584&lt;/D&gt;&lt;D xsi:type="xsd:double"&gt;-1.0104477&lt;/D&gt;&lt;D xsi:type="xsd:double"&gt;3.1303167&lt;/D&gt;&lt;D xsi:type="xsd:double"&gt;4.1900396&lt;/D&gt;&lt;D xsi:type="xsd:double"&gt;-1.9632697&lt;/D&gt;&lt;D xsi:type="xsd:double"&gt;4.263568&lt;/D&gt;&lt;D xsi:type="xsd:double"&gt;-3.5963297&lt;/D&gt;&lt;D xsi:type="xsd:double"&gt;3.09515&lt;/D&gt;&lt;/FQL&gt;&lt;FQL&gt;&lt;Q&gt;TIOS-FDS^FG_PRICE_CHANGE(0,-6AM)&lt;/Q&gt;&lt;R&gt;1&lt;/R&gt;&lt;C&gt;1&lt;/C&gt;&lt;D xsi:type="xsd:double"&gt;-20.9590556990041&lt;/D&gt;&lt;/FQL&gt;&lt;FQL&gt;&lt;Q&gt;QQQ^FG_PRICE(0)&lt;/Q&gt;&lt;R&gt;1&lt;/R&gt;&lt;C&gt;1&lt;/C&gt;&lt;D xsi:type="xsd:double"&gt;462.97&lt;/D&gt;&lt;/FQL&gt;&lt;FQL&gt;&lt;Q&gt;EWI^FG_TOTAL_RETURNC(0,-12AM)&lt;/Q&gt;&lt;R&gt;1&lt;/R&gt;&lt;C&gt;1&lt;/C&gt;&lt;D xsi:type="xsd:double"&gt;17.209387&lt;/D&gt;&lt;/FQL&gt;&lt;FQL&gt;&lt;Q&gt;FXI^FMA_COS_DOWN("EPS","1M",+1,0,,,"PORTAGG","MEANR")&lt;/Q&gt;&lt;R&gt;1&lt;/R&gt;&lt;C&gt;1&lt;/C&gt;&lt;D xsi:type="xsd:double"&gt;22&lt;/D&gt;&lt;/FQL&gt;&lt;FQL&gt;&lt;Q&gt;EWA^FMA_RBICS_REV_CURRENT(30, LOC, "PORTAGG")&lt;/Q&gt;&lt;R&gt;1&lt;/R&gt;&lt;C&gt;1&lt;/C&gt;&lt;D xsi:type="xsd:double"&gt;42.4062571267776&lt;/D&gt;&lt;/FQL&gt;&lt;FQL&gt;&lt;Q&gt;TRYNL10Y-FDS^FG_YIELD(0,,,,"YTM")&lt;/Q&gt;&lt;R&gt;1&lt;/R&gt;&lt;C&gt;1&lt;/C&gt;&lt;D xsi:type="xsd:double"&gt;2.679&lt;/D&gt;&lt;/FQL&gt;&lt;FQL&gt;&lt;Q&gt;EWL^JULIAN(FMA_DIV_YLD(NTMA,NOW,NOW,M,"PORTAGG","MEANR").DATES)&lt;/Q&gt;&lt;R&gt;1&lt;/R&gt;&lt;C&gt;1&lt;/C&gt;&lt;D xsi:type="xsd:long"&gt;45471&lt;/D&gt;&lt;/FQL&gt;&lt;FQL&gt;&lt;Q&gt;ENZL^JULIAN(FMA_DIV_YLD(NTMA,NOW,NOW,M,"PORTAGG","MEANR").DATES)&lt;/Q&gt;&lt;R&gt;1&lt;/R&gt;&lt;C&gt;1&lt;/C&gt;&lt;D xsi:type="xsd:long"&gt;45471&lt;/D&gt;&lt;/FQL&gt;&lt;FQL&gt;&lt;Q&gt;TRYMY10Y-FDS^FG_YIELD(-10AY,0,Y,,"YTM")&lt;/Q&gt;&lt;R&gt;10&lt;/R&gt;&lt;C&gt;1&lt;/C&gt;&lt;D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xsi:type="xsd:double"&gt;3.727505&lt;/D&gt;&lt;/FQL&gt;&lt;FQL&gt;&lt;Q&gt;EWC^FMA_PE(LTMA,-10AY,0,AM,"PORTAGG","MEANR")&lt;/Q&gt;&lt;R&gt;121&lt;/R&gt;&lt;C&gt;1&lt;/C&gt;&lt;D xsi:type="xsd:double"&gt;16.4086285724664&lt;/D&gt;&lt;D xsi:type="xsd:double"&gt;16.4775991940564&lt;/D&gt;&lt;D xsi:type="xsd:double"&gt;15.9895560942524&lt;/D&gt;&lt;D xsi:type="xsd:double"&gt;15.6313342395109&lt;/D&gt;&lt;D xsi:type="xsd:double"&gt;15.9807388792348&lt;/D&gt;&lt;D xsi:type="xsd:double"&gt;15.6023388365469&lt;/D&gt;&lt;D xsi:type="xsd:double"&gt;15.8994637843955&lt;/D&gt;&lt;D xsi:type="xsd:double"&gt;17.0235896298101&lt;/D&gt;&lt;D xsi:type="xsd:double"&gt;17.0467013658387&lt;/D&gt;&lt;D xsi:type="xsd:double"&gt;17.3308300795533&lt;/D&gt;&lt;D xsi:type="xsd:double"&gt;17.230658766509&lt;/D&gt;&lt;D xsi:type="xsd:double"&gt;17.1829838457663&lt;/D&gt;&lt;D xsi:type="xsd:double"&gt;16.7707390110536&lt;/D&gt;&lt;D xsi:type="xsd:double"&gt;16.2633086628806&lt;/D&gt;&lt;D xsi:type="xsd:double"&gt;16.3660055566418&lt;/D&gt;&lt;D xsi:type="xsd:double"&gt;16.8711654588174&lt;/D&gt;&lt;D xsi:type="xsd:double"&gt;16.6826386687641&lt;/D&gt;&lt;D xsi:type="xsd:double"&gt;16.5645929933106&lt;/D&gt;&lt;D xsi:type="xsd:double"&gt;14.8825318938816&lt;/D&gt;&lt;D xsi:type="xsd:double"&gt;15.6168821012362&lt;/D&gt;&lt;D xsi:type="xsd:double"&gt;15.9798475786873&lt;/D&gt;&lt;D xsi:type="xsd:double"&gt;16.3141827442547&lt;/D&gt;&lt;D xsi:type="xsd:double"&gt;16.6139335103361&lt;/D&gt;&lt;D xsi:type="xsd:double"&gt;16.6750739661502&lt;/D&gt;&lt;D xsi:type="xsd:double"&gt;17.187182982873&lt;/D&gt;&lt;D xsi:type="xsd:double"&gt;17.4864785670122&lt;/D&gt;&lt;D xsi:type="xsd:double"&gt;17.7353117893889&lt;/D&gt;&lt;D xsi:type="xsd:double"&gt;18.2051564737648&lt;/D&gt;&lt;D xsi:type="xsd:double"&gt;18.8231631524516&lt;/D&gt;&lt;D xsi:type="xsd:double"&gt;19.3457952086138&lt;/D&gt;&lt;D xsi:type="xsd:double"&gt;19.9784791212173&lt;/D&gt;&lt;D xsi:type="xsd:double"&gt;19.60889210315&lt;/D&gt;&lt;D xsi:type="xsd:double"&gt;19.1557254624603&lt;/D&gt;&lt;D xsi:type="xsd:double"&gt;18.8787982367466&lt;/D&gt;&lt;D xsi:type="xsd:double"&gt;18.5828981091768&lt;/D&gt;&lt;D xsi:type="xsd:double"&gt;18.1222361722983&lt;/D&gt;&lt;D xsi:type="xsd:double"&gt;18.03282454826&lt;/D&gt;&lt;D xsi:type="xsd:double"&gt;17.6428478000191&lt;/D&gt;&lt;D xsi:type="xsd:double"&gt;17.52616594359&lt;/D&gt;&lt;D xsi:type="xsd:double"&gt;17.5172869156743&lt;/D&gt;&lt;D xsi:type="xsd:double"&gt;17.3830993418534&lt;/D&gt;&lt;D xsi:type="xsd:double"&gt;17.188395333893&lt;/D&gt;&lt;D xsi:type="xsd:double"&gt;17.1053973104326&lt;/D&gt;&lt;D xsi:type="xsd:double"&gt;16.1722331091905&lt;/D&gt;&lt;D xsi:type="xsd:double"&gt;15.6821865617974&lt;/D&gt;&lt;D xsi:type="xsd:double"&gt;15.6336271957853&lt;/D&gt;&lt;D xsi:type="xsd:double"&gt;15.5149666412153&lt;/D&gt;&lt;D xsi:type="xsd:double"&gt;15.5469580633783&lt;/D&gt;&lt;D xsi:type="xsd:double"&gt;15.5293715499545&lt;/D&gt;&lt;D xsi:type="xsd:double"&gt;15.3376575527633&lt;/D&gt;&lt;D xsi:type="xsd:double"&gt;15.1066894680246&lt;/D&gt;&lt;D xsi:type="xsd:double"&gt;14.0399811538607&lt;/D&gt;&lt;D xsi:type="xsd:double"&gt;13.9427517150836&lt;/D&gt;&lt;D xsi:type="xsd:double"&gt;12.7567585772802&lt;/D&gt;&lt;D xsi:type="xsd:double"&gt;14.3356663879129&lt;/D&gt;&lt;D xsi:type="xsd:double"&gt;14.8522238718363&lt;/D&gt;&lt;D xsi:type="xsd:double"&gt;14.7224090561321&lt;/D&gt;&lt;D xsi:type="xsd:double"&gt;14.652872928545&lt;/D&gt;&lt;D xsi:type="xsd:double"&gt;14.4453848401559&lt;/D&gt;&lt;D xsi:type="xsd:double"&gt;14.4600993863868&lt;/D&gt;&lt;D xsi:type="xsd:double"&gt;14.5303190889753&lt;/D&gt;&lt;D xsi:type="xsd:double"&gt;14.2523459628759&lt;/D&gt;&lt;D xsi:type="xsd:double"&gt;14.7208632722807&lt;/D&gt;&lt;D xsi:type="xsd:double"&gt;14.6770315520464&lt;/D&gt;&lt;D xsi:type="xsd:double"&gt;15.1319781639866&lt;/D&gt;&lt;D xsi:type="xsd:double"&gt;15.3739994771231&lt;/D&gt;&lt;D xsi:type="xsd:double"&gt;15.6578119912912&lt;/D&gt;&lt;D xsi:type="xsd:double"&gt;14.9846902254256&lt;/D&gt;&lt;D xsi:type="xsd:double"&gt;14.176493735219&lt;/D&gt;&lt;D xsi:type="xsd:double"&gt;15.2284929532531&lt;/D&gt;&lt;D xsi:type="xsd:double"&gt;17.089332137408&lt;/D&gt;&lt;D xsi:type="xsd:double"&gt;17.1083070382471&lt;/D&gt;&lt;D xsi:type="xsd:double"&gt;17.6764006531844&lt;/D&gt;&lt;D xsi:type="xsd:double"&gt;18.4642971813498&lt;/D&gt;&lt;D xsi:type="xsd:double"&gt;18.2102912034996&lt;/D&gt;&lt;D xsi:type="xsd:double"&gt;18.4845282209973&lt;/D&gt;&lt;D xsi:type="xsd:double"&gt;19.8671830088054&lt;/D&gt;&lt;D xsi:type="xsd:double"&gt;20.4879106851813&lt;/D&gt;&lt;D xsi:type="xsd:double"&gt;20.6952261915377&lt;/D&gt;&lt;D xsi:type="xsd:double"&gt;19.9904739717302&lt;/D&gt;&lt;D xsi:type="xsd:double"&gt;19.6500034088367&lt;/D&gt;&lt;D xsi:type="xsd:double"&gt;19.2979081507742&lt;/D&gt;&lt;D xsi:type="xsd:double"&gt;18.8760490044942&lt;/D&gt;&lt;D xsi:type="xsd:double"&gt;18.5815296320512&lt;/D&gt;&lt;D xsi:type="xsd:double"&gt;17.953091968383&lt;/D&gt;&lt;D xsi:type="xsd:double"&gt;17.2204043341445&lt;/D&gt;&lt;D xsi:type="xsd:double"&gt;16.633388088966&lt;/D&gt;&lt;D xsi:type="xsd:double"&gt;16.8077557444723&lt;/D&gt;&lt;D xsi:type="xsd:double"&gt;15.9383858565328&lt;/D&gt;&lt;D xsi:type="xsd:double"&gt;15.509443829075&lt;/D&gt;&lt;D xsi:type="xsd:double"&gt;14.9481690463298&lt;/D&gt;&lt;D xsi:type="xsd:double"&gt;15.2370762119043&lt;/D&gt;&lt;D xsi:type="xsd:double"&gt;15.0991309801464&lt;/D&gt;&lt;D xsi:type="xsd:double"&gt;14.6301691837391&lt;/D&gt;&lt;D xsi:type="xsd:double"&gt;14.2876237583789&lt;/D&gt;&lt;D xsi:type="xsd:double"&gt;13.5468165096982&lt;/D&gt;&lt;D xsi:type="xsd:double"&gt;13.1349025939668&lt;/D&gt;&lt;D xsi:type="xsd:double"&gt;13.0914954032713&lt;/D&gt;&lt;D xsi:type="xsd:double"&gt;12.1538513888758&lt;/D&gt;&lt;D xsi:type="xsd:double"&gt;12.451995317563&lt;/D&gt;&lt;D xsi:type="xsd:double"&gt;12.7748052871226&lt;/D&gt;&lt;D xsi:type="xsd:double"&gt;12.1842575604266&lt;/D&gt;&lt;D xsi:type="xsd:double"&gt;12.8910892030477&lt;/D&gt;&lt;D xsi:type="xsd:double"&gt;12.5643697352113&lt;/D&gt;&lt;D xsi:type="xsd:double"&gt;12.5292826867068&lt;/D&gt;&lt;D xsi:type="xsd:double"&gt;12.7579315819608&lt;/D&gt;&lt;D xsi:type="xsd:double"&gt;12.8251301945017&lt;/D&gt;&lt;D xsi:type="xsd:double"&gt;12.8439921248491&lt;/D&gt;&lt;D xsi:type="xsd:double"&gt;13.5143343672502&lt;/D&gt;&lt;D xsi:type="xsd:double"&gt;13.2561791323771&lt;/D&gt;&lt;D xsi:type="xsd:double"&gt;13.3037148285709&lt;/D&gt;&lt;D xsi:type="xsd:double"&gt;12.9866661274899&lt;/D&gt;&lt;D xsi:type="xsd:double"&gt;13.7322967198767&lt;/D&gt;&lt;D xsi:type="xsd:double"&gt;14.517413974969&lt;/D&gt;&lt;D xsi:type="xsd:double"&gt;14.711992799304&lt;/D&gt;&lt;D xsi:type="xsd:double"&gt;14.8557474232926&lt;/D&gt;&lt;D xsi:type="xsd:double"&gt;14.9302328841653&lt;/D&gt;&lt;D xsi:type="xsd:double"&gt;14.8985379749741&lt;/D&gt;&lt;D xsi:type="xsd:double"&gt;14.9781880702888&lt;/D&gt;&lt;D xsi:type="xsd:double"&gt;14.7973061826292&lt;/D&gt;&lt;D xsi:type="xsd:double"&gt;15.1088768241406&lt;/D&gt;&lt;/FQL&gt;&lt;FQL&gt;&lt;Q&gt;PLATI-FDS^FG_PRICE_CHANGE(0,-1AM)&lt;/Q&gt;&lt;R&gt;1&lt;/R&gt;&lt;C&gt;1&lt;/C&gt;&lt;D xsi:type="xsd:double"&gt;-6.3681592039801&lt;/D&gt;&lt;/FQL&gt;&lt;FQL&gt;&lt;Q&gt;TIOS-FDS^FG_PRICE_CHANGE(0,-1AM)&lt;/Q&gt;&lt;R&gt;1&lt;/R&gt;&lt;C&gt;1&lt;/C&gt;&lt;D xsi:type="xsd:double"&gt;0.544294294294301&lt;/D&gt;&lt;/FQL&gt;&lt;FQL&gt;&lt;Q&gt;EWJ^PERCENT_CHANGE(FMA_EPS(+1,0,,,,"PORTAGG","MEAN"),FMA_EPS(+1,-1AM,,,,"PORTAGG","MEAN"))&lt;/Q&gt;&lt;R&gt;1&lt;/R&gt;&lt;C&gt;1&lt;/C&gt;&lt;D xsi:type="xsd:double"&gt;3.43107170641426&lt;/D&gt;&lt;/FQL&gt;&lt;FQL&gt;&lt;Q&gt;REFAUCASH-FDS^FG_YIELD(NOW,,,0)&lt;/Q&gt;&lt;R&gt;1&lt;/R&gt;&lt;C&gt;1&lt;/C&gt;&lt;D xsi:type="xsd:double"&gt;4.35&lt;/D&gt;&lt;/FQL&gt;&lt;FQL&gt;&lt;Q&gt;CC_NZ^IMF_IFS_RCPI_Q(0)&lt;/Q&gt;&lt;R&gt;0&lt;/R&gt;&lt;C&gt;0&lt;/C&gt;&lt;/FQL&gt;&lt;FQL&gt;&lt;Q&gt;EWQ^JULIAN(FMA_DIV_YLD(NTMA,NOW,NOW,M,"PORTAGG","MEANR").DATES)&lt;/Q&gt;&lt;R&gt;1&lt;/R&gt;&lt;C&gt;1&lt;/C&gt;&lt;D xsi:type="xsd:long"&gt;45471&lt;/D&gt;&lt;/FQL&gt;&lt;FQL&gt;&lt;Q&gt;USO^FG_TOTAL_RETURNC(0,-1AM)&lt;/Q&gt;&lt;R&gt;1&lt;/R&gt;&lt;C&gt;1&lt;/C&gt;&lt;D xsi:type="xsd:double"&gt;-3.3523798&lt;/D&gt;&lt;/FQL&gt;&lt;FQL&gt;&lt;Q&gt;USDSEK^FG_COMPANY_NAME&lt;/Q&gt;&lt;R&gt;1&lt;/R&gt;&lt;C&gt;1&lt;/C&gt;&lt;D xsi:type="xsd:string"&gt;Swedish Krona per U.S. Dollar&lt;/D&gt;&lt;/FQL&gt;&lt;FQL&gt;&lt;Q&gt;EWC^FG_TOTAL_RETURNC(-10AY,0,AM)&lt;/Q&gt;&lt;R&gt;121&lt;/R&gt;&lt;C&gt;1&lt;/C&gt;&lt;D xsi:type="xsd:double"&gt;2.479601&lt;/D&gt;&lt;D xsi:type="xsd:double"&gt;-0.12251139&lt;/D&gt;&lt;D xsi:type="xsd:double"&gt;-4.967803&lt;/D&gt;&lt;D xsi:type="xsd:double"&gt;-3.7754118&lt;/D&gt;&lt;D xsi:type="xsd:double"&gt;3.7558675&lt;/D&gt;&lt;D xsi:type="xsd:double"&gt;-5.369079&lt;/D&gt;&lt;D xsi:type="xsd:double"&gt;-5.8517933&lt;/D&gt;&lt;D xsi:type="xsd:double"&gt;2.831924&lt;/D&gt;&lt;D xsi:type="xsd:double"&gt;-1.7525017&lt;/D&gt;&lt;D xsi:type="xsd:double"&gt;6.5890074&lt;/D&gt;&lt;D xsi:type="xsd:double"&gt;-4.713118&lt;/D&gt;&lt;D xsi:type="xsd:double"&gt;-0.5665481&lt;/D&gt;&lt;D xsi:type="xsd:double"&gt;-9.081&lt;/D&gt;&lt;D xsi:type="xsd:double"&gt;-7.311225&lt;/D&gt;&lt;D xsi:type="xsd:double"&gt;-0.51724315&lt;/D&gt;&lt;D xsi:type="xsd:double"&gt;4.67937&lt;/D&gt;&lt;D xsi:type="xsd:double"&gt;-3.80795&lt;/D&gt;&lt;D xsi:type="xsd:double"&gt;-4.1371765&lt;/D&gt;&lt;D xsi:type="xsd:double"&gt;-8.871698&lt;/D&gt;&lt;D xsi:type="xsd:double"&gt;7.988012&lt;/D&gt;&lt;D xsi:type="xsd:double"&gt;6.749892&lt;/D&gt;&lt;D xsi:type="xsd:double"&gt;8.531833&lt;/D&gt;&lt;D xsi:type="xsd:double"&gt;-1.3228238&lt;/D&gt;&lt;D xsi:type="xsd:double"&gt;-1.6046345&lt;/D&gt;&lt;D xsi:type="xsd:double"&gt;3.3968449&lt;/D&gt;&lt;D xsi:type="xsd:double"&gt;2.5641084&lt;/D&gt;&lt;D xsi:type="xsd:double"&gt;-1.5625&lt;/D&gt;&lt;D xsi:type="xsd:double"&gt;1.0714173&lt;/D&gt;&lt;D xsi:type="xsd:double"&gt;1.6097307&lt;/D&gt;&lt;D xsi:type="xsd:double"&gt;1.7406702&lt;/D&gt;&lt;D xsi:type="xsd:double"&gt;5.370152&lt;/D&gt;&lt;D xsi:type="xsd:double"&gt;-0.91008544&lt;/D&gt;&lt;D xsi:type="xsd:double"&gt;-2.5348961&lt;/D&gt;&lt;D xsi:type="xsd:double"&gt;-0.15077591&lt;/D&gt;&lt;D xsi:type="xsd:double"&gt;-0.41525364&lt;/D&gt;&lt;D xsi:type="xsd:double"&gt;1.0158539&lt;/D&gt;&lt;D xsi:type="xsd:double"&gt;5.8645487&lt;/D&gt;&lt;D xsi:type="xsd:double"&gt;-0.9292364&lt;/D&gt;&lt;D xsi:type="xsd:double"&gt;3.932178&lt;/D&gt;&lt;D xsi:type="xsd:double"&gt;-0.5553603&lt;/D&gt;&lt;D xsi:type="xsd:double"&gt;2.6527047&lt;/D&gt;&lt;D xsi:type="xsd:double"&gt;0.7641792&lt;/D&gt;&lt;D xsi:type="xsd:double"&gt;3.6226869&lt;/D&gt;&lt;D xsi:type="xsd:double"&gt;-5.672818&lt;/D&gt;&lt;D xsi:type="xsd:double"&gt;-4.2657375&lt;/D&gt;&lt;D xsi:type="xsd:double"&gt;2.5931358&lt;/D&gt;&lt;D xsi:type="xsd:double"&gt;2.3851871&lt;/D&gt;&lt;D xsi:type="xsd:double"&gt;-1.203692&lt;/D&gt;&lt;D xsi:type="xsd:double"&gt;3.3345103&lt;/D&gt;&lt;D xsi:type="xsd:double"&gt;-0.48060417&lt;/D&gt;&lt;D xsi:type="xsd:double"&gt;-1.0003388&lt;/D&gt;&lt;D xsi:type="xsd:double"&gt;-8.501744&lt;/D&gt;&lt;D xsi:type="xsd:double"&gt;0.38081408&lt;/D&gt;&lt;D xsi:type="xsd:double"&gt;-8.122789&lt;/D&gt;&lt;D xsi:type="xsd:double"&gt;11.754835&lt;/D&gt;&lt;D xsi:type="xsd:double"&gt;4.9211144&lt;/D&gt;&lt;D xsi:type="xsd:double"&gt;-1.109916&lt;/D&gt;&lt;D xsi:type="xsd:double"&gt;3.0412674&lt;/D&gt;&lt;D xsi:type="xsd:double"&gt;-2.213633&lt;/D&gt;&lt;D xsi:type="xsd:double"&gt;3.229177&lt;/D&gt;&lt;D xsi:type="xsd:double"&gt;0.80786943&lt;/D&gt;&lt;D xsi:type="xsd:double"&gt;-3.5540104&lt;/D&gt;&lt;D xsi:type="xsd:double"&gt;4.6242714&lt;/D&gt;&lt;D xsi:type="xsd:double"&gt;-0.17265081&lt;/D&gt;&lt;D xsi:type="xsd:double"&gt;2.455902&lt;/D&gt;&lt;D xsi:type="xsd:double"&gt;2.0190716&lt;/D&gt;&lt;D xsi:type="xsd:double"&gt;1.9785404&lt;/D&gt;&lt;D xsi:type="xsd:double"&gt;-4.6366334&lt;/D&gt;&lt;D xsi:type="xsd:double"&gt;-24.89655&lt;/D&gt;&lt;D xsi:type="xsd:double"&gt;7.4839234&lt;/D&gt;&lt;D xsi:type="xsd:double"&gt;7.560873&lt;/D&gt;&lt;D xsi:type="xsd:double"&gt;0.84609985&lt;/D&gt;&lt;D xsi:type="xsd:double"&gt;7.239461&lt;/D&gt;&lt;D xsi:type="xsd:double"&gt;7.566774&lt;/D&gt;&lt;D xsi:type="xsd:double"&gt;-6.1724186&lt;/D&gt;&lt;D xsi:type="xsd:double"&gt;1.3965487&lt;/D&gt;&lt;D xsi:type="xsd:double"&gt;10.184849&lt;/D&gt;&lt;D xsi:type="xsd:double"&gt;3.44975&lt;/D&gt;&lt;D xsi:type="xsd:double"&gt;1.802969&lt;/D&gt;&lt;D xsi:type="xsd:double"&gt;1.7393947&lt;/D&gt;&lt;D xsi:type="xsd:double"&gt;6.061554&lt;/D&gt;&lt;D xsi:type="xsd:double"&gt;3.722155&lt;/D&gt;&lt;D xsi:type="xsd:double"&gt;6.046903&lt;/D&gt;&lt;D xsi:type="xsd:double"&gt;1.0712862&lt;/D&gt;&lt;D xsi:type="xsd:double"&gt;-2.0689726&lt;/D&gt;&lt;D xsi:type="xsd:double"&gt;0.4062891&lt;/D&gt;&lt;D xsi:type="xsd:double"&gt;-0.45858622&lt;/D&gt;&lt;D xsi:type="xsd:double"&gt;6.5582633&lt;/D&gt;&lt;D xsi:type="xsd:double"&gt;-2.8738558&lt;/D&gt;&lt;D xsi:type="xsd:double"&gt;0.6578326&lt;/D&gt;&lt;D xsi:type="xsd:double"&gt;-1.6337276&lt;/D&gt;&lt;D xsi:type="xsd:double"&gt;2.196622&lt;/D&gt;&lt;D xsi:type="xsd:double"&gt;6.395805&lt;/D&gt;&lt;D xsi:type="xsd:double"&gt;-8.819908&lt;/D&gt;&lt;D xsi:type="xsd:double"&gt;0.05403757&lt;/D&gt;&lt;D xsi:type="xsd:double"&gt;-7.688558&lt;/D&gt;&lt;D xsi:type="xsd:double"&gt;-0.4715562&lt;/D&gt;&lt;D xsi:type="xsd:double"&gt;3.5238385&lt;/D&gt;&lt;D xsi:type="xsd:double"&gt;-12.099541&lt;/D&gt;&lt;D xsi:type="xsd:double"&gt;6.8987966&lt;/D&gt;&lt;D xsi:type="xsd:double"&gt;7.5494766&lt;/D&gt;&lt;D xsi:type="xsd:double"&gt;-5.664688&lt;/D&gt;&lt;D xsi:type="xsd:double"&gt;8.432269&lt;/D&gt;&lt;D xsi:type="xsd:double"&gt;-4.267269&lt;/D&gt;&lt;D xsi:type="xsd:double"&gt;-4.3401775&lt;/D&gt;&lt;D xsi:type="xsd:double"&gt;5.5794&lt;/D&gt;&lt;D xsi:type="xsd:double"&gt;-1.9163787&lt;/D&gt;&lt;D xsi:type="xsd:double"&gt;2.358842&lt;/D&gt;&lt;D xsi:type="xsd:double"&gt;4.820335&lt;/D&gt;&lt;D xsi:type="xsd:double"&gt;-6.326646&lt;/D&gt;&lt;D xsi:type="xsd:double"&gt;-0.14876127&lt;/D&gt;&lt;D xsi:type="xsd:double"&gt;-5.184746&lt;/D&gt;&lt;D xsi:type="xsd:double"&gt;8.830929&lt;/D&gt;&lt;D xsi:type="xsd:double"&gt;7.801962&lt;/D&gt;&lt;D xsi:type="xsd:double"&gt;-0.9774685&lt;/D&gt;&lt;D xsi:type="xsd:double"&gt;1.0419488&lt;/D&gt;&lt;D xsi:type="xsd:double"&gt;2.360928&lt;/D&gt;&lt;D xsi:type="xsd:double"&gt;-0.23860335&lt;/D&gt;&lt;D xsi:type="xsd:double"&gt;1.5944719&lt;/D&gt;&lt;D xsi:type="xsd:double"&gt;-2.4858296&lt;/D&gt;&lt;D xsi:type="xsd:double"&gt;3.7909627&lt;/D&gt;&lt;/FQL&gt;&lt;FQL&gt;&lt;Q&gt;EWU^FG_PRICE_MAVG(0,,,,200)&lt;/Q&gt;&lt;R&gt;1&lt;/R&gt;&lt;C&gt;1&lt;/C&gt;&lt;D xsi:type="xsd:double"&gt;33.5815&lt;/D&gt;&lt;/FQL&gt;&lt;FQL&gt;&lt;Q&gt;EWJ^P_PRICE(0)/P_PRICE_HIGH_PR(0,,,,,,"PRICE","INTRA","52W")&lt;/Q&gt;&lt;R&gt;1&lt;/R&gt;&lt;C&gt;1&lt;/C&gt;&lt;D xsi:type="xsd:double"&gt;0.95316726&lt;/D&gt;&lt;/FQL&gt;&lt;FQL&gt;&lt;Q&gt;EWI^P_PRICE(0)/P_PRICE_HIGH_PR(0,,,,,,"PRICE","INTRA","52W")&lt;/Q&gt;&lt;R&gt;1&lt;/R&gt;&lt;C&gt;1&lt;/C&gt;&lt;D xsi:type="xsd:double"&gt;0.95250195&lt;/D&gt;&lt;/FQL&gt;&lt;FQL&gt;&lt;Q&gt;QQQ^FG_TOTAL_RETURNC(0,-12AM)&lt;/Q&gt;&lt;R&gt;1&lt;/R&gt;&lt;C&gt;1&lt;/C&gt;&lt;D xsi:type="xsd:double"&gt;23.479605&lt;/D&gt;&lt;/FQL&gt;&lt;FQL&gt;&lt;Q&gt;EWG^FG_TOTAL_RETURNC(0,-12AM)&lt;/Q&gt;&lt;R&gt;1&lt;/R&gt;&lt;C&gt;1&lt;/C&gt;&lt;D xsi:type="xsd:double"&gt;10.787177&lt;/D&gt;&lt;/FQL&gt;&lt;FQL&gt;&lt;Q&gt;FXI^FMA_COS_UP("EPS","1M",+1,0,,,"PORTAGG","MEANR")&lt;/Q&gt;&lt;R&gt;1&lt;/R&gt;&lt;C&gt;1&lt;/C&gt;&lt;D xsi:type="xsd:double"&gt;26&lt;/D&gt;&lt;/FQL&gt;&lt;FQL&gt;&lt;Q&gt;ENZL^FMA_RBICS_REV_CURRENT(30, LOC, "PORTAGG")&lt;/Q&gt;&lt;R&gt;1&lt;/R&gt;&lt;C&gt;1&lt;/C&gt;&lt;D xsi:type="xsd:double"&gt;14.6753056662198&lt;/D&gt;&lt;/FQL&gt;&lt;FQL&gt;&lt;Q&gt;TRYFR10Y-FDS^FG_YIELD(0,,,,"YTM")&lt;/Q&gt;&lt;R&gt;1&lt;/R&gt;&lt;C&gt;1&lt;/C&gt;&lt;D xsi:type="xsd:double"&gt;3.115&lt;/D&gt;&lt;/FQL&gt;&lt;FQL&gt;&lt;Q&gt;VWO^JULIAN(FMA_DIV_YLD(NTMA,NOW,NOW,M,"PORTAGG","MEANR").DATES)&lt;/Q&gt;&lt;R&gt;1&lt;/R&gt;&lt;C&gt;1&lt;/C&gt;&lt;D xsi:type="xsd:long"&gt;45471&lt;/D&gt;&lt;/FQL&gt;&lt;FQL&gt;&lt;Q&gt;TRYQA10Y-FDS^FG_YIELD(-10AY,0,Y,,"YTM")&lt;/Q&gt;&lt;R&gt;10&lt;/R&gt;&lt;C&gt;1&lt;/C&gt;&lt;D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xsi:type="xsd:string"&gt;@NA&lt;/D&gt;&lt;/FQL&gt;&lt;FQL&gt;&lt;Q&gt;USDNZD^FG_PRICE_CHANGE(0,-1AY)&lt;/Q&gt;&lt;R&gt;1&lt;/R&gt;&lt;C&gt;1&lt;/C&gt;&lt;D xsi:type="xsd:double"&gt;5.4060936&lt;/D&gt;&lt;/FQL&gt;&lt;FQL&gt;&lt;Q&gt;EWA^FMA_PE(LTMA,-10AY,0,AM,"PORTAGG","MEANR")&lt;/Q&gt;&lt;R&gt;121&lt;/R&gt;&lt;C&gt;1&lt;/C&gt;&lt;D xsi:type="xsd:double"&gt;15.4615956867859&lt;/D&gt;&lt;D xsi:type="xsd:double"&gt;15.495300881697&lt;/D&gt;&lt;D xsi:type="xsd:double"&gt;14.7184700955155&lt;/D&gt;&lt;D xsi:type="xsd:double"&gt;15.0948856764954&lt;/D&gt;&lt;D xsi:type="xsd:double"&gt;14.8369360199092&lt;/D&gt;&lt;D xsi:type="xsd:double"&gt;14.5478656383555&lt;/D&gt;&lt;D xsi:type="xsd:double"&gt;15.0335471282789&lt;/D&gt;&lt;D xsi:type="xsd:double"&gt;16.1343571456289&lt;/D&gt;&lt;D xsi:type="xsd:double"&gt;16.2518233121926&lt;/D&gt;&lt;D xsi:type="xsd:double"&gt;16.4168690994018&lt;/D&gt;&lt;D xsi:type="xsd:double"&gt;16.2788505302652&lt;/D&gt;&lt;D xsi:type="xsd:double"&gt;15.9872431219633&lt;/D&gt;&lt;D xsi:type="xsd:double"&gt;15.9321085063801&lt;/D&gt;&lt;D xsi:type="xsd:double"&gt;15.4381916580526&lt;/D&gt;&lt;D xsi:type="xsd:double"&gt;15.100493988845&lt;/D&gt;&lt;D xsi:type="xsd:double"&gt;15.8454261017108&lt;/D&gt;&lt;D xsi:type="xsd:double"&gt;15.5470704058247&lt;/D&gt;&lt;D xsi:type="xsd:double"&gt;15.7355413446476&lt;/D&gt;&lt;D xsi:type="xsd:double"&gt;15.1464580863957&lt;/D&gt;&lt;D xsi:type="xsd:double"&gt;14.9372027356642&lt;/D&gt;&lt;D xsi:type="xsd:double"&gt;15.1412900899215&lt;/D&gt;&lt;D xsi:type="xsd:double"&gt;15.4069940901588&lt;/D&gt;&lt;D xsi:type="xsd:double"&gt;15.7613477697646&lt;/D&gt;&lt;D xsi:type="xsd:double"&gt;15.5322341052293&lt;/D&gt;&lt;D xsi:type="xsd:double"&gt;16.4270678638642&lt;/D&gt;&lt;D xsi:type="xsd:double"&gt;16.6873790901469&lt;/D&gt;&lt;D xsi:type="xsd:double"&gt;16.6856100875079&lt;/D&gt;&lt;D xsi:type="xsd:double"&gt;16.7192480346981&lt;/D&gt;&lt;D xsi:type="xsd:double"&gt;17.3565180399058&lt;/D&gt;&lt;D xsi:type="xsd:double"&gt;17.5424860665429&lt;/D&gt;&lt;D xsi:type="xsd:double"&gt;17.6178658189964&lt;/D&gt;&lt;D xsi:type="xsd:double"&gt;17.6912154457615&lt;/D&gt;&lt;D xsi:type="xsd:double"&gt;17.3518546115658&lt;/D&gt;&lt;D xsi:type="xsd:double"&gt;17.2919638705361&lt;/D&gt;&lt;D xsi:type="xsd:double"&gt;16.9521872566133&lt;/D&gt;&lt;D xsi:type="xsd:double"&gt;16.7622644502888&lt;/D&gt;&lt;D xsi:type="xsd:double"&gt;16.8936841306844&lt;/D&gt;&lt;D xsi:type="xsd:double"&gt;16.7437891978863&lt;/D&gt;&lt;D xsi:type="xsd:double"&gt;16.3122640345692&lt;/D&gt;&lt;D xsi:type="xsd:double"&gt;16.680527004456&lt;/D&gt;&lt;D xsi:type="xsd:double"&gt;16.6914114101435&lt;/D&gt;&lt;D xsi:type="xsd:double"&gt;16.7617447223651&lt;/D&gt;&lt;D xsi:type="xsd:double"&gt;16.8083737695171&lt;/D&gt;&lt;D xsi:type="xsd:double"&gt;16.6437981593547&lt;/D&gt;&lt;D xsi:type="xsd:double"&gt;16.3229135764186&lt;/D&gt;&lt;D xsi:type="xsd:double"&gt;16.2393468814175&lt;/D&gt;&lt;D xsi:type="xsd:double"&gt;16.239052514505&lt;/D&gt;&lt;D xsi:type="xsd:double"&gt;16.2751986837461&lt;/D&gt;&lt;D xsi:type="xsd:double"&gt;16.2776415290631&lt;/D&gt;&lt;D xsi:type="xsd:double"&gt;16.2640561107809&lt;/D&gt;&lt;D xsi:type="xsd:double"&gt;16.0617078041742&lt;/D&gt;&lt;D xsi:type="xsd:double"&gt;14.9064888445425&lt;/D&gt;&lt;D xsi:type="xsd:double"&gt;14.9053901847581&lt;/D&gt;&lt;D xsi:type="xsd:double"&gt;14.2542076694949&lt;/D&gt;&lt;D xsi:type="xsd:double"&gt;15.3799431966505&lt;/D&gt;&lt;D xsi:type="xsd:double"&gt;15.8260052751908&lt;/D&gt;&lt;D xsi:type="xsd:double"&gt;15.8550787284173&lt;/D&gt;&lt;D xsi:type="xsd:double"&gt;15.9223051538782&lt;/D&gt;&lt;D xsi:type="xsd:double"&gt;15.9823662155039&lt;/D&gt;&lt;D xsi:type="xsd:double"&gt;16.2879694939672&lt;/D&gt;&lt;D xsi:type="xsd:double"&gt;16.464363964218&lt;/D&gt;&lt;D xsi:type="xsd:double"&gt;16.1550277737539&lt;/D&gt;&lt;D xsi:type="xsd:double"&gt;16.7786894439572&lt;/D&gt;&lt;D xsi:type="xsd:double"&gt;17.2894523495894&lt;/D&gt;&lt;D xsi:type="xsd:double"&gt;17.6222374081403&lt;/D&gt;&lt;D xsi:type="xsd:double"&gt;17.9745617004679&lt;/D&gt;&lt;D xsi:type="xsd:double"&gt;18.7448036256346&lt;/D&gt;&lt;D xsi:type="xsd:double"&gt;17.7439313339083&lt;/D&gt;&lt;D xsi:type="xsd:double"&gt;16.3274166548633&lt;/D&gt;&lt;D xsi:type="xsd:double"&gt;16.8914481725788&lt;/D&gt;&lt;D xsi:type="xsd:double"&gt;18.0249919972616&lt;/D&gt;&lt;D xsi:type="xsd:double"&gt;18.3879882409979&lt;/D&gt;&lt;D xsi:type="xsd:double"&gt;19.0604964561104&lt;/D&gt;&lt;D xsi:type="xsd:double"&gt;19.8241929255336&lt;/D&gt;&lt;D xsi:type="xsd:double"&gt;19.3970669183844&lt;/D&gt;&lt;D xsi:type="xsd:double"&gt;20.1425555086016&lt;/D&gt;&lt;D xsi:type="xsd:double"&gt;22.4892605960055&lt;/D&gt;&lt;D xsi:type="xsd:double"&gt;23.0184446862916&lt;/D&gt;&lt;D xsi:type="xsd:double"&gt;23.3864673636357&lt;/D&gt;&lt;D xsi:type="xsd:double"&gt;21.8034729969148&lt;/D&gt;&lt;D xsi:type="xsd:double"&gt;21.3985704649108&lt;/D&gt;&lt;D xsi:type="xsd:double"&gt;21.115233177602&lt;/D&gt;&lt;D xsi:type="xsd:double"&gt;20.6537833434265&lt;/D&gt;&lt;D xsi:type="xsd:double"&gt;20.2332879928838&lt;/D&gt;&lt;D xsi:type="xsd:double"&gt;19.2872856815114&lt;/D&gt;&lt;D xsi:type="xsd:double"&gt;19.1088952526235&lt;/D&gt;&lt;D xsi:type="xsd:double"&gt;18.5958215218382&lt;/D&gt;&lt;D xsi:type="xsd:double"&gt;18.8081225506491&lt;/D&gt;&lt;D xsi:type="xsd:double"&gt;17.6689624205039&lt;/D&gt;&lt;D xsi:type="xsd:double"&gt;17.8141057744194&lt;/D&gt;&lt;D xsi:type="xsd:double"&gt;16.4664938019158&lt;/D&gt;&lt;D xsi:type="xsd:double"&gt;15.5226364317685&lt;/D&gt;&lt;D xsi:type="xsd:double"&gt;15.8078824521756&lt;/D&gt;&lt;D xsi:type="xsd:double"&gt;15.3995891647581&lt;/D&gt;&lt;D xsi:type="xsd:double"&gt;15.023324911026&lt;/D&gt;&lt;D xsi:type="xsd:double"&gt;14.1380480427824&lt;/D&gt;&lt;D xsi:type="xsd:double"&gt;14.3938630665793&lt;/D&gt;&lt;D xsi:type="xsd:double"&gt;14.6102212533448&lt;/D&gt;&lt;D xsi:type="xsd:double"&gt;13.2971792830215&lt;/D&gt;&lt;D xsi:type="xsd:double"&gt;13.53280202538&lt;/D&gt;&lt;D xsi:type="xsd:double"&gt;14.4668092716619&lt;/D&gt;&lt;D xsi:type="xsd:double"&gt;14.1001263107534&lt;/D&gt;&lt;D xsi:type="xsd:double"&gt;14.8755916972341&lt;/D&gt;&lt;D xsi:type="xsd:double"&gt;14.3270764204306&lt;/D&gt;&lt;D xsi:type="xsd:double"&gt;14.1274810875039&lt;/D&gt;&lt;D xsi:type="xsd:double"&gt;14.336296328297&lt;/D&gt;&lt;D xsi:type="xsd:double"&gt;14.2076625511532&lt;/D&gt;&lt;D xsi:type="xsd:double"&gt;14.4287169893067&lt;/D&gt;&lt;D xsi:type="xsd:double"&gt;15.1298768769939&lt;/D&gt;&lt;D xsi:type="xsd:double"&gt;14.7873882480359&lt;/D&gt;&lt;D xsi:type="xsd:double"&gt;14.7629131241763&lt;/D&gt;&lt;D xsi:type="xsd:double"&gt;14.397625431403&lt;/D&gt;&lt;D xsi:type="xsd:double"&gt;15.1256568819235&lt;/D&gt;&lt;D xsi:type="xsd:double"&gt;16.3420379394088&lt;/D&gt;&lt;D xsi:type="xsd:double"&gt;16.3959505038922&lt;/D&gt;&lt;D xsi:type="xsd:double"&gt;16.5949119521408&lt;/D&gt;&lt;D xsi:type="xsd:double"&gt;16.6445788758201&lt;/D&gt;&lt;D xsi:type="xsd:double"&gt;16.5440603531343&lt;/D&gt;&lt;D xsi:type="xsd:double"&gt;16.6925012107593&lt;/D&gt;&lt;D xsi:type="xsd:double"&gt;16.8774247589288&lt;/D&gt;&lt;D xsi:type="xsd:double"&gt;16.9741696845235&lt;/D&gt;&lt;/FQL&gt;&lt;FQL&gt;&lt;Q&gt;PLATI-FDS^FG_PRICE_MAVG(0,,,,30)&lt;/Q&gt;&lt;R&gt;1&lt;/R&gt;&lt;C&gt;1&lt;/C&gt;&lt;D xsi:type="xsd:double"&gt;987.8333&lt;/D&gt;&lt;/FQL&gt;&lt;FQL&gt;&lt;Q&gt;TIOS-FDS^FG_PRICE(0)&lt;/Q&gt;&lt;R&gt;1&lt;/R&gt;&lt;C&gt;1&lt;/C&gt;&lt;D xsi:type="xsd:double"&gt;107.14&lt;/D&gt;&lt;/FQL&gt;&lt;FQL&gt;&lt;Q&gt;REFAUCASH-FDS^PROPER_NAME(0,,,"SECURITY","NAME")&lt;/Q&gt;&lt;R&gt;1&lt;/R&gt;&lt;C&gt;1&lt;/C&gt;&lt;D xsi:type="xsd:string"&gt;Australia Target Cash Rate&lt;/D&gt;&lt;/FQL&gt;&lt;FQL&gt;&lt;Q&gt;SPY^FMA_EVAL_EBIT(LTMA,NOW,NOW,M,"PORTAGG","MEANR")&lt;/Q&gt;&lt;R&gt;1&lt;/R&gt;&lt;C&gt;1&lt;/C&gt;&lt;D xsi:type="xsd:double"&gt;20.7244989787839&lt;/D&gt;&lt;/FQL&gt;&lt;FQL&gt;&lt;Q&gt;EWJ^FG_FCF_YIELD_NTM(0)&lt;/Q&gt;&lt;R&gt;1&lt;/R&gt;&lt;C&gt;1&lt;/C&gt;&lt;D xsi:type="xsd:double"&gt;3.89773188028289&lt;/D&gt;&lt;/FQL&gt;&lt;FQL&gt;&lt;Q&gt;DBA^P_PRICE(0)/P_PRICE_HIGH_PR(0,,,USD,,,"PRICE","INTRA","52W")&lt;/Q&gt;&lt;R&gt;1&lt;/R&gt;&lt;C&gt;1&lt;/C&gt;&lt;D xsi:type="xsd:double"&gt;0.8983274&lt;/D&gt;&lt;/FQL&gt;&lt;FQL&gt;&lt;Q&gt;USDANG^STD(FG_PRICE_CHANGE(0,-3AY,M))&lt;/Q&gt;&lt;R&gt;1&lt;/R&gt;&lt;C&gt;1&lt;/C&gt;&lt;D xsi:type="xsd:double"&gt;0.0594600681310969&lt;/D&gt;&lt;/FQL&gt;&lt;FQL&gt;&lt;Q&gt;ENZL^FG_TOTAL_RETURNC(-10AY,0,AM)&lt;/Q&gt;&lt;R&gt;121&lt;/R&gt;&lt;C&gt;1&lt;/C&gt;&lt;D xsi:type="xsd:double"&gt;-1.0473669&lt;/D&gt;&lt;D xsi:type="xsd:double"&gt;-2.6220858&lt;/D&gt;&lt;D xsi:type="xsd:double"&gt;-3.9525628&lt;/D&gt;&lt;D xsi:type="xsd:double"&gt;1.8762827&lt;/D&gt;&lt;D xsi:type="xsd:double"&gt;2.2481918&lt;/D&gt;&lt;D xsi:type="xsd:double"&gt;0.5458236&lt;/D&gt;&lt;D xsi:type="xsd:double"&gt;-0.8985102&lt;/D&gt;&lt;D xsi:type="xsd:double"&gt;3.8110733&lt;/D&gt;&lt;D xsi:type="xsd:double"&gt;-0.12269616&lt;/D&gt;&lt;D xsi:type="xsd:double"&gt;-0.99017024&lt;/D&gt;&lt;D xsi:type="xsd:double"&gt;-4.1864157&lt;/D&gt;&lt;D xsi:type="xsd:double"&gt;-6.8184495&lt;/D&gt;&lt;D xsi:type="xsd:double"&gt;-1.7393827&lt;/D&gt;&lt;D xsi:type="xsd:double"&gt;-6.3261747&lt;/D&gt;&lt;D xsi:type="xsd:double"&gt;0.3714323&lt;/D&gt;&lt;D xsi:type="xsd:double"&gt;12.43862&lt;/D&gt;&lt;D xsi:type="xsd:double"&gt;-2.2783458&lt;/D&gt;&lt;D xsi:type="xsd:double"&gt;6.5209985&lt;/D&gt;&lt;D xsi:type="xsd:double"&gt;-5.8586416&lt;/D&gt;&lt;D xsi:type="xsd:double"&gt;4.1107655&lt;/D&gt;&lt;D xsi:type="xsd:double"&gt;7.8968883&lt;/D&gt;&lt;D xsi:type="xsd:double"&gt;4.9046993&lt;/D&gt;&lt;D xsi:type="xsd:double"&gt;0.24225712&lt;/D&gt;&lt;D xsi:type="xsd:double"&gt;2.1076083&lt;/D&gt;&lt;D xsi:type="xsd:double"&gt;8.436942&lt;/D&gt;&lt;D xsi:type="xsd:double"&gt;3.293538&lt;/D&gt;&lt;D xsi:type="xsd:double"&gt;-1.8831611&lt;/D&gt;&lt;D xsi:type="xsd:double"&gt;-7.0228934&lt;/D&gt;&lt;D xsi:type="xsd:double"&gt;-0.96176267&lt;/D&gt;&lt;D xsi:type="xsd:double"&gt;-3.2593608&lt;/D&gt;&lt;D xsi:type="xsd:double"&gt;9.675789&lt;/D&gt;&lt;D xsi:type="xsd:double"&gt;-2.0323336&lt;/D&gt;&lt;D xsi:type="xsd:double"&gt;-2.3102283&lt;/D&gt;&lt;D xsi:type="xsd:double"&gt;2.0028949&lt;/D&gt;&lt;D xsi:type="xsd:double"&gt;4.8024535&lt;/D&gt;&lt;D xsi:type="xsd:double"&gt;5.6847215&lt;/D&gt;&lt;D xsi:type="xsd:double"&gt;3.9817214&lt;/D&gt;&lt;D xsi:type="xsd:double"&gt;-1.7158389&lt;/D&gt;&lt;D xsi:type="xsd:double"&gt;-0.21290779&lt;/D&gt;&lt;D xsi:type="xsd:double"&gt;-3.3710241&lt;/D&gt;&lt;D xsi:type="xsd:double"&gt;0.7507205&lt;/D&gt;&lt;D xsi:type="xsd:double"&gt;5.8074355&lt;/D&gt;&lt;D xsi:type="xsd:double"&gt;3.441&lt;/D&gt;&lt;D xsi:type="xsd:double"&gt;0.65306425&lt;/D&gt;&lt;D xsi:type="xsd:double"&gt;1.4801264&lt;/D&gt;&lt;D xsi:type="xsd:double"&gt;-5.134863&lt;/D&gt;&lt;D xsi:type="xsd:double"&gt;0.9898901&lt;/D&gt;&lt;D xsi:type="xsd:double"&gt;4.440093&lt;/D&gt;&lt;D xsi:type="xsd:double"&gt;-2.4974585&lt;/D&gt;&lt;D xsi:type="xsd:double"&gt;1.8117428&lt;/D&gt;&lt;D xsi:type="xsd:double"&gt;0.4090786&lt;/D&gt;&lt;D xsi:type="xsd:double"&gt;-10.470563&lt;/D&gt;&lt;D xsi:type="xsd:double"&gt;6.6894174&lt;/D&gt;&lt;D xsi:type="xsd:double"&gt;-0.24213195&lt;/D&gt;&lt;D xsi:type="xsd:double"&gt;6.7029357&lt;/D&gt;&lt;D xsi:type="xsd:double"&gt;2.447486&lt;/D&gt;&lt;D xsi:type="xsd:double"&gt;2.5482774&lt;/D&gt;&lt;D xsi:type="xsd:double"&gt;0.931859&lt;/D&gt;&lt;D xsi:type="xsd:double"&gt;0.21157265&lt;/D&gt;&lt;D xsi:type="xsd:double"&gt;2.408123&lt;/D&gt;&lt;D xsi:type="xsd:double"&gt;4.2998433&lt;/D&gt;&lt;D xsi:type="xsd:double"&gt;-6.950021&lt;/D&gt;&lt;D xsi:type="xsd:double"&gt;1.803577&lt;/D&gt;&lt;D xsi:type="xsd:double"&gt;0.6932378&lt;/D&gt;&lt;D xsi:type="xsd:double"&gt;3.987372&lt;/D&gt;&lt;D xsi:type="xsd:double"&gt;9.071339&lt;/D&gt;&lt;D xsi:type="xsd:double"&gt;0.99879503&lt;/D&gt;&lt;D xsi:type="xsd:double"&gt;-6.206316&lt;/D&gt;&lt;D xsi:type="xsd:double"&gt;-15.760767&lt;/D&gt;&lt;D xsi:type="xsd:double"&gt;4.8292994&lt;/D&gt;&lt;D xsi:type="xsd:double"&gt;5.624163&lt;/D&gt;&lt;D xsi:type="xsd:double"&gt;5.0735593&lt;/D&gt;&lt;D xsi:type="xsd:double"&gt;8.982265&lt;/D&gt;&lt;D xsi:type="xsd:double"&gt;4.1638136&lt;/D&gt;&lt;D xsi:type="xsd:double"&gt;-5.132425&lt;/D&gt;&lt;D xsi:type="xsd:double"&gt;6.309521&lt;/D&gt;&lt;D xsi:type="xsd:double"&gt;7.6356173&lt;/D&gt;&lt;D xsi:type="xsd:double"&gt;2.994299&lt;/D&gt;&lt;D xsi:type="xsd:double"&gt;4.3756485&lt;/D&gt;&lt;D xsi:type="xsd:double"&gt;-10.837012&lt;/D&gt;&lt;D xsi:type="xsd:double"&gt;-1.039499&lt;/D&gt;&lt;D xsi:type="xsd:double"&gt;4.993534&lt;/D&gt;&lt;D xsi:type="xsd:double"&gt;-3.7555814&lt;/D&gt;&lt;D xsi:type="xsd:double"&gt;-0.40208697&lt;/D&gt;&lt;D xsi:type="xsd:double"&gt;-0.5346775&lt;/D&gt;&lt;D xsi:type="xsd:double"&gt;1.2054086&lt;/D&gt;&lt;D xsi:type="xsd:double"&gt;2.140665&lt;/D&gt;&lt;D xsi:type="xsd:double"&gt;0.61455965&lt;/D&gt;&lt;D xsi:type="xsd:double"&gt;-9.158963&lt;/D&gt;&lt;D xsi:type="xsd:double"&gt;2.8234959&lt;/D&gt;&lt;D xsi:type="xsd:double"&gt;-8.673817&lt;/D&gt;&lt;D xsi:type="xsd:double"&gt;1.7429471&lt;/D&gt;&lt;D xsi:type="xsd:double"&gt;1.9604206&lt;/D&gt;&lt;D xsi:type="xsd:double"&gt;-9.038639&lt;/D&gt;&lt;D xsi:type="xsd:double"&gt;-6.0450373&lt;/D&gt;&lt;D xsi:type="xsd:double"&gt;-3.54923&lt;/D&gt;&lt;D xsi:type="xsd:double"&gt;0.2205491&lt;/D&gt;&lt;D xsi:type="xsd:double"&gt;1.9586325&lt;/D&gt;&lt;D xsi:type="xsd:double"&gt;-8.417874&lt;/D&gt;&lt;D xsi:type="xsd:double"&gt;0.49493313&lt;/D&gt;&lt;D xsi:type="xsd:double"&gt;10.365856&lt;/D&gt;&lt;D xsi:type="xsd:double"&gt;3.5809755&lt;/D&gt;&lt;D xsi:type="xsd:double"&gt;8.286953&lt;/D&gt;&lt;D xsi:type="xsd:double"&gt;-7.9954267&lt;/D&gt;&lt;D xsi:type="xsd:double"&gt;-0.24830103&lt;/D&gt;&lt;D xsi:type="xsd:double"&gt;1.2860417&lt;/D&gt;&lt;D xsi:type="xsd:double"&gt;-0.9215653&lt;/D&gt;&lt;D xsi:type="xsd:double"&gt;-0.8987546&lt;/D&gt;&lt;D xsi:type="xsd:double"&gt;4.297447&lt;/D&gt;&lt;D xsi:type="xsd:double"&gt;-9.291047&lt;/D&gt;&lt;D xsi:type="xsd:double"&gt;-1.0465384&lt;/D&gt;&lt;D xsi:type="xsd:double"&gt;-6.5931616&lt;/D&gt;&lt;D xsi:type="xsd:double"&gt;8.479881&lt;/D&gt;&lt;D xsi:type="xsd:double"&gt;8.632517&lt;/D&gt;&lt;D xsi:type="xsd:double"&gt;-2.1285415&lt;/D&gt;&lt;D xsi:type="xsd:double"&gt;-2.686572&lt;/D&gt;&lt;D xsi:type="xsd:double"&gt;-0.24101734&lt;/D&gt;&lt;D xsi:type="xsd:double"&gt;-2.767402&lt;/D&gt;&lt;D xsi:type="xsd:double"&gt;3.2301784&lt;/D&gt;&lt;D xsi:type="xsd:double"&gt;0.03862381&lt;/D&gt;&lt;D xsi:type="xsd:double"&gt;0.7273555&lt;/D&gt;&lt;/FQL&gt;&lt;FQL&gt;&lt;Q&gt;EWU^FG_PRICE_MAVG(0,,,,60)&lt;/Q&gt;&lt;R&gt;1&lt;/R&gt;&lt;C&gt;1&lt;/C&gt;&lt;D xsi:type="xsd:double"&gt;35.689667&lt;/D&gt;&lt;/FQL&gt;&lt;FQL&gt;&lt;Q&gt;QQQ^P_PRICE(0)/P_P</t>
        </r>
      </text>
    </comment>
    <comment ref="A14" authorId="0" shapeId="0" xr:uid="{8868F337-1F6C-4082-90CC-E950732CC130}">
      <text>
        <r>
          <rPr>
            <b/>
            <sz val="9"/>
            <color indexed="81"/>
            <rFont val="Tahoma"/>
            <charset val="1"/>
          </rPr>
          <t>RICE_LOW_PR(0,,,,,,"PRICE","INTRA","52W")-1&lt;/Q&gt;&lt;R&gt;1&lt;/R&gt;&lt;C&gt;1&lt;/C&gt;&lt;D xsi:type="xsd:double"&gt;0.3523295&lt;/D&gt;&lt;/FQL&gt;&lt;FQL&gt;&lt;Q&gt;EWG^P_PRICE(0)/P_PRICE_LOW_PR(0,,,,,,"PRICE","INTRA","52W")-1&lt;/Q&gt;&lt;R&gt;1&lt;/R&gt;&lt;C&gt;1&lt;/C&gt;&lt;D xsi:type="xsd:double"&gt;0.26735473&lt;/D&gt;&lt;/FQL&gt;&lt;FQL&gt;&lt;Q&gt;URTH^SIZE(FG_CONSTITUENTS)&lt;/Q&gt;&lt;R&gt;1&lt;/R&gt;&lt;C&gt;1&lt;/C&gt;&lt;D xsi:type="xsd:long"&gt;1430&lt;/D&gt;&lt;/FQL&gt;&lt;FQL&gt;&lt;Q&gt;EWI^FG_ROE(0)&lt;/Q&gt;&lt;R&gt;1&lt;/R&gt;&lt;C&gt;1&lt;/C&gt;&lt;D xsi:type="xsd:double"&gt;13.8571748586127&lt;/D&gt;&lt;/FQL&gt;&lt;FQL&gt;&lt;Q&gt;VGK^FMA_EVAL_EBIT(LTMA,NOW,NOW,M,"PORTAGG","MEANR")&lt;/Q&gt;&lt;R&gt;1&lt;/R&gt;&lt;C&gt;1&lt;/C&gt;&lt;D xsi:type="xsd:double"&gt;13.2235185791242&lt;/D&gt;&lt;/FQL&gt;&lt;FQL&gt;&lt;Q&gt;EWG^FMA_EVAL_EBIT(LTMA,NOW,NOW,M,"PORTAGG","MEANR")&lt;/Q&gt;&lt;R&gt;1&lt;/R&gt;&lt;C&gt;1&lt;/C&gt;&lt;D xsi:type="xsd:double"&gt;13.4158465316422&lt;/D&gt;&lt;/FQL&gt;&lt;FQL&gt;&lt;Q&gt;CAGDPY@GB^EE_ACTUAL_ANNUAL(MED,+1)&lt;/Q&gt;&lt;R&gt;1&lt;/R&gt;&lt;C&gt;1&lt;/C&gt;&lt;D xsi:type="xsd:double"&gt;-2.7&lt;/D&gt;&lt;/FQL&gt;&lt;FQL&gt;&lt;Q&gt;USDNZD^FG_PRICE(0)&lt;/Q&gt;&lt;R&gt;1&lt;/R&gt;&lt;C&gt;1&lt;/C&gt;&lt;D xsi:type="xsd:double"&gt;1.6973606&lt;/D&gt;&lt;/FQL&gt;&lt;FQL&gt;&lt;Q&gt;ENZL^FMA_PE(LTMA,-10AY,0,AM,"PORTAGG","MEANR")&lt;/Q&gt;&lt;R&gt;121&lt;/R&gt;&lt;C&gt;1&lt;/C&gt;&lt;D xsi:type="xsd:double"&gt;18.1471650053407&lt;/D&gt;&lt;D xsi:type="xsd:double"&gt;18.0191991647842&lt;/D&gt;&lt;D xsi:type="xsd:double"&gt;17.9041434392104&lt;/D&gt;&lt;D xsi:type="xsd:double"&gt;18.2227177897502&lt;/D&gt;&lt;D xsi:type="xsd:double"&gt;18.5736448753129&lt;/D&gt;&lt;D xsi:type="xsd:double"&gt;19.135174035517&lt;/D&gt;&lt;D xsi:type="xsd:double"&gt;19.7310428328413&lt;/D&gt;&lt;D xsi:type="xsd:double"&gt;20.4910459704989&lt;/D&gt;&lt;D xsi:type="xsd:double"&gt;20.2008330515695&lt;/D&gt;&lt;D xsi:type="xsd:double"&gt;20.0714568013408&lt;/D&gt;&lt;D xsi:type="xsd:double"&gt;20.0101339151476&lt;/D&gt;&lt;D xsi:type="xsd:double"&gt;19.6496878236845&lt;/D&gt;&lt;D xsi:type="xsd:double"&gt;19.8385257248821&lt;/D&gt;&lt;D xsi:type="xsd:double"&gt;19.022741889376&lt;/D&gt;&lt;D xsi:type="xsd:double"&gt;18.9111453212201&lt;/D&gt;&lt;D xsi:type="xsd:double"&gt;19.4900213208971&lt;/D&gt;&lt;D xsi:type="xsd:double"&gt;19.4924349934727&lt;/D&gt;&lt;D xsi:type="xsd:double"&gt;19.7634532259133&lt;/D&gt;&lt;D xsi:type="xsd:double"&gt;19.1338963822653&lt;/D&gt;&lt;D xsi:type="xsd:double"&gt;19.2903080505808&lt;/D&gt;&lt;D xsi:type="xsd:double"&gt;19.257798741171&lt;/D&gt;&lt;D xsi:type="xsd:double"&gt;19.4178078832587&lt;/D&gt;&lt;D xsi:type="xsd:double"&gt;19.6640881461057&lt;/D&gt;&lt;D xsi:type="xsd:double"&gt;19.3911550628918&lt;/D&gt;&lt;D xsi:type="xsd:double"&gt;20.474661772761&lt;/D&gt;&lt;D xsi:type="xsd:double"&gt;20.7805426923717&lt;/D&gt;&lt;D xsi:type="xsd:double"&gt;20.7639388183306&lt;/D&gt;&lt;D xsi:type="xsd:double"&gt;19.9784911165393&lt;/D&gt;&lt;D xsi:type="xsd:double"&gt;20.1085004843122&lt;/D&gt;&lt;D xsi:type="xsd:double"&gt;19.9857967367727&lt;/D&gt;&lt;D xsi:type="xsd:double"&gt;20.6048656988401&lt;/D&gt;&lt;D xsi:type="xsd:double"&gt;20.204930651405&lt;/D&gt;&lt;D xsi:type="xsd:double"&gt;19.7202747457232&lt;/D&gt;&lt;D xsi:type="xsd:double"&gt;19.8896448689022&lt;/D&gt;&lt;D xsi:type="xsd:double"&gt;20.018662549414&lt;/D&gt;&lt;D xsi:type="xsd:double"&gt;20.1632512285456&lt;/D&gt;&lt;D xsi:type="xsd:double"&gt;20.402028892511&lt;/D&gt;&lt;D xsi:type="xsd:double"&gt;20.6911266485399&lt;/D&gt;&lt;D xsi:type="xsd:double"&gt;20.6447905127151&lt;/D&gt;&lt;D xsi:type="xsd:double"&gt;21.2875193822579&lt;/D&gt;&lt;D xsi:type="xsd:double"&gt;21.3869042546703&lt;/D&gt;&lt;D xsi:type="xsd:double"&gt;22.372408394438&lt;/D&gt;&lt;D xsi:type="xsd:double"&gt;22.0496253338217&lt;/D&gt;&lt;D xsi:type="xsd:double"&gt;22.5637686363751&lt;/D&gt;&lt;D xsi:type="xsd:double"&gt;22.4897664729324&lt;/D&gt;&lt;D xsi:type="xsd:double"&gt;22.1955165651856&lt;/D&gt;&lt;D xsi:type="xsd:double"&gt;22.3886540725343&lt;/D&gt;&lt;D xsi:type="xsd:double"&gt;22.8783785247056&lt;/D&gt;&lt;D xsi:type="xsd:double"&gt;22.8523007715836&lt;/D&gt;&lt;D xsi:type="xsd:double"&gt;23.4049150149685&lt;/D&gt;&lt;D xsi:type="xsd:double"&gt;23.6650027383423&lt;/D&gt;&lt;D xsi:type="xsd:double"&gt;22.1527705536011&lt;/D&gt;&lt;D xsi:type="xsd:double"&gt;22.3199738688715&lt;/D&gt;&lt;D xsi:type="xsd:double"&gt;22.747700365783&lt;/D&gt;&lt;D xsi:type="xsd:double"&gt;23.5348813893366&lt;/D&gt;&lt;D xsi:type="xsd:double"&gt;24.1358785126204&lt;/D&gt;&lt;D xsi:type="xsd:double"&gt;24.0542161928566&lt;/D&gt;&lt;D xsi:type="xsd:double"&gt;24.1921509649454&lt;/D&gt;&lt;D xsi:type="xsd:double"&gt;24.45689526351&lt;/D&gt;&lt;D xsi:type="xsd:double"&gt;24.5450619616496&lt;/D&gt;&lt;D xsi:type="xsd:double"&gt;25.2092204939537&lt;/D&gt;&lt;D xsi:type="xsd:double"&gt;27.5672343789185&lt;/D&gt;&lt;D xsi:type="xsd:double"&gt;28.3697575843058&lt;/D&gt;&lt;D xsi:type="xsd:double"&gt;28.5998071790507&lt;/D&gt;&lt;D xsi:type="xsd:double"&gt;30.2158397700243&lt;/D&gt;&lt;D xsi:type="xsd:double"&gt;32.8102082242613&lt;/D&gt;&lt;D xsi:type="xsd:double"&gt;33.2292751068816&lt;/D&gt;&lt;D xsi:type="xsd:double"&gt;31.7644753775074&lt;/D&gt;&lt;D xsi:type="xsd:double"&gt;30.3963356061416&lt;/D&gt;&lt;D xsi:type="xsd:double"&gt;31.3512192888678&lt;/D&gt;&lt;D xsi:type="xsd:double"&gt;32.9611615671713&lt;/D&gt;&lt;D xsi:type="xsd:double"&gt;32.4023525668873&lt;/D&gt;&lt;D xsi:type="xsd:double"&gt;33.6765762864135&lt;/D&gt;&lt;D xsi:type="xsd:double"&gt;34.75130357643&lt;/D&gt;&lt;D xsi:type="xsd:double"&gt;33.5314765660501&lt;/D&gt;&lt;D xsi:type="xsd:double"&gt;36.0617609645546&lt;/D&gt;&lt;D xsi:type="xsd:double"&gt;35.2873063747185&lt;/D&gt;&lt;D xsi:type="xsd:double"&gt;37.8027338761035&lt;/D&gt;&lt;D xsi:type="xsd:double"&gt;37.3976504269667&lt;/D&gt;&lt;D xsi:type="xsd:double"&gt;34.3437409257866&lt;/D&gt;&lt;D xsi:type="xsd:double"&gt;34.3833292210324&lt;/D&gt;&lt;D xsi:type="xsd:double"&gt;34.5077104674441&lt;/D&gt;&lt;D xsi:type="xsd:double"&gt;34.6142932656914&lt;/D&gt;&lt;D xsi:type="xsd:double"&gt;35.8446980571788&lt;/D&gt;&lt;D xsi:type="xsd:double"&gt;36.5351876283092&lt;/D&gt;&lt;D xsi:type="xsd:double"&gt;38.0980559305335&lt;/D&gt;&lt;D xsi:type="xsd:double"&gt;38.8249415402382&lt;/D&gt;&lt;D xsi:type="xsd:double"&gt;38.97750959959&lt;/D&gt;&lt;D xsi:type="xsd:double"&gt;37.6876440363277&lt;/D&gt;&lt;D xsi:type="xsd:double"&gt;38.9108217155928&lt;/D&gt;&lt;D xsi:type="xsd:double"&gt;37.2020758975195&lt;/D&gt;&lt;D xsi:type="xsd:double"&gt;35.2455545789184&lt;/D&gt;&lt;D xsi:type="xsd:double"&gt;34.9986091086782&lt;/D&gt;&lt;D xsi:type="xsd:double"&gt;34.4361896636367&lt;/D&gt;&lt;D xsi:type="xsd:double"&gt;33.6652217104959&lt;/D&gt;&lt;D xsi:type="xsd:double"&gt;32.9498583105352&lt;/D&gt;&lt;D xsi:type="xsd:double"&gt;32.7635910265016&lt;/D&gt;&lt;D xsi:type="xsd:double"&gt;34.7676740696063&lt;/D&gt;&lt;D xsi:type="xsd:double"&gt;32.5372376279833&lt;/D&gt;&lt;D xsi:type="xsd:double"&gt;31.0291243447875&lt;/D&gt;&lt;D xsi:type="xsd:double"&gt;30.1431982180416&lt;/D&gt;&lt;D xsi:type="xsd:double"&gt;29.2819577999868&lt;/D&gt;&lt;D xsi:type="xsd:double"&gt;29.9414214926374&lt;/D&gt;&lt;D xsi:type="xsd:double"&gt;29.6039347066348&lt;/D&gt;&lt;D xsi:type="xsd:double"&gt;28.8981887653777&lt;/D&gt;&lt;D xsi:type="xsd:double"&gt;28.5012241960855&lt;/D&gt;&lt;D xsi:type="xsd:double"&gt;28.015046681685&lt;/D&gt;&lt;D xsi:type="xsd:double"&gt;25.9173065635271&lt;/D&gt;&lt;D xsi:type="xsd:double"&gt;25.415757499785&lt;/D&gt;&lt;D xsi:type="xsd:double"&gt;24.2258193014813&lt;/D&gt;&lt;D xsi:type="xsd:double"&gt;23.7150134104144&lt;/D&gt;&lt;D xsi:type="xsd:double"&gt;22.4256738905191&lt;/D&gt;&lt;D xsi:type="xsd:double"&gt;22.1753771799593&lt;/D&gt;&lt;D xsi:type="xsd:double"&gt;23.7792114510813&lt;/D&gt;&lt;D xsi:type="xsd:double"&gt;23.4235962947973&lt;/D&gt;&lt;D xsi:type="xsd:double"&gt;23.6222430697504&lt;/D&gt;&lt;D xsi:type="xsd:double"&gt;24.0347278282905&lt;/D&gt;&lt;D xsi:type="xsd:double"&gt;24.2210869495927&lt;/D&gt;&lt;D xsi:type="xsd:double"&gt;24.5136966610476&lt;/D&gt;&lt;D xsi:type="xsd:double"&gt;24.4928622709051&lt;/D&gt;&lt;D xsi:type="xsd:double"&gt;25.4049268423971&lt;/D&gt;&lt;/FQL&gt;&lt;FQL&gt;&lt;Q&gt;EWD^FG_TOTAL_RETURNC(0,-12AM)&lt;/Q&gt;&lt;R&gt;1&lt;/R&gt;&lt;C&gt;1&lt;/C&gt;&lt;D xsi:type="xsd:double"&gt;14.420092&lt;/D&gt;&lt;/FQL&gt;&lt;FQL&gt;&lt;Q&gt;REFNZOCR-FDS^FG_YIELD(NOW,,,0)&lt;/Q&gt;&lt;R&gt;1&lt;/R&gt;&lt;C&gt;1&lt;/C&gt;&lt;D xsi:type="xsd:double"&gt;5.5&lt;/D&gt;&lt;/FQL&gt;&lt;FQL&gt;&lt;Q&gt;SPY^FMA_EVAL_EBITDA(NTMA,0,,,"PORTAGG","MEANR")&lt;/Q&gt;&lt;R&gt;1&lt;/R&gt;&lt;C&gt;1&lt;/C&gt;&lt;D xsi:type="xsd:double"&gt;14.155026828281&lt;/D&gt;&lt;/FQL&gt;&lt;FQL&gt;&lt;Q&gt;ENZL^JULIAN(FG_TOTAL_RETURNC(-10AY,0,AM).DATES)&lt;/Q&gt;&lt;R&gt;121&lt;/R&gt;&lt;C&gt;1&lt;/C&gt;&lt;D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xsi:type="xsd:long"&gt;45408&lt;/D&gt;&lt;D xsi:type="xsd:long"&gt;45436&lt;/D&gt;&lt;D xsi:type="xsd:long"&gt;45469&lt;/D&gt;&lt;D xsi:type="xsd:long"&gt;45499&lt;/D&gt;&lt;/FQL&gt;&lt;FQL&gt;&lt;Q&gt;CPALM-FDS^FG_PRICE(0)/MAX(FG_PRICE(0,-1AY))&lt;/Q&gt;&lt;R&gt;1&lt;/R&gt;&lt;C&gt;1&lt;/C&gt;&lt;D xsi:type="xsd:double"&gt;0.88316226250273&lt;/D&gt;&lt;/FQL&gt;&lt;FQL&gt;&lt;Q&gt;EWU^FG_PRICE_MAVG(0,,,,30)&lt;/Q&gt;&lt;R&gt;1&lt;/R&gt;&lt;C&gt;1&lt;/C&gt;&lt;D xsi:type="xsd:double"&gt;35.368&lt;/D&gt;&lt;/FQL&gt;&lt;FQL&gt;&lt;Q&gt;QQQ^P_PRICE(0)/P_PRICE_HIGH_PR(0,,,,,,"PRICE","INTRA","52W")&lt;/Q&gt;&lt;R&gt;1&lt;/R&gt;&lt;C&gt;1&lt;/C&gt;&lt;D xsi:type="xsd:double"&gt;0.919467&lt;/D&gt;&lt;/FQL&gt;&lt;FQL&gt;&lt;Q&gt;URTH^FMA_COS_DOWN("EPS","1M",+1,0,,,"PORTAGG","MEANR")&lt;/Q&gt;&lt;R&gt;1&lt;/R&gt;&lt;C&gt;1&lt;/C&gt;&lt;D xsi:type="xsd:double"&gt;623&lt;/D&gt;&lt;/FQL&gt;&lt;FQL&gt;&lt;Q&gt;EWL^FG_ROE(0)&lt;/Q&gt;&lt;R&gt;1&lt;/R&gt;&lt;C&gt;1&lt;/C&gt;&lt;D xsi:type="xsd:double"&gt;23.5607340666132&lt;/D&gt;&lt;/FQL&gt;&lt;FQL&gt;&lt;Q&gt;TRYIT10Y-FDS^PCTCHG(FG_YIELD(0,,,,"YTM"),FG_YIELD(-1AM,,,,"YTM"))&lt;/Q&gt;&lt;R&gt;1&lt;/R&gt;&lt;C&gt;1&lt;/C&gt;&lt;D xsi:type="xsd:double"&gt;-5.891204&lt;/D&gt;&lt;/FQL&gt;&lt;FQL&gt;&lt;Q&gt;VGK^FMA_EVAL_EBITDA(NTMA,0,,,"PORTAGG","MEANR")&lt;/Q&gt;&lt;R&gt;1&lt;/R&gt;&lt;C&gt;1&lt;/C&gt;&lt;D xsi:type="xsd:double"&gt;8.80704764300504&lt;/D&gt;&lt;/FQL&gt;&lt;FQL&gt;&lt;Q&gt;SPY^FG_FCF_YIELD_NTM(0)&lt;/Q&gt;&lt;R&gt;1&lt;/R&gt;&lt;C&gt;1&lt;/C&gt;&lt;D xsi:type="xsd:double"&gt;4.21509208328183&lt;/D&gt;&lt;/FQL&gt;&lt;FQL&gt;&lt;Q&gt;EWG^FMA_EVAL_EBITDA(NTMA,0,,,"PORTAGG","MEANR")&lt;/Q&gt;&lt;R&gt;1&lt;/R&gt;&lt;C&gt;1&lt;/C&gt;&lt;D xsi:type="xsd:double"&gt;8.43306322857141&lt;/D&gt;&lt;/FQL&gt;&lt;FQL&gt;&lt;Q&gt;CAGDPY@GB^EE_ACTUAL_ANNUAL(MED,0)&lt;/Q&gt;&lt;R&gt;1&lt;/R&gt;&lt;C&gt;1&lt;/C&gt;&lt;D xsi:type="xsd:double"&gt;-3.3&lt;/D&gt;&lt;/FQL&gt;&lt;FQL&gt;&lt;Q&gt;USDANG^FG_PRICE_CHANGE(0,-1AY)&lt;/Q&gt;&lt;R&gt;1&lt;/R&gt;&lt;C&gt;1&lt;/C&gt;&lt;D xsi:type="xsd:double"&gt;0&lt;/D&gt;&lt;/FQL&gt;&lt;FQL&gt;&lt;Q&gt;USDNZD^FG_COMPANY_NAME&lt;/Q&gt;&lt;R&gt;1&lt;/R&gt;&lt;C&gt;1&lt;/C&gt;&lt;D xsi:type="xsd:string"&gt;New Zealand Dollar per U.S. Dollar&lt;/D&gt;&lt;/FQL&gt;&lt;FQL&gt;&lt;Q&gt;ENZL^JULIAN(FMA_DIV_YLD(LTMA,-10AY,0,AM,"PORTAGG","MEANR").DATES)&lt;/Q&gt;&lt;R&gt;121&lt;/R&gt;&lt;C&gt;1&lt;/C&gt;&lt;D xsi:type="xsd:long"&gt;41845&lt;/D&gt;&lt;D xsi:type="xsd:long"&gt;41877&lt;/D&gt;&lt;D xsi:type="xsd:long"&gt;41908&lt;/D&gt;&lt;D xsi:type="xsd:long"&gt;41936&lt;/D&gt;&lt;D xsi:type="xsd:long"&gt;41969&lt;/D&gt;&lt;D xsi:type="xsd:long"&gt;41999&lt;/D&gt;&lt;D xsi:type="xsd:long"&gt;42030&lt;/D&gt;&lt;D xsi:type="xsd:long"&gt;42061&lt;/D&gt;&lt;D xsi:type="xsd:long"&gt;42089&lt;/D&gt;&lt;D xsi:type="xsd:long"&gt;42118&lt;/D&gt;&lt;D xsi:type="xsd:long"&gt;42150&lt;/D&gt;&lt;D xsi:type="xsd:long"&gt;42181&lt;/D&gt;&lt;D xsi:type="xsd:long"&gt;42209&lt;/D&gt;&lt;D xsi:type="xsd:long"&gt;42242&lt;/D&gt;&lt;D xsi:type="xsd:long"&gt;42272&lt;/D&gt;&lt;D xsi:type="xsd:long"&gt;42303&lt;/D&gt;&lt;D xsi:type="xsd:long"&gt;42333&lt;/D&gt;&lt;D xsi:type="xsd:long"&gt;42362&lt;/D&gt;&lt;D xsi:type="xsd:long"&gt;42395&lt;/D&gt;&lt;D xsi:type="xsd:long"&gt;42426&lt;/D&gt;&lt;D xsi:type="xsd:long"&gt;42453&lt;/D&gt;&lt;D xsi:type="xsd:long"&gt;42486&lt;/D&gt;&lt;D xsi:type="xsd:long"&gt;42516&lt;/D&gt;&lt;D xsi:type="xsd:long"&gt;42545&lt;/D&gt;&lt;D xsi:type="xsd:long"&gt;42577&lt;/D&gt;&lt;D xsi:type="xsd:long"&gt;42608&lt;/D&gt;&lt;D xsi:type="xsd:long"&gt;42639&lt;/D&gt;&lt;D xsi:type="xsd:long"&gt;42669&lt;/D&gt;&lt;D xsi:type="xsd:long"&gt;42699&lt;/D&gt;&lt;D xsi:type="xsd:long"&gt;42727&lt;/D&gt;&lt;D xsi:type="xsd:long"&gt;42761&lt;/D&gt;&lt;D xsi:type="xsd:long"&gt;42790&lt;/D&gt;&lt;D xsi:type="xsd:long"&gt;42818&lt;/D&gt;&lt;D xsi:type="xsd:long"&gt;42851&lt;/D&gt;&lt;D xsi:type="xsd:long"&gt;42881&lt;/D&gt;&lt;D xsi:type="xsd:long"&gt;42912&lt;/D&gt;&lt;D xsi:type="xsd:long"&gt;42942&lt;/D&gt;&lt;D xsi:type="xsd:long"&gt;42972&lt;/D&gt;&lt;D xsi:type="xsd:long"&gt;43004&lt;/D&gt;&lt;D xsi:type="xsd:long"&gt;43034&lt;/D&gt;&lt;D xsi:type="xsd:long"&gt;43063&lt;/D&gt;&lt;D xsi:type="xsd:long"&gt;43095&lt;/D&gt;&lt;D xsi:type="xsd:long"&gt;43126&lt;/D&gt;&lt;D xsi:type="xsd:long"&gt;43157&lt;/D&gt;&lt;D xsi:type="xsd:long"&gt;43185&lt;/D&gt;&lt;D xsi:type="xsd:long"&gt;43216&lt;/D&gt;&lt;D xsi:type="xsd:long"&gt;43245&lt;/D&gt;&lt;D xsi:type="xsd:long"&gt;43277&lt;/D&gt;&lt;D xsi:type="xsd:long"&gt;43307&lt;/D&gt;&lt;D xsi:type="xsd:long"&gt;43336&lt;/D&gt;&lt;D xsi:type="xsd:long"&gt;43369&lt;/D&gt;&lt;D xsi:type="xsd:long"&gt;43399&lt;/D&gt;&lt;D xsi:type="xsd:long"&gt;43430&lt;/D&gt;&lt;D xsi:type="xsd:long"&gt;43460&lt;/D&gt;&lt;D xsi:type="xsd:long"&gt;43490&lt;/D&gt;&lt;D xsi:type="xsd:long"&gt;43522&lt;/D&gt;&lt;D xsi:type="xsd:long"&gt;43550&lt;/D&gt;&lt;D xsi:type="xsd:long"&gt;43581&lt;/D&gt;&lt;D xsi:type="xsd:long"&gt;43609&lt;/D&gt;&lt;D xsi:type="xsd:long"&gt;43642&lt;/D&gt;&lt;D xsi:type="xsd:long"&gt;43672&lt;/D&gt;&lt;D xsi:type="xsd:long"&gt;43703&lt;/D&gt;&lt;D xsi:type="xsd:long"&gt;43734&lt;/D&gt;&lt;D xsi:type="xsd:long"&gt;43763&lt;/D&gt;&lt;D xsi:type="xsd:long"&gt;43795&lt;/D&gt;&lt;D xsi:type="xsd:long"&gt;43825&lt;/D&gt;&lt;D xsi:type="xsd:long"&gt;43854&lt;/D&gt;&lt;D xsi:type="xsd:long"&gt;43887&lt;/D&gt;&lt;D xsi:type="xsd:long"&gt;43916&lt;/D&gt;&lt;D xsi:type="xsd:long"&gt;43945&lt;/D&gt;&lt;D xsi:type="xsd:long"&gt;43977&lt;/D&gt;&lt;D xsi:type="xsd:long"&gt;44008&lt;/D&gt;&lt;D xsi:type="xsd:long"&gt;44036&lt;/D&gt;&lt;D xsi:type="xsd:long"&gt;44069&lt;/D&gt;&lt;D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xsi:type="xsd:long"&gt;45408&lt;/D&gt;&lt;D xsi:type="xsd:long"&gt;45436&lt;/D&gt;&lt;D xsi:type="xsd:long"&gt;45469&lt;/D&gt;&lt;D xsi:type="xsd:long"&gt;45497&lt;/D&gt;&lt;/FQL&gt;&lt;FQL&gt;&lt;Q&gt;CPALM-FDS^FG_PRICE_CHANGE(0,-1AM)&lt;/Q&gt;&lt;R&gt;1&lt;/R&gt;&lt;C&gt;1&lt;/C&gt;&lt;D xsi:type="xsd:double"&gt;3.00560366785532&lt;/D&gt;&lt;/FQL&gt;&lt;FQL&gt;&lt;Q&gt;EWG^PERCENT_CHANGE(FMA_EPS(+1,0,,,,"PORTAGG","MEAN"),FMA_EPS(+1,-1AM,,,,"PORTAGG","MEAN"))&lt;/Q&gt;&lt;R&gt;1&lt;/R&gt;&lt;C&gt;1&lt;/C&gt;&lt;D xsi:type="xsd:double"&gt;0.212402660234644&lt;/D&gt;&lt;/FQL&gt;&lt;FQL&gt;&lt;Q&gt;EWG^SIZE(FG_CONSTITUENTS)&lt;/Q&gt;&lt;R&gt;1&lt;/R&gt;&lt;C&gt;1&lt;/C&gt;&lt;D xsi:type="xsd:long"&gt;59&lt;/D&gt;&lt;/FQL&gt;&lt;FQL&gt;&lt;Q&gt;ENZL^FMA_ROE(NTMA,-20AY,NOW,FY,"PORTAGG","MEANR")&lt;/Q&gt;&lt;R&gt;20&lt;/R&gt;&lt;C&gt;1&lt;/C&gt;&lt;D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xsi:type="xsd:double"&gt;6.44400181202056&lt;/D&gt;&lt;D xsi:type="xsd:double"&gt;7.7689690341127&lt;/D&gt;&lt;D xsi:type="xsd:double"&gt;6.57910753918315&lt;/D&gt;&lt;/FQL&gt;&lt;FQL&gt;&lt;Q&gt;QQQ^FMA_COS_DOWN("EPS","1M",+1,0,,,"PORTAGG","MEANR")&lt;/Q&gt;&lt;R&gt;1&lt;/R&gt;&lt;C&gt;1&lt;/C&gt;&lt;D xsi:type="xsd:double"&gt;37&lt;/D&gt;&lt;/FQL&gt;&lt;FQL&gt;&lt;Q&gt;TRYNZ10Y-FDS^PCTCHG(FG_YIELD(0,,,,"YTM"),FG_YIELD(-1AM,,,,"YTM"))&lt;/Q&gt;&lt;R&gt;1&lt;/R&gt;&lt;C&gt;1&lt;/C&gt;&lt;D xsi:type="xsd:double"&gt;-4.6968317&lt;/D&gt;&lt;/FQL&gt;&lt;FQL&gt;&lt;Q&gt;EWA^JULIAN(FMA_ROE(NTMA,-20AY,NOW,FY,"PORTAGG","MEANR").DATES)&lt;/Q&gt;&lt;R&gt;20&lt;/R&gt;&lt;C&gt;1&lt;/C&gt;&lt;D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xsi:type="xsd:long"&gt;45289&lt;/D&gt;&lt;/FQL&gt;&lt;FQL&gt;&lt;Q&gt;VGK^PERCENT_CHANGE(FMA_EPS(+1,0,,,,"PORTAGG","MEAN"),FMA_EPS(+1,-1AM,,,,"PORTAGG","MEAN"))&lt;/Q&gt;&lt;R&gt;1&lt;/R&gt;&lt;C&gt;1&lt;/C&gt;&lt;D xsi:type="xsd:double"&gt;-2.86881895465458&lt;/D&gt;&lt;/FQL&gt;&lt;FQL&gt;&lt;Q&gt;QQQ^FMA_COS_UP("EPS","1M",+1,0,,,"PORTAGG","MEANR")&lt;/Q&gt;&lt;R&gt;1&lt;/R&gt;&lt;C&gt;1&lt;/C&gt;&lt;D xsi:type="xsd:double"&gt;39&lt;/D&gt;&lt;/FQL&gt;&lt;FQL&gt;&lt;Q&gt;ENZL^FMA_PE(NTMA,0,,,"PORTAGG","MEANR")&lt;/Q&gt;&lt;R&gt;1&lt;/R&gt;&lt;C&gt;1&lt;/C&gt;&lt;D xsi:type="xsd:double"&gt;25.6878368884251&lt;/D&gt;&lt;/FQL&gt;&lt;FQL&gt;&lt;Q&gt;EWD^FG_TOTAL_RETURNC(0,-3AM)&lt;/Q&gt;&lt;R&gt;1&lt;/R&gt;&lt;C&gt;1&lt;/C&gt;&lt;D xsi:type="xsd:double"&gt;3.1193852&lt;/D&gt;&lt;/FQL&gt;&lt;FQL&gt;&lt;Q&gt;ENZL^P_PRICE_RETURNS_PR('52W',2,-10AY,0,AM)&lt;/Q&gt;&lt;R&gt;121&lt;/R&gt;&lt;C&gt;1&lt;/C&gt;&lt;D xsi:type="xsd:double"&gt;20.525349&lt;/D&gt;&lt;D xsi:type="xsd:double"&gt;22.289228&lt;/D&gt;&lt;D xsi:type="xsd:double"&gt;5.305612&lt;/D&gt;&lt;D xsi:type="xsd:double"&gt;4.08839&lt;/D&gt;&lt;D xsi:type="xsd:double"&gt;9.857214&lt;/D&gt;&lt;D xsi:type="xsd:double"&gt;12.191319&lt;/D&gt;&lt;D xsi:type="xsd:double"&gt;8.04069&lt;/D&gt;&lt;D xsi:type="xsd:double"&gt;8.71551&lt;/D&gt;&lt;D xsi:type="xsd:double"&gt;1.0698199&lt;/D&gt;&lt;D xsi:type="xsd:double"&gt;-0.33103824&lt;/D&gt;&lt;D xsi:type="xsd:double"&gt;-4.255903&lt;/D&gt;&lt;D xsi:type="xsd:double"&gt;-11.957497&lt;/D&gt;&lt;D xsi:type="xsd:double"&gt;-12.192994&lt;/D&gt;&lt;D xsi:type="xsd:double"&gt;-15.89877&lt;/D&gt;&lt;D xsi:type="xsd:double"&gt;-12.495184&lt;/D&gt;&lt;D xsi:type="xsd:double"&gt;-3.0005872&lt;/D&gt;&lt;D xsi:type="xsd:double"&gt;-6.08899&lt;/D&gt;&lt;D xsi:type="xsd:double"&gt;-1.5546441&lt;/D&gt;&lt;D xsi:type="xsd:double"&gt;-6.701273&lt;/D&gt;&lt;D xsi:type="xsd:double"&gt;-6.431919&lt;/D&gt;&lt;D xsi:type="xsd:double"&gt;-0.41128397&lt;/D&gt;&lt;D xsi:type="xsd:double"&gt;7.099259&lt;/D&gt;&lt;D xsi:type="xsd:double"&gt;12.04958&lt;/D&gt;&lt;D xsi:type="xsd:double"&gt;21.191061&lt;/D&gt;&lt;D xsi:type="xsd:double"&gt;35.499012&lt;/D&gt;&lt;D xsi:type="xsd:double"&gt;49.413906&lt;/D&gt;&lt;D xsi:type="xsd:double"&gt;46.0577&lt;/D&gt;&lt;D xsi:type="xsd:double"&gt;20.777203&lt;/D&gt;&lt;D xsi:type="xsd:double"&gt;22.404396&lt;/D&gt;&lt;D xsi:type="xsd:double"&gt;11.9933605&lt;/D&gt;&lt;D xsi:type="xsd:double"&gt;29.50933&lt;/D&gt;&lt;D xsi:type="xsd:double"&gt;21.070826&lt;/D&gt;&lt;D xsi:type="xsd:double"&gt;10.338807&lt;/D&gt;&lt;D xsi:type="xsd:double"&gt;7.2866917&lt;/D&gt;&lt;D xsi:type="xsd:double"&gt;12.167358&lt;/D&gt;&lt;D xsi:type="xsd:double"&gt;16.0969&lt;/D&gt;&lt;D xsi:type="xsd:double"&gt;11.326969&lt;/D&gt;&lt;D xsi:type="xsd:double"&gt;4.4968367&lt;/D&gt;&lt;D xsi:type="xsd:double"&gt;7.731211&lt;/D&gt;&lt;D xsi:type="xsd:double"&gt;11.962593&lt;/D&gt;&lt;D xsi:type="xsd:double"&gt;15.59608&lt;/D&gt;&lt;D xsi:type="xsd:double"&gt;24.573444&lt;/D&gt;&lt;D xsi:type="xsd:double"&gt;17.491758&lt;/D&gt;&lt;D xsi:type="xsd:double"&gt;20.71234&lt;/D&gt;&lt;D xsi:type="xsd:double"&gt;25.395966&lt;/D&gt;&lt;D xsi:type="xsd:double"&gt;16.621256&lt;/D&gt;&lt;D xsi:type="xsd:double"&gt;13.247908&lt;/D&gt;&lt;D xsi:type="xsd:double"&gt;11.055279&lt;/D&gt;&lt;D xsi:type="xsd:double"&gt;4.1353226&lt;/D&gt;&lt;D xsi:type="xsd:double"&gt;8.080017&lt;/D&gt;&lt;D xsi:type="xsd:double"&gt;8.545303&lt;/D&gt;&lt;D xsi:type="xsd:double"&gt;0.57024956&lt;/D&gt;&lt;D xsi:type="xsd:double"&gt;6.498301&lt;/D&gt;&lt;D xsi:type="xsd:double"&gt;0.4092455&lt;/D&gt;&lt;D xsi:type="xsd:double"&gt;3.4067392&lt;/D&gt;&lt;D xsi:type="xsd:double"&gt;5.4221034&lt;/D&gt;&lt;D xsi:type="xsd:double"&gt;6.5317273&lt;/D&gt;&lt;D xsi:type="xsd:double"&gt;13.34455&lt;/D&gt;&lt;D xsi:type="xsd:double"&gt;12.400699&lt;/D&gt;&lt;D xsi:type="xsd:double"&gt;10.282803&lt;/D&gt;&lt;D xsi:type="xsd:double"&gt;17.971062&lt;/D&gt;&lt;D xsi:type="xsd:double"&gt;7.818663&lt;/D&gt;&lt;D xsi:type="xsd:double"&gt;9.3160515&lt;/D&gt;&lt;D xsi:type="xsd:double"&gt;21.70105&lt;/D&gt;&lt;D xsi:type="xsd:double"&gt;19.833351&lt;/D&gt;&lt;D xsi:type="xsd:double"&gt;31.021059&lt;/D&gt;&lt;D xsi:type="xsd:double"&gt;26.074017&lt;/D&gt;&lt;D xsi:type="xsd:double"&gt;13.54115&lt;/D&gt;&lt;D xsi:type="xsd:double"&gt;-6.7305684&lt;/D&gt;&lt;D xsi:type="xsd:double"&gt;-2.4724424&lt;/D&gt;&lt;D xsi:type="xsd:double"&gt;2.10315&lt;/D&gt;&lt;D xsi:type="xsd:double"&gt;4.7606587&lt;/D&gt;&lt;D xsi:type="xsd:double"&gt;8.710194&lt;/D&gt;&lt;D xsi:type="xsd:double"&gt;22.53803&lt;/D&gt;&lt;D xsi:type="xsd:double"&gt;14.211369&lt;/D&gt;&lt;D xsi:type="xsd:double"&gt;20.558416&lt;/D&gt;&lt;D xsi:type="xsd:double"&gt;25.42236&lt;/D&gt;&lt;D xsi:type="xsd:double"&gt;18.632067&lt;/D&gt;&lt;D xsi:type="xsd:double"&gt;21.775103&lt;/D&gt;&lt;D xsi:type="xsd:double"&gt;15.762925&lt;/D&gt;&lt;D xsi:type="xsd:double"&gt;35.993122&lt;/D&gt;&lt;D xsi:type="xsd:double"&gt;36.206184&lt;/D&gt;&lt;D xsi:type="xsd:double"&gt;24.110662&lt;/D&gt;&lt;D xsi:type="xsd:double"&gt;15.243173&lt;/D&gt;&lt;D xsi:type="xsd:double"&gt;7.369697&lt;/D&gt;&lt;D xsi:type="xsd:double"&gt;4.320252&lt;/D&gt;&lt;D xsi:type="xsd:double"&gt;13.678158&lt;/D&gt;&lt;D xsi:type="xsd:double"&gt;6.3012123&lt;/D&gt;&lt;D xsi:type="xsd:double"&gt;-10.285175&lt;/D&gt;&lt;D xsi:type="xsd:double"&gt;-9.978414&lt;/D&gt;&lt;D xsi:type="xsd:double"&gt;-21.631855&lt;/D&gt;&lt;D xsi:type="xsd:double"&gt;-11.382747&lt;/D&gt;&lt;D xsi:type="xsd:double"&gt;-7.6077166&lt;/D&gt;&lt;D xsi:type="xsd:double"&gt;-20.177858&lt;/D&gt;&lt;D xsi:type="xsd:double"&gt;-22.076654&lt;/D&gt;&lt;D xsi:type="xsd:double"&gt;-24.538916&lt;/D&gt;&lt;D xsi:type="xsd:double"&gt;-23.965954&lt;/D&gt;&lt;D xsi:type="xsd:double"&gt;-23.400068&lt;/D&gt;&lt;D xsi:type="xsd:double"&gt;-31.318396&lt;/D&gt;&lt;D xsi:type="xsd:double"&gt;-31.40006&lt;/D&gt;&lt;D xsi:type="xsd:double"&gt;-18.835766&lt;/D&gt;&lt;D xsi:type="xsd:double"&gt;-16.04163&lt;/D&gt;&lt;D xsi:type="xsd:double"&gt;-0.44917464&lt;/D&gt;&lt;D xsi:type="xsd:double"&gt;-7.0836725&lt;/D&gt;&lt;D xsi:type="xsd:double"&gt;-12.029797&lt;/D&gt;&lt;D xsi:type="xsd:double"&gt;-1.931107&lt;/D&gt;&lt;D xsi:type="xsd:double"&gt;3.4167051&lt;/D&gt;&lt;D xsi:type="xsd:double"&gt;6.258607&lt;/D&gt;&lt;D xsi:type="xsd:double"&gt;10.581123&lt;/D&gt;&lt;D xsi:type="xsd:double"&gt;-4.425478&lt;/D&gt;&lt;D xsi:type="xsd:double"&gt;6.298566&lt;/D&gt;&lt;D xsi:type="xsd:double"&gt;-1.198864&lt;/D&gt;&lt;D xsi:type="xsd:double"&gt;-2.2432506&lt;/D&gt;&lt;D xsi:type="xsd:double"&gt;1.8488884&lt;/D&gt;&lt;D xsi:type="xsd:double"&gt;-7.9473734&lt;/D&gt;&lt;D xsi:type="xsd:double"&gt;-2.6357412&lt;/D&gt;&lt;D xsi:type="xsd:double"&gt;-2.6286364&lt;/D&gt;&lt;D xsi:type="xsd:double"&gt;-6.525427&lt;/D&gt;&lt;D xsi:type="xsd:double"&gt;-3.5455227&lt;/D&gt;&lt;D xsi:type="xsd:double"&gt;-1.6872942&lt;/D&gt;&lt;D xsi:type="xsd:double"&gt;-5.0525246&lt;/D&gt;&lt;/FQL&gt;&lt;FQL&gt;&lt;Q&gt;EWD^FG_TOTAL_RETURNC(0,-1AM)&lt;/Q&gt;&lt;R&gt;1&lt;/R&gt;&lt;C&gt;1&lt;/C&gt;&lt;D xsi:type="xsd:double"&gt;-1.220429&lt;/D&gt;&lt;/FQL&gt;&lt;FQL&gt;&lt;Q&gt;EWQ^FG_PRICE_MAVG(0,,,,60)&lt;/Q&gt;&lt;R&gt;1&lt;/R&gt;&lt;C&gt;1&lt;/C&gt;&lt;D xsi:type="xsd:double"&gt;40.04817&lt;/D&gt;&lt;/FQL&gt;&lt;FQL&gt;&lt;Q&gt;CC_CH^IMF_IFS_RCPI_Q(0)&lt;/Q&gt;&lt;R&gt;1&lt;/R&gt;&lt;C&gt;1&lt;/C&gt;&lt;D xsi:type="xsd:double"&gt;1.3619826&lt;/D&gt;&lt;/FQL&gt;&lt;FQL&gt;&lt;Q&gt;CC_JP^IMF_IFS_RCPI_Q(0)&lt;/Q&gt;&lt;R&gt;0&lt;/R&gt;&lt;C&gt;0&lt;/C&gt;&lt;/FQL&gt;&lt;FQL&gt;&lt;Q&gt;EWL^FMA_DIV_YLD(NTMA,-10AY,0,AM,"PORTAGG","MEANR")&lt;/Q&gt;&lt;R&gt;121&lt;/R&gt;&lt;C&gt;1&lt;/C&gt;&lt;D xsi:type="xsd:double"&gt;3.3242205363201&lt;/D&gt;&lt;D xsi:type="xsd:double"&gt;3.31440166820316&lt;/D&gt;&lt;D xsi:type="xsd:double"&gt;3.3332329527283&lt;/D&gt;&lt;D xsi:type="xsd:double"&gt;3.43026940110766&lt;/D&gt;&lt;D xsi:type="xsd:double"&gt;3.22538166210818&lt;/D&gt;&lt;D xsi:type="xsd:double"&gt;3.27873766149703&lt;/D&gt;&lt;D xsi:type="xsd:double"&gt;3.40429112112341&lt;/D&gt;&lt;D xsi:type="xsd:double"&gt;3.14975592420569&lt;/D&gt;&lt;D xsi:type="xsd:double"&gt;3.14328484590748&lt;/D&gt;&lt;D xsi:type="xsd:double"&gt;3.04036351933831&lt;/D&gt;&lt;D xsi:type="xsd:double"&gt;3.11077744229172&lt;/D&gt;&lt;D xsi:type="xsd:double"&gt;3.21097543364718&lt;/D&gt;&lt;D xsi:type="xsd:double"&gt;3.13901141387144&lt;/D&gt;&lt;D xsi:type="xsd:double"&gt;3.39258978346562&lt;/D&gt;&lt;D xsi:type="xsd:double"&gt;3.46578287001677&lt;/D&gt;&lt;D xsi:type="xsd:double"&gt;3.27268986853835&lt;/D&gt;&lt;D xsi:type="xsd:double"&gt;3.25972106716265&lt;/D&gt;&lt;D xsi:type="xsd:double"&gt;3.28940463021131&lt;/D&gt;&lt;D xsi:type="xsd:double"&gt;3.50592985768614&lt;/D&gt;&lt;D xsi:type="xsd:double"&gt;3.53914648824197&lt;/D&gt;&lt;D xsi:type="xsd:double"&gt;3.56684385623282&lt;/D&gt;&lt;D xsi:type="xsd:double"&gt;3.47417769753273&lt;/D&gt;&lt;D xsi:type="xsd:double"&gt;3.44685815382076&lt;/D&gt;&lt;D xsi:type="xsd:double"&gt;3.647887315856&lt;/D&gt;&lt;D xsi:type="xsd:double"&gt;3.48274224225144&lt;/D&gt;&lt;D xsi:type="xsd:double"&gt;3.46233135844259&lt;/D&gt;&lt;D xsi:type="xsd:double"&gt;3.48393003649326&lt;/D&gt;&lt;D xsi:type="xsd:double"&gt;3.61492639258518&lt;/D&gt;&lt;D xsi:type="xsd:double"&gt;3.65585487155425&lt;/D&gt;&lt;D xsi:type="xsd:double"&gt;3.5618394533184&lt;/D&gt;&lt;D xsi:type="xsd:double"&gt;3.45443531551784&lt;/D&gt;&lt;D xsi:type="xsd:double"&gt;3.39066885823402&lt;/D&gt;&lt;D xsi:type="xsd:double"&gt;3.34995273704958&lt;/D&gt;&lt;D xsi:type="xsd:double"&gt;3.33803170203678&lt;/D&gt;&lt;D xsi:type="xsd:double"&gt;3.28817822977732&lt;/D&gt;&lt;D xsi:type="xsd:double"&gt;3.22599284230469&lt;/D&gt;&lt;D xsi:type="xsd:double"&gt;3.28786212910333&lt;/D&gt;&lt;D xsi:type="xsd:double"&gt;3.32198138522609&lt;/D&gt;&lt;D xsi:type="xsd:double"&gt;3.2875894084611&lt;/D&gt;&lt;D xsi:type="xsd:double"&gt;3.26600871542733&lt;/D&gt;&lt;D xsi:type="xsd:double"&gt;3.22119551013412&lt;/D&gt;&lt;D xsi:type="xsd:double"&gt;3.22823264468815&lt;/D&gt;&lt;D xsi:type="xsd:double"&gt;3.14112421508042&lt;/D&gt;&lt;D xsi:type="xsd:double"&gt;3.34487503331091&lt;/D&gt;&lt;D xsi:type="xsd:double"&gt;3.57437824705701&lt;/D&gt;&lt;D xsi:type="xsd:double"&gt;3.47811423556642&lt;/D&gt;&lt;D xsi:type="xsd:double"&gt;3.49187449598824&lt;/D&gt;&lt;D xsi:type="xsd:double"&gt;3.61405802141457&lt;/D&gt;&lt;D xsi:type="xsd:double"&gt;3.37144689268186&lt;/D&gt;&lt;D xsi:type="xsd:double"&gt;3.40991281049523&lt;/D&gt;&lt;D xsi:type="xsd:double"&gt;3.39696146301802&lt;/D&gt;&lt;D xsi:type="xsd:double"&gt;3.6281172865429&lt;/D&gt;&lt;D xsi:type="xsd:double"&gt;3.5501362073687&lt;/D&gt;&lt;D xsi:type="xsd:double"&gt;3.713960872083&lt;/D&gt;&lt;D xsi:type="xsd:double"&gt;3.48831391838875&lt;/D&gt;&lt;D xsi:type="xsd:double"&gt;3.30996349327772&lt;/D&gt;&lt;D xsi:type="xsd:double"&gt;3.3497593602336&lt;/D&gt;&lt;D xsi:type="xsd:double"&gt;3.25748672969272&lt;/D&gt;&lt;D xsi:type="xsd:double"&gt;3.28469838710662&lt;/D&gt;&lt;D xsi:type="xsd:double"&gt;3.23459763316656&lt;/D&gt;&lt;D xsi:type="xsd:double"&gt;3.21915329418587&lt;/D&gt;&lt;D xsi:type="xsd:double"&gt;3.28780535562105&lt;/D&gt;&lt;D xsi:type="xsd:double"&gt;3.21513626753685&lt;/D&gt;&lt;D xsi:type="xsd:double"&gt;3.17155605675422&lt;/D&gt;&lt;D xsi:type="xsd:double"&gt;3.0952315965652&lt;/D&gt;&lt;D xsi:type="xsd:double"&gt;3.02810590784627&lt;/D&gt;&lt;D xsi:type="xsd:double"&gt;2.97069823544594&lt;/D&gt;&lt;D xsi:type="xsd:double"&gt;3.09660857918847&lt;/D&gt;&lt;D xsi:type="xsd:double"&gt;3.53790964148672&lt;/D&gt;&lt;D xsi:type="xsd:double"&gt;3.32341337535256&lt;/D&gt;&lt;D xsi:type="xsd:double"&gt;3.168726955945&lt;/D&gt;&lt;D xsi:type="xsd:double"&gt;3.09982957077825&lt;/D&gt;&lt;D xsi:type="xsd:double"&gt;2.96358641626943&lt;/D&gt;&lt;D xsi:type="xsd:double"&gt;2.91436749156582&lt;/D&gt;&lt;D xsi:type="xsd:double"&gt;2.98732995007788&lt;/D&gt;&lt;D xsi:type="xsd:double"&gt;3.01873374457805&lt;/D&gt;&lt;D xsi:type="xsd:double"&gt;2.89559614320527&lt;/D&gt;&lt;D xsi:type="xsd:double"&gt;2.89893863273824&lt;/D&gt;&lt;D xsi:type="xsd:double"&gt;2.79384974290652&lt;/D&gt;&lt;D xsi:type="xsd:double"&gt;2.91272826287135&lt;/D&gt;&lt;D xsi:type="xsd:double"&gt;2.79736953671182&lt;/D&gt;&lt;D xsi:type="xsd:double"&gt;2.7367518530066&lt;/D&gt;&lt;D xsi:type="xsd:double"&gt;2.71894312756479&lt;/D&gt;&lt;D xsi:type="xsd:double"&gt;2.6122531505003&lt;/D&gt;&lt;D xsi:type="xsd:double"&gt;2.61307369786369&lt;/D&gt;&lt;D xsi:type="xsd:double"&gt;2.56632674978923&lt;/D&gt;&lt;D xsi:type="xsd:double"&gt;2.70093602115395&lt;/D&gt;&lt;D xsi:type="xsd:double"&gt;2.65462707400587&lt;/D&gt;&lt;D xsi:type="xsd:double"&gt;2.6629902999122&lt;/D&gt;&lt;D xsi:type="xsd:double"&gt;2.55192618966122&lt;/D&gt;&lt;D xsi:type="xsd:double"&gt;2.743880233911&lt;/D&gt;&lt;D xsi:type="xsd:double"&gt;2.81237262410996&lt;/D&gt;&lt;D xsi:type="xsd:double"&gt;2.79874861753998&lt;/D&gt;&lt;D xsi:type="xsd:double"&gt;2.88973743978543&lt;/D&gt;&lt;D xsi:type="xsd:double"&gt;2.99999310620577&lt;/D&gt;&lt;D xsi:type="xsd:double"&gt;3.16303071709902&lt;/D&gt;&lt;D xsi:type="xsd:double"&gt;3.09622639168432&lt;/D&gt;&lt;D xsi:type="xsd:double"&gt;3.17405100149736&lt;/D&gt;&lt;D xsi:type="xsd:double"&gt;3.49269811500771&lt;/D&gt;&lt;D xsi:type="xsd:double"&gt;3.25680013270733&lt;/D&gt;&lt;D xsi:type="xsd:double"&gt;3.0964002846403&lt;/D&gt;&lt;D xsi:type="xsd:double"&gt;3.22260496392914&lt;/D&gt;&lt;D xsi:type="xsd:double"&gt;3.05765847285103&lt;/D&gt;&lt;D xsi:type="xsd:double"&gt;3.11380867346124&lt;/D&gt;&lt;D xsi:type="xsd:double"&gt;3.28410611770562&lt;/D&gt;&lt;D xsi:type="xsd:double"&gt;3.08921745322901&lt;/D&gt;&lt;D xsi:type="xsd:double"&gt;3.11780046690485&lt;/D&gt;&lt;D xsi:type="xsd:double"&gt;3.20989320887611&lt;/D&gt;&lt;D xsi:type="xsd:double"&gt;3.16253050623944&lt;/D&gt;&lt;D xsi:type="xsd:double"&gt;3.28007999361524&lt;/D&gt;&lt;D xsi:type="xsd:double"&gt;3.35641914922228&lt;/D&gt;&lt;D xsi:type="xsd:double"&gt;3.5435807657909&lt;/D&gt;&lt;D xsi:type="xsd:double"&gt;3.36985494678818&lt;/D&gt;&lt;D xsi:type="xsd:double"&gt;3.28729510397641&lt;/D&gt;&lt;D xsi:type="xsd:double"&gt;3.2711620458416&lt;/D&gt;&lt;D xsi:type="xsd:double"&gt;3.28097929971066&lt;/D&gt;&lt;D xsi:type="xsd:double"&gt;3.28210387466984&lt;/D&gt;&lt;D xsi:type="xsd:double"&gt;3.38198003229751&lt;/D&gt;&lt;D xsi:type="xsd:double"&gt;3.22930668727381&lt;/D&gt;&lt;D xsi:type="xsd:double"&gt;3.22623202006623&lt;/D&gt;&lt;D xsi:type="xsd:double"&gt;3.18470347622646&lt;/D&gt;&lt;/FQL&gt;&lt;FQL&gt;&lt;Q&gt;EWQ^FG_PRICE_MAVG(0,,,,30)&lt;/Q&gt;&lt;R&gt;1&lt;/R&gt;&lt;C&gt;1&lt;/C&gt;&lt;D xsi:type="xsd:double"&gt;38.602&lt;/D&gt;&lt;/FQL&gt;&lt;FQL&gt;&lt;Q&gt;EWQ^FMA_PCT_ABOVE_MAVG(200,0,,,,"PORTAGG")&lt;/Q&gt;&lt;R&gt;1&lt;/R&gt;&lt;C&gt;1&lt;/C&gt;&lt;D xsi:type="xsd:double"&gt;45.1612903225806&lt;/D&gt;&lt;/FQL&gt;&lt;FQL&gt;&lt;Q&gt;EWN^FMA_RBICS_REV_CURRENT(30, LOC, "PORTAGG")&lt;/Q&gt;&lt;R&gt;1&lt;/R&gt;&lt;C&gt;1&lt;/C&gt;&lt;D xsi:type="xsd:double"&gt;23.8715121294945&lt;/D&gt;&lt;/FQL&gt;&lt;FQL&gt;&lt;Q&gt;CC_DE^IMF_IFS_RCPI_Q(0)&lt;/Q&gt;&lt;R&gt;1&lt;/R&gt;&lt;C&gt;1&lt;/C&gt;&lt;D xsi:type="xsd:double"&gt;2.2863681&lt;/D&gt;&lt;/FQL&gt;&lt;FQL&gt;&lt;Q&gt;EWL^FG_PRICE_MAVG(0,,,,30)&lt;/Q&gt;&lt;R&gt;1&lt;/R&gt;&lt;C&gt;1&lt;/C&gt;&lt;D xsi:type="xsd:double"&gt;49.04233&lt;/D&gt;&lt;/FQL&gt;&lt;FQL&gt;&lt;Q&gt;VGK^FG_FCF_YIELD_NTM(0)&lt;/Q&gt;&lt;R&gt;1&lt;/R&gt;&lt;C&gt;1&lt;/C&gt;&lt;D xsi:type="xsd:double"&gt;5.31248525773333&lt;/D&gt;&lt;/FQL&gt;&lt;FQL&gt;&lt;Q&gt;CAGDPY@CA^EE_ACTUAL_ANNUAL(MED,0)&lt;/Q&gt;&lt;R&gt;1&lt;/R&gt;&lt;C&gt;1&lt;/C&gt;&lt;D xsi:type="xsd:double"&gt;-0.725414399026327&lt;/D&gt;&lt;/FQL&gt;&lt;FQL&gt;&lt;Q&gt;EWL^FG_PRICE(0)&lt;/Q&gt;&lt;R&gt;1&lt;/R&gt;&lt;C&gt;1&lt;/C&gt;&lt;D xsi:type="xsd:double"&gt;50.06&lt;/D&gt;&lt;/FQL&gt;&lt;FQL&gt;&lt;Q&gt;QQQ^PERCENT_CHANGE(FMA_EPS(+1,0,,,,"PORTAGG","MEAN"),FMA_EPS(+1,-1AM,,,,"PORTAGG","MEAN"))&lt;/Q&gt;&lt;R&gt;1&lt;/R&gt;&lt;C&gt;1&lt;/C&gt;&lt;D xsi:type="xsd:double"&gt;-0.140557886396838&lt;/D&gt;&lt;/FQL&gt;&lt;FQL&gt;&lt;Q&gt;EWG^FG_ROE(0)&lt;/Q&gt;&lt;R&gt;1&lt;/R&gt;&lt;C&gt;1&lt;/C&gt;&lt;D xsi:type="xsd:double"&gt;9.42096796933569&lt;/D&gt;&lt;/FQL&gt;&lt;FQL&gt;&lt;Q&gt;EWI^FMA_EVAL_EBITDA(NTMA,0,,,"PORTAGG","MEANR")&lt;/Q&gt;&lt;R&gt;1&lt;/R&gt;&lt;C&gt;1&lt;/C&gt;&lt;D xsi:type="xsd:double"&gt;6.76672880357929&lt;/D&gt;&lt;/FQL&gt;&lt;FQL&gt;&lt;Q&gt;EWN^FMA_EVAL_EBITDA(NTMA,0,,,"PORTAGG","MEANR")&lt;/Q&gt;&lt;R&gt;1&lt;/R&gt;&lt;C&gt;1&lt;/C&gt;&lt;D xsi:type="xsd:double"&gt;12.1481377859138&lt;/D&gt;&lt;/FQL&gt;&lt;FQL&gt;&lt;Q&gt;USDITL^FG_PRICE_CHANGE(0,-1AY)&lt;/Q&gt;&lt;R&gt;1&lt;/R&gt;&lt;C&gt;1&lt;/C&gt;&lt;D xsi:type="xsd:double"&gt;1.9159913&lt;/D&gt;&lt;/FQL&gt;&lt;FQL&gt;&lt;Q&gt;WL-FDS^FG_PRICE(0)/MAX(FG_PRICE(0,-1AY))&lt;/Q&gt;&lt;R&gt;1&lt;/R&gt;&lt;C&gt;1&lt;/C&gt;&lt;D xsi:type="xsd:double"&gt;0.689939743253864&lt;/D&gt;&lt;/FQL&gt;&lt;FQL&gt;&lt;Q&gt;EWG^FMA_PE(NTMA,0,,,"PORTAGG","MEANR")&lt;/Q&gt;&lt;R&gt;1&lt;/R&gt;&lt;C&gt;1&lt;/C&gt;&lt;D xsi:type="xsd:double"&gt;11.7995519527798&lt;/D&gt;&lt;/FQL&gt;&lt;FQL&gt;&lt;Q&gt;EWA^FMA_PE(NTMA,0,,,"PORTAGG","MEANR")&lt;/Q&gt;&lt;R&gt;1&lt;/R&gt;&lt;C&gt;1&lt;/C&gt;&lt;D xsi:type="xsd:double"&gt;16.9975756053481&lt;/D&gt;&lt;/FQL&gt;&lt;FQL&gt;&lt;Q&gt;EWQ^FMA_EPS(NTMA,-20AY,0,CY,,"PORTAGG","MEANR")&lt;/Q&gt;&lt;R&gt;20&lt;/R&gt;&lt;C&gt;1&lt;/C&gt;&lt;D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xsi:type="xsd:double"&gt;2.19705970688086&lt;/D&gt;&lt;D xsi:type="xsd:double"&gt;1.85109750447789&lt;/D&gt;&lt;D xsi:type="xsd:double"&gt;2.46081748750493&lt;/D&gt;&lt;D xsi:type="xsd:double"&gt;2.8026651908005&lt;/D&gt;&lt;D xsi:type="xsd:double"&gt;2.92070467991761&lt;/D&gt;&lt;/FQL&gt;&lt;FQL&gt;&lt;Q&gt;TRYPH10Y-FDS^FG_YIELD(-10AY,0,Y,,"YTM")&lt;/Q&gt;&lt;R&gt;10&lt;/R&gt;&lt;C&gt;1&lt;/C&gt;&lt;D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xsi:type="xsd:double"&gt;6.0028777&lt;/D&gt;&lt;/FQL&gt;&lt;FQL&gt;&lt;Q&gt;EWA^FMA_COS_DOWN("EPS","1M",+1,0,,,"PORTAGG","MEANR")&lt;/Q&gt;&lt;R&gt;1&lt;/R&gt;&lt;C&gt;1&lt;/C&gt;&lt;D xsi:type="xsd:double"&gt;32&lt;/D&gt;&lt;/FQL&gt;&lt;FQL&gt;&lt;Q&gt;EWQ^FG_PRICE_MAVG(0,,,,200)&lt;/Q&gt;&lt;R&gt;1&lt;/R&gt;&lt;C&gt;1&lt;/C&gt;&lt;D xsi:type="xsd:double"&gt;38.992825&lt;/D&gt;&lt;/FQL&gt;&lt;FQL&gt;&lt;Q&gt;EWN^FMA_PCT_ABOVE_</t>
        </r>
      </text>
    </comment>
    <comment ref="A15" authorId="0" shapeId="0" xr:uid="{8343BD31-A235-41D5-834D-152BAF1AD0FB}">
      <text>
        <r>
          <rPr>
            <b/>
            <sz val="9"/>
            <color indexed="81"/>
            <rFont val="Tahoma"/>
            <charset val="1"/>
          </rPr>
          <t>MAVG(200,0,,,,"PORTAGG")&lt;/Q&gt;&lt;R&gt;1&lt;/R&gt;&lt;C&gt;1&lt;/C&gt;&lt;D xsi:type="xsd:double"&gt;58.4905660377358&lt;/D&gt;&lt;/FQL&gt;&lt;FQL&gt;&lt;Q&gt;EWU^FMA_DIV_YLD(NTMA,-10AY,0,AM,"PORTAGG","MEANR")&lt;/Q&gt;&lt;R&gt;121&lt;/R&gt;&lt;C&gt;1&lt;/C&gt;&lt;D xsi:type="xsd:double"&gt;3.86786330230204&lt;/D&gt;&lt;D xsi:type="xsd:double"&gt;3.90747899797578&lt;/D&gt;&lt;D xsi:type="xsd:double"&gt;4.01722383555993&lt;/D&gt;&lt;D xsi:type="xsd:double"&gt;4.18508138786474&lt;/D&gt;&lt;D xsi:type="xsd:double"&gt;4.00811273415948&lt;/D&gt;&lt;D xsi:type="xsd:double"&gt;4.11100202539328&lt;/D&gt;&lt;D xsi:type="xsd:double"&gt;4.00323192885649&lt;/D&gt;&lt;D xsi:type="xsd:double"&gt;3.89269961220269&lt;/D&gt;&lt;D xsi:type="xsd:double"&gt;3.98392471796489&lt;/D&gt;&lt;D xsi:type="xsd:double"&gt;3.84747534928803&lt;/D&gt;&lt;D xsi:type="xsd:double"&gt;3.91911877825267&lt;/D&gt;&lt;D xsi:type="xsd:double"&gt;4.05538028785399&lt;/D&gt;&lt;D xsi:type="xsd:double"&gt;4.2031750636891&lt;/D&gt;&lt;D xsi:type="xsd:double"&gt;4.58349418336063&lt;/D&gt;&lt;D xsi:type="xsd:double"&gt;4.46339316864727&lt;/D&gt;&lt;D xsi:type="xsd:double"&gt;4.22094564514439&lt;/D&gt;&lt;D xsi:type="xsd:double"&gt;4.21630289786348&lt;/D&gt;&lt;D xsi:type="xsd:double"&gt;4.28181821948409&lt;/D&gt;&lt;D xsi:type="xsd:double"&gt;4.53984755744638&lt;/D&gt;&lt;D xsi:type="xsd:double"&gt;4.50580565864833&lt;/D&gt;&lt;D xsi:type="xsd:double"&gt;4.43689242952493&lt;/D&gt;&lt;D xsi:type="xsd:double"&gt;4.24290998868623&lt;/D&gt;&lt;D xsi:type="xsd:double"&gt;4.25937871832119&lt;/D&gt;&lt;D xsi:type="xsd:double"&gt;4.4494444189868&lt;/D&gt;&lt;D xsi:type="xsd:double"&gt;4.13528986870886&lt;/D&gt;&lt;D xsi:type="xsd:double"&gt;4.08002728106938&lt;/D&gt;&lt;D xsi:type="xsd:double"&gt;4.2088146346682&lt;/D&gt;&lt;D xsi:type="xsd:double"&gt;4.32776821366224&lt;/D&gt;&lt;D xsi:type="xsd:double"&gt;4.38467014530051&lt;/D&gt;&lt;D xsi:type="xsd:double"&gt;4.32711188519498&lt;/D&gt;&lt;D xsi:type="xsd:double"&gt;4.2813123260859&lt;/D&gt;&lt;D xsi:type="xsd:double"&gt;4.29361168504273&lt;/D&gt;&lt;D xsi:type="xsd:double"&gt;4.32123450706395&lt;/D&gt;&lt;D xsi:type="xsd:double"&gt;4.3289350463737&lt;/D&gt;&lt;D xsi:type="xsd:double"&gt;4.22907210147073&lt;/D&gt;&lt;D xsi:type="xsd:double"&gt;4.30779880808982&lt;/D&gt;&lt;D xsi:type="xsd:double"&gt;4.24896804664064&lt;/D&gt;&lt;D xsi:type="xsd:double"&gt;4.3508745577946&lt;/D&gt;&lt;D xsi:type="xsd:double"&gt;4.34750984750857&lt;/D&gt;&lt;D xsi:type="xsd:double"&gt;4.30980569759719&lt;/D&gt;&lt;D xsi:type="xsd:double"&gt;4.35809868852321&lt;/D&gt;&lt;D xsi:type="xsd:double"&gt;4.26296582508536&lt;/D&gt;&lt;D xsi:type="xsd:double"&gt;4.1654052541655&lt;/D&gt;&lt;D xsi:type="xsd:double"&gt;4.55641803036867&lt;/D&gt;&lt;D xsi:type="xsd:double"&gt;4.64289709140579&lt;/D&gt;&lt;D xsi:type="xsd:double"&gt;4.37268510361508&lt;/D&gt;&lt;D xsi:type="xsd:double"&gt;4.30767844586725&lt;/D&gt;&lt;D xsi:type="xsd:double"&gt;4.45586578186768&lt;/D&gt;&lt;D xsi:type="xsd:double"&gt;4.41501758845799&lt;/D&gt;&lt;D xsi:type="xsd:double"&gt;4.51036840899813&lt;/D&gt;&lt;D xsi:type="xsd:double"&gt;4.49418258705123&lt;/D&gt;&lt;D xsi:type="xsd:double"&gt;4.95942358424014&lt;/D&gt;&lt;D xsi:type="xsd:double"&gt;4.92686877381373&lt;/D&gt;&lt;D xsi:type="xsd:double"&gt;5.36329177397894&lt;/D&gt;&lt;D xsi:type="xsd:double"&gt;5.17817975400853&lt;/D&gt;&lt;D xsi:type="xsd:double"&gt;4.928909509966&lt;/D&gt;&lt;D xsi:type="xsd:double"&gt;4.93401396001298&lt;/D&gt;&lt;D xsi:type="xsd:double"&gt;4.85127430489794&lt;/D&gt;&lt;D xsi:type="xsd:double"&gt;4.92838100632943&lt;/D&gt;&lt;D xsi:type="xsd:double"&gt;4.79684414582751&lt;/D&gt;&lt;D xsi:type="xsd:double"&gt;4.79539033194331&lt;/D&gt;&lt;D xsi:type="xsd:double"&gt;5.14134514916268&lt;/D&gt;&lt;D xsi:type="xsd:double"&gt;4.92141721499361&lt;/D&gt;&lt;D xsi:type="xsd:double"&gt;4.82373628581809&lt;/D&gt;&lt;D xsi:type="xsd:double"&gt;4.75765614121255&lt;/D&gt;&lt;D xsi:type="xsd:double"&gt;4.55351955300415&lt;/D&gt;&lt;D xsi:type="xsd:double"&gt;4.57734909099119&lt;/D&gt;&lt;D xsi:type="xsd:double"&gt;4.95771598549732&lt;/D&gt;&lt;D xsi:type="xsd:double"&gt;6.12716827804267&lt;/D&gt;&lt;D xsi:type="xsd:double"&gt;5.48038534914743&lt;/D&gt;&lt;D xsi:type="xsd:double"&gt;4.26289297442666&lt;/D&gt;&lt;D xsi:type="xsd:double"&gt;4.17147507823095&lt;/D&gt;&lt;D xsi:type="xsd:double"&gt;4.07337862403747&lt;/D&gt;&lt;D xsi:type="xsd:double"&gt;4.01896075128802&lt;/D&gt;&lt;D xsi:type="xsd:double"&gt;4.26163852422475&lt;/D&gt;&lt;D xsi:type="xsd:double"&gt;4.38579684105425&lt;/D&gt;&lt;D xsi:type="xsd:double"&gt;3.95841267443466&lt;/D&gt;&lt;D xsi:type="xsd:double"&gt;3.92162591255947&lt;/D&gt;&lt;D xsi:type="xsd:double"&gt;3.92535669553153&lt;/D&gt;&lt;D xsi:type="xsd:double"&gt;4.06811652089806&lt;/D&gt;&lt;D xsi:type="xsd:double"&gt;4.03287699828363&lt;/D&gt;&lt;D xsi:type="xsd:double"&gt;3.9523693155827&lt;/D&gt;&lt;D xsi:type="xsd:double"&gt;3.91402157311358&lt;/D&gt;&lt;D xsi:type="xsd:double"&gt;3.91883852982305&lt;/D&gt;&lt;D xsi:type="xsd:double"&gt;4.09593071298361&lt;/D&gt;&lt;D xsi:type="xsd:double"&gt;4.20259683344389&lt;/D&gt;&lt;D xsi:type="xsd:double"&gt;4.19871921941521&lt;/D&gt;&lt;D xsi:type="xsd:double"&gt;4.00193338151876&lt;/D&gt;&lt;D xsi:type="xsd:double"&gt;4.17994113038687&lt;/D&gt;&lt;D xsi:type="xsd:double"&gt;3.93584555572208&lt;/D&gt;&lt;D xsi:type="xsd:double"&gt;3.87879200863649&lt;/D&gt;&lt;D xsi:type="xsd:double"&gt;3.89168417547618&lt;/D&gt;&lt;D xsi:type="xsd:double"&gt;3.93638914548609&lt;/D&gt;&lt;D xsi:type="xsd:double"&gt;4.1246789548139&lt;/D&gt;&lt;D xsi:type="xsd:double"&gt;4.04980887609697&lt;/D&gt;&lt;D xsi:type="xsd:double"&gt;4.28570941146485&lt;/D&gt;&lt;D xsi:type="xsd:double"&gt;4.23968870897555&lt;/D&gt;&lt;D xsi:type="xsd:double"&gt;4.30303423653407&lt;/D&gt;&lt;D xsi:type="xsd:double"&gt;4.77866519926574&lt;/D&gt;&lt;D xsi:type="xsd:double"&gt;4.5133662526476&lt;/D&gt;&lt;D xsi:type="xsd:double"&gt;4.2577422294998&lt;/D&gt;&lt;D xsi:type="xsd:double"&gt;4.260425499979&lt;/D&gt;&lt;D xsi:type="xsd:double"&gt;4.10226169263885&lt;/D&gt;&lt;D xsi:type="xsd:double"&gt;4.1418339766698&lt;/D&gt;&lt;D xsi:type="xsd:double"&gt;4.3894643004115&lt;/D&gt;&lt;D xsi:type="xsd:double"&gt;4.12498355585674&lt;/D&gt;&lt;D xsi:type="xsd:double"&gt;4.38801138192921&lt;/D&gt;&lt;D xsi:type="xsd:double"&gt;4.43593151174108&lt;/D&gt;&lt;D xsi:type="xsd:double"&gt;4.24771586112354&lt;/D&gt;&lt;D xsi:type="xsd:double"&gt;4.57657496294483&lt;/D&gt;&lt;D xsi:type="xsd:double"&gt;4.45115105313313&lt;/D&gt;&lt;D xsi:type="xsd:double"&gt;4.62901445140452&lt;/D&gt;&lt;D xsi:type="xsd:double"&gt;4.42677815085317&lt;/D&gt;&lt;D xsi:type="xsd:double"&gt;4.29722789446385&lt;/D&gt;&lt;D xsi:type="xsd:double"&gt;4.3009361524684&lt;/D&gt;&lt;D xsi:type="xsd:double"&gt;4.19011403703536&lt;/D&gt;&lt;D xsi:type="xsd:double"&gt;4.02965472777586&lt;/D&gt;&lt;D xsi:type="xsd:double"&gt;3.93949807344193&lt;/D&gt;&lt;D xsi:type="xsd:double"&gt;3.85158489562938&lt;/D&gt;&lt;D xsi:type="xsd:double"&gt;3.94891024189168&lt;/D&gt;&lt;D xsi:type="xsd:double"&gt;3.92380940834369&lt;/D&gt;&lt;/FQL&gt;&lt;FQL&gt;&lt;Q&gt;EWI^FMA_PE(LTMA,-10AY,0,AM,"PORTAGG","MEANR")&lt;/Q&gt;&lt;R&gt;121&lt;/R&gt;&lt;C&gt;1&lt;/C&gt;&lt;D xsi:type="xsd:double"&gt;17.288518512265&lt;/D&gt;&lt;D xsi:type="xsd:double"&gt;17.5001965359271&lt;/D&gt;&lt;D xsi:type="xsd:double"&gt;17.8599147731934&lt;/D&gt;&lt;D xsi:type="xsd:double"&gt;16.9442509468169&lt;/D&gt;&lt;D xsi:type="xsd:double"&gt;18.2465415901947&lt;/D&gt;&lt;D xsi:type="xsd:double"&gt;18.5718488422506&lt;/D&gt;&lt;D xsi:type="xsd:double"&gt;22.3310422328798&lt;/D&gt;&lt;D xsi:type="xsd:double"&gt;44.7416141464474&lt;/D&gt;&lt;D xsi:type="xsd:double"&gt;42.8551049095799&lt;/D&gt;&lt;D xsi:type="xsd:double"&gt;40.2668642888661&lt;/D&gt;&lt;D xsi:type="xsd:double"&gt;37.2639892823823&lt;/D&gt;&lt;D xsi:type="xsd:double"&gt;34.4104075342983&lt;/D&gt;&lt;D xsi:type="xsd:double"&gt;31.6886470050264&lt;/D&gt;&lt;D xsi:type="xsd:double"&gt;28.0899801071986&lt;/D&gt;&lt;D xsi:type="xsd:double"&gt;25.2397059294722&lt;/D&gt;&lt;D xsi:type="xsd:double"&gt;23.5409874558196&lt;/D&gt;&lt;D xsi:type="xsd:double"&gt;21.721751998509&lt;/D&gt;&lt;D xsi:type="xsd:double"&gt;18.6260556114805&lt;/D&gt;&lt;D xsi:type="xsd:double"&gt;15.8029737112487&lt;/D&gt;&lt;D xsi:type="xsd:double"&gt;15.2901698920908&lt;/D&gt;&lt;D xsi:type="xsd:double"&gt;15.3290650874652&lt;/D&gt;&lt;D xsi:type="xsd:double"&gt;15.3298285958255&lt;/D&gt;&lt;D xsi:type="xsd:double"&gt;15.5849100540659&lt;/D&gt;&lt;D xsi:type="xsd:double"&gt;14.2145687253534&lt;/D&gt;&lt;D xsi:type="xsd:double"&gt;14.7292325503623&lt;/D&gt;&lt;D xsi:type="xsd:double"&gt;15.065896229453&lt;/D&gt;&lt;D xsi:type="xsd:double"&gt;14.5682087341071&lt;/D&gt;&lt;D xsi:type="xsd:double"&gt;15.2503448321312&lt;/D&gt;&lt;D xsi:type="xsd:double"&gt;14.6154833132795&lt;/D&gt;&lt;D xsi:type="xsd:double"&gt;27.5300332724139&lt;/D&gt;&lt;D xsi:type="xsd:double"&gt;27.6039507774372&lt;/D&gt;&lt;D xsi:type="xsd:double"&gt;85.2858814628578&lt;/D&gt;&lt;D xsi:type="xsd:double"&gt;80.449126688322&lt;/D&gt;&lt;D xsi:type="xsd:double"&gt;72.7837158154629&lt;/D&gt;&lt;D xsi:type="xsd:double"&gt;65.7915756784264&lt;/D&gt;&lt;D xsi:type="xsd:double"&gt;58.4454184199036&lt;/D&gt;&lt;D xsi:type="xsd:double"&gt;51.6856649350935&lt;/D&gt;&lt;D xsi:type="xsd:double"&gt;44.5532427194684&lt;/D&gt;&lt;D xsi:type="xsd:double"&gt;37.2495128618596&lt;/D&gt;&lt;D xsi:type="xsd:double"&gt;30.5567118627607&lt;/D&gt;&lt;D xsi:type="xsd:double"&gt;23.6958884149885&lt;/D&gt;&lt;D xsi:type="xsd:double"&gt;16.419803412433&lt;/D&gt;&lt;D xsi:type="xsd:double"&gt;15.9316552002445&lt;/D&gt;&lt;D xsi:type="xsd:double"&gt;14.2454533337867&lt;/D&gt;&lt;D xsi:type="xsd:double"&gt;14.0340129207136&lt;/D&gt;&lt;D xsi:type="xsd:double"&gt;14.2098660980736&lt;/D&gt;&lt;D xsi:type="xsd:double"&gt;13.6391760417305&lt;/D&gt;&lt;D xsi:type="xsd:double"&gt;13.2551875712256&lt;/D&gt;&lt;D xsi:type="xsd:double"&gt;13.2331876381478&lt;/D&gt;&lt;D xsi:type="xsd:double"&gt;12.6877441485304&lt;/D&gt;&lt;D xsi:type="xsd:double"&gt;12.7129197907046&lt;/D&gt;&lt;D xsi:type="xsd:double"&gt;11.3108001361022&lt;/D&gt;&lt;D xsi:type="xsd:double"&gt;11.3062829335173&lt;/D&gt;&lt;D xsi:type="xsd:double"&gt;10.5056264260363&lt;/D&gt;&lt;D xsi:type="xsd:double"&gt;11.1445658509746&lt;/D&gt;&lt;D xsi:type="xsd:double"&gt;11.2462746563947&lt;/D&gt;&lt;D xsi:type="xsd:double"&gt;11.3080897273324&lt;/D&gt;&lt;D xsi:type="xsd:double"&gt;11.3367884322787&lt;/D&gt;&lt;D xsi:type="xsd:double"&gt;11.0308533287702&lt;/D&gt;&lt;D xsi:type="xsd:double"&gt;11.0756457052366&lt;/D&gt;&lt;D xsi:type="xsd:double"&gt;11.2984827660761&lt;/D&gt;&lt;D xsi:type="xsd:double"&gt;10.8975088447054&lt;/D&gt;&lt;D xsi:type="xsd:double"&gt;11.2942545257249&lt;/D&gt;&lt;D xsi:type="xsd:double"&gt;11.641979500927&lt;/D&gt;&lt;D xsi:type="xsd:double"&gt;11.9696359318003&lt;/D&gt;&lt;D xsi:type="xsd:double"&gt;12.3136502068578&lt;/D&gt;&lt;D xsi:type="xsd:double"&gt;12.2578299598184&lt;/D&gt;&lt;D xsi:type="xsd:double"&gt;12.0530679452878&lt;/D&gt;&lt;D xsi:type="xsd:double"&gt;11.0647612454052&lt;/D&gt;&lt;D xsi:type="xsd:double"&gt;12.0311150395606&lt;/D&gt;&lt;D xsi:type="xsd:double"&gt;14.0952737375039&lt;/D&gt;&lt;D xsi:type="xsd:double"&gt;16.1304157484973&lt;/D&gt;&lt;D xsi:type="xsd:double"&gt;17.600226269665&lt;/D&gt;&lt;D xsi:type="xsd:double"&gt;17.9388610045943&lt;/D&gt;&lt;D xsi:type="xsd:double"&gt;17.8014211800805&lt;/D&gt;&lt;D xsi:type="xsd:double"&gt;18.8380726361878&lt;/D&gt;&lt;D xsi:type="xsd:double"&gt;22.6752537754943&lt;/D&gt;&lt;D xsi:type="xsd:double"&gt;23.053936561267&lt;/D&gt;&lt;D xsi:type="xsd:double"&gt;20.6260969136538&lt;/D&gt;&lt;D xsi:type="xsd:double"&gt;20.3525735166553&lt;/D&gt;&lt;D xsi:type="xsd:double"&gt;19.8627345816533&lt;/D&gt;&lt;D xsi:type="xsd:double"&gt;19.2888514790469&lt;/D&gt;&lt;D xsi:type="xsd:double"&gt;18.5237454858333&lt;/D&gt;&lt;D xsi:type="xsd:double"&gt;18.2044163381729&lt;/D&gt;&lt;D xsi:type="xsd:double"&gt;17.4252250155856&lt;/D&gt;&lt;D xsi:type="xsd:double"&gt;15.7821147581026&lt;/D&gt;&lt;D xsi:type="xsd:double"&gt;14.9666218707159&lt;/D&gt;&lt;D xsi:type="xsd:double"&gt;14.4744958945904&lt;/D&gt;&lt;D xsi:type="xsd:double"&gt;12.7672599545387&lt;/D&gt;&lt;D xsi:type="xsd:double"&gt;12.1501654383022&lt;/D&gt;&lt;D xsi:type="xsd:double"&gt;11.7731544811196&lt;/D&gt;&lt;D xsi:type="xsd:double"&gt;10.7837623689634&lt;/D&gt;&lt;D xsi:type="xsd:double"&gt;10.5301484127292&lt;/D&gt;&lt;D xsi:type="xsd:double"&gt;10.3378368556983&lt;/D&gt;&lt;D xsi:type="xsd:double"&gt;10.1262920955218&lt;/D&gt;&lt;D xsi:type="xsd:double"&gt;9.51100589293797&lt;/D&gt;&lt;D xsi:type="xsd:double"&gt;8.97301917837035&lt;/D&gt;&lt;D xsi:type="xsd:double"&gt;8.43185685694555&lt;/D&gt;&lt;D xsi:type="xsd:double"&gt;8.10482238808145&lt;/D&gt;&lt;D xsi:type="xsd:double"&gt;8.10859093777583&lt;/D&gt;&lt;D xsi:type="xsd:double"&gt;8.28594963867931&lt;/D&gt;&lt;D xsi:type="xsd:double"&gt;7.48020154473232&lt;/D&gt;&lt;D xsi:type="xsd:double"&gt;8.07086507788233&lt;/D&gt;&lt;D xsi:type="xsd:double"&gt;8.11009269111406&lt;/D&gt;&lt;D xsi:type="xsd:double"&gt;8.20559969218478&lt;/D&gt;&lt;D xsi:type="xsd:double"&gt;8.35980648967551&lt;/D&gt;&lt;D xsi:type="xsd:double"&gt;8.2071572421251&lt;/D&gt;&lt;D xsi:type="xsd:double"&gt;8.43643405143603&lt;/D&gt;&lt;D xsi:type="xsd:double"&gt;8.50948052866972&lt;/D&gt;&lt;D xsi:type="xsd:double"&gt;8.20889731257101&lt;/D&gt;&lt;D xsi:type="xsd:double"&gt;8.23379275186084&lt;/D&gt;&lt;D xsi:type="xsd:double"&gt;7.9581350298125&lt;/D&gt;&lt;D xsi:type="xsd:double"&gt;8.28642790021084&lt;/D&gt;&lt;D xsi:type="xsd:double"&gt;8.85490751155456&lt;/D&gt;&lt;D xsi:type="xsd:double"&gt;9.01657001556237&lt;/D&gt;&lt;D xsi:type="xsd:double"&gt;9.27879221943601&lt;/D&gt;&lt;D xsi:type="xsd:double"&gt;9.48286854903579&lt;/D&gt;&lt;D xsi:type="xsd:double"&gt;9.4560969899052&lt;/D&gt;&lt;D xsi:type="xsd:double"&gt;9.5619115049098&lt;/D&gt;&lt;D xsi:type="xsd:double"&gt;9.48282095389475&lt;/D&gt;&lt;D xsi:type="xsd:double"&gt;9.67464188964369&lt;/D&gt;&lt;/FQL&gt;&lt;FQL&gt;&lt;Q&gt;EWJ^FG_ROE(0)&lt;/Q&gt;&lt;R&gt;1&lt;/R&gt;&lt;C&gt;1&lt;/C&gt;&lt;D xsi:type="xsd:double"&gt;9.5878901590903&lt;/D&gt;&lt;/FQL&gt;&lt;FQL&gt;&lt;Q&gt;CAGDPY@CH^EE_ACTUAL_ANNUAL(MED,+1)&lt;/Q&gt;&lt;R&gt;1&lt;/R&gt;&lt;C&gt;1&lt;/C&gt;&lt;D xsi:type="xsd:double"&gt;8&lt;/D&gt;&lt;/FQL&gt;&lt;FQL&gt;&lt;Q&gt;EWD^FMA_PE(LTMA,-10AY,0,AM,"PORTAGG","MEANR")&lt;/Q&gt;&lt;R&gt;121&lt;/R&gt;&lt;C&gt;1&lt;/C&gt;&lt;D xsi:type="xsd:double"&gt;16.0757992237198&lt;/D&gt;&lt;D xsi:type="xsd:double"&gt;15.9156974779325&lt;/D&gt;&lt;D xsi:type="xsd:double"&gt;15.9975096250154&lt;/D&gt;&lt;D xsi:type="xsd:double"&gt;15.7817339243698&lt;/D&gt;&lt;D xsi:type="xsd:double"&gt;17.2094855836152&lt;/D&gt;&lt;D xsi:type="xsd:double"&gt;17.6296427566868&lt;/D&gt;&lt;D xsi:type="xsd:double"&gt;18.6089900515585&lt;/D&gt;&lt;D xsi:type="xsd:double"&gt;20.2217339928199&lt;/D&gt;&lt;D xsi:type="xsd:double"&gt;20.0287061596624&lt;/D&gt;&lt;D xsi:type="xsd:double"&gt;19.6291842932628&lt;/D&gt;&lt;D xsi:type="xsd:double"&gt;19.3114386912568&lt;/D&gt;&lt;D xsi:type="xsd:double"&gt;18.8407063683087&lt;/D&gt;&lt;D xsi:type="xsd:double"&gt;18.5800215155746&lt;/D&gt;&lt;D xsi:type="xsd:double"&gt;17.2652899367083&lt;/D&gt;&lt;D xsi:type="xsd:double"&gt;16.5630149010859&lt;/D&gt;&lt;D xsi:type="xsd:double"&gt;17.3111452610106&lt;/D&gt;&lt;D xsi:type="xsd:double"&gt;16.761316231165&lt;/D&gt;&lt;D xsi:type="xsd:double"&gt;16.1136105152847&lt;/D&gt;&lt;D xsi:type="xsd:double"&gt;15.1117667791444&lt;/D&gt;&lt;D xsi:type="xsd:double"&gt;15.5362511309696&lt;/D&gt;&lt;D xsi:type="xsd:double"&gt;15.5093716247203&lt;/D&gt;&lt;D xsi:type="xsd:double"&gt;15.7596346132098&lt;/D&gt;&lt;D xsi:type="xsd:double"&gt;15.619251939419&lt;/D&gt;&lt;D xsi:type="xsd:double"&gt;15.5819325215491&lt;/D&gt;&lt;D xsi:type="xsd:double"&gt;15.7934173208771&lt;/D&gt;&lt;D xsi:type="xsd:double"&gt;16.0318551972883&lt;/D&gt;&lt;D xsi:type="xsd:double"&gt;16.2745799284572&lt;/D&gt;&lt;D xsi:type="xsd:double"&gt;17.4221451352042&lt;/D&gt;&lt;D xsi:type="xsd:double"&gt;17.4631892061572&lt;/D&gt;&lt;D xsi:type="xsd:double"&gt;18.2220308462426&lt;/D&gt;&lt;D xsi:type="xsd:double"&gt;18.8325036445909&lt;/D&gt;&lt;D xsi:type="xsd:double"&gt;17.4405008377122&lt;/D&gt;&lt;D xsi:type="xsd:double"&gt;17.5883320380166&lt;/D&gt;&lt;D xsi:type="xsd:double"&gt;17.6787276686208&lt;/D&gt;&lt;D xsi:type="xsd:double"&gt;18.0905701056251&lt;/D&gt;&lt;D xsi:type="xsd:double"&gt;17.6883662901903&lt;/D&gt;&lt;D xsi:type="xsd:double"&gt;17.4458188686696&lt;/D&gt;&lt;D xsi:type="xsd:double"&gt;16.8130896916216&lt;/D&gt;&lt;D xsi:type="xsd:double"&gt;17.4624123135745&lt;/D&gt;&lt;D xsi:type="xsd:double"&gt;18.3586655951269&lt;/D&gt;&lt;D xsi:type="xsd:double"&gt;18.0894237804823&lt;/D&gt;&lt;D xsi:type="xsd:double"&gt;18.2095759807527&lt;/D&gt;&lt;D xsi:type="xsd:double"&gt;18.4267800400263&lt;/D&gt;&lt;D xsi:type="xsd:double"&gt;17.0418080733914&lt;/D&gt;&lt;D xsi:type="xsd:double"&gt;16.7432122447245&lt;/D&gt;&lt;D xsi:type="xsd:double"&gt;16.814468828433&lt;/D&gt;&lt;D xsi:type="xsd:double"&gt;16.7210733583433&lt;/D&gt;&lt;D xsi:type="xsd:double"&gt;16.3389914636365&lt;/D&gt;&lt;D xsi:type="xsd:double"&gt;16.5842516248438&lt;/D&gt;&lt;D xsi:type="xsd:double"&gt;16.7470864446401&lt;/D&gt;&lt;D xsi:type="xsd:double"&gt;16.9093832018643&lt;/D&gt;&lt;D xsi:type="xsd:double"&gt;14.8901571378867&lt;/D&gt;&lt;D xsi:type="xsd:double"&gt;14.8168076787125&lt;/D&gt;&lt;D xsi:type="xsd:double"&gt;13.7526502958275&lt;/D&gt;&lt;D xsi:type="xsd:double"&gt;16.1558095811589&lt;/D&gt;&lt;D xsi:type="xsd:double"&gt;18.2580999358098&lt;/D&gt;&lt;D xsi:type="xsd:double"&gt;17.9177299927001&lt;/D&gt;&lt;D xsi:type="xsd:double"&gt;17.9724385282923&lt;/D&gt;&lt;D xsi:type="xsd:double"&gt;17.3160389677512&lt;/D&gt;&lt;D xsi:type="xsd:double"&gt;17.1181773795813&lt;/D&gt;&lt;D xsi:type="xsd:double"&gt;16.9346577607654&lt;/D&gt;&lt;D xsi:type="xsd:double"&gt;15.6398322081023&lt;/D&gt;&lt;D xsi:type="xsd:double"&gt;16.4324793274568&lt;/D&gt;&lt;D xsi:type="xsd:double"&gt;16.9460905902132&lt;/D&gt;&lt;D xsi:type="xsd:double"&gt;15.9989522467807&lt;/D&gt;&lt;D xsi:type="xsd:double"&gt;16.4340427460974&lt;/D&gt;&lt;D xsi:type="xsd:double"&gt;14.2886352244008&lt;/D&gt;&lt;D xsi:type="xsd:double"&gt;13.7048466796454&lt;/D&gt;&lt;D xsi:type="xsd:double"&gt;12.8412316233301&lt;/D&gt;&lt;D xsi:type="xsd:double"&gt;14.1725349074051&lt;/D&gt;&lt;D xsi:type="xsd:double"&gt;15.5437198658771&lt;/D&gt;&lt;D xsi:type="xsd:double"&gt;17.0746919181176&lt;/D&gt;&lt;D xsi:type="xsd:double"&gt;17.048040126438&lt;/D&gt;&lt;D xsi:type="xsd:double"&gt;17.3261952870101&lt;/D&gt;&lt;D xsi:type="xsd:double"&gt;17.6901100185666&lt;/D&gt;&lt;D xsi:type="xsd:double"&gt;15.3986098470151&lt;/D&gt;&lt;D xsi:type="xsd:double"&gt;16.7982692373236&lt;/D&gt;&lt;D xsi:type="xsd:double"&gt;17.0904272717465&lt;/D&gt;&lt;D xsi:type="xsd:double"&gt;18.427641207412&lt;/D&gt;&lt;D xsi:type="xsd:double"&gt;17.5604129321876&lt;/D&gt;&lt;D xsi:type="xsd:double"&gt;18.0947000318351&lt;/D&gt;&lt;D xsi:type="xsd:double"&gt;18.070844890193&lt;/D&gt;&lt;D xsi:type="xsd:double"&gt;17.4210557280661&lt;/D&gt;&lt;D xsi:type="xsd:double"&gt;17.9423125334018&lt;/D&gt;&lt;D xsi:type="xsd:double"&gt;18.1798554161057&lt;/D&gt;&lt;D xsi:type="xsd:double"&gt;17.505198887372&lt;/D&gt;&lt;D xsi:type="xsd:double"&gt;17.2663466008386&lt;/D&gt;&lt;D xsi:type="xsd:double"&gt;17.4050841897576&lt;/D&gt;&lt;D xsi:type="xsd:double"&gt;16.2681089976422&lt;/D&gt;&lt;D xsi:type="xsd:double"&gt;16.6227288555667&lt;/D&gt;&lt;D xsi:type="xsd:double"&gt;12.124673921939&lt;/D&gt;&lt;D xsi:type="xsd:double"&gt;11.6476301231072&lt;/D&gt;&lt;D xsi:type="xsd:double"&gt;11.9482420889816&lt;/D&gt;&lt;D xsi:type="xsd:double"&gt;12.1476057613465&lt;/D&gt;&lt;D xsi:type="xsd:double"&gt;13.3704911688216&lt;/D&gt;&lt;D xsi:type="xsd:double"&gt;13.1947960004426&lt;/D&gt;&lt;D xsi:type="xsd:double"&gt;14.2455430142468&lt;/D&gt;&lt;D xsi:type="xsd:double"&gt;14.5367404165374&lt;/D&gt;&lt;D xsi:type="xsd:double"&gt;14.0997681133808&lt;/D&gt;&lt;D xsi:type="xsd:double"&gt;13.4481340487392&lt;/D&gt;&lt;D xsi:type="xsd:double"&gt;14.3757763680528&lt;/D&gt;&lt;D xsi:type="xsd:double"&gt;15.427287545359&lt;/D&gt;&lt;D xsi:type="xsd:double"&gt;24.5786480032787&lt;/D&gt;&lt;D xsi:type="xsd:double"&gt;25.5414126717457&lt;/D&gt;&lt;D xsi:type="xsd:double"&gt;24.5372833329785&lt;/D&gt;&lt;D xsi:type="xsd:double"&gt;23.4312952087531&lt;/D&gt;&lt;D xsi:type="xsd:double"&gt;22.231183099723&lt;/D&gt;&lt;D xsi:type="xsd:double"&gt;20.8914441729888&lt;/D&gt;&lt;D xsi:type="xsd:double"&gt;19.6813388869748&lt;/D&gt;&lt;D xsi:type="xsd:double"&gt;17.9217385205226&lt;/D&gt;&lt;D xsi:type="xsd:double"&gt;16.7256598504039&lt;/D&gt;&lt;D xsi:type="xsd:double"&gt;15.8558472843202&lt;/D&gt;&lt;D xsi:type="xsd:double"&gt;15.8069548550712&lt;/D&gt;&lt;D xsi:type="xsd:double"&gt;17.9126144324797&lt;/D&gt;&lt;D xsi:type="xsd:double"&gt;15.3788475532832&lt;/D&gt;&lt;D xsi:type="xsd:double"&gt;15.7116259145351&lt;/D&gt;&lt;D xsi:type="xsd:double"&gt;15.9814714880437&lt;/D&gt;&lt;D xsi:type="xsd:double"&gt;15.9069816209811&lt;/D&gt;&lt;D xsi:type="xsd:double"&gt;16.1097547148451&lt;/D&gt;&lt;D xsi:type="xsd:double"&gt;16.0320509942331&lt;/D&gt;&lt;D xsi:type="xsd:double"&gt;16.3904679388207&lt;/D&gt;&lt;/FQL&gt;&lt;FQL&gt;&lt;Q&gt;DDR3512M-FDS^FG_PRICE(0)/MAX(FG_PRICE(0,-1AY))&lt;/Q&gt;&lt;R&gt;1&lt;/R&gt;&lt;C&gt;1&lt;/C&gt;&lt;D xsi:type="xsd:double"&gt;0.876332019230769&lt;/D&gt;&lt;/FQL&gt;&lt;FQL&gt;&lt;Q&gt;NI-FDS^FG_PRICE(0)/MAX(FG_PRICE(0,-1AY))&lt;/Q&gt;&lt;R&gt;1&lt;/R&gt;&lt;C&gt;1&lt;/C&gt;&lt;D xsi:type="xsd:double"&gt;0.695593826884366&lt;/D&gt;&lt;/FQL&gt;&lt;FQL&gt;&lt;Q&gt;EWN^FMA_PE(LTM,0,,,"PORTAGG","MEANR")&lt;/Q&gt;&lt;R&gt;1&lt;/R&gt;&lt;C&gt;1&lt;/C&gt;&lt;D xsi:type="xsd:double"&gt;21.3755907234236&lt;/D&gt;&lt;/FQL&gt;&lt;FQL&gt;&lt;Q&gt;USDAUD^STD(FG_PRICE_CHANGE(0,-1AY,AM))&lt;/Q&gt;&lt;R&gt;1&lt;/R&gt;&lt;C&gt;1&lt;/C&gt;&lt;D xsi:type="xsd:double"&gt;2.56872664624897&lt;/D&gt;&lt;/FQL&gt;&lt;FQL&gt;&lt;Q&gt;VGK^P_PRICE(0)/P_PRICE_HIGH_PR(0,,,,,,"PRICE","INTRA","52W")&lt;/Q&gt;&lt;R&gt;1&lt;/R&gt;&lt;C&gt;1&lt;/C&gt;&lt;D xsi:type="xsd:double"&gt;0.9638486&lt;/D&gt;&lt;/FQL&gt;&lt;FQL&gt;&lt;Q&gt;USDANG^FG_COMPANY_NAME&lt;/Q&gt;&lt;R&gt;1&lt;/R&gt;&lt;C&gt;1&lt;/C&gt;&lt;D xsi:type="xsd:string"&gt;Netherlands Antilles Guilder per U.S. Dollar&lt;/D&gt;&lt;/FQL&gt;&lt;FQL&gt;&lt;Q&gt;NI-FDS^FG_PRICE_CHANGE(0,-3AM)&lt;/Q&gt;&lt;R&gt;1&lt;/R&gt;&lt;C&gt;1&lt;/C&gt;&lt;D xsi:type="xsd:double"&gt;-18.9259645464025&lt;/D&gt;&lt;/FQL&gt;&lt;FQL&gt;&lt;Q&gt;SPY^FMA_DIV_YLD(NTMA,NOW,NOW,M,"PORTAGG","MEANR")&lt;/Q&gt;&lt;R&gt;1&lt;/R&gt;&lt;C&gt;1&lt;/C&gt;&lt;D xsi:type="xsd:double"&gt;1.40757877344102&lt;/D&gt;&lt;/FQL&gt;&lt;FQL&gt;&lt;Q&gt;EWG^FMA_PCT_ABOVE_MAVG(200,0,,,,"PORTAGG")&lt;/Q&gt;&lt;R&gt;1&lt;/R&gt;&lt;C&gt;1&lt;/C&gt;&lt;D xsi:type="xsd:double"&gt;58.6206896551724&lt;/D&gt;&lt;/FQL&gt;&lt;FQL&gt;&lt;Q&gt;REFSEREPO-FDS^(SUBARRAY(NOT_NA(NO_REPEAT_F(FG_YIELD(NOW,-10AY,D))),0,1)-SUBARRAY(NOT_NA(NO_REPEAT_F(FG_YIELD(NOW,-10AY,D))),1,1))*100&lt;/Q&gt;&lt;R&gt;1&lt;/R&gt;&lt;C&gt;1&lt;/C&gt;&lt;D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xsi:type="xsd:double"&gt;-25&lt;/D&gt;&lt;/FQL&gt;&lt;FQL&gt;&lt;Q&gt;UUP^P_PRICE(0)/P_PRICE_HIGH_PR(0,,,USD,,,"PRICE","INTRA","52W")&lt;/Q&gt;&lt;R&gt;1&lt;/R&gt;&lt;C&gt;1&lt;/C&gt;&lt;D xsi:type="xsd:double"&gt;0.95541185&lt;/D&gt;&lt;/FQL&gt;&lt;FQL&gt;&lt;Q&gt;SPY^FMA_PE(NTMA,0,,,"PORTAGG","MEANR")&lt;/Q&gt;&lt;R&gt;1&lt;/R&gt;&lt;C&gt;1&lt;/C&gt;&lt;D xsi:type="xsd:double"&gt;20.5995979863517&lt;/D&gt;&lt;/FQL&gt;&lt;FQL&gt;&lt;Q&gt;W-FDS^MAX(FG_PRICE(0,-5AY))&lt;/Q&gt;&lt;R&gt;1&lt;/R&gt;&lt;C&gt;1&lt;/C&gt;&lt;D xsi:type="xsd:double"&gt;14.2525&lt;/D&gt;&lt;/FQL&gt;&lt;FQL&gt;&lt;Q&gt;EWA^PERCENT_CHANGE(FMA_EPS(+1,0,,,,"PORTAGG","MEAN"),FMA_EPS(+1,-1AM,,,,"PORTAGG","MEAN"))&lt;/Q&gt;&lt;R&gt;1&lt;/R&gt;&lt;C&gt;1&lt;/C&gt;&lt;D xsi:type="xsd:double"&gt;-0.178085886270944&lt;/D&gt;&lt;/FQL&gt;&lt;FQL&gt;&lt;Q&gt;REFCHMPR-FDS^PROPER_NAME(0,,,"SECURITY","NAME")&lt;/Q&gt;&lt;R&gt;1&lt;/R&gt;&lt;C&gt;1&lt;/C&gt;&lt;D xsi:type="xsd:string"&gt;Swiss Policy Rate - Sight Deposit Rate&lt;/D&gt;&lt;/FQL&gt;&lt;FQL&gt;&lt;Q&gt;W-FDS^FG_PRICE_CHANGE(0,-1AY)&lt;/Q&gt;&lt;R&gt;1&lt;/R&gt;&lt;C&gt;1&lt;/C&gt;&lt;D xsi:type="xsd:double"&gt;-27.2916666666667&lt;/D&gt;&lt;/FQL&gt;&lt;FQL&gt;&lt;Q&gt;EWL^FMA_EVAL_EBITDA(NTMA,0,,,"PORTAGG","MEANR")&lt;/Q&gt;&lt;R&gt;1&lt;/R&gt;&lt;C&gt;1&lt;/C&gt;&lt;D xsi:type="xsd:double"&gt;13.0136380621619&lt;/D&gt;&lt;/FQL&gt;&lt;FQL&gt;&lt;Q&gt;COPP-FDS^FG_PRICE(0)/MAX(FG_PRICE(0,-1AY))&lt;/Q&gt;&lt;R&gt;1&lt;/R&gt;&lt;C&gt;1&lt;/C&gt;&lt;D xsi:type="xsd:double"&gt;0.80181676108615&lt;/D&gt;&lt;/FQL&gt;&lt;FQL&gt;&lt;Q&gt;REFJPTON-FDS^(SUBARRAY(NOT_NA(NO_REPEAT_F(FG_YIELD(NOW,-10AY,D))),0,1)-SUBARRAY(NOT_NA(NO_REPEAT_F(FG_YIELD(NOW,-10AY,D))),1,1))*100&lt;/Q&gt;&lt;R&gt;1&lt;/R&gt;&lt;C&gt;1&lt;/C&gt;&lt;D xsi:type="xsd:double"&gt;20&lt;/D&gt;&lt;/FQL&gt;&lt;FQL&gt;&lt;Q&gt;USDJPY^STD(FG_PRICE_CHANGE(0,-3AY,M))&lt;/Q&gt;&lt;R&gt;1&lt;/R&gt;&lt;C&gt;1&lt;/C&gt;&lt;D xsi:type="xsd:double"&gt;3.0506571243322&lt;/D&gt;&lt;/FQL&gt;&lt;FQL&gt;&lt;Q&gt;ENZL^P_PRICE(0)/P_PRICE_LOW_PR(0,,,,,,"PRICE","INTRA","52W")-1&lt;/Q&gt;&lt;R&gt;1&lt;/R&gt;&lt;C&gt;1&lt;/C&gt;&lt;D xsi:type="xsd:double"&gt;0.11381638&lt;/D&gt;&lt;/FQL&gt;&lt;FQL&gt;&lt;Q&gt;COPP-FDS^FG_PRICE_CHANGE(0,-1AM)&lt;/Q&gt;&lt;R&gt;1&lt;/R&gt;&lt;C&gt;1&lt;/C&gt;&lt;D xsi:type="xsd:double"&gt;-6.02175157412708&lt;/D&gt;&lt;/FQL&gt;&lt;FQL&gt;&lt;Q&gt;REFJPTON-FDS^FG_YIELD(NOW,,,0)&lt;/Q&gt;&lt;R&gt;1&lt;/R&gt;&lt;C&gt;1&lt;/C&gt;&lt;D xsi:type="xsd:double"&gt;0.1&lt;/D&gt;&lt;/FQL&gt;&lt;FQL&gt;&lt;Q&gt;USDJPY^FG_PRICE(0)&lt;/Q&gt;&lt;R&gt;1&lt;/R&gt;&lt;C&gt;1&lt;/C&gt;&lt;D xsi:type="xsd:double"&gt;153.535&lt;/D&gt;&lt;/FQL&gt;&lt;FQL&gt;&lt;Q&gt;TIOS-FDS^FG_PRICE(0)/MAX(FG_PRICE(0,-1AY))&lt;/Q&gt;&lt;R&gt;1&lt;/R&gt;&lt;C&gt;1&lt;/C&gt;&lt;D xsi:type="xsd:double"&gt;0.743201997780244&lt;/D&gt;&lt;/FQL&gt;&lt;FQL&gt;&lt;Q&gt;URTH^FMA_COS_UP("EPS","1M",+1,0,,,"PORTAGG","MEANR")&lt;/Q&gt;&lt;R&gt;1&lt;/R&gt;&lt;C&gt;1&lt;/C&gt;&lt;D xsi:type="xsd:double"&gt;543&lt;/D&gt;&lt;/FQL&gt;&lt;FQL&gt;&lt;Q&gt;TRYNL10Y-FDS^PCTCHG(FG_YIELD(0,,,,"YTM"),FG_YIELD(-3AM,,,,"YTM"))&lt;/Q&gt;&lt;R&gt;1&lt;/R&gt;&lt;C&gt;1&lt;/C&gt;&lt;D xsi:type="xsd:double"&gt;-5.9009485&lt;/D&gt;&lt;/FQL&gt;&lt;FQL&gt;&lt;Q&gt;EWG^FMA_DIV_YLD(NTMA,NOW,NOW,M,"PORTAGG","MEANR")&lt;/Q&gt;&lt;R&gt;1&lt;/R&gt;&lt;C&gt;1&lt;/C&gt;&lt;D xsi:type="xsd:double"&gt;3.41879576952376&lt;/D&gt;&lt;/FQL&gt;&lt;FQL&gt;&lt;Q&gt;VWO^FMA_COS_DOWN("EPS","1M",+1,0,,,"PORTAGG","MEANR")&lt;/Q&gt;&lt;R&gt;1&lt;/R&gt;&lt;C&gt;1&lt;/C&gt;&lt;D xsi:type="xsd:double"&gt;971&lt;/D&gt;&lt;/FQL&gt;&lt;FQL&gt;&lt;Q&gt;USDAUD^FG_PRICE_CHANGE(0,-6AM)&lt;/Q&gt;&lt;R&gt;1&lt;/R&gt;&lt;C&gt;1&lt;/C&gt;&lt;D xsi:type="xsd:double"&gt;0.5645871&lt;/D&gt;&lt;/FQL&gt;&lt;FQL&gt;&lt;Q&gt;TRYNZ10Y-FDS^PCTCHG(FG_YIELD(0,,,,"YTM"),FG_YIELD(-3AM,,,,"YTM"))&lt;/Q&gt;&lt;R&gt;1&lt;/R&gt;&lt;C&gt;1&lt;/C&gt;&lt;D xsi:type="xsd:double"&gt;-12.197031&lt;/D&gt;&lt;/FQL&gt;&lt;FQL&gt;&lt;Q&gt;DUMMY^ECON_DATE(45380,,, 'MM/YYYY')&lt;/Q&gt;&lt;R&gt;1&lt;/R&gt;&lt;C&gt;1&lt;/C&gt;&lt;D xsi:type="xsd:string"&gt;03/2024&lt;/D&gt;&lt;/FQL&gt;&lt;FQL&gt;&lt;Q&gt;DUMMY^ECON_DATE(45472,,, 'MM/YYYY')&lt;/Q&gt;&lt;R&gt;1&lt;/R&gt;&lt;C&gt;1&lt;/C&gt;&lt;D xsi:type="xsd:string"&gt;06/2024&lt;/D&gt;&lt;/FQL&gt;&lt;FQL&gt;&lt;Q&gt;CC_IT^IMF_IFS_RCPI_Q(-1AM)&lt;/Q&gt;&lt;R&gt;1&lt;/R&gt;&lt;C&gt;1&lt;/C&gt;&lt;D xsi:type="xsd:double"&gt;0.92385906&lt;/D&gt;&lt;/FQL&gt;&lt;FQL&gt;&lt;Q&gt;CC_GB^IMF_IFS_RCPI_Q(-1AM)&lt;/Q&gt;&lt;R&gt;1&lt;/R&gt;&lt;C&gt;1&lt;/C&gt;&lt;D xsi:type="xsd:double"&gt;3.9194994&lt;/D&gt;&lt;/FQL&gt;&lt;FQL&gt;&lt;Q&gt;CC_NZ^IMF_IFS_RCPI_Q(-1AM)&lt;/Q&gt;&lt;R&gt;1&lt;/R&gt;&lt;C&gt;1&lt;/C&gt;&lt;D xsi:type="xsd:double"&gt;4.022989&lt;/D&gt;&lt;/FQL&gt;&lt;FQL&gt;&lt;Q&gt;CC_AU^IMF_IFS_RCPI_Q(-1AM)&lt;/Q&gt;&lt;R&gt;1&lt;/R&gt;&lt;C&gt;1&lt;/C&gt;&lt;D xsi:type="xsd:double"&gt;3.61991&lt;/D&gt;&lt;/FQL&gt;&lt;FQL&gt;&lt;Q&gt;CC_CA^IMF_IFS_RCPI_Q(-1AM)&lt;/Q&gt;&lt;R&gt;1&lt;/R&gt;&lt;C&gt;1&lt;/C&gt;&lt;D xsi:type="xsd:double"&gt;2.8466706&lt;/D&gt;&lt;/FQL&gt;&lt;FQL&gt;&lt;Q&gt;CC_JP^IMF_IFS_RCPI_Q(-1AM)&lt;/Q&gt;&lt;R&gt;1&lt;/R&gt;&lt;C&gt;1&lt;/C&gt;&lt;D xsi:type="xsd:double"&gt;2.5231562&lt;/D&gt;&lt;/FQL&gt;&lt;FQL&gt;&lt;Q&gt;DUMMY^ECON_EXPR_DATA('FDS_ECON[NTCPMIMFGSA@NZ]',06/2024,,Q)&lt;/Q&gt;&lt;R&gt;1&lt;/R&gt;&lt;C&gt;1&lt;/C&gt;&lt;D xsi:type="xsd:double"&gt;45.388824&lt;/D&gt;&lt;/FQL&gt;&lt;FQL&gt;&lt;Q&gt;DUMMY^ECON_EXPR_DATA('FDS_ECON[NTCPMIMFGSA@NZ]',03/2024,,Q)&lt;/Q&gt;&lt;R&gt;1&lt;/R&gt;&lt;C&gt;1&lt;/C&gt;&lt;D xsi:type="xsd:double"&gt;47.7971&lt;/D&gt;&lt;/FQL&gt;&lt;FQL&gt;&lt;Q&gt;DUMMY^ECON_EXPR_DATA('FDS_ECON[NTCPMIMFGSA@AU]',06/2024,,Q)&lt;/Q&gt;&lt;R&gt;1&lt;/R&gt;&lt;C&gt;1&lt;/C&gt;&lt;D xsi:type="xsd:double"&gt;48.811333&lt;/D&gt;&lt;/FQL&gt;&lt;FQL&gt;&lt;Q&gt;DUMMY^ECON_EXPR_DATA('FDS_ECON[NTCPMIMFGSA@AU]',03/2024,,Q)&lt;/Q&gt;&lt;R&gt;1&lt;/R&gt;&lt;C&gt;1&lt;/C&gt;&lt;D xsi:type="xsd:double"&gt;48.39547&lt;/D&gt;&lt;/FQL&gt;&lt;FQL&gt;&lt;Q&gt;DUMMY^ECON_EXPR_DATA('FDS_ECON[NTCPMIMFGSA@CA]',06/2024,,Q)&lt;/Q&gt;&lt;R&gt;1&lt;/R&gt;&lt;C&gt;1&lt;/C&gt;&lt;D xsi:type="xsd:double"&gt;49.331886&lt;/D&gt;&lt;/FQL&gt;&lt;FQL&gt;&lt;Q&gt;DUMMY^ECON_EXPR_DATA('FDS_ECON[NTCPMIMFGSA@CA]',03/2024,,Q)&lt;/Q&gt;&lt;R&gt;1&lt;/R&gt;&lt;C&gt;1&lt;/C&gt;&lt;D xsi:type="xsd:double"&gt;49.30091&lt;/D&gt;&lt;/FQL&gt;&lt;FQL&gt;&lt;Q&gt;DUMMY^ECON_EXPR_DATA('FDS_ECON[NTCPMIMFGSA@DE]',06/2024,,Q)&lt;/Q&gt;&lt;R&gt;1&lt;/R&gt;&lt;C&gt;1&lt;/C&gt;&lt;D xsi:type="xsd:double"&gt;43.782&lt;/D&gt;&lt;/FQL&gt;&lt;FQL&gt;&lt;Q&gt;DUMMY^ECON_EXPR_DATA('FDS_ECON[NTCPMIMFGSA@DE]',03/2024,,Q)&lt;/Q&gt;&lt;R&gt;1&lt;/R&gt;&lt;C&gt;1&lt;/C&gt;&lt;D xsi:type="xsd:double"&gt;43.319096&lt;/D&gt;&lt;/FQL&gt;&lt;FQL&gt;&lt;Q&gt;DUMMY^ECON_EXPR_DATA('FDS_ECON[NTCPMIMFGSA@JP]',06/2024,,Q)&lt;/Q&gt;&lt;R&gt;1&lt;/R&gt;&lt;C&gt;1&lt;/C&gt;&lt;D xsi:type="xsd:double"&gt;49.991356&lt;/D&gt;&lt;/FQL&gt;&lt;FQL&gt;&lt;Q&gt;DUMMY^ECON_EXPR_DATA('FDS_ECON[NTCPMIMFGSA@JP]',03/2024,,Q)&lt;/Q&gt;&lt;R&gt;1&lt;/R&gt;&lt;C&gt;1&lt;/C&gt;&lt;D xsi:type="xsd:double"&gt;47.808857&lt;/D&gt;&lt;/FQL&gt;&lt;FQL&gt;&lt;Q&gt;DUMMY^ECON_EXPR_DATA('FDS_ECON[NTCPMIMFGSA@CH]',06/2024,,Q)&lt;/Q&gt;&lt;R&gt;1&lt;/R&gt;&lt;C&gt;1&lt;/C&gt;&lt;D xsi:type="xsd:double"&gt;43.896877&lt;/D&gt;&lt;/FQL&gt;&lt;FQL&gt;&lt;Q&gt;DUMMY^ECON_EXPR_DATA('FDS_ECON[NTCPMIMFGSA@CH]',03/2024,,Q)&lt;/Q&gt;&lt;R&gt;1&lt;/R&gt;&lt;C&gt;1&lt;/C&gt;&lt;D xsi:type="xsd:double"&gt;44.08605&lt;/D&gt;&lt;/FQL&gt;&lt;FQL&gt;&lt;Q&gt;DUMMY^ECON_EXPR_DATA('FDS_ECON[NTCPMIMFGSA@GB]',06/2024,,Q)&lt;/Q&gt;&lt;R&gt;1&lt;/R&gt;&lt;C&gt;1&lt;/C&gt;&lt;D xsi:type="xsd:double"&gt;50.395269999999996&lt;/D&gt;&lt;/FQL&gt;&lt;FQL&gt;&lt;Q&gt;DUMMY^ECON_EXPR_DATA('FDS_ECON[NTCPMIMFGSA@GB]',03/2024,,Q)&lt;/Q&gt;&lt;R&gt;1&lt;/R&gt;&lt;C&gt;1&lt;/C&gt;&lt;D xsi:type="xsd:double"&gt;48.24796&lt;/D&gt;&lt;/FQL&gt;&lt;FQL&gt;&lt;Q&gt;DUMMY^ECON_EXPR_DATA('FDS_ECON[NTCPMIMFGMESA@US]',06/2024,,Q)&lt;/Q&gt;&lt;R&gt;1&lt;/R&gt;&lt;C&gt;1&lt;/C&gt;&lt;D xsi:type="xsd:double"&gt;50.939392&lt;/D&gt;&lt;/FQL&gt;&lt;FQL&gt;&lt;Q&gt;DUMMY^ECON_EXPR_DATA('FDS_ECON[NTCPMIMFGMESA@US]',03/2024,,Q)&lt;/Q&gt;&lt;R&gt;1&lt;/R&gt;&lt;C&gt;1&lt;/C&gt;&lt;D xsi:type="xsd:double"&gt;51.582687&lt;/D&gt;&lt;/FQL&gt;&lt;FQL&gt;&lt;Q&gt;DUMMY^ECON_EXPR_DATA('FDS_ECON[NTCPMIMFGSA@FR]',06/2024,,Q)&lt;/Q&gt;&lt;R&gt;1&lt;/R&gt;&lt;C&gt;1&lt;/C&gt;&lt;D xsi:type="xsd:double"&gt;45.684513&lt;/D&gt;&lt;/FQL&gt;&lt;FQL&gt;&lt;Q&gt;DUMMY^ECON_EXPR_DATA('FDS_ECON[NTCPMIMFGSA@FR]',03/2024,,Q)&lt;/Q&gt;&lt;R&gt;1&lt;/R&gt;&lt;C&gt;1&lt;/C&gt;&lt;D xsi:type="xsd:double"&gt;45.498753&lt;/D&gt;&lt;/FQL&gt;&lt;FQL&gt;&lt;Q&gt;DUMMY^ECON_EXPR_DATA('FDS_ECON[NTCPMIMFGSA@NL]',06/2024,,Q)&lt;/Q&gt;&lt;R&gt;1&lt;/R&gt;&lt;C&gt;1&lt;/C&gt;&lt;D xsi:type="xsd:double"&gt;51.49388&lt;/D&gt;&lt;/FQL&gt;&lt;FQL&gt;&lt;Q&gt;DUMMY^ECON_EXPR_DATA('FDS_ECON[NTCPMIMFGSA@NL]',03/2024,,Q)&lt;/Q&gt;&lt;R&gt;1&lt;/R&gt;&lt;C&gt;1&lt;/C&gt;&lt;D xsi:type="xsd:double"&gt;49.325874&lt;/D&gt;&lt;/FQL&gt;&lt;FQL&gt;&lt;Q&gt;DUMMY^ECON_EXPR_DATA('FDS_ECON[]',06/2024,,Q)&lt;/Q&gt;&lt;R&gt;0&lt;/R&gt;&lt;C&gt;0&lt;/C&gt;&lt;/FQL&gt;&lt;FQL&gt;&lt;Q&gt;DUMMY^ECON_EXPR_DATA('FDS_ECON[]',03/2024,,Q)&lt;/Q&gt;&lt;R&gt;0&lt;/R&gt;&lt;C&gt;0&lt;/C&gt;&lt;/FQL&gt;&lt;FQL&gt;&lt;Q&gt;DUMMY^ECON_EXPR_DATA('FDS_ECON[NTCPMIMFGSA@IT]',06/2024,,Q)&lt;/Q&gt;&lt;R&gt;1&lt;/R&gt;&lt;C&gt;1&lt;/C&gt;&lt;D xsi:type="xsd:double"&gt;46.215786&lt;/D&gt;&lt;/FQL&gt;&lt;FQL&gt;&lt;Q&gt;DUMMY^ECON_EXPR_DATA('FDS_ECON[NTCPMIMFGSA@IT]',03/2024,,Q)&lt;/Q&gt;&lt;R&gt;1&lt;/R&gt;&lt;C&gt;1&lt;/C&gt;&lt;D xsi:type="xsd:double"&gt;49.208153&lt;/D&gt;&lt;/FQL&gt;&lt;FQL&gt;&lt;Q&gt;DUMMY^ECON_EXPR_DATA('FDS_ECON[PMIDMMANHE]',06/2024,,Q)&lt;/Q&gt;&lt;R&gt;1&lt;/R&gt;&lt;C&gt;1&lt;/C&gt;&lt;D xsi:type="xsd:double"&gt;49.41843&lt;/D&gt;&lt;/FQL&gt;&lt;FQL&gt;&lt;Q&gt;DUMMY^ECON_EXPR_DATA('FDS_ECON[PMIDMMANHE]',03/2024,,Q)&lt;/Q&gt;&lt;R&gt;1&lt;/R&gt;&lt;C&gt;1&lt;/C&gt;&lt;D xsi:type="xsd:double"&gt;49.135437&lt;/D&gt;&lt;/FQL&gt;&lt;FQL&gt;&lt;Q&gt;DUMMY^ECON_EXPR_DATA('FDS_ECON[NTCPMIMFGSA@EME]',06/2024,,Q)&lt;/Q&gt;&lt;R&gt;1&lt;/R&gt;&lt;C&gt;1&lt;/C&gt;&lt;D xsi:type="xsd:double"&gt;52.017086&lt;/D&gt;&lt;/FQL&gt;&lt;FQL&gt;&lt;Q&gt;DUMMY^ECON_EXPR_DATA('FDS_ECON[NTCPMIMFGSA@EME]',03/2024,,Q)&lt;/Q&gt;&lt;R&gt;1&lt;/R&gt;&lt;C&gt;1&lt;/C&gt;&lt;D xsi:type="xsd:double"&gt;51.512165&lt;/D&gt;&lt;/FQL&gt;&lt;/Schema&gt;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<sst xmlns="http://schemas.openxmlformats.org/spreadsheetml/2006/main" count="2053" uniqueCount="915">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</sst>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4.854463667992704E-2</v>
      </c>
      <c r="O13" s="55">
        <f>N13*(1+N9)</f>
        <v>5.1457314880722665E-2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3.8984083110377557E-2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4.1952999999999997E-2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-6.4553633200729599E-3</v>
      </c>
      <c r="O21" s="57">
        <f>O13-O16</f>
        <v>6.4573148807226671E-3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6.5916366799270432E-3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5</v>
      </c>
      <c r="E8" s="11">
        <f t="shared" ref="E8:E17" si="0">D8</f>
        <v>5</v>
      </c>
    </row>
    <row r="9" spans="3:9" x14ac:dyDescent="0.35">
      <c r="C9" s="56" t="s">
        <v>1</v>
      </c>
      <c r="D9">
        <f>'Asset class'!S4</f>
        <v>1</v>
      </c>
      <c r="E9" s="58">
        <f t="shared" si="0"/>
        <v>1</v>
      </c>
      <c r="H9" s="62" t="s">
        <v>903</v>
      </c>
      <c r="I9" s="171">
        <f>Timing!L22</f>
        <v>0.46153846153846156</v>
      </c>
    </row>
    <row r="10" spans="3:9" x14ac:dyDescent="0.35">
      <c r="C10" s="56" t="s">
        <v>888</v>
      </c>
      <c r="D10">
        <f>'Asset class'!S5</f>
        <v>3</v>
      </c>
      <c r="E10" s="58">
        <f t="shared" si="0"/>
        <v>3</v>
      </c>
      <c r="H10" s="56" t="s">
        <v>904</v>
      </c>
      <c r="I10" s="57">
        <f>Timing!M22</f>
        <v>0.38461538461538464</v>
      </c>
    </row>
    <row r="11" spans="3:9" ht="15" thickBot="1" x14ac:dyDescent="0.4">
      <c r="C11" s="56" t="s">
        <v>889</v>
      </c>
      <c r="D11">
        <f>'Asset class'!S6</f>
        <v>8</v>
      </c>
      <c r="E11" s="58">
        <f t="shared" si="0"/>
        <v>8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4</v>
      </c>
      <c r="E12" s="58">
        <f t="shared" si="0"/>
        <v>4</v>
      </c>
    </row>
    <row r="13" spans="3:9" x14ac:dyDescent="0.35">
      <c r="C13" s="56" t="s">
        <v>890</v>
      </c>
      <c r="D13">
        <f>'Asset class'!S8</f>
        <v>9</v>
      </c>
      <c r="E13" s="58">
        <f t="shared" si="0"/>
        <v>9</v>
      </c>
    </row>
    <row r="14" spans="3:9" ht="15" thickBot="1" x14ac:dyDescent="0.4">
      <c r="C14" s="12" t="s">
        <v>457</v>
      </c>
      <c r="D14">
        <f>'Asset class'!S9</f>
        <v>10</v>
      </c>
      <c r="E14" s="14">
        <f t="shared" si="0"/>
        <v>10</v>
      </c>
    </row>
    <row r="15" spans="3:9" ht="15" thickBot="1" x14ac:dyDescent="0.4">
      <c r="C15" s="144" t="s">
        <v>891</v>
      </c>
      <c r="D15">
        <f>'Asset class'!S10</f>
        <v>7</v>
      </c>
      <c r="E15" s="14">
        <f t="shared" si="0"/>
        <v>7</v>
      </c>
    </row>
    <row r="16" spans="3:9" ht="15" thickBot="1" x14ac:dyDescent="0.4">
      <c r="C16" s="178" t="s">
        <v>536</v>
      </c>
      <c r="D16">
        <f>'Asset class'!S11</f>
        <v>3</v>
      </c>
      <c r="E16" s="14">
        <f t="shared" si="0"/>
        <v>3</v>
      </c>
    </row>
    <row r="17" spans="2:15" ht="15" thickBot="1" x14ac:dyDescent="0.4">
      <c r="C17" s="148" t="s">
        <v>46</v>
      </c>
      <c r="D17">
        <f>'Asset class'!S12</f>
        <v>6</v>
      </c>
      <c r="E17" s="14">
        <f t="shared" si="0"/>
        <v>6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0.36580516898608351</v>
      </c>
      <c r="D23" s="170"/>
      <c r="E23" s="171">
        <f>'Momnetum ranking'!I22</f>
        <v>0.44333996023856859</v>
      </c>
    </row>
    <row r="24" spans="2:15" x14ac:dyDescent="0.35">
      <c r="B24" s="56" t="s">
        <v>51</v>
      </c>
      <c r="C24" s="9">
        <f>'Momnetum ranking'!H10</f>
        <v>0.38235294117647056</v>
      </c>
      <c r="D24" s="9"/>
      <c r="E24" s="57">
        <f>'Momnetum ranking'!I10</f>
        <v>0.36274509803921567</v>
      </c>
    </row>
    <row r="25" spans="2:15" x14ac:dyDescent="0.35">
      <c r="B25" s="56" t="s">
        <v>895</v>
      </c>
      <c r="C25" s="9">
        <f>'Momnetum ranking'!H23</f>
        <v>0.5</v>
      </c>
      <c r="D25" s="9"/>
      <c r="E25" s="57">
        <f>'Momnetum ranking'!I23</f>
        <v>0.42307692307692307</v>
      </c>
    </row>
    <row r="26" spans="2:15" x14ac:dyDescent="0.35">
      <c r="B26" s="56" t="s">
        <v>46</v>
      </c>
      <c r="C26" s="9">
        <f>'Momnetum ranking'!H21</f>
        <v>0.50731707317073171</v>
      </c>
      <c r="D26" s="9"/>
      <c r="E26" s="57">
        <f>'Momnetum ranking'!I21</f>
        <v>0.2780487804878049</v>
      </c>
    </row>
    <row r="27" spans="2:15" ht="15" thickBot="1" x14ac:dyDescent="0.4">
      <c r="B27" s="12" t="s">
        <v>536</v>
      </c>
      <c r="C27" s="172">
        <f>'Momnetum ranking'!H18</f>
        <v>0.36165237724084176</v>
      </c>
      <c r="D27" s="172"/>
      <c r="E27" s="59">
        <f>'Momnetum ranking'!I18</f>
        <v>0.38035853468433362</v>
      </c>
    </row>
    <row r="28" spans="2:15" x14ac:dyDescent="0.35">
      <c r="B28" s="62" t="s">
        <v>6</v>
      </c>
      <c r="C28" s="170">
        <f>'Momnetum ranking'!H19</f>
        <v>0.17169179229480738</v>
      </c>
      <c r="D28" s="170"/>
      <c r="E28" s="171">
        <f>'Momnetum ranking'!I19</f>
        <v>0.20330820770519262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-1.8706157443491855E-2</v>
      </c>
      <c r="F35" s="5">
        <f>'Momnetum ranking'!K18</f>
        <v>0.60111464968152906</v>
      </c>
      <c r="G35" s="9">
        <f>'Momnetum ranking'!Q18</f>
        <v>0.96384860000000006</v>
      </c>
      <c r="H35" s="3">
        <f>'Momnetum ranking'!O18</f>
        <v>4.1843890000000004</v>
      </c>
      <c r="K35">
        <f>_xlfn.RANK.EQ(E35,$E$35:$E$39)</f>
        <v>2</v>
      </c>
      <c r="L35">
        <f>_xlfn.RANK.EQ(F35,$F$35:$F$39)</f>
        <v>4</v>
      </c>
      <c r="M35">
        <f>_xlfn.RANK.EQ(G35,$G$35:$G$39)</f>
        <v>2</v>
      </c>
      <c r="N35">
        <f>_xlfn.RANK.EQ(H35,$H$35:$H$39)</f>
        <v>3</v>
      </c>
      <c r="O35" s="58">
        <f>MEDIAN(K35:N35)</f>
        <v>2.5</v>
      </c>
    </row>
    <row r="36" spans="3:15" x14ac:dyDescent="0.35">
      <c r="C36" s="56" t="s">
        <v>749</v>
      </c>
      <c r="E36" s="9">
        <f>'Momnetum ranking'!J19</f>
        <v>-3.1616415410385235E-2</v>
      </c>
      <c r="F36" s="5">
        <f>'Momnetum ranking'!K19</f>
        <v>0.402586206896552</v>
      </c>
      <c r="G36" s="9">
        <f>'Momnetum ranking'!Q19</f>
        <v>0.95615095000000005</v>
      </c>
      <c r="H36" s="3">
        <f>'Momnetum ranking'!O19</f>
        <v>3.7086606</v>
      </c>
      <c r="K36">
        <f t="shared" ref="K36:K39" si="1">_xlfn.RANK.EQ(E36,$E$35:$E$39)</f>
        <v>3</v>
      </c>
      <c r="L36">
        <f t="shared" ref="L36:L39" si="2">_xlfn.RANK.EQ(F36,$F$35:$F$39)</f>
        <v>5</v>
      </c>
      <c r="M36">
        <f t="shared" ref="M36:M39" si="3">_xlfn.RANK.EQ(G36,$G$35:$G$39)</f>
        <v>4</v>
      </c>
      <c r="N36">
        <f t="shared" ref="N36:N39" si="4">_xlfn.RANK.EQ(H36,$H$35:$H$39)</f>
        <v>4</v>
      </c>
      <c r="O36" s="58">
        <f t="shared" ref="O36:O39" si="5">MEDIAN(K36:N36)</f>
        <v>4</v>
      </c>
    </row>
    <row r="37" spans="3:15" x14ac:dyDescent="0.35">
      <c r="C37" s="56" t="s">
        <v>781</v>
      </c>
      <c r="E37" s="9">
        <f>'Momnetum ranking'!J20</f>
        <v>-5.5944055944055937E-2</v>
      </c>
      <c r="F37" s="5">
        <f>'Momnetum ranking'!K20</f>
        <v>0.65077138849929894</v>
      </c>
      <c r="G37" s="9">
        <f>'Momnetum ranking'!Q20</f>
        <v>0.96551955</v>
      </c>
      <c r="H37" s="3">
        <f>'Momnetum ranking'!O20</f>
        <v>6.0631513999999997</v>
      </c>
      <c r="K37">
        <f t="shared" si="1"/>
        <v>4</v>
      </c>
      <c r="L37">
        <f t="shared" si="2"/>
        <v>2</v>
      </c>
      <c r="M37">
        <f t="shared" si="3"/>
        <v>1</v>
      </c>
      <c r="N37">
        <f t="shared" si="4"/>
        <v>2</v>
      </c>
      <c r="O37" s="58">
        <f t="shared" si="5"/>
        <v>2</v>
      </c>
    </row>
    <row r="38" spans="3:15" x14ac:dyDescent="0.35">
      <c r="C38" s="56" t="s">
        <v>816</v>
      </c>
      <c r="E38" s="9">
        <f>'Momnetum ranking'!J21</f>
        <v>0.22926829268292681</v>
      </c>
      <c r="F38" s="5">
        <f>'Momnetum ranking'!K21</f>
        <v>0.62254901960784303</v>
      </c>
      <c r="G38" s="9">
        <f>'Momnetum ranking'!Q21</f>
        <v>0.95316725999999996</v>
      </c>
      <c r="H38" s="3">
        <f>'Momnetum ranking'!O21</f>
        <v>3.0885696</v>
      </c>
      <c r="K38">
        <f t="shared" si="1"/>
        <v>1</v>
      </c>
      <c r="L38">
        <f t="shared" si="2"/>
        <v>3</v>
      </c>
      <c r="M38">
        <f t="shared" si="3"/>
        <v>5</v>
      </c>
      <c r="N38">
        <f t="shared" si="4"/>
        <v>5</v>
      </c>
      <c r="O38" s="58">
        <f t="shared" si="5"/>
        <v>4</v>
      </c>
    </row>
    <row r="39" spans="3:15" ht="15" thickBot="1" x14ac:dyDescent="0.4">
      <c r="C39" s="12" t="s">
        <v>119</v>
      </c>
      <c r="D39" s="13"/>
      <c r="E39" s="172">
        <f>'Momnetum ranking'!J22</f>
        <v>-7.753479125248508E-2</v>
      </c>
      <c r="F39" s="17">
        <f>'Momnetum ranking'!K22</f>
        <v>0.69461077844311403</v>
      </c>
      <c r="G39" s="172">
        <f>'Momnetum ranking'!Q22</f>
        <v>0.96333784</v>
      </c>
      <c r="H39" s="175">
        <f>'Momnetum ranking'!O22</f>
        <v>7.4644446000000002</v>
      </c>
      <c r="I39" s="13"/>
      <c r="J39" s="13"/>
      <c r="K39" s="13">
        <f t="shared" si="1"/>
        <v>5</v>
      </c>
      <c r="L39" s="13">
        <f t="shared" si="2"/>
        <v>1</v>
      </c>
      <c r="M39" s="13">
        <f t="shared" si="3"/>
        <v>3</v>
      </c>
      <c r="N39" s="13">
        <f t="shared" si="4"/>
        <v>1</v>
      </c>
      <c r="O39" s="14">
        <f t="shared" si="5"/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0.11450051999999999</v>
      </c>
      <c r="F3" s="3" cm="1">
        <f t="array" ref="F3">_xll.FDS(C3,"FG_TOTAL_RETURNC(0,-3AM)")</f>
        <v>3.7086606</v>
      </c>
      <c r="G3" s="3" cm="1">
        <f t="array" ref="G3">_xll.FDS(C3,"FG_TOTAL_RETURNC(0,-6AM)")</f>
        <v>9.3877550000000003</v>
      </c>
      <c r="H3" s="9" cm="1">
        <f t="array" ref="H3">_xll.FDS(C3,"P_PRICE(0)/P_PRICE_HIGH_PR(0,,,USD,,,""PRICE"",""INTRA"",""52W"")")</f>
        <v>0.95615095000000005</v>
      </c>
      <c r="K3" s="4">
        <f>_xlfn.RANK.EQ(H3,H$3:H$12)</f>
        <v>4</v>
      </c>
      <c r="L3" s="4">
        <f>_xlfn.RANK.EQ(F3,F$3:F$12)</f>
        <v>5</v>
      </c>
      <c r="M3" s="4">
        <f>_xlfn.RANK.EQ(G3,G$3:G$12)</f>
        <v>5</v>
      </c>
      <c r="N3" s="4"/>
      <c r="P3" s="3">
        <f t="shared" ref="P3:P12" si="0">SUMPRODUCT($K$2:$M$2,K3:M3)</f>
        <v>4.62</v>
      </c>
      <c r="Q3">
        <f t="shared" ref="Q3:Q12" si="1">COUNTIF(K3:N3,"&gt;70")</f>
        <v>0</v>
      </c>
      <c r="S3" s="3">
        <f>11-_xlfn.RANK.EQ(P3,$P$3:$P$12)</f>
        <v>5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-0.19614697</v>
      </c>
      <c r="F4" s="3" cm="1">
        <f t="array" ref="F4">_xll.FDS(C4,"FG_TOTAL_RETURNC(0,-3AM)")</f>
        <v>7.4644446000000002</v>
      </c>
      <c r="G4" s="3" cm="1">
        <f t="array" ref="G4">_xll.FDS(C4,"FG_TOTAL_RETURNC(0,-6AM)")</f>
        <v>12.412034999999999</v>
      </c>
      <c r="H4" s="9" cm="1">
        <f t="array" ref="H4">_xll.FDS(C4,"P_PRICE(0)/P_PRICE_HIGH_PR(0,,,USD,,,""PRICE"",""INTRA"",""52W"")")</f>
        <v>0.96333784</v>
      </c>
      <c r="I4" s="177"/>
      <c r="K4" s="4">
        <f t="shared" ref="K4:K12" si="3">_xlfn.RANK.EQ(H4,H$3:H$12)</f>
        <v>2</v>
      </c>
      <c r="L4" s="4">
        <f t="shared" ref="L4:M12" si="4">_xlfn.RANK.EQ(F4,F$3:F$12)</f>
        <v>2</v>
      </c>
      <c r="M4" s="4">
        <f t="shared" si="4"/>
        <v>2</v>
      </c>
      <c r="N4" s="4"/>
      <c r="P4" s="3">
        <f t="shared" si="0"/>
        <v>1.98</v>
      </c>
      <c r="Q4">
        <f t="shared" si="1"/>
        <v>0</v>
      </c>
      <c r="S4" s="3">
        <f t="shared" ref="S4:S12" si="5">11-_xlfn.RANK.EQ(P4,$P$3:$P$12)</f>
        <v>1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3.7868141999999998</v>
      </c>
      <c r="F5" s="3" cm="1">
        <f t="array" ref="F5">_xll.FDS(C5,"FG_TOTAL_RETURNC(0,-3AM)")</f>
        <v>1.8511772</v>
      </c>
      <c r="G5" s="3" cm="1">
        <f t="array" ref="G5">_xll.FDS(C5,"FG_TOTAL_RETURNC(0,-6AM)")</f>
        <v>17.977654999999999</v>
      </c>
      <c r="H5" s="9" cm="1">
        <f t="array" ref="H5">_xll.FDS(C5,"P_PRICE(0)/P_PRICE_HIGH_PR(0,,,USD,,,""PRICE"",""INTRA"",""52W"")")</f>
        <v>0.96072285999999996</v>
      </c>
      <c r="I5" s="177"/>
      <c r="K5" s="4">
        <f t="shared" si="3"/>
        <v>3</v>
      </c>
      <c r="L5" s="4">
        <f t="shared" si="4"/>
        <v>7</v>
      </c>
      <c r="M5" s="4">
        <f t="shared" si="4"/>
        <v>1</v>
      </c>
      <c r="N5" s="4"/>
      <c r="P5" s="3">
        <f t="shared" si="0"/>
        <v>3.63</v>
      </c>
      <c r="Q5">
        <f t="shared" si="1"/>
        <v>0</v>
      </c>
      <c r="S5" s="3">
        <f t="shared" si="5"/>
        <v>3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-1.1998652999999999</v>
      </c>
      <c r="F6" s="3" cm="1">
        <f t="array" ref="F6">_xll.FDS(C6,"FG_TOTAL_RETURNC(0,-3AM)")</f>
        <v>-0.24229883999999999</v>
      </c>
      <c r="G6" s="3" cm="1">
        <f t="array" ref="G6">_xll.FDS(C6,"FG_TOTAL_RETURNC(0,-6AM)")</f>
        <v>3.7436962</v>
      </c>
      <c r="H6" s="9" cm="1">
        <f t="array" ref="H6">_xll.FDS(C6,"P_PRICE(0)/P_PRICE_HIGH_PR(0,,,USD,,,""PRICE"",""INTRA"",""52W"")")</f>
        <v>0.95541184999999995</v>
      </c>
      <c r="I6" s="177"/>
      <c r="K6" s="4">
        <f t="shared" si="3"/>
        <v>5</v>
      </c>
      <c r="L6" s="4">
        <f t="shared" si="4"/>
        <v>8</v>
      </c>
      <c r="M6" s="4">
        <f t="shared" si="4"/>
        <v>9</v>
      </c>
      <c r="N6" s="4"/>
      <c r="P6" s="3">
        <f t="shared" si="0"/>
        <v>7.26</v>
      </c>
      <c r="Q6">
        <f t="shared" si="1"/>
        <v>0</v>
      </c>
      <c r="S6" s="3">
        <f t="shared" si="5"/>
        <v>8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-3.622204</v>
      </c>
      <c r="F7" s="3" cm="1">
        <f t="array" ref="F7">_xll.FDS(C7,"FG_TOTAL_RETURNC(0,-3AM)")</f>
        <v>7.5902224</v>
      </c>
      <c r="G7" s="3" cm="1">
        <f t="array" ref="G7">_xll.FDS(C7,"FG_TOTAL_RETURNC(0,-6AM)")</f>
        <v>9.5589279999999999</v>
      </c>
      <c r="H7" s="9" cm="1">
        <f t="array" ref="H7">_xll.FDS(C7,"P_PRICE(0)/P_PRICE_HIGH_PR(0,,,USD,,,""PRICE"",""INTRA"",""52W"")")</f>
        <v>0.91946700000000003</v>
      </c>
      <c r="I7" s="1"/>
      <c r="K7" s="4">
        <f t="shared" si="3"/>
        <v>8</v>
      </c>
      <c r="L7" s="4">
        <f t="shared" si="4"/>
        <v>1</v>
      </c>
      <c r="M7" s="4">
        <f t="shared" si="4"/>
        <v>4</v>
      </c>
      <c r="N7" s="4"/>
      <c r="P7" s="3">
        <f t="shared" si="0"/>
        <v>4.29</v>
      </c>
      <c r="Q7">
        <f t="shared" si="1"/>
        <v>0</v>
      </c>
      <c r="S7" s="3">
        <f t="shared" si="5"/>
        <v>4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-4.182458E-2</v>
      </c>
      <c r="F8" s="3" cm="1">
        <f t="array" ref="F8">_xll.FDS(C8,"FG_TOTAL_RETURNC(0,-3AM)")</f>
        <v>-8.2181339999999992</v>
      </c>
      <c r="G8" s="3" cm="1">
        <f t="array" ref="G8">_xll.FDS(C8,"FG_TOTAL_RETURNC(0,-6AM)")</f>
        <v>11.421906999999999</v>
      </c>
      <c r="H8" s="9" cm="1">
        <f t="array" ref="H8">_xll.FDS(C8,"P_PRICE(0)/P_PRICE_HIGH_PR(0,,,USD,,,""PRICE"",""INTRA"",""52W"")")</f>
        <v>0.8983274</v>
      </c>
      <c r="I8" s="1"/>
      <c r="K8" s="4">
        <f t="shared" si="3"/>
        <v>10</v>
      </c>
      <c r="L8" s="4">
        <f t="shared" si="4"/>
        <v>10</v>
      </c>
      <c r="M8" s="4">
        <f t="shared" si="4"/>
        <v>3</v>
      </c>
      <c r="N8" s="4"/>
      <c r="P8" s="3">
        <f t="shared" si="0"/>
        <v>7.5900000000000007</v>
      </c>
      <c r="Q8">
        <f t="shared" si="1"/>
        <v>0</v>
      </c>
      <c r="S8" s="3">
        <f t="shared" si="5"/>
        <v>9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-3.3523798</v>
      </c>
      <c r="F9" s="3" cm="1">
        <f t="array" ref="F9">_xll.FDS(C9,"FG_TOTAL_RETURNC(0,-3AM)")</f>
        <v>-5.3240420000000004</v>
      </c>
      <c r="G9" s="3" cm="1">
        <f t="array" ref="G9">_xll.FDS(C9,"FG_TOTAL_RETURNC(0,-6AM)")</f>
        <v>4.1176557999999996</v>
      </c>
      <c r="H9" s="9" cm="1">
        <f t="array" ref="H9">_xll.FDS(C9,"P_PRICE(0)/P_PRICE_HIGH_PR(0,,,USD,,,""PRICE"",""INTRA"",""52W"")")</f>
        <v>0.91248050000000003</v>
      </c>
      <c r="I9" s="1"/>
      <c r="K9" s="4">
        <f t="shared" si="3"/>
        <v>9</v>
      </c>
      <c r="L9" s="4">
        <f t="shared" si="4"/>
        <v>9</v>
      </c>
      <c r="M9" s="4">
        <f t="shared" si="4"/>
        <v>8</v>
      </c>
      <c r="N9" s="4"/>
      <c r="P9" s="3">
        <f t="shared" si="0"/>
        <v>8.58</v>
      </c>
      <c r="Q9">
        <f t="shared" si="1"/>
        <v>0</v>
      </c>
      <c r="S9" s="3">
        <f t="shared" si="5"/>
        <v>10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0.15144347999999999</v>
      </c>
      <c r="F10" s="3" cm="1">
        <f t="array" ref="F10">_xll.FDS(C10,"FG_TOTAL_RETURNC(0,-3AM)")</f>
        <v>6.4487100000000002</v>
      </c>
      <c r="G10" s="3" cm="1">
        <f t="array" ref="G10">_xll.FDS(C10,"FG_TOTAL_RETURNC(0,-6AM)")</f>
        <v>1.1307478</v>
      </c>
      <c r="H10" s="9" cm="1">
        <f t="array" ref="H10">_xll.FDS(C10,"P_PRICE(0)/P_PRICE_HIGH_PR(0,,,USD,,,""PRICE"",""INTRA"",""52W"")")</f>
        <v>0.92137720000000001</v>
      </c>
      <c r="K10" s="4">
        <f t="shared" si="3"/>
        <v>7</v>
      </c>
      <c r="L10" s="4">
        <f t="shared" si="4"/>
        <v>3</v>
      </c>
      <c r="M10" s="4">
        <f t="shared" si="4"/>
        <v>10</v>
      </c>
      <c r="N10" s="4"/>
      <c r="P10" s="3">
        <f t="shared" si="0"/>
        <v>6.6</v>
      </c>
      <c r="Q10">
        <f t="shared" si="1"/>
        <v>0</v>
      </c>
      <c r="S10" s="3">
        <f t="shared" si="5"/>
        <v>7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1.7779826999999999</v>
      </c>
      <c r="F11" s="3" cm="1">
        <f t="array" ref="F11">_xll.FDS(C11,"FG_TOTAL_RETURNC(0,-3AM)")</f>
        <v>4.1843890000000004</v>
      </c>
      <c r="G11" s="3" cm="1">
        <f t="array" ref="G11">_xll.FDS(C11,"FG_TOTAL_RETURNC(0,-6AM)")</f>
        <v>8.7942599999999995</v>
      </c>
      <c r="H11" s="9" cm="1">
        <f t="array" ref="H11">_xll.FDS(C11,"P_PRICE(0)/P_PRICE_HIGH_PR(0,,,USD,,,""PRICE"",""INTRA"",""52W"")")</f>
        <v>0.96384860000000006</v>
      </c>
      <c r="K11" s="4">
        <f t="shared" si="3"/>
        <v>1</v>
      </c>
      <c r="L11" s="4">
        <f t="shared" si="4"/>
        <v>4</v>
      </c>
      <c r="M11" s="4">
        <f t="shared" si="4"/>
        <v>6</v>
      </c>
      <c r="P11" s="3">
        <f t="shared" si="0"/>
        <v>3.63</v>
      </c>
      <c r="Q11">
        <f t="shared" si="1"/>
        <v>0</v>
      </c>
      <c r="S11" s="3">
        <f t="shared" si="5"/>
        <v>3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2.0502210000000001</v>
      </c>
      <c r="F12" s="3" cm="1">
        <f t="array" ref="F12">_xll.FDS(C12,"FG_TOTAL_RETURNC(0,-3AM)")</f>
        <v>3.0885696</v>
      </c>
      <c r="G12" s="3" cm="1">
        <f t="array" ref="G12">_xll.FDS(C12,"FG_TOTAL_RETURNC(0,-6AM)")</f>
        <v>5.8317183999999997</v>
      </c>
      <c r="H12" s="9" cm="1">
        <f t="array" ref="H12">_xll.FDS(C12,"P_PRICE(0)/P_PRICE_HIGH_PR(0,,,USD,,,""PRICE"",""INTRA"",""52W"")")</f>
        <v>0.95316725999999996</v>
      </c>
      <c r="K12" s="4">
        <f t="shared" si="3"/>
        <v>6</v>
      </c>
      <c r="L12" s="4">
        <f t="shared" si="4"/>
        <v>6</v>
      </c>
      <c r="M12" s="4">
        <f t="shared" si="4"/>
        <v>7</v>
      </c>
      <c r="P12" s="3">
        <f t="shared" si="0"/>
        <v>6.27</v>
      </c>
      <c r="Q12">
        <f t="shared" si="1"/>
        <v>0</v>
      </c>
      <c r="S12" s="3">
        <f t="shared" si="5"/>
        <v>6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85.7</v>
      </c>
      <c r="F6" s="153">
        <f>VLOOKUP(B6,Safety!$B$4:$R$16,17,FALSE)</f>
        <v>92.800000000000011</v>
      </c>
      <c r="G6" s="179">
        <f t="shared" ref="G6:G18" si="0">(D6*$D$2 +E6*$E$2 +F6*$F$2)/($D$2+$E$2+$F$2)</f>
        <v>78.53333333333336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57.099999999999994</v>
      </c>
      <c r="J6" s="120">
        <f ca="1">VLOOKUP(B6,'Momnetum ranking'!$A$3:$AJ$15,36,FALSE)</f>
        <v>92.800000000000011</v>
      </c>
      <c r="K6" s="163">
        <f>VLOOKUP(B6,'Momnetum ranking'!$A$3:$H$15,8,FALSE)</f>
        <v>0.47826086956521741</v>
      </c>
      <c r="L6" s="120">
        <f>VLOOKUP(B6,'Currency- 2'!$A$3:$U$15,21,FALSE)</f>
        <v>78.5</v>
      </c>
      <c r="M6" s="162">
        <f t="shared" ref="M6:M18" ca="1" si="1">D6*$D$2 + E6*$E$2 + F6*$F$2 + I6*$I$2 + J6*$J$2 + L6*$L$2</f>
        <v>79.947643999999997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42.8</v>
      </c>
      <c r="E7" s="121">
        <f>VLOOKUP(B7,'Quality - 2'!$B$2:$S$14,18,FALSE)</f>
        <v>42.8</v>
      </c>
      <c r="F7" s="159">
        <f>VLOOKUP(B7,Safety!$B$4:$R$16,17,FALSE)</f>
        <v>64.2</v>
      </c>
      <c r="G7" s="180">
        <f t="shared" si="0"/>
        <v>49.933333333333337</v>
      </c>
      <c r="H7" s="125" cm="1">
        <f t="array" ref="H7">_xlfn.PERCENTRANK.EXC(_xlfn._xlws.FILTER($G$6:G$18, ISNUMBER($G$6:G$18)),G7)*100</f>
        <v>50</v>
      </c>
      <c r="I7" s="159">
        <f>VLOOKUP(B7,'LIQIDITY 2'!$A$3:$X$15,24,FALSE)</f>
        <v>7.1</v>
      </c>
      <c r="J7" s="121">
        <f ca="1">VLOOKUP(B7,'Momnetum ranking'!$A$3:$AJ$15,36,FALSE)</f>
        <v>28.499999999999996</v>
      </c>
      <c r="K7" s="161">
        <f>VLOOKUP(B7,'Momnetum ranking'!$A$3:$H$15,8,FALSE)</f>
        <v>0.50731707317073171</v>
      </c>
      <c r="L7" s="121">
        <f>VLOOKUP(B7,'Currency- 2'!$A$3:$U$15,21,FALSE)</f>
        <v>35.699999999999996</v>
      </c>
      <c r="M7" s="160">
        <f t="shared" ca="1" si="1"/>
        <v>31.368501999999999</v>
      </c>
      <c r="N7" s="121" cm="1">
        <f t="array" aca="1" ref="N7" ca="1">_xlfn.PERCENTRANK.EXC(_xlfn._xlws.FILTER($M$6:M$18, ISNUMBER($M$6:M$18)),M7)*100</f>
        <v>14.2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78.5</v>
      </c>
      <c r="F8" s="159">
        <f>VLOOKUP(B8,Safety!$B$4:$R$16,17,FALSE)</f>
        <v>85.7</v>
      </c>
      <c r="G8" s="180">
        <f t="shared" si="0"/>
        <v>59.466666666666683</v>
      </c>
      <c r="H8" s="125" cm="1">
        <f t="array" ref="H8">_xlfn.PERCENTRANK.EXC(_xlfn._xlws.FILTER($G$6:G$18, ISNUMBER($G$6:G$18)),G8)*100</f>
        <v>78.5</v>
      </c>
      <c r="I8" s="159">
        <f>VLOOKUP(B8,'LIQIDITY 2'!$A$3:$X$15,24,FALSE)</f>
        <v>14.2</v>
      </c>
      <c r="J8" s="121">
        <f ca="1">VLOOKUP(B8,'Momnetum ranking'!$A$3:$AJ$15,36,FALSE)</f>
        <v>50</v>
      </c>
      <c r="K8" s="161">
        <f>VLOOKUP(B8,'Momnetum ranking'!$A$3:$H$15,8,FALSE)</f>
        <v>0.38235294117647056</v>
      </c>
      <c r="L8" s="121">
        <f>VLOOKUP(B8,'Currency- 2'!$A$3:$U$15,21,FALSE)</f>
        <v>50</v>
      </c>
      <c r="M8" s="160">
        <f t="shared" ca="1" si="1"/>
        <v>45.678216000000006</v>
      </c>
      <c r="N8" s="121" cm="1">
        <f t="array" aca="1" ref="N8" ca="1">_xlfn.PERCENTRANK.EXC(_xlfn._xlws.FILTER($M$6:M$18, ISNUMBER($M$6:M$18)),M8)*100</f>
        <v>50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42.8</v>
      </c>
      <c r="G9" s="180">
        <f t="shared" si="0"/>
        <v>54.70000000000001</v>
      </c>
      <c r="H9" s="125" cm="1">
        <f t="array" ref="H9">_xlfn.PERCENTRANK.EXC(_xlfn._xlws.FILTER($G$6:G$18, ISNUMBER($G$6:G$18)),G9)*100</f>
        <v>71.399999999999991</v>
      </c>
      <c r="I9" s="159">
        <f>VLOOKUP(B9,'LIQIDITY 2'!$A$3:$X$15,24,FALSE)</f>
        <v>14.2</v>
      </c>
      <c r="J9" s="121">
        <f ca="1">VLOOKUP(B9,'Momnetum ranking'!$A$3:$AJ$15,36,FALSE)</f>
        <v>78.5</v>
      </c>
      <c r="K9" s="161">
        <f>VLOOKUP(B9,'Momnetum ranking'!$A$3:$H$15,8,FALSE)</f>
        <v>0.36580516898608351</v>
      </c>
      <c r="L9" s="121">
        <f>VLOOKUP(B9,'Currency- 2'!$A$3:$U$15,21,FALSE)</f>
        <v>50</v>
      </c>
      <c r="M9" s="160">
        <f t="shared" ca="1" si="1"/>
        <v>55.648358999999999</v>
      </c>
      <c r="N9" s="121" cm="1">
        <f t="array" aca="1" ref="N9" ca="1">_xlfn.PERCENTRANK.EXC(_xlfn._xlws.FILTER($M$6:M$18, ISNUMBER($M$6:M$18)),M9)*100</f>
        <v>78.5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71.399999999999991</v>
      </c>
      <c r="E10" s="121">
        <f>VLOOKUP(B10,'Quality - 2'!$B$2:$S$14,18,FALSE)</f>
        <v>28.499999999999996</v>
      </c>
      <c r="F10" s="159">
        <f>VLOOKUP(B10,Safety!$B$4:$R$16,17,FALSE)</f>
        <v>21.4</v>
      </c>
      <c r="G10" s="180">
        <f t="shared" si="0"/>
        <v>40.433333333333337</v>
      </c>
      <c r="H10" s="125" cm="1">
        <f t="array" ref="H10">_xlfn.PERCENTRANK.EXC(_xlfn._xlws.FILTER($G$6:G$18, ISNUMBER($G$6:G$18)),G10)*100</f>
        <v>28.499999999999996</v>
      </c>
      <c r="I10" s="159">
        <f>VLOOKUP(B10,'LIQIDITY 2'!$A$3:$X$15,24,FALSE)</f>
        <v>57.099999999999994</v>
      </c>
      <c r="J10" s="121">
        <f ca="1">VLOOKUP(B10,'Momnetum ranking'!$A$3:$AJ$15,36,FALSE)</f>
        <v>57.099999999999994</v>
      </c>
      <c r="K10" s="161">
        <f>VLOOKUP(B10,'Momnetum ranking'!$A$3:$H$15,8,FALSE)</f>
        <v>0.33898305084745761</v>
      </c>
      <c r="L10" s="121">
        <f>VLOOKUP(B10,'Currency- 2'!$A$3:$U$15,21,FALSE)</f>
        <v>85.7</v>
      </c>
      <c r="M10" s="160">
        <f t="shared" ca="1" si="1"/>
        <v>54.958786999999994</v>
      </c>
      <c r="N10" s="121" cm="1">
        <f t="array" aca="1" ref="N10" ca="1">_xlfn.PERCENTRANK.EXC(_xlfn._xlws.FILTER($M$6:M$18, ISNUMBER($M$6:M$18)),M10)*100</f>
        <v>71.399999999999991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78.5</v>
      </c>
      <c r="E11" s="121">
        <f>VLOOKUP(B11,'Quality - 2'!$B$2:$S$14,18,FALSE)</f>
        <v>64.2</v>
      </c>
      <c r="F11" s="159">
        <f>VLOOKUP(B11,Safety!$B$4:$R$16,17,FALSE)</f>
        <v>14.2</v>
      </c>
      <c r="G11" s="180">
        <f t="shared" si="0"/>
        <v>52.300000000000004</v>
      </c>
      <c r="H11" s="125" cm="1">
        <f t="array" ref="H11">_xlfn.PERCENTRANK.EXC(_xlfn._xlws.FILTER($G$6:G$18, ISNUMBER($G$6:G$18)),G11)*100</f>
        <v>57.099999999999994</v>
      </c>
      <c r="I11" s="159">
        <f>VLOOKUP(B11,'LIQIDITY 2'!$A$3:$X$15,24,FALSE)</f>
        <v>14.2</v>
      </c>
      <c r="J11" s="121">
        <f ca="1">VLOOKUP(B11,'Momnetum ranking'!$A$3:$AJ$15,36,FALSE)</f>
        <v>85.7</v>
      </c>
      <c r="K11" s="161">
        <f>VLOOKUP(B11,'Momnetum ranking'!$A$3:$H$15,8,FALSE)</f>
        <v>0.27160493827160492</v>
      </c>
      <c r="L11" s="121">
        <f>VLOOKUP(B11,'Currency- 2'!$A$3:$U$15,21,FALSE)</f>
        <v>71.399999999999991</v>
      </c>
      <c r="M11" s="160">
        <f t="shared" ca="1" si="1"/>
        <v>59.948430999999999</v>
      </c>
      <c r="N11" s="121" cm="1">
        <f t="array" aca="1" ref="N11" ca="1">_xlfn.PERCENTRANK.EXC(_xlfn._xlws.FILTER($M$6:M$18, ISNUMBER($M$6:M$18)),M11)*100</f>
        <v>85.7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50</v>
      </c>
      <c r="E12" s="121">
        <f>VLOOKUP(B12,'Quality - 2'!$B$2:$S$14,18,FALSE)</f>
        <v>57.099999999999994</v>
      </c>
      <c r="F12" s="159">
        <f>VLOOKUP(B12,Safety!$B$4:$R$16,17,FALSE)</f>
        <v>50</v>
      </c>
      <c r="G12" s="180">
        <f t="shared" si="0"/>
        <v>52.366666666666667</v>
      </c>
      <c r="H12" s="125" cm="1">
        <f t="array" ref="H12">_xlfn.PERCENTRANK.EXC(_xlfn._xlws.FILTER($G$6:G$18, ISNUMBER($G$6:G$18)),G12)*100</f>
        <v>64.2</v>
      </c>
      <c r="I12" s="159">
        <f>VLOOKUP(B12,'LIQIDITY 2'!$A$3:$X$15,24,FALSE)</f>
        <v>57.099999999999994</v>
      </c>
      <c r="J12" s="121">
        <f ca="1">VLOOKUP(B12,'Momnetum ranking'!$A$3:$AJ$15,36,FALSE)</f>
        <v>42.8</v>
      </c>
      <c r="K12" s="161">
        <f>VLOOKUP(B12,'Momnetum ranking'!$A$3:$H$15,8,FALSE)</f>
        <v>0.38636363636363635</v>
      </c>
      <c r="L12" s="121">
        <f>VLOOKUP(B12,'Currency- 2'!$A$3:$U$15,21,FALSE)</f>
        <v>28.499999999999996</v>
      </c>
      <c r="M12" s="160">
        <f t="shared" ca="1" si="1"/>
        <v>47.098429000000003</v>
      </c>
      <c r="N12" s="121" cm="1">
        <f t="array" aca="1" ref="N12" ca="1">_xlfn.PERCENTRANK.EXC(_xlfn._xlws.FILTER($M$6:M$18, ISNUMBER($M$6:M$18)),M12)*100</f>
        <v>57.099999999999994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21.4</v>
      </c>
      <c r="F13" s="159">
        <f>VLOOKUP(B13,Safety!$B$4:$R$16,17,FALSE)</f>
        <v>35.699999999999996</v>
      </c>
      <c r="G13" s="180">
        <f t="shared" si="0"/>
        <v>26.166666666666668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14.2</v>
      </c>
      <c r="J13" s="121">
        <f ca="1">VLOOKUP(B13,'Momnetum ranking'!$A$3:$AJ$15,36,FALSE)</f>
        <v>71.399999999999991</v>
      </c>
      <c r="K13" s="161">
        <f>VLOOKUP(B13,'Momnetum ranking'!$A$3:$H$15,8,FALSE)</f>
        <v>0.33333333333333331</v>
      </c>
      <c r="L13" s="121">
        <f>VLOOKUP(B13,'Currency- 2'!$A$3:$U$15,21,FALSE)</f>
        <v>14.2</v>
      </c>
      <c r="M13" s="160">
        <f t="shared" ca="1" si="1"/>
        <v>40.669215000000001</v>
      </c>
      <c r="N13" s="121" cm="1">
        <f t="array" aca="1" ref="N13" ca="1">_xlfn.PERCENTRANK.EXC(_xlfn._xlws.FILTER($M$6:M$18, ISNUMBER($M$6:M$18)),M13)*100</f>
        <v>21.4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14.2</v>
      </c>
      <c r="F14" s="159">
        <f>VLOOKUP(B14,Safety!$B$4:$R$16,17,FALSE)</f>
        <v>71.399999999999991</v>
      </c>
      <c r="G14" s="180">
        <f t="shared" si="0"/>
        <v>30.9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14.2</v>
      </c>
      <c r="J14" s="121">
        <f ca="1">VLOOKUP(B14,'Momnetum ranking'!$A$3:$AJ$15,36,FALSE)</f>
        <v>14.2</v>
      </c>
      <c r="K14" s="161">
        <f>VLOOKUP(B14,'Momnetum ranking'!$A$3:$H$15,8,FALSE)</f>
        <v>0.21428571428571427</v>
      </c>
      <c r="L14" s="121">
        <f>VLOOKUP(B14,'Currency- 2'!$A$3:$U$15,21,FALSE)</f>
        <v>7.1</v>
      </c>
      <c r="M14" s="160">
        <f t="shared" ca="1" si="1"/>
        <v>18.499072999999999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85.7</v>
      </c>
      <c r="E15" s="121">
        <f>VLOOKUP(B15,'Quality - 2'!$B$2:$S$14,18,FALSE)</f>
        <v>71.399999999999991</v>
      </c>
      <c r="F15" s="159">
        <f>VLOOKUP(B15,Safety!$B$4:$R$16,17,FALSE)</f>
        <v>78.5</v>
      </c>
      <c r="G15" s="180">
        <f t="shared" si="0"/>
        <v>78.533333333333346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50</v>
      </c>
      <c r="J15" s="121">
        <f ca="1">VLOOKUP(B15,'Momnetum ranking'!$A$3:$AJ$15,36,FALSE)</f>
        <v>7.1</v>
      </c>
      <c r="K15" s="161">
        <f>VLOOKUP(B15,'Momnetum ranking'!$A$3:$H$15,8,FALSE)</f>
        <v>0.2857142857142857</v>
      </c>
      <c r="L15" s="121">
        <f>VLOOKUP(B15,'Currency- 2'!$A$3:$U$15,21,FALSE)</f>
        <v>42.8</v>
      </c>
      <c r="M15" s="160">
        <f t="shared" ca="1" si="1"/>
        <v>40.677644000000001</v>
      </c>
      <c r="N15" s="121" cm="1">
        <f t="array" aca="1" ref="N15" ca="1">_xlfn.PERCENTRANK.EXC(_xlfn._xlws.FILTER($M$6:M$18, ISNUMBER($M$6:M$18)),M15)*100</f>
        <v>28.499999999999996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28.499999999999996</v>
      </c>
      <c r="F16" s="159">
        <f>VLOOKUP(B16,Safety!$B$4:$R$16,17,FALSE)</f>
        <v>57.099999999999994</v>
      </c>
      <c r="G16" s="180">
        <f t="shared" si="0"/>
        <v>40.433333333333337</v>
      </c>
      <c r="H16" s="125" cm="1">
        <f t="array" ref="H16">_xlfn.PERCENTRANK.EXC(_xlfn._xlws.FILTER($G$6:G$18, ISNUMBER($G$6:G$18)),G16)*100</f>
        <v>28.499999999999996</v>
      </c>
      <c r="I16" s="159">
        <f>VLOOKUP(B16,'LIQIDITY 2'!$A$3:$X$15,24,FALSE)</f>
        <v>57.099999999999994</v>
      </c>
      <c r="J16" s="121">
        <f ca="1">VLOOKUP(B16,'Momnetum ranking'!$A$3:$AJ$15,36,FALSE)</f>
        <v>21.4</v>
      </c>
      <c r="K16" s="161">
        <f>VLOOKUP(B16,'Momnetum ranking'!$A$3:$H$15,8,FALSE)</f>
        <v>0.28301886792452829</v>
      </c>
      <c r="L16" s="121">
        <f>VLOOKUP(B16,'Currency- 2'!$A$3:$U$15,21,FALSE)</f>
        <v>92.800000000000011</v>
      </c>
      <c r="M16" s="160">
        <f t="shared" ca="1" si="1"/>
        <v>41.388787000000001</v>
      </c>
      <c r="N16" s="121" cm="1">
        <f t="array" aca="1" ref="N16" ca="1">_xlfn.PERCENTRANK.EXC(_xlfn._xlws.FILTER($M$6:M$18, ISNUMBER($M$6:M$18)),M16)*100</f>
        <v>35.699999999999996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64.2</v>
      </c>
      <c r="E17" s="121">
        <f>VLOOKUP(B17,'Quality - 2'!$B$2:$S$14,18,FALSE)</f>
        <v>50</v>
      </c>
      <c r="F17" s="159">
        <f>VLOOKUP(B17,Safety!$B$4:$R$16,17,FALSE)</f>
        <v>28.499999999999996</v>
      </c>
      <c r="G17" s="180">
        <f t="shared" si="0"/>
        <v>47.56666666666667</v>
      </c>
      <c r="H17" s="125" cm="1">
        <f t="array" ref="H17">_xlfn.PERCENTRANK.EXC(_xlfn._xlws.FILTER($G$6:G$18, ISNUMBER($G$6:G$18)),G17)*100</f>
        <v>42.8</v>
      </c>
      <c r="I17" s="159">
        <f>VLOOKUP(B17,'LIQIDITY 2'!$A$3:$X$15,24,FALSE)</f>
        <v>57.099999999999994</v>
      </c>
      <c r="J17" s="121">
        <f ca="1">VLOOKUP(B17,'Momnetum ranking'!$A$3:$AJ$15,36,FALSE)</f>
        <v>35.699999999999996</v>
      </c>
      <c r="K17" s="161">
        <f>VLOOKUP(B17,'Momnetum ranking'!$A$3:$H$15,8,FALSE)</f>
        <v>0.2608695652173913</v>
      </c>
      <c r="L17" s="121">
        <f>VLOOKUP(B17,'Currency- 2'!$A$3:$U$15,21,FALSE)</f>
        <v>21.4</v>
      </c>
      <c r="M17" s="160">
        <f t="shared" ca="1" si="1"/>
        <v>42.108573</v>
      </c>
      <c r="N17" s="121" cm="1">
        <f t="array" aca="1" ref="N17" ca="1">_xlfn.PERCENTRANK.EXC(_xlfn._xlws.FILTER($M$6:M$18, ISNUMBER($M$6:M$18)),M17)*100</f>
        <v>42.8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7.1</v>
      </c>
      <c r="G18" s="181">
        <f t="shared" si="0"/>
        <v>35.666666666666679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57.099999999999994</v>
      </c>
      <c r="J18" s="122">
        <f ca="1">VLOOKUP(B18,'Momnetum ranking'!$A$3:$AJ$15,36,FALSE)</f>
        <v>64.2</v>
      </c>
      <c r="K18" s="165">
        <f>VLOOKUP(B18,'Momnetum ranking'!$A$3:$H$15,8,FALSE)</f>
        <v>0.38461538461538464</v>
      </c>
      <c r="L18" s="122">
        <f>VLOOKUP(B18,'Currency- 2'!$A$3:$U$15,21,FALSE)</f>
        <v>64.2</v>
      </c>
      <c r="M18" s="164">
        <f t="shared" ca="1" si="1"/>
        <v>54.218930000000007</v>
      </c>
      <c r="N18" s="122" cm="1">
        <f t="array" aca="1" ref="N18" ca="1">_xlfn.PERCENTRANK.EXC(_xlfn._xlws.FILTER($M$6:M$18, ISNUMBER($M$6:M$18)),M18)*100</f>
        <v>64.2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7</v>
      </c>
      <c r="S3" s="148">
        <f ca="1">COUNTIF(S9:S17,"&gt;0")</f>
        <v>7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0.18109517043242321</v>
      </c>
      <c r="F9">
        <f ca="1">VLOOKUP(B9,OUTPUT_COUNTRY!$B$6:$N$18, 9, FALSE)</f>
        <v>14.2</v>
      </c>
      <c r="G9" s="47">
        <f>IFERROR(VLOOKUP(B9,OUTPUT_COUNTRY!$B$6:$N$18, 7, FALSE),0)</f>
        <v>14.2</v>
      </c>
      <c r="H9">
        <f>VLOOKUP(B9,OUTPUT_COUNTRY!$B$6:$N$18, 8, FALSE)</f>
        <v>14.2</v>
      </c>
      <c r="I9">
        <f>VLOOKUP(B9,OUTPUT_COUNTRY!$B$6:$N$18, 11, FALSE)</f>
        <v>7.1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0.20899484036896035</v>
      </c>
      <c r="F10">
        <f ca="1">VLOOKUP(B10,OUTPUT_COUNTRY!$B$6:$N$18, 9, FALSE)</f>
        <v>71.399999999999991</v>
      </c>
      <c r="G10" s="47">
        <f>IFERROR(VLOOKUP(B10,OUTPUT_COUNTRY!$B$6:$N$18, 7, FALSE),0)</f>
        <v>7.1</v>
      </c>
      <c r="H10">
        <f>VLOOKUP(B10,OUTPUT_COUNTRY!$B$6:$N$18, 8, FALSE)</f>
        <v>14.2</v>
      </c>
      <c r="I10">
        <f>VLOOKUP(B10,OUTPUT_COUNTRY!$B$6:$N$18, 11, FALSE)</f>
        <v>14.2</v>
      </c>
      <c r="J10" s="47">
        <f t="shared" ca="1" si="0"/>
        <v>4.7848071188484651</v>
      </c>
      <c r="K10" s="136">
        <f t="shared" ref="K10:K21" ca="1" si="6">J10/$J$22</f>
        <v>0.20380769040785141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>
        <f t="shared" ca="1" si="4"/>
        <v>0.1019038452039257</v>
      </c>
      <c r="S10" s="156">
        <f t="shared" ca="1" si="5"/>
        <v>0.12064386914979913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0.19142623779562168</v>
      </c>
      <c r="F11">
        <f ca="1">VLOOKUP(B11,OUTPUT_COUNTRY!$B$6:$N$18, 9, FALSE)</f>
        <v>42.8</v>
      </c>
      <c r="G11" s="47">
        <f>IFERROR(VLOOKUP(B11,OUTPUT_COUNTRY!$B$6:$N$18, 7, FALSE),0)</f>
        <v>64.2</v>
      </c>
      <c r="H11">
        <f>VLOOKUP(B11,OUTPUT_COUNTRY!$B$6:$N$18, 8, FALSE)</f>
        <v>57.099999999999994</v>
      </c>
      <c r="I11">
        <f>VLOOKUP(B11,OUTPUT_COUNTRY!$B$6:$N$18, 11, FALSE)</f>
        <v>28.499999999999996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5.2239442801339537</v>
      </c>
      <c r="O11" s="136">
        <f t="shared" si="8"/>
        <v>0.14564375251448067</v>
      </c>
      <c r="P11">
        <f t="shared" si="3"/>
        <v>0</v>
      </c>
      <c r="Q11" s="136">
        <f t="shared" si="9"/>
        <v>0</v>
      </c>
      <c r="R11" s="156">
        <f t="shared" ca="1" si="4"/>
        <v>1.4564375251448068E-2</v>
      </c>
      <c r="S11" s="156">
        <f t="shared" ca="1" si="5"/>
        <v>1.7242750541631022E-2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0.20537353636390701</v>
      </c>
      <c r="F12">
        <f ca="1">VLOOKUP(B12,OUTPUT_COUNTRY!$B$6:$N$18, 9, FALSE)</f>
        <v>57.099999999999994</v>
      </c>
      <c r="G12" s="47">
        <f>IFERROR(VLOOKUP(B12,OUTPUT_COUNTRY!$B$6:$N$18, 7, FALSE),0)</f>
        <v>28.499999999999996</v>
      </c>
      <c r="H12">
        <f>VLOOKUP(B12,OUTPUT_COUNTRY!$B$6:$N$18, 8, FALSE)</f>
        <v>57.099999999999994</v>
      </c>
      <c r="I12">
        <f>VLOOKUP(B12,OUTPUT_COUNTRY!$B$6:$N$18, 11, FALSE)</f>
        <v>85.7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4.8691765146804142</v>
      </c>
      <c r="O12" s="136">
        <f t="shared" si="8"/>
        <v>0.13575281458309338</v>
      </c>
      <c r="P12">
        <f t="shared" si="3"/>
        <v>4.8691765146804142</v>
      </c>
      <c r="Q12" s="136">
        <f t="shared" si="9"/>
        <v>0.18303728809300029</v>
      </c>
      <c r="R12" s="156">
        <f t="shared" ca="1" si="4"/>
        <v>3.1879010267609371E-2</v>
      </c>
      <c r="S12" s="156">
        <f t="shared" ca="1" si="5"/>
        <v>3.7741531103699766E-2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0.16047223019816417</v>
      </c>
      <c r="F13">
        <f ca="1">VLOOKUP(B13,OUTPUT_COUNTRY!$B$6:$N$18, 9, FALSE)</f>
        <v>28.499999999999996</v>
      </c>
      <c r="G13" s="47">
        <f>IFERROR(VLOOKUP(B13,OUTPUT_COUNTRY!$B$6:$N$18, 7, FALSE),0)</f>
        <v>50</v>
      </c>
      <c r="H13">
        <f>VLOOKUP(B13,OUTPUT_COUNTRY!$B$6:$N$18, 8, FALSE)</f>
        <v>7.1</v>
      </c>
      <c r="I13">
        <f>VLOOKUP(B13,OUTPUT_COUNTRY!$B$6:$N$18, 11, FALSE)</f>
        <v>35.699999999999996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 t="str">
        <f t="shared" ca="1" si="4"/>
        <v/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0.14849500857290301</v>
      </c>
      <c r="F14">
        <f ca="1">VLOOKUP(B14,OUTPUT_COUNTRY!$B$6:$N$18, 9, FALSE)</f>
        <v>92.800000000000011</v>
      </c>
      <c r="G14" s="47">
        <f>IFERROR(VLOOKUP(B14,OUTPUT_COUNTRY!$B$6:$N$18, 7, FALSE),0)</f>
        <v>92.800000000000011</v>
      </c>
      <c r="H14">
        <f>VLOOKUP(B14,OUTPUT_COUNTRY!$B$6:$N$18, 8, FALSE)</f>
        <v>57.099999999999994</v>
      </c>
      <c r="I14">
        <f>VLOOKUP(B14,OUTPUT_COUNTRY!$B$6:$N$18, 11, FALSE)</f>
        <v>78.5</v>
      </c>
      <c r="J14" s="47">
        <f t="shared" ca="1" si="0"/>
        <v>6.7342330870943323</v>
      </c>
      <c r="K14" s="136">
        <f t="shared" ca="1" si="6"/>
        <v>0.28684301332488005</v>
      </c>
      <c r="L14">
        <f t="shared" si="1"/>
        <v>6.7342330870943323</v>
      </c>
      <c r="M14" s="136">
        <f t="shared" si="7"/>
        <v>0.28652642464672345</v>
      </c>
      <c r="N14">
        <f t="shared" si="2"/>
        <v>6.7342330870943323</v>
      </c>
      <c r="O14" s="136">
        <f t="shared" si="8"/>
        <v>0.18775065822226653</v>
      </c>
      <c r="P14">
        <f t="shared" si="3"/>
        <v>6.7342330870943323</v>
      </c>
      <c r="Q14" s="136">
        <f t="shared" si="9"/>
        <v>0.25314665794751995</v>
      </c>
      <c r="R14" s="156">
        <f t="shared" ca="1" si="4"/>
        <v>0.27346916567343571</v>
      </c>
      <c r="S14" s="156">
        <f t="shared" ca="1" si="5"/>
        <v>0.32375989516379639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0.17829710365569679</v>
      </c>
      <c r="F15">
        <f ca="1">VLOOKUP(B15,OUTPUT_COUNTRY!$B$6:$N$18, 9, FALSE)</f>
        <v>85.7</v>
      </c>
      <c r="G15" s="47">
        <f>IFERROR(VLOOKUP(B15,OUTPUT_COUNTRY!$B$6:$N$18, 7, FALSE),0)</f>
        <v>57.099999999999994</v>
      </c>
      <c r="H15">
        <f>VLOOKUP(B15,OUTPUT_COUNTRY!$B$6:$N$18, 8, FALSE)</f>
        <v>14.2</v>
      </c>
      <c r="I15">
        <f>VLOOKUP(B15,OUTPUT_COUNTRY!$B$6:$N$18, 11, FALSE)</f>
        <v>71.399999999999991</v>
      </c>
      <c r="J15" s="47">
        <f t="shared" ca="1" si="0"/>
        <v>5.6086160655254647</v>
      </c>
      <c r="K15" s="136">
        <f t="shared" ca="1" si="6"/>
        <v>0.23889763125377861</v>
      </c>
      <c r="L15">
        <f t="shared" si="1"/>
        <v>0</v>
      </c>
      <c r="M15" s="136">
        <f t="shared" si="7"/>
        <v>0</v>
      </c>
      <c r="N15">
        <f t="shared" si="2"/>
        <v>0</v>
      </c>
      <c r="O15" s="136">
        <f t="shared" si="8"/>
        <v>0</v>
      </c>
      <c r="P15">
        <f t="shared" si="3"/>
        <v>5.6086160655254647</v>
      </c>
      <c r="Q15" s="136">
        <f t="shared" si="9"/>
        <v>0.21083357144549805</v>
      </c>
      <c r="R15" s="156">
        <f t="shared" ca="1" si="4"/>
        <v>0.14053217277143912</v>
      </c>
      <c r="S15" s="156">
        <f t="shared" ca="1" si="5"/>
        <v>0.16637591083286546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0.19326344852507119</v>
      </c>
      <c r="F16">
        <f ca="1">VLOOKUP(B16,OUTPUT_COUNTRY!$B$6:$N$18, 9, FALSE)</f>
        <v>50</v>
      </c>
      <c r="G16" s="47">
        <f>IFERROR(VLOOKUP(B16,OUTPUT_COUNTRY!$B$6:$N$18, 7, FALSE),0)</f>
        <v>78.5</v>
      </c>
      <c r="H16">
        <f>VLOOKUP(B16,OUTPUT_COUNTRY!$B$6:$N$18, 8, FALSE)</f>
        <v>14.2</v>
      </c>
      <c r="I16">
        <f>VLOOKUP(B16,OUTPUT_COUNTRY!$B$6:$N$18, 11, FALSE)</f>
        <v>50</v>
      </c>
      <c r="J16" s="47">
        <f t="shared" ca="1" si="0"/>
        <v>0</v>
      </c>
      <c r="K16" s="136">
        <f t="shared" ca="1" si="6"/>
        <v>0</v>
      </c>
      <c r="L16">
        <f t="shared" si="1"/>
        <v>5.1742841578772438</v>
      </c>
      <c r="M16" s="136">
        <f t="shared" si="7"/>
        <v>0.22015411713384037</v>
      </c>
      <c r="N16">
        <f t="shared" si="2"/>
        <v>0</v>
      </c>
      <c r="O16" s="136">
        <f t="shared" si="8"/>
        <v>0</v>
      </c>
      <c r="P16">
        <f t="shared" si="3"/>
        <v>0</v>
      </c>
      <c r="Q16" s="136">
        <f t="shared" si="9"/>
        <v>0</v>
      </c>
      <c r="R16" s="156">
        <f t="shared" ca="1" si="4"/>
        <v>6.6046235140152107E-2</v>
      </c>
      <c r="S16" s="156">
        <f t="shared" ca="1" si="5"/>
        <v>7.8192077385696307E-2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0.15749489181599527</v>
      </c>
      <c r="F17">
        <f ca="1">VLOOKUP(B17,OUTPUT_COUNTRY!$B$6:$N$18, 9, FALSE)</f>
        <v>78.5</v>
      </c>
      <c r="G17" s="47">
        <f>IFERROR(VLOOKUP(B17,OUTPUT_COUNTRY!$B$6:$N$18, 7, FALSE),0)</f>
        <v>71.399999999999991</v>
      </c>
      <c r="H17">
        <f>VLOOKUP(B17,OUTPUT_COUNTRY!$B$6:$N$18, 8, FALSE)</f>
        <v>14.2</v>
      </c>
      <c r="I17">
        <f>VLOOKUP(B17,OUTPUT_COUNTRY!$B$6:$N$18, 11, FALSE)</f>
        <v>50</v>
      </c>
      <c r="J17" s="47">
        <f t="shared" ca="1" si="0"/>
        <v>6.3494122791507541</v>
      </c>
      <c r="K17" s="136">
        <f t="shared" ca="1" si="6"/>
        <v>0.27045166501348994</v>
      </c>
      <c r="L17">
        <f t="shared" si="1"/>
        <v>6.3494122791507541</v>
      </c>
      <c r="M17" s="136">
        <f t="shared" si="7"/>
        <v>0.27015316746899898</v>
      </c>
      <c r="N17">
        <f t="shared" si="2"/>
        <v>0</v>
      </c>
      <c r="O17" s="136">
        <f t="shared" si="8"/>
        <v>0</v>
      </c>
      <c r="P17">
        <f t="shared" si="3"/>
        <v>0</v>
      </c>
      <c r="Q17" s="136">
        <f t="shared" si="9"/>
        <v>0</v>
      </c>
      <c r="R17" s="156">
        <f t="shared" ca="1" si="4"/>
        <v>0.21627178274744466</v>
      </c>
      <c r="S17" s="156">
        <f t="shared" ca="1" si="5"/>
        <v>0.25604396582251193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0.19065488672686159</v>
      </c>
      <c r="F18">
        <f ca="1">VLOOKUP(B18,OUTPUT_COUNTRY!$B$6:$N$18, 9, FALSE)</f>
        <v>7.1</v>
      </c>
      <c r="G18" s="47">
        <f>IFERROR(VLOOKUP(B18,OUTPUT_COUNTRY!$B$6:$N$18, 7, FALSE),0)</f>
        <v>85.7</v>
      </c>
      <c r="H18">
        <f>VLOOKUP(B18,OUTPUT_COUNTRY!$B$6:$N$18, 8, FALSE)</f>
        <v>50</v>
      </c>
      <c r="I18">
        <f>VLOOKUP(B18,OUTPUT_COUNTRY!$B$6:$N$18, 11, FALSE)</f>
        <v>42.8</v>
      </c>
      <c r="J18" s="47">
        <f t="shared" ca="1" si="0"/>
        <v>0</v>
      </c>
      <c r="K18" s="136">
        <f t="shared" ca="1" si="6"/>
        <v>0</v>
      </c>
      <c r="L18">
        <f t="shared" si="1"/>
        <v>5.2450793009708301</v>
      </c>
      <c r="M18" s="136">
        <f t="shared" si="7"/>
        <v>0.22316629075043712</v>
      </c>
      <c r="N18">
        <f t="shared" si="2"/>
        <v>5.2450793009708301</v>
      </c>
      <c r="O18" s="136">
        <f t="shared" si="8"/>
        <v>0.14623299764786779</v>
      </c>
      <c r="P18">
        <f t="shared" si="3"/>
        <v>0</v>
      </c>
      <c r="Q18" s="136">
        <f t="shared" si="9"/>
        <v>0</v>
      </c>
      <c r="R18" s="156">
        <f t="shared" ca="1" si="4"/>
        <v>8.1573186989917917E-2</v>
      </c>
      <c r="S18" s="156">
        <f t="shared" ca="1" si="5"/>
        <v>9.6574421481836606E-2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0.20185388949628111</v>
      </c>
      <c r="F19">
        <f ca="1">VLOOKUP(B19,OUTPUT_COUNTRY!$B$6:$N$18, 9, FALSE)</f>
        <v>21.4</v>
      </c>
      <c r="G19" s="47">
        <f>IFERROR(VLOOKUP(B19,OUTPUT_COUNTRY!$B$6:$N$18, 7, FALSE),0)</f>
        <v>28.499999999999996</v>
      </c>
      <c r="H19">
        <f>VLOOKUP(B19,OUTPUT_COUNTRY!$B$6:$N$18, 8, FALSE)</f>
        <v>57.099999999999994</v>
      </c>
      <c r="I19">
        <f>VLOOKUP(B19,OUTPUT_COUNTRY!$B$6:$N$18, 11, FALSE)</f>
        <v>92.800000000000011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4.9540784301727498</v>
      </c>
      <c r="O19" s="136">
        <f t="shared" si="8"/>
        <v>0.13811988300972175</v>
      </c>
      <c r="P19">
        <f t="shared" si="3"/>
        <v>4.9540784301727498</v>
      </c>
      <c r="Q19" s="136">
        <f t="shared" si="9"/>
        <v>0.18622883728386758</v>
      </c>
      <c r="R19" s="156">
        <f t="shared" ca="1" si="4"/>
        <v>3.2434872029358935E-2</v>
      </c>
      <c r="S19" s="156">
        <f t="shared" ca="1" si="5"/>
        <v>3.8399615335120978E-2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0.22699151942344831</v>
      </c>
      <c r="F20">
        <f ca="1">VLOOKUP(B20,OUTPUT_COUNTRY!$B$6:$N$18, 9, FALSE)</f>
        <v>35.699999999999996</v>
      </c>
      <c r="G20" s="47">
        <f>IFERROR(VLOOKUP(B20,OUTPUT_COUNTRY!$B$6:$N$18, 7, FALSE),0)</f>
        <v>42.8</v>
      </c>
      <c r="H20">
        <f>VLOOKUP(B20,OUTPUT_COUNTRY!$B$6:$N$18, 8, FALSE)</f>
        <v>57.099999999999994</v>
      </c>
      <c r="I20">
        <f>VLOOKUP(B20,OUTPUT_COUNTRY!$B$6:$N$18, 11, FALSE)</f>
        <v>21.4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4.4054509284750818</v>
      </c>
      <c r="O20" s="136">
        <f t="shared" si="8"/>
        <v>0.12282412872999884</v>
      </c>
      <c r="P20">
        <f t="shared" si="3"/>
        <v>0</v>
      </c>
      <c r="Q20" s="136">
        <f t="shared" si="9"/>
        <v>0</v>
      </c>
      <c r="R20" s="156">
        <f t="shared" ca="1" si="4"/>
        <v>1.2282412872999885E-2</v>
      </c>
      <c r="S20" s="156">
        <f t="shared" ca="1" si="5"/>
        <v>1.454113736855263E-2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0.22542844619824912</v>
      </c>
      <c r="F21" s="13">
        <f ca="1">VLOOKUP(B21,OUTPUT_COUNTRY!$B$6:$N$18, 9, FALSE)</f>
        <v>64.2</v>
      </c>
      <c r="G21" s="138">
        <f>IFERROR(VLOOKUP(B21,OUTPUT_COUNTRY!$B$6:$N$18, 7, FALSE),0)</f>
        <v>21.4</v>
      </c>
      <c r="H21" s="13">
        <f>VLOOKUP(B21,OUTPUT_COUNTRY!$B$6:$N$18, 8, FALSE)</f>
        <v>57.099999999999994</v>
      </c>
      <c r="I21" s="13">
        <f>VLOOKUP(B21,OUTPUT_COUNTRY!$B$6:$N$18, 11, FALSE)</f>
        <v>64.2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4.4359973945815492</v>
      </c>
      <c r="O21" s="137">
        <f t="shared" si="8"/>
        <v>0.1236757652925711</v>
      </c>
      <c r="P21" s="13">
        <f t="shared" si="3"/>
        <v>4.4359973945815492</v>
      </c>
      <c r="Q21" s="137">
        <f t="shared" si="9"/>
        <v>0.16675364523011421</v>
      </c>
      <c r="R21" s="157">
        <f t="shared" ca="1" si="4"/>
        <v>2.9042941052268532E-2</v>
      </c>
      <c r="S21" s="157">
        <f t="shared" ca="1" si="5"/>
        <v>3.4383911353133449E-2</v>
      </c>
    </row>
    <row r="22" spans="2:21" x14ac:dyDescent="0.35">
      <c r="J22" s="47">
        <f ca="1">SUM(J9:J21)</f>
        <v>23.477068550619016</v>
      </c>
      <c r="K22" s="169"/>
      <c r="L22">
        <f>SUM(L9:L21)</f>
        <v>23.503008825093161</v>
      </c>
      <c r="N22">
        <f>SUM(N9:N21)</f>
        <v>35.86795993610891</v>
      </c>
      <c r="P22">
        <f>SUM(P9:P21)</f>
        <v>26.602101492054508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</v>
      </c>
      <c r="J4" s="120" t="str">
        <f ca="1">IF(VLOOKUP(C4,OUTPUT_COUNTRY!$B$6:$N$18,9,FALSE)&gt;75,"++",(IF(VLOOKUP(C4,OUTPUT_COUNTRY!$B$6:$N$18,9,FALSE)&gt;50,"+",(IF(VLOOKUP(C4,OUTPUT_COUNTRY!$B$6:$N$18,9,FALSE)&gt;25,"-","--")))))</f>
        <v>++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-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-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</v>
      </c>
      <c r="K6" s="159" t="str">
        <f>IF(VLOOKUP(C6,OUTPUT_COUNTRY!$B$6:$N$18,11,FALSE)&gt;75,"++",(IF(VLOOKUP(C6,OUTPUT_COUNTRY!$B$6:$N$18,11,FALSE)&gt;50,"+",(IF(VLOOKUP(C6,OUTPUT_COUNTRY!$B$6:$N$18,11,FALSE)&gt;25,"-","--")))))</f>
        <v>-</v>
      </c>
      <c r="L6" s="121" t="str">
        <f ca="1">IF(VLOOKUP(C6,OUTPUT_COUNTRY!$B$6:$N$18,13,FALSE)&gt;75,"++",(IF(VLOOKUP(C6,OUTPUT_COUNTRY!$B$6:$N$18,13,FALSE)&gt;50,"+",(IF(VLOOKUP(C6,OUTPUT_COUNTRY!$B$6:$N$18,13,FALSE)&gt;25,"-","--")))))</f>
        <v>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-</v>
      </c>
      <c r="L7" s="121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+</v>
      </c>
      <c r="J8" s="121" t="str">
        <f ca="1">IF(VLOOKUP(C8,OUTPUT_COUNTRY!$B$6:$N$18,9,FALSE)&gt;75,"++",(IF(VLOOKUP(C8,OUTPUT_COUNTRY!$B$6:$N$18,9,FALSE)&gt;50,"+",(IF(VLOOKUP(C8,OUTPUT_COUNTRY!$B$6:$N$18,9,FALSE)&gt;25,"-","--")))))</f>
        <v>+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+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--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+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+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+</v>
      </c>
      <c r="J16" s="122" t="str">
        <f ca="1">IF(VLOOKUP(C16,OUTPUT_COUNTRY!$B$6:$N$18,9,FALSE)&gt;75,"++",(IF(VLOOKUP(C16,OUTPUT_COUNTRY!$B$6:$N$18,9,FALSE)&gt;50,"+",(IF(VLOOKUP(C16,OUTPUT_COUNTRY!$B$6:$N$18,9,FALSE)&gt;25,"-","--")))))</f>
        <v>+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45471</v>
      </c>
      <c r="G3" s="4" cm="1">
        <f t="array" ref="G3">_xll.FDS(D3,"FMA_PE(LTM,0,,,""PORTAGG"",""MEANR"")")</f>
        <v>33.704936174346898</v>
      </c>
      <c r="H3" s="4" cm="1">
        <f t="array" ref="H3">_xll.FDS(D3,"FMA_PE(NTMA,0,,,""PORTAGG"",""MEANR"")")</f>
        <v>25.6878368884251</v>
      </c>
      <c r="I3" cm="1">
        <f t="array" ref="I3">_xll.FDS(D3,"FMA_DIV_YLD(NTMA,NOW,NOW,M,""PORTAGG"",""MEANR"")")</f>
        <v>2.762752008838</v>
      </c>
      <c r="J3" s="52" cm="1">
        <f t="array" ref="J3">IFERROR(_xll.FDS(D3,"FG_FCF_YIELD_NTM(0)"),(1/G3*100))</f>
        <v>-0.16677080929413099</v>
      </c>
      <c r="K3" s="3" cm="1">
        <f t="array" ref="K3">_xll.FDS(D3,"FMA_EVAL_EBITDA(NTMA,0,,,""PORTAGG"",""MEANR"")")</f>
        <v>12.3804738743532</v>
      </c>
      <c r="L3" cm="1">
        <f t="array" ref="L3">_xll.FDS(D3,"FMA_EVAL_EBIT(LTMA,NOW,NOW,M,""PORTAGG"",""MEANR"")")</f>
        <v>20.3806771257827</v>
      </c>
      <c r="M3">
        <f>HLOOKUP(D3,'Index ROE'!$A$1:$N$25,25,FALSE)</f>
        <v>6.5791075391831502</v>
      </c>
      <c r="N3">
        <f>VLOOKUP(A3,'LIQIDITY 2'!$A$3:$E$16,5,FALSE)</f>
        <v>4.3868999999999998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-1.6241479911619998</v>
      </c>
      <c r="R3" s="52">
        <f t="shared" ref="R3:R11" si="1">J3-N3</f>
        <v>-4.5536708092941307</v>
      </c>
      <c r="S3">
        <f t="shared" ref="S3:S11" si="2">M3-N3</f>
        <v>2.1922075391831504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45471</v>
      </c>
      <c r="G4" s="4" cm="1">
        <f t="array" ref="G4">_xll.FDS(D4,"FMA_PE(LTM,0,,,""PORTAGG"",""MEANR"")")</f>
        <v>18.853044359039298</v>
      </c>
      <c r="H4" s="4" cm="1">
        <f t="array" ref="H4">_xll.FDS(D4,"FMA_PE(NTMA,0,,,""PORTAGG"",""MEANR"")")</f>
        <v>16.9975756053481</v>
      </c>
      <c r="I4" cm="1">
        <f t="array" ref="I4">_xll.FDS(D4,"FMA_DIV_YLD(NTMA,NOW,NOW,M,""PORTAGG"",""MEANR"")")</f>
        <v>3.9305159471094799</v>
      </c>
      <c r="J4" s="52" cm="1">
        <f t="array" ref="J4">IFERROR(_xll.FDS(D4,"FG_FCF_YIELD_NTM(0)"),(1/G4*100))</f>
        <v>5.0909621114426704</v>
      </c>
      <c r="K4" s="3" cm="1">
        <f t="array" ref="K4">_xll.FDS(D4,"FMA_EVAL_EBITDA(NTMA,0,,,""PORTAGG"",""MEANR"")")</f>
        <v>8.6042317369487193</v>
      </c>
      <c r="L4" cm="1">
        <f t="array" ref="L4">_xll.FDS(D4,"FMA_EVAL_EBIT(LTMA,NOW,NOW,M,""PORTAGG"",""MEANR"")")</f>
        <v>12.396071543245499</v>
      </c>
      <c r="M4">
        <f>HLOOKUP(D4,'Index ROE'!$A$1:$N$25,25,FALSE)</f>
        <v>13.226137995013501</v>
      </c>
      <c r="N4">
        <f>VLOOKUP(A4,'LIQIDITY 2'!$A$3:$E$16,5,FALSE)</f>
        <v>4.3079999999999998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-0.37748405289051989</v>
      </c>
      <c r="R4" s="52">
        <f t="shared" si="1"/>
        <v>0.78296211144267058</v>
      </c>
      <c r="S4">
        <f t="shared" si="2"/>
        <v>8.9181379950135007</v>
      </c>
      <c r="T4">
        <f t="shared" si="3"/>
        <v>9.6062279950135014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30.73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45471</v>
      </c>
      <c r="G5" s="4" cm="1">
        <f t="array" ref="G5">_xll.FDS(D5,"FMA_PE(LTM,0,,,""PORTAGG"",""MEANR"")")</f>
        <v>17.4972181167334</v>
      </c>
      <c r="H5" s="4" cm="1">
        <f t="array" ref="H5">_xll.FDS(D5,"FMA_PE(NTMA,0,,,""PORTAGG"",""MEANR"")")</f>
        <v>14.292072645105399</v>
      </c>
      <c r="I5" cm="1">
        <f t="array" ref="I5">_xll.FDS(D5,"FMA_DIV_YLD(NTMA,NOW,NOW,M,""PORTAGG"",""MEANR"")")</f>
        <v>3.3495075901817901</v>
      </c>
      <c r="J5" s="52" cm="1">
        <f t="array" ref="J5">IFERROR(_xll.FDS(D5,"FG_FCF_YIELD_NTM(0)"),(1/G5*100))</f>
        <v>5.9789899903045098</v>
      </c>
      <c r="K5" s="3" cm="1">
        <f t="array" ref="K5">_xll.FDS(D5,"FMA_EVAL_EBITDA(NTMA,0,,,""PORTAGG"",""MEANR"")")</f>
        <v>9.7585694219480992</v>
      </c>
      <c r="L5" cm="1">
        <f t="array" ref="L5">_xll.FDS(D5,"FMA_EVAL_EBIT(LTMA,NOW,NOW,M,""PORTAGG"",""MEANR"")")</f>
        <v>15.909402579109299</v>
      </c>
      <c r="M5">
        <f>HLOOKUP(D5,'Index ROE'!$A$1:$N$25,25,FALSE)</f>
        <v>13.147116166704</v>
      </c>
      <c r="N5">
        <f>VLOOKUP(A5,'LIQIDITY 2'!$A$3:$E$16,5,FALSE)</f>
        <v>3.3237000000000001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2.5807590181790019E-2</v>
      </c>
      <c r="R5" s="52">
        <f t="shared" si="1"/>
        <v>2.6552899903045097</v>
      </c>
      <c r="S5">
        <f t="shared" si="2"/>
        <v>9.8234161667039999</v>
      </c>
      <c r="T5">
        <f t="shared" si="3"/>
        <v>10.300445566704001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52.135000000000005</v>
      </c>
      <c r="AC5" cm="1">
        <f t="array" ref="AC5">_xlfn.PERCENTRANK.EXC(_xlfn._xlws.FILTER(AB$3:AB$15, ISNUMBER(AB$3:AB$15)),AB5)*100</f>
        <v>50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45471</v>
      </c>
      <c r="G6" s="4" cm="1">
        <f t="array" ref="G6">_xll.FDS(D6,"FMA_PE(LTM,0,,,""PORTAGG"",""MEANR"")")</f>
        <v>16.381454757952199</v>
      </c>
      <c r="H6" s="4" cm="1">
        <f t="array" ref="H6">_xll.FDS(D6,"FMA_PE(NTMA,0,,,""PORTAGG"",""MEANR"")")</f>
        <v>11.799551952779799</v>
      </c>
      <c r="I6" cm="1">
        <f t="array" ref="I6">_xll.FDS(D6,"FMA_DIV_YLD(NTMA,NOW,NOW,M,""PORTAGG"",""MEANR"")")</f>
        <v>3.4187957695237601</v>
      </c>
      <c r="J6" s="52" cm="1">
        <f t="array" ref="J6">IFERROR(_xll.FDS(D6,"FG_FCF_YIELD_NTM(0)"),(1/G6*100))</f>
        <v>5.9146176480752102</v>
      </c>
      <c r="K6" s="3" cm="1">
        <f t="array" ref="K6">_xll.FDS(D6,"FMA_EVAL_EBITDA(NTMA,0,,,""PORTAGG"",""MEANR"")")</f>
        <v>8.4330632285714096</v>
      </c>
      <c r="L6" cm="1">
        <f t="array" ref="L6">_xll.FDS(D6,"FMA_EVAL_EBIT(LTMA,NOW,NOW,M,""PORTAGG"",""MEANR"")")</f>
        <v>13.415846531642201</v>
      </c>
      <c r="M6">
        <f>HLOOKUP(D6,'Index ROE'!$A$1:$N$25,25,FALSE)</f>
        <v>11.9489916743573</v>
      </c>
      <c r="N6">
        <f>VLOOKUP(A6,'LIQIDITY 2'!$A$3:$E$16,5,FALSE)</f>
        <v>2.4039999999999999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1.0147957695237602</v>
      </c>
      <c r="R6" s="52">
        <f t="shared" si="1"/>
        <v>3.5106176480752103</v>
      </c>
      <c r="S6">
        <f t="shared" si="2"/>
        <v>9.5449916743573002</v>
      </c>
      <c r="T6">
        <f t="shared" si="3"/>
        <v>9.6626235743573012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64.3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66.06</v>
      </c>
      <c r="AC6" cm="1">
        <f t="array" ref="AC6">_xlfn.PERCENTRANK.EXC(_xlfn._xlws.FILTER(AB$3:AB$15, ISNUMBER(AB$3:AB$15)),AB6)*100</f>
        <v>71.399999999999991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45471</v>
      </c>
      <c r="G7" s="4" cm="1">
        <f t="array" ref="G7">_xll.FDS(D7,"FMA_PE(LTM,0,,,""PORTAGG"",""MEANR"")")</f>
        <v>16.9789631221606</v>
      </c>
      <c r="H7" s="4" cm="1">
        <f t="array" ref="H7">_xll.FDS(D7,"FMA_PE(NTMA,0,,,""PORTAGG"",""MEANR"")")</f>
        <v>15.294486385434301</v>
      </c>
      <c r="I7" cm="1">
        <f t="array" ref="I7">_xll.FDS(D7,"FMA_DIV_YLD(NTMA,NOW,NOW,M,""PORTAGG"",""MEANR"")")</f>
        <v>2.2329789721302502</v>
      </c>
      <c r="J7" s="52" cm="1">
        <f t="array" ref="J7">IFERROR(_xll.FDS(D7,"FG_FCF_YIELD_NTM(0)"),(1/G7*100))</f>
        <v>3.89773188028289</v>
      </c>
      <c r="K7" s="3" cm="1">
        <f t="array" ref="K7">_xll.FDS(D7,"FMA_EVAL_EBITDA(NTMA,0,,,""PORTAGG"",""MEANR"")")</f>
        <v>10.2607326813051</v>
      </c>
      <c r="L7" cm="1">
        <f t="array" ref="L7">_xll.FDS(D7,"FMA_EVAL_EBIT(LTMA,NOW,NOW,M,""PORTAGG"",""MEANR"")")</f>
        <v>17.753944609519301</v>
      </c>
      <c r="M7">
        <f>HLOOKUP(D7,'Index ROE'!$A$1:$N$25,25,FALSE)</f>
        <v>9.2997687113842105</v>
      </c>
      <c r="N7">
        <f>VLOOKUP(A7,'LIQIDITY 2'!$A$3:$E$16,5,FALSE)</f>
        <v>1.0551999999999999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1.1777789721302503</v>
      </c>
      <c r="R7" s="52">
        <f t="shared" si="1"/>
        <v>2.8425318802828903</v>
      </c>
      <c r="S7">
        <f t="shared" si="2"/>
        <v>8.2445687113842112</v>
      </c>
      <c r="T7">
        <f t="shared" si="3"/>
        <v>6.7766125113842106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64.2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51.415000000000006</v>
      </c>
      <c r="AC7" cm="1">
        <f t="array" ref="AC7">_xlfn.PERCENTRANK.EXC(_xlfn._xlws.FILTER(AB$3:AB$15, ISNUMBER(AB$3:AB$15)),AB7)*100</f>
        <v>42.8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45471</v>
      </c>
      <c r="G8" s="4" cm="1">
        <f t="array" ref="G8">_xll.FDS(D8,"FMA_PE(LTM,0,,,""PORTAGG"",""MEANR"")")</f>
        <v>17.4209963003679</v>
      </c>
      <c r="H8" s="4" cm="1">
        <f t="array" ref="H8">_xll.FDS(D8,"FMA_PE(NTMA,0,,,""PORTAGG"",""MEANR"")")</f>
        <v>17.321109014945701</v>
      </c>
      <c r="I8" cm="1">
        <f t="array" ref="I8">_xll.FDS(D8,"FMA_DIV_YLD(NTMA,NOW,NOW,M,""PORTAGG"",""MEANR"")")</f>
        <v>3.2383399045295498</v>
      </c>
      <c r="J8" s="52" cm="1">
        <f t="array" ref="J8">IFERROR(_xll.FDS(D8,"FG_FCF_YIELD_NTM(0)"),(1/G8*100))</f>
        <v>4.70947430055877</v>
      </c>
      <c r="K8" s="3" cm="1">
        <f t="array" ref="K8">_xll.FDS(D8,"FMA_EVAL_EBITDA(NTMA,0,,,""PORTAGG"",""MEANR"")")</f>
        <v>13.013638062161901</v>
      </c>
      <c r="L8" cm="1">
        <f t="array" ref="L8">_xll.FDS(D8,"FMA_EVAL_EBIT(LTMA,NOW,NOW,M,""PORTAGG"",""MEANR"")")</f>
        <v>16.5065801269382</v>
      </c>
      <c r="M8">
        <f>HLOOKUP(D8,'Index ROE'!$A$1:$N$25,25,FALSE)</f>
        <v>19.302463641340701</v>
      </c>
      <c r="N8">
        <f>VLOOKUP(A8,'LIQIDITY 2'!$A$3:$E$16,5,FALSE)</f>
        <v>0.50600000000000001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2.7323399045295496</v>
      </c>
      <c r="R8" s="52">
        <f t="shared" si="1"/>
        <v>4.2034743005587698</v>
      </c>
      <c r="S8">
        <f t="shared" si="2"/>
        <v>18.796463641340701</v>
      </c>
      <c r="T8">
        <f t="shared" si="3"/>
        <v>17.9404810413407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50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64.63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45471</v>
      </c>
      <c r="G9" s="4" cm="1">
        <f t="array" ref="G9">_xll.FDS(D9,"FMA_PE(LTM,0,,,""PORTAGG"",""MEANR"")")</f>
        <v>12.895160685430399</v>
      </c>
      <c r="H9" s="4" cm="1">
        <f t="array" ref="H9">_xll.FDS(D9,"FMA_PE(NTMA,0,,,""PORTAGG"",""MEANR"")")</f>
        <v>11.4870550217515</v>
      </c>
      <c r="I9" cm="1">
        <f t="array" ref="I9">_xll.FDS(D9,"FMA_DIV_YLD(NTMA,NOW,NOW,M,""PORTAGG"",""MEANR"")")</f>
        <v>3.9799910670143301</v>
      </c>
      <c r="J9" s="52" cm="1">
        <f t="array" ref="J9">IFERROR(_xll.FDS(D9,"FG_FCF_YIELD_NTM(0)"),(1/G9*100))</f>
        <v>6.2297998688421101</v>
      </c>
      <c r="K9" s="3" cm="1">
        <f t="array" ref="K9">_xll.FDS(D9,"FMA_EVAL_EBITDA(NTMA,0,,,""PORTAGG"",""MEANR"")")</f>
        <v>7.4329826246275399</v>
      </c>
      <c r="L9" cm="1">
        <f t="array" ref="L9">_xll.FDS(D9,"FMA_EVAL_EBIT(LTMA,NOW,NOW,M,""PORTAGG"",""MEANR"")")</f>
        <v>10.499703617589899</v>
      </c>
      <c r="M9">
        <f>HLOOKUP(D9,'Index ROE'!$A$1:$N$25,25,FALSE)</f>
        <v>14.7202112757034</v>
      </c>
      <c r="N9">
        <f>VLOOKUP(A9,'LIQIDITY 2'!$A$3:$E$16,5,FALSE)</f>
        <v>4.0789999999999997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-9.9008932985669595E-2</v>
      </c>
      <c r="R9" s="52">
        <f t="shared" si="1"/>
        <v>2.1507998688421104</v>
      </c>
      <c r="S9">
        <f t="shared" si="2"/>
        <v>10.641211275703402</v>
      </c>
      <c r="T9">
        <f t="shared" si="3"/>
        <v>10.800711875703401</v>
      </c>
      <c r="U9" cm="1">
        <f t="array" ref="U9">_xlfn.PERCENTRANK.EXC(_xlfn._xlws.FILTER(Q$3:Q$15, ISNUMBER(Q$3:Q$15)),Q9)*100</f>
        <v>42.8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50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68.960000000000008</v>
      </c>
      <c r="AC9" cm="1">
        <f t="array" ref="AC9">_xlfn.PERCENTRANK.EXC(_xlfn._xlws.FILTER(AB$3:AB$15, ISNUMBER(AB$3:AB$15)),AB9)*100</f>
        <v>78.5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45471</v>
      </c>
      <c r="G10" s="4" cm="1">
        <f t="array" ref="G10">_xll.FDS(D10,"FMA_PE(LTM,0,,,""PORTAGG"",""MEANR"")")</f>
        <v>34.2242374271217</v>
      </c>
      <c r="H10" s="4" cm="1">
        <f t="array" ref="H10">_xll.FDS(D10,"FMA_PE(NTMA,0,,,""PORTAGG"",""MEANR"")")</f>
        <v>25.7231507266766</v>
      </c>
      <c r="I10" cm="1">
        <f t="array" ref="I10">_xll.FDS(D10,"FMA_DIV_YLD(NTMA,NOW,NOW,M,""PORTAGG"",""MEANR"")")</f>
        <v>0.84331713901734795</v>
      </c>
      <c r="J10" s="52" cm="1">
        <f t="array" ref="J10">IFERROR(_xll.FDS(D10,"FG_FCF_YIELD_NTM(0)"),(1/G10*100))</f>
        <v>3.6356353392448302</v>
      </c>
      <c r="K10" s="3" cm="1">
        <f t="array" ref="K10">_xll.FDS(D10,"FMA_EVAL_EBITDA(NTMA,0,,,""PORTAGG"",""MEANR"")")</f>
        <v>16.222636216565999</v>
      </c>
      <c r="L10" cm="1">
        <f t="array" ref="L10">_xll.FDS(D10,"FMA_EVAL_EBIT(LTMA,NOW,NOW,M,""PORTAGG"",""MEANR"")")</f>
        <v>24.793169316745601</v>
      </c>
      <c r="M10">
        <f>HLOOKUP(D10,'Index ROE'!$A$1:$N$25,25,FALSE)</f>
        <v>25.319915472376</v>
      </c>
      <c r="N10">
        <f>VLOOKUP(A10,'LIQIDITY 2'!$A$3:$E$16,5,FALSE)</f>
        <v>4.1952999999999996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-3.3519828609826519</v>
      </c>
      <c r="R10" s="52">
        <f t="shared" si="1"/>
        <v>-0.55966466075516941</v>
      </c>
      <c r="S10">
        <f t="shared" si="2"/>
        <v>21.124615472376</v>
      </c>
      <c r="T10">
        <f t="shared" si="3"/>
        <v>22.121025472376001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45471</v>
      </c>
      <c r="G11" s="4" cm="1">
        <f t="array" ref="G11">_xll.FDS(D11,"FMA_PE(LTM,0,,,""PORTAGG"",""MEANR"")")</f>
        <v>25.651494666904199</v>
      </c>
      <c r="H11" s="4" cm="1">
        <f t="array" ref="H11">_xll.FDS(D11,"FMA_PE(NTMA,0,,,""PORTAGG"",""MEANR"")")</f>
        <v>20.5995979863517</v>
      </c>
      <c r="I11" cm="1">
        <f t="array" ref="I11">_xll.FDS(D11,"FMA_DIV_YLD(NTMA,NOW,NOW,M,""PORTAGG"",""MEANR"")")</f>
        <v>1.4075787734410199</v>
      </c>
      <c r="J11" s="52" cm="1">
        <f t="array" ref="J11">IFERROR(_xll.FDS(D11,"FG_FCF_YIELD_NTM(0)"),(1/G11*100))</f>
        <v>4.2150920832818297</v>
      </c>
      <c r="K11" s="3" cm="1">
        <f t="array" ref="K11">_xll.FDS(D11,"FMA_EVAL_EBITDA(NTMA,0,,,""PORTAGG"",""MEANR"")")</f>
        <v>14.155026828281001</v>
      </c>
      <c r="L11" cm="1">
        <f t="array" ref="L11">_xll.FDS(D11,"FMA_EVAL_EBIT(LTMA,NOW,NOW,M,""PORTAGG"",""MEANR"")")</f>
        <v>20.724498978783899</v>
      </c>
      <c r="M11">
        <f>HLOOKUP(D11,'Index ROE'!$A$1:$N$25,25,FALSE)</f>
        <v>20.3505037528152</v>
      </c>
      <c r="N11">
        <f>VLOOKUP(A11,'LIQIDITY 2'!$A$3:$E$16,5,FALSE)</f>
        <v>4.1952999999999996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-2.7877212265589799</v>
      </c>
      <c r="R11" s="52">
        <f t="shared" si="1"/>
        <v>1.9792083281830131E-2</v>
      </c>
      <c r="S11">
        <f t="shared" si="2"/>
        <v>16.155203752815201</v>
      </c>
      <c r="T11">
        <f t="shared" si="3"/>
        <v>17.151613752815202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45471</v>
      </c>
      <c r="G12" s="4" cm="1">
        <f t="array" ref="G12">_xll.FDS(D12,"FMA_PE(LTM,0,,,""PORTAGG"",""MEANR"")")</f>
        <v>15.656742034489801</v>
      </c>
      <c r="H12" s="4" cm="1">
        <f t="array" ref="H12">_xll.FDS(D12,"FMA_PE(NTMA,0,,,""PORTAGG"",""MEANR"")")</f>
        <v>13.463498720968399</v>
      </c>
      <c r="I12" cm="1">
        <f t="array" ref="I12">_xll.FDS(D12,"FMA_DIV_YLD(NTMA,NOW,NOW,M,""PORTAGG"",""MEANR"")")</f>
        <v>3.3940585043489202</v>
      </c>
      <c r="J12" s="52" cm="1">
        <f t="array" ref="J12">IFERROR(_xll.FDS(D12,"FG_FCF_YIELD_NTM(0)"),(1/G12*100))</f>
        <v>6.1173347394192703</v>
      </c>
      <c r="K12" s="3" cm="1">
        <f t="array" ref="K12">_xll.FDS(D12,"FMA_EVAL_EBITDA(NTMA,0,,,""PORTAGG"",""MEANR"")")</f>
        <v>8.8795877322200703</v>
      </c>
      <c r="L12" cm="1">
        <f t="array" ref="L12">_xll.FDS(D12,"FMA_EVAL_EBIT(LTMA,NOW,NOW,M,""PORTAGG"",""MEANR"")")</f>
        <v>13.018368982019</v>
      </c>
      <c r="M12">
        <f>HLOOKUP(D12,'Index ROE'!$A$1:$N$25,25,FALSE)</f>
        <v>13.221250861669199</v>
      </c>
      <c r="N12">
        <f>VLOOKUP(A12,'LIQIDITY 2'!$A$3:$E$16,5,FALSE)</f>
        <v>3.1150000000000002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0.27905850434891999</v>
      </c>
      <c r="R12" s="52">
        <f t="shared" ref="R12:R15" si="5">J12-N12</f>
        <v>3.0023347394192701</v>
      </c>
      <c r="S12">
        <f t="shared" ref="S12:S15" si="6">M12-N12</f>
        <v>10.106250861669199</v>
      </c>
      <c r="T12">
        <f t="shared" ref="T12:T15" si="7">M12-O12</f>
        <v>11.011882661669199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78.5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71.500000000000014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57.099999999999994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69.650000000000006</v>
      </c>
      <c r="AC12" cm="1">
        <f t="array" ref="AC12">_xlfn.PERCENTRANK.EXC(_xlfn._xlws.FILTER(AB$3:AB$15, ISNUMBER(AB$3:AB$15)),AB12)*100</f>
        <v>85.7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45471</v>
      </c>
      <c r="G13" s="4" cm="1">
        <f t="array" ref="G13">_xll.FDS(D13,"FMA_PE(LTM,0,,,""PORTAGG"",""MEANR"")")</f>
        <v>21.375590723423599</v>
      </c>
      <c r="H13" s="4" cm="1">
        <f t="array" ref="H13">_xll.FDS(D13,"FMA_PE(NTMA,0,,,""PORTAGG"",""MEANR"")")</f>
        <v>15.621808519952699</v>
      </c>
      <c r="I13" cm="1">
        <f t="array" ref="I13">_xll.FDS(D13,"FMA_DIV_YLD(NTMA,NOW,NOW,M,""PORTAGG"",""MEANR"")")</f>
        <v>2.5152902527302601</v>
      </c>
      <c r="J13" s="52" cm="1">
        <f t="array" ref="J13">IFERROR(_xll.FDS(D13,"FG_FCF_YIELD_NTM(0)"),(1/G13*100))</f>
        <v>3.9882526771439299</v>
      </c>
      <c r="K13" s="3" cm="1">
        <f t="array" ref="K13">_xll.FDS(D13,"FMA_EVAL_EBITDA(NTMA,0,,,""PORTAGG"",""MEANR"")")</f>
        <v>12.1481377859138</v>
      </c>
      <c r="L13" cm="1">
        <f t="array" ref="L13">_xll.FDS(D13,"FMA_EVAL_EBIT(LTMA,NOW,NOW,M,""PORTAGG"",""MEANR"")")</f>
        <v>21.974130182423501</v>
      </c>
      <c r="M13">
        <f>HLOOKUP(D13,'Index ROE'!$A$1:$N$25,25,FALSE)</f>
        <v>12.745985665341101</v>
      </c>
      <c r="N13">
        <f>VLOOKUP(A13,'LIQIDITY 2'!$A$3:$E$16,5,FALSE)</f>
        <v>2.6789999999999998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-0.16370974726973975</v>
      </c>
      <c r="R13" s="52">
        <f t="shared" si="5"/>
        <v>1.3092526771439301</v>
      </c>
      <c r="S13">
        <f t="shared" si="6"/>
        <v>10.0669856653411</v>
      </c>
      <c r="T13">
        <f t="shared" si="7"/>
        <v>9.8578686653411012</v>
      </c>
      <c r="U13" cm="1">
        <f t="array" ref="U13">_xlfn.PERCENTRANK.EXC(_xlfn._xlws.FILTER(Q$3:Q$15, ISNUMBER(Q$3:Q$15)),Q13)*100</f>
        <v>35.699999999999996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38.93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45471</v>
      </c>
      <c r="G14" s="4" cm="1">
        <f t="array" ref="G14">_xll.FDS(D14,"FMA_PE(LTM,0,,,""PORTAGG"",""MEANR"")")</f>
        <v>14.2244421196808</v>
      </c>
      <c r="H14" s="4" cm="1">
        <f t="array" ref="H14">_xll.FDS(D14,"FMA_PE(NTMA,0,,,""PORTAGG"",""MEANR"")")</f>
        <v>16.101830273534901</v>
      </c>
      <c r="I14" cm="1">
        <f t="array" ref="I14">_xll.FDS(D14,"FMA_DIV_YLD(NTMA,NOW,NOW,M,""PORTAGG"",""MEANR"")")</f>
        <v>3.2309400057573598</v>
      </c>
      <c r="J14" s="52" cm="1">
        <f t="array" ref="J14">IFERROR(_xll.FDS(D14,"FG_FCF_YIELD_NTM(0)"),(1/G14*100))</f>
        <v>5.0891476361582102</v>
      </c>
      <c r="K14" s="3" cm="1">
        <f t="array" ref="K14">_xll.FDS(D14,"FMA_EVAL_EBITDA(NTMA,0,,,""PORTAGG"",""MEANR"")")</f>
        <v>10.832550314262599</v>
      </c>
      <c r="L14" cm="1">
        <f t="array" ref="L14">_xll.FDS(D14,"FMA_EVAL_EBIT(LTMA,NOW,NOW,M,""PORTAGG"",""MEANR"")")</f>
        <v>15.8549362562598</v>
      </c>
      <c r="M14">
        <f>HLOOKUP(D14,'Index ROE'!$A$1:$N$25,25,FALSE)</f>
        <v>15.368050598586001</v>
      </c>
      <c r="N14">
        <f>VLOOKUP(A14,'LIQIDITY 2'!$A$3:$E$16,5,FALSE)</f>
        <v>2.0939999999999999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1.13694000575736</v>
      </c>
      <c r="R14" s="52">
        <f t="shared" si="5"/>
        <v>2.9951476361582103</v>
      </c>
      <c r="S14">
        <f t="shared" si="6"/>
        <v>13.274050598586001</v>
      </c>
      <c r="T14">
        <f t="shared" si="7"/>
        <v>11.975900598586001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65.355000000000004</v>
      </c>
      <c r="AC14" cm="1">
        <f t="array" ref="AC14">_xlfn.PERCENTRANK.EXC(_xlfn._xlws.FILTER(AB$3:AB$15, ISNUMBER(AB$3:AB$15)),AB14)*100</f>
        <v>64.2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45471</v>
      </c>
      <c r="G15" s="4" cm="1">
        <f t="array" ref="G15">_xll.FDS(D15,"FMA_PE(LTM,0,,,""PORTAGG"",""MEANR"")")</f>
        <v>10.070922399597301</v>
      </c>
      <c r="H15" s="4" cm="1">
        <f t="array" ref="H15">_xll.FDS(D15,"FMA_PE(NTMA,0,,,""PORTAGG"",""MEANR"")")</f>
        <v>9.6169224794004595</v>
      </c>
      <c r="I15" cm="1">
        <f t="array" ref="I15">_xll.FDS(D15,"FMA_DIV_YLD(NTMA,NOW,NOW,M,""PORTAGG"",""MEANR"")")</f>
        <v>5.4963788307990296</v>
      </c>
      <c r="J15" s="52" cm="1">
        <f t="array" ref="J15">IFERROR(_xll.FDS(D15,"FG_FCF_YIELD_NTM(0)"),(1/G15*100))</f>
        <v>5.8093916798623999</v>
      </c>
      <c r="K15" s="3" cm="1">
        <f t="array" ref="K15">_xll.FDS(D15,"FMA_EVAL_EBITDA(NTMA,0,,,""PORTAGG"",""MEANR"")")</f>
        <v>6.7667288035792899</v>
      </c>
      <c r="L15" cm="1">
        <f t="array" ref="L15">_xll.FDS(D15,"FMA_EVAL_EBIT(LTMA,NOW,NOW,M,""PORTAGG"",""MEANR"")")</f>
        <v>10.831804394535199</v>
      </c>
      <c r="M15">
        <f>HLOOKUP(D15,'Index ROE'!$A$1:$N$25,25,FALSE)</f>
        <v>13.3572149047324</v>
      </c>
      <c r="N15">
        <f>VLOOKUP(A15,'LIQIDITY 2'!$A$3:$E$16,5,FALSE)</f>
        <v>3.754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1.7423788307990296</v>
      </c>
      <c r="R15" s="52">
        <f t="shared" si="5"/>
        <v>2.0553916798623999</v>
      </c>
      <c r="S15">
        <f t="shared" si="6"/>
        <v>9.6032149047324005</v>
      </c>
      <c r="T15">
        <f t="shared" si="7"/>
        <v>12.4333558447324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42.8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72.144999999999996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45471</v>
      </c>
      <c r="G19" s="4" cm="1">
        <f t="array" ref="G19">_xll.FDS(D19,"FG_PE(0)")</f>
        <v>14.2074480614989</v>
      </c>
      <c r="H19" s="4" cm="1">
        <f t="array" ref="H19">_xll.FDS(D19,"FG_PE_NTM(0,,,90,0)")</f>
        <v>13.1795996366324</v>
      </c>
      <c r="I19" cm="1">
        <f t="array" ref="I19">_xll.FDS(D19,"FMA_DIV_YLD(NTMA,NOW,NOW,M,""PORTAGG"",""MEANR"")")</f>
        <v>3.5219329283630101</v>
      </c>
      <c r="J19" s="52" cm="1">
        <f t="array" ref="J19">_xll.FDS(D19,"FG_FCF_YIELD_NTM(0)")</f>
        <v>5.3124852577333304</v>
      </c>
      <c r="K19" s="3" cm="1">
        <f t="array" ref="K19">_xll.FDS(D19,"FMA_EVAL_EBITDA(NTMA,0,,,""PORTAGG"",""MEANR"")")</f>
        <v>8.8070476430050402</v>
      </c>
      <c r="L19" cm="1">
        <f t="array" ref="L19">_xll.FDS(D19,"FMA_EVAL_EBIT(LTMA,NOW,NOW,M,""PORTAGG"",""MEANR"")")</f>
        <v>13.2235185791242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45471</v>
      </c>
      <c r="G20" s="4" cm="1">
        <f t="array" ref="G20">_xll.FDS(D20,"FG_PE(0)")</f>
        <v>15.043627469486401</v>
      </c>
      <c r="H20" s="4" cm="1">
        <f t="array" ref="H20">_xll.FDS(D20,"FG_PE_NTM(0,,,90,0)")</f>
        <v>2.4051451307245002</v>
      </c>
      <c r="I20" cm="1">
        <f t="array" ref="I20">_xll.FDS(D20,"FMA_DIV_YLD(NTMA,NOW,NOW,M,""PORTAGG"",""MEANR"")")</f>
        <v>4.1555467803148201</v>
      </c>
      <c r="J20" s="52" cm="1">
        <f t="array" ref="J20">_xll.FDS(D20,"FG_FCF_YIELD_NTM(0)")</f>
        <v>5.3579970269033597</v>
      </c>
      <c r="K20" s="3" cm="1">
        <f t="array" ref="K20">_xll.FDS(D20,"FMA_EVAL_EBITDA(NTMA,0,,,""PORTAGG"",""MEANR"")")</f>
        <v>9.0724813545737</v>
      </c>
      <c r="L20" cm="1">
        <f t="array" ref="L20">_xll.FDS(D20,"FMA_EVAL_EBIT(LTMA,NOW,NOW,M,""PORTAGG"",""MEANR"")")</f>
        <v>14.411436798259199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4.3868999999999998</v>
      </c>
      <c r="G3" s="26" cm="1">
        <f t="array" ref="G3">_xll.FDSB(C3,"PCTCHG(FG_YIELD(0,,,,""YTM""),FG_YIELD(-1AM,,,,""YTM""))")</f>
        <v>-4.6968316999999997</v>
      </c>
      <c r="H3" s="26" cm="1">
        <f t="array" ref="H3">_xll.FDSB(C3,"PCTCHG(FG_YIELD(0,,,,""YTM""),FG_YIELD(-3AM,,,,""YTM""))")</f>
        <v>-12.197031000000001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1.1131000000000002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0.5</v>
      </c>
      <c r="X3">
        <f>_xlfn.PERCENTRANK.EXC($V$3:$V$15,V3)*100</f>
        <v>14.2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4.3079999999999998</v>
      </c>
      <c r="G4" s="26" cm="1">
        <f t="array" ref="G4">_xll.FDSB(C4,"PCTCHG(FG_YIELD(0,,,,""YTM""),FG_YIELD(-1AM,,,,""YTM""))")</f>
        <v>-2.3205558000000001E-2</v>
      </c>
      <c r="H4" s="26" cm="1">
        <f t="array" ref="H4">_xll.FDSB(C4,"PCTCHG(FG_YIELD(0,,,,""YTM""),FG_YIELD(-3AM,,,,""YTM""))")</f>
        <v>-4.7534749999999999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4.1999999999999815E-2</v>
      </c>
      <c r="S4">
        <f t="shared" si="1"/>
        <v>0</v>
      </c>
      <c r="T4">
        <f t="shared" si="2"/>
        <v>1</v>
      </c>
      <c r="U4">
        <f t="shared" si="3"/>
        <v>1</v>
      </c>
      <c r="V4" s="47">
        <f t="shared" si="4"/>
        <v>0.5</v>
      </c>
      <c r="X4">
        <f t="shared" ref="X4:X15" si="6">_xlfn.PERCENTRANK.EXC($V$3:$V$15,V4)*100</f>
        <v>14.2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3.3237000000000001</v>
      </c>
      <c r="G5" s="26" cm="1">
        <f t="array" ref="G5">_xll.FDSB(C5,"PCTCHG(FG_YIELD(0,,,,""YTM""),FG_YIELD(-1AM,,,,""YTM""))")</f>
        <v>-4.3594609999999996</v>
      </c>
      <c r="H5" s="26" cm="1">
        <f t="array" ref="H5">_xll.FDSB(C5,"PCTCHG(FG_YIELD(0,,,,""YTM""),FG_YIELD(-3AM,,,,""YTM""))")</f>
        <v>-13.133137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1.1762999999999999</v>
      </c>
      <c r="S5">
        <f t="shared" si="1"/>
        <v>1</v>
      </c>
      <c r="T5">
        <f t="shared" si="2"/>
        <v>1</v>
      </c>
      <c r="U5">
        <f t="shared" si="3"/>
        <v>1</v>
      </c>
      <c r="V5" s="47">
        <f t="shared" si="4"/>
        <v>1</v>
      </c>
      <c r="X5">
        <f t="shared" si="6"/>
        <v>57.099999999999994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2.4039999999999999</v>
      </c>
      <c r="G6" s="26" cm="1">
        <f t="array" ref="G6">_xll.FDSB(C6,"PCTCHG(FG_YIELD(0,,,,""YTM""),FG_YIELD(-1AM,,,,""YTM""))")</f>
        <v>-1.6768871999999999</v>
      </c>
      <c r="H6" s="26" cm="1">
        <f t="array" ref="H6">_xll.FDSB(C6,"PCTCHG(FG_YIELD(0,,,,""YTM""),FG_YIELD(-3AM,,,,""YTM""))")</f>
        <v>-5.8731346000000002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1.8460000000000001</v>
      </c>
      <c r="S6">
        <f t="shared" si="1"/>
        <v>1</v>
      </c>
      <c r="T6">
        <f t="shared" si="2"/>
        <v>1</v>
      </c>
      <c r="U6">
        <f t="shared" si="3"/>
        <v>1</v>
      </c>
      <c r="V6" s="47">
        <f t="shared" si="4"/>
        <v>1</v>
      </c>
      <c r="X6">
        <f t="shared" si="6"/>
        <v>57.099999999999994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1.0551999999999999</v>
      </c>
      <c r="G7" s="26" cm="1">
        <f t="array" ref="G7">_xll.FDSB(C7,"PCTCHG(FG_YIELD(0,,,,""YTM""),FG_YIELD(-1AM,,,,""YTM""))")</f>
        <v>4.1967040000000004</v>
      </c>
      <c r="H7" s="26" cm="1">
        <f t="array" ref="H7">_xll.FDSB(C7,"PCTCHG(FG_YIELD(0,,,,""YTM""),FG_YIELD(-3AM,,,,""YTM""))")</f>
        <v>16.109152000000002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20</v>
      </c>
      <c r="N7" s="38">
        <f t="shared" si="0"/>
        <v>-20</v>
      </c>
      <c r="O7" s="26">
        <f t="shared" si="5"/>
        <v>-0.95519999999999994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0.50600000000000001</v>
      </c>
      <c r="G8" s="26" cm="1">
        <f t="array" ref="G8">_xll.FDSB(C8,"PCTCHG(FG_YIELD(0,,,,""YTM""),FG_YIELD(-1AM,,,,""YTM""))")</f>
        <v>-15.384617</v>
      </c>
      <c r="H8" s="26" cm="1">
        <f t="array" ref="H8">_xll.FDSB(C8,"PCTCHG(FG_YIELD(0,,,,""YTM""),FG_YIELD(-3AM,,,,""YTM""))")</f>
        <v>-31.621625999999999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0.74399999999999999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57.099999999999994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4.0789999999999997</v>
      </c>
      <c r="G9" s="26" cm="1">
        <f t="array" ref="G9">_xll.FDSB(C9,"PCTCHG(FG_YIELD(0,,,,""YTM""),FG_YIELD(-1AM,,,,""YTM""))")</f>
        <v>-1.42581</v>
      </c>
      <c r="H9" s="26" cm="1">
        <f t="array" ref="H9">_xll.FDSB(C9,"PCTCHG(FG_YIELD(0,,,,""YTM""),FG_YIELD(-3AM,,,,""YTM""))")</f>
        <v>-4.9627169999999996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1.1710000000000003</v>
      </c>
      <c r="S9">
        <f t="shared" si="1"/>
        <v>0</v>
      </c>
      <c r="T9">
        <f t="shared" si="2"/>
        <v>1</v>
      </c>
      <c r="U9">
        <f t="shared" si="3"/>
        <v>1</v>
      </c>
      <c r="V9" s="47">
        <f t="shared" si="4"/>
        <v>0.5</v>
      </c>
      <c r="X9">
        <f t="shared" si="6"/>
        <v>14.2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4.1952999999999996</v>
      </c>
      <c r="G10" s="26" cm="1">
        <f t="array" ref="G10">_xll.FDSB(C10,"PCTCHG(FG_YIELD(0,,,,""YTM""),FG_YIELD(-1AM,,,,""YTM""))")</f>
        <v>-2.8123307</v>
      </c>
      <c r="H10" s="26" cm="1">
        <f t="array" ref="H10">_xll.FDSB(C10,"PCTCHG(FG_YIELD(0,,,,""YTM""),FG_YIELD(-3AM,,,,""YTM""))")</f>
        <v>-10.118691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1.3047000000000004</v>
      </c>
      <c r="S10">
        <f t="shared" si="1"/>
        <v>0</v>
      </c>
      <c r="T10">
        <f t="shared" si="2"/>
        <v>1</v>
      </c>
      <c r="U10">
        <f t="shared" si="3"/>
        <v>1</v>
      </c>
      <c r="V10" s="47">
        <f t="shared" si="4"/>
        <v>0.5</v>
      </c>
      <c r="X10">
        <f t="shared" si="6"/>
        <v>14.2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4.1952999999999996</v>
      </c>
      <c r="G11" s="26" cm="1">
        <f t="array" ref="G11">_xll.FDSB(C11,"PCTCHG(FG_YIELD(0,,,,""YTM""),FG_YIELD(-1AM,,,,""YTM""))")</f>
        <v>-2.8123307</v>
      </c>
      <c r="H11" s="26" cm="1">
        <f t="array" ref="H11">_xll.FDSB(C11,"PCTCHG(FG_YIELD(0,,,,""YTM""),FG_YIELD(-3AM,,,,""YTM""))")</f>
        <v>-10.118691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1.3047000000000004</v>
      </c>
      <c r="S11">
        <f t="shared" si="1"/>
        <v>0</v>
      </c>
      <c r="T11">
        <f t="shared" si="2"/>
        <v>1</v>
      </c>
      <c r="U11">
        <f t="shared" si="3"/>
        <v>1</v>
      </c>
      <c r="V11" s="47">
        <f t="shared" si="4"/>
        <v>0.5</v>
      </c>
      <c r="X11">
        <f t="shared" si="6"/>
        <v>14.2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3.1150000000000002</v>
      </c>
      <c r="G12" s="26" cm="1">
        <f t="array" ref="G12">_xll.FDSB(C12,"PCTCHG(FG_YIELD(0,,,,""YTM""),FG_YIELD(-1AM,,,,""YTM""))")</f>
        <v>-1.672979</v>
      </c>
      <c r="H12" s="26" cm="1">
        <f t="array" ref="H12">_xll.FDSB(C12,"PCTCHG(FG_YIELD(0,,,,""YTM""),FG_YIELD(-3AM,,,,""YTM""))")</f>
        <v>2.3997354999999998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1.1349999999999998</v>
      </c>
      <c r="S12">
        <f t="shared" si="1"/>
        <v>1</v>
      </c>
      <c r="T12">
        <f t="shared" si="2"/>
        <v>1</v>
      </c>
      <c r="U12">
        <f t="shared" si="3"/>
        <v>0</v>
      </c>
      <c r="V12" s="47">
        <f t="shared" si="4"/>
        <v>0.75</v>
      </c>
      <c r="X12">
        <f t="shared" si="6"/>
        <v>50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2.6789999999999998</v>
      </c>
      <c r="G13" s="26" cm="1">
        <f t="array" ref="G13">_xll.FDSB(C13,"PCTCHG(FG_YIELD(0,,,,""YTM""),FG_YIELD(-1AM,,,,""YTM""))")</f>
        <v>-3.9784967999999998</v>
      </c>
      <c r="H13" s="26" cm="1">
        <f t="array" ref="H13">_xll.FDSB(C13,"PCTCHG(FG_YIELD(0,,,,""YTM""),FG_YIELD(-3AM,,,,""YTM""))")</f>
        <v>-5.9009485000000002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1.5710000000000002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57.099999999999994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2.0939999999999999</v>
      </c>
      <c r="G14" s="26" cm="1">
        <f t="array" ref="G14">_xll.FDSB(C14,"PCTCHG(FG_YIELD(0,,,,""YTM""),FG_YIELD(-1AM,,,,""YTM""))")</f>
        <v>-5.8876314000000001</v>
      </c>
      <c r="H14" s="26" cm="1">
        <f t="array" ref="H14">_xll.FDSB(C14,"PCTCHG(FG_YIELD(0,,,,""YTM""),FG_YIELD(-3AM,,,,""YTM""))")</f>
        <v>-17.298576000000001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1.6560000000000001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57.099999999999994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3.754</v>
      </c>
      <c r="G15" s="26" cm="1">
        <f t="array" ref="G15">_xll.FDSB(C15,"PCTCHG(FG_YIELD(0,,,,""YTM""),FG_YIELD(-1AM,,,,""YTM""))")</f>
        <v>-5.8912040000000001</v>
      </c>
      <c r="H15" s="26" cm="1">
        <f t="array" ref="H15">_xll.FDSB(C15,"PCTCHG(FG_YIELD(0,,,,""YTM""),FG_YIELD(-3AM,,,,""YTM""))")</f>
        <v>-2.8970509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0.496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57.099999999999994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4.1952999999999996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4.3868999999999998</v>
      </c>
      <c r="H2" cm="1">
        <f t="array" ref="H2">_xll.FDS(B2,"FG_ROE(0)")</f>
        <v>4.86481072173118</v>
      </c>
      <c r="I2">
        <f>HLOOKUP(B2,'Index ROE'!$B$1:$N$25,24,FALSE)</f>
        <v>9.8238973987983247</v>
      </c>
      <c r="J2" cm="1">
        <f t="array" ref="J2">_xll.FDS(B2, "FMA_RBICS_REV_CURRENT(30, LOC, ""PORTAGG"")")</f>
        <v>14.675305666219799</v>
      </c>
      <c r="K2" s="74">
        <f>HLOOKUP(B2,'Index earnings'!$B$1:$N$25,25,FALSE)</f>
        <v>-9.3828148339384354E-3</v>
      </c>
      <c r="L2">
        <f>HLOOKUP(A2,'Yearly returns'!$B$1:$N$128,126,FALSE)</f>
        <v>-31.40006</v>
      </c>
      <c r="M2">
        <f t="shared" ref="M2:M10" si="0">I2-G2</f>
        <v>5.4369973987983249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35.699999999999996</v>
      </c>
      <c r="R2">
        <f>N2*Assumption!$F$64 + O2*Assumption!$F$61 + P2*Assumption!$F$62 + Q2*Assumption!$F$63</f>
        <v>30.35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4.3079999999999998</v>
      </c>
      <c r="H3" cm="1">
        <f t="array" ref="H3">_xll.FDS(B3,"FG_ROE(0)")</f>
        <v>12.5074330886367</v>
      </c>
      <c r="I3">
        <f>HLOOKUP(B3,'Index ROE'!$B$1:$N$25,24,FALSE)</f>
        <v>13.020733299173699</v>
      </c>
      <c r="J3" cm="1">
        <f t="array" ref="J3">_xll.FDS(B3, "FMA_RBICS_REV_CURRENT(30, LOC, ""PORTAGG"")")</f>
        <v>42.406257126777597</v>
      </c>
      <c r="K3" s="74">
        <f>HLOOKUP(B3,'Index earnings'!$B$1:$N$25,25,FALSE)</f>
        <v>1.1173841089814562E-2</v>
      </c>
      <c r="L3">
        <f>HLOOKUP(A3,'Yearly returns'!$B$1:$N$128,126,FALSE)</f>
        <v>-26.106960000000001</v>
      </c>
      <c r="M3">
        <f t="shared" si="0"/>
        <v>8.7127332991736992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71.399999999999991</v>
      </c>
      <c r="R3">
        <f>N3*Assumption!$F$64 + O3*Assumption!$F$61 + P3*Assumption!$F$62 + Q3*Assumption!$F$63</f>
        <v>35.699999999999996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3.3237000000000001</v>
      </c>
      <c r="H4" cm="1">
        <f t="array" ref="H4">_xll.FDS(B4,"FG_ROE(0)")</f>
        <v>10.949115790117199</v>
      </c>
      <c r="I4">
        <f>HLOOKUP(B4,'Index ROE'!$B$1:$N$25,24,FALSE)</f>
        <v>12.7516875895064</v>
      </c>
      <c r="J4" cm="1">
        <f t="array" ref="J4">_xll.FDS(B4, "FMA_RBICS_REV_CURRENT(30, LOC, ""PORTAGG"")")</f>
        <v>39.957029510295797</v>
      </c>
      <c r="K4" s="74">
        <f>HLOOKUP(B4,'Index earnings'!$B$1:$N$25,25,FALSE)</f>
        <v>4.0909866878857226E-2</v>
      </c>
      <c r="L4">
        <f>HLOOKUP(A4,'Yearly returns'!$B$1:$N$128,126,FALSE)</f>
        <v>-27.318490000000001</v>
      </c>
      <c r="M4">
        <f t="shared" si="0"/>
        <v>9.4279875895063991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57.099999999999994</v>
      </c>
      <c r="R4">
        <f>N4*Assumption!$F$64 + O4*Assumption!$F$61 + P4*Assumption!$F$62 + Q4*Assumption!$F$63</f>
        <v>46.4</v>
      </c>
      <c r="S4" cm="1">
        <f t="array" ref="S4">_xlfn.PERCENTRANK.EXC(_xlfn._xlws.FILTER(R$2:R$14, ISNUMBER(R$2:R$14)),R4)*100</f>
        <v>57.099999999999994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2.4039999999999999</v>
      </c>
      <c r="H5" cm="1">
        <f t="array" ref="H5">_xll.FDS(B5,"FG_ROE(0)")</f>
        <v>9.42096796933569</v>
      </c>
      <c r="I5">
        <f>HLOOKUP(B5,'Index ROE'!$B$1:$N$25,24,FALSE)</f>
        <v>11.988728308067351</v>
      </c>
      <c r="J5" cm="1">
        <f t="array" ref="J5">_xll.FDS(B5, "FMA_RBICS_REV_CURRENT(30, LOC, ""PORTAGG"")")</f>
        <v>23.0594534932325</v>
      </c>
      <c r="K5" s="74">
        <f>HLOOKUP(B5,'Index earnings'!$B$1:$N$25,25,FALSE)</f>
        <v>2.8327007241510938E-2</v>
      </c>
      <c r="L5">
        <f>HLOOKUP(A5,'Yearly returns'!$B$1:$N$128,126,FALSE)</f>
        <v>-39.482985999999997</v>
      </c>
      <c r="M5">
        <f t="shared" si="0"/>
        <v>9.5847283080673513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41.05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1.0551999999999999</v>
      </c>
      <c r="H6" cm="1">
        <f t="array" ref="H6">_xll.FDS(B6,"FG_ROE(0)")</f>
        <v>9.5878901590902998</v>
      </c>
      <c r="I6">
        <f>HLOOKUP(B6,'Index ROE'!$B$1:$N$25,24,FALSE)</f>
        <v>8.994618118763011</v>
      </c>
      <c r="J6" cm="1">
        <f t="array" ref="J6">_xll.FDS(B6, "FMA_RBICS_REV_CURRENT(30, LOC, ""PORTAGG"")")</f>
        <v>18.943500768470301</v>
      </c>
      <c r="K6" s="74">
        <f>HLOOKUP(B6,'Index earnings'!$B$1:$N$25,25,FALSE)</f>
        <v>2.4111181364210088E-2</v>
      </c>
      <c r="L6">
        <f>HLOOKUP(A6,'Yearly returns'!$B$1:$N$128,126,FALSE)</f>
        <v>-30.674833</v>
      </c>
      <c r="M6">
        <f t="shared" si="0"/>
        <v>7.9394181187630108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50</v>
      </c>
      <c r="R6">
        <f>N6*Assumption!$F$64 + O6*Assumption!$F$61 + P6*Assumption!$F$62 + Q6*Assumption!$F$63</f>
        <v>42.849999999999994</v>
      </c>
      <c r="S6" cm="1">
        <f t="array" ref="S6">_xlfn.PERCENTRANK.EXC(_xlfn._xlws.FILTER(R$2:R$14, ISNUMBER(R$2:R$14)),R6)*100</f>
        <v>42.8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0.50600000000000001</v>
      </c>
      <c r="H7" cm="1">
        <f t="array" ref="H7">_xll.FDS(B7,"FG_ROE(0)")</f>
        <v>23.5607340666132</v>
      </c>
      <c r="I7">
        <f>HLOOKUP(B7,'Index ROE'!$B$1:$N$25,24,FALSE)</f>
        <v>15.55096443559315</v>
      </c>
      <c r="J7" cm="1">
        <f t="array" ref="J7">_xll.FDS(B7, "FMA_RBICS_REV_CURRENT(30, LOC, ""PORTAGG"")")</f>
        <v>17.795282609975398</v>
      </c>
      <c r="K7" s="74">
        <f>HLOOKUP(B7,'Index earnings'!$B$1:$N$25,25,FALSE)</f>
        <v>4.6616158051884682E-2</v>
      </c>
      <c r="L7">
        <f>HLOOKUP(A7,'Yearly returns'!$B$1:$N$128,126,FALSE)</f>
        <v>-21.652560999999999</v>
      </c>
      <c r="M7">
        <f t="shared" si="0"/>
        <v>15.044964435593149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85.7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4.0789999999999997</v>
      </c>
      <c r="H8" cm="1">
        <f t="array" ref="H8">_xll.FDS(B8,"FG_ROE(0)")</f>
        <v>14.355236329743899</v>
      </c>
      <c r="I8">
        <f>HLOOKUP(B8,'Index ROE'!$B$1:$N$25,24,FALSE)</f>
        <v>14.561964916400001</v>
      </c>
      <c r="J8" cm="1">
        <f t="array" ref="J8">_xll.FDS(B8, "FMA_RBICS_REV_CURRENT(30, LOC, ""PORTAGG"")")</f>
        <v>19.404935114087898</v>
      </c>
      <c r="K8" s="74">
        <f>HLOOKUP(B8,'Index earnings'!$B$1:$N$25,25,FALSE)</f>
        <v>3.7109465036002653E-3</v>
      </c>
      <c r="L8">
        <f>HLOOKUP(A8,'Yearly returns'!$B$1:$N$128,126,FALSE)</f>
        <v>-23.942202000000002</v>
      </c>
      <c r="M8">
        <f t="shared" si="0"/>
        <v>10.4829649164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78.5</v>
      </c>
      <c r="R8">
        <f>N8*Assumption!$F$64 + O8*Assumption!$F$61 + P8*Assumption!$F$62 + Q8*Assumption!$F$63</f>
        <v>51.725000000000001</v>
      </c>
      <c r="S8" cm="1">
        <f t="array" ref="S8">_xlfn.PERCENTRANK.EXC(_xlfn._xlws.FILTER(R$2:R$14, ISNUMBER(R$2:R$14)),R8)*100</f>
        <v>64.2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4.1952999999999996</v>
      </c>
      <c r="H9" cm="1">
        <f t="array" ref="H9">_xll.FDS(B9,"FG_ROE(0)")</f>
        <v>22.663800872241602</v>
      </c>
      <c r="I9">
        <f>HLOOKUP(B9,'Index ROE'!$B$1:$N$25,24,FALSE)</f>
        <v>21.036882269896502</v>
      </c>
      <c r="J9" cm="1">
        <f t="array" ref="J9">_xll.FDS(B9, "FMA_RBICS_REV_CURRENT(30, LOC, ""PORTAGG"")")</f>
        <v>0.75323547999288798</v>
      </c>
      <c r="K9" s="74">
        <f>HLOOKUP(B9,'Index earnings'!$B$1:$N$25,25,FALSE)</f>
        <v>0.12988959921025178</v>
      </c>
      <c r="L9">
        <f>HLOOKUP(A9,'Yearly returns'!$B$1:$N$128,126,FALSE)</f>
        <v>-32.146500000000003</v>
      </c>
      <c r="M9">
        <f t="shared" si="0"/>
        <v>16.841582269896502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78.5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4.1952999999999996</v>
      </c>
      <c r="H10" cm="1">
        <f t="array" ref="H10">_xll.FDS(B10,"FG_ROE(0)")</f>
        <v>18.683309450397299</v>
      </c>
      <c r="I10">
        <f>HLOOKUP(B10,'Index ROE'!$B$1:$N$25,24,FALSE)</f>
        <v>16.391058174766847</v>
      </c>
      <c r="J10" cm="1">
        <f t="array" ref="J10">_xll.FDS(B10, "FMA_RBICS_REV_CURRENT(30, LOC, ""PORTAGG"")")</f>
        <v>11.9812912809187</v>
      </c>
      <c r="K10" s="74">
        <f>HLOOKUP(B10,'Index earnings'!$B$1:$N$25,25,FALSE)</f>
        <v>5.9884631603759342E-2</v>
      </c>
      <c r="L10">
        <f>HLOOKUP(A10,'Yearly returns'!$B$1:$N$128,126,FALSE)</f>
        <v>-17.309909999999999</v>
      </c>
      <c r="M10">
        <f t="shared" si="0"/>
        <v>12.195758174766848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3.1150000000000002</v>
      </c>
      <c r="H11" cm="1">
        <f t="array" ref="H11">_xll.FDS(B11,"FG_ROE(0)")</f>
        <v>12.674938109096701</v>
      </c>
      <c r="I11">
        <f>HLOOKUP(B11,'Index ROE'!$B$1:$N$25,24,FALSE)</f>
        <v>11.16089938202855</v>
      </c>
      <c r="J11" cm="1">
        <f t="array" ref="J11">_xll.FDS(B11, "FMA_RBICS_REV_CURRENT(30, LOC, ""PORTAGG"")")</f>
        <v>11.1513304275671</v>
      </c>
      <c r="K11" s="74">
        <f>HLOOKUP(B11,'Index earnings'!$B$1:$N$25,25,FALSE)</f>
        <v>1.8533351259146347E-2</v>
      </c>
      <c r="L11">
        <f>HLOOKUP(A11,'Yearly returns'!$B$1:$N$128,126,FALSE)</f>
        <v>-26.677109000000002</v>
      </c>
      <c r="M11">
        <f t="shared" ref="M11:M14" si="1">I11-G11</f>
        <v>8.0458993820285496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64.2</v>
      </c>
      <c r="R11">
        <f>N11*Assumption!$F$64 + O11*Assumption!$F$61 + P11*Assumption!$F$62 + Q11*Assumption!$F$63</f>
        <v>53.55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2.6789999999999998</v>
      </c>
      <c r="H12" cm="1">
        <f t="array" ref="H12">_xll.FDS(B12,"FG_ROE(0)")</f>
        <v>10.876869038504401</v>
      </c>
      <c r="I12">
        <f>HLOOKUP(B12,'Index ROE'!$B$1:$N$25,24,FALSE)</f>
        <v>13.04966082823935</v>
      </c>
      <c r="J12" cm="1">
        <f t="array" ref="J12">_xll.FDS(B12, "FMA_RBICS_REV_CURRENT(30, LOC, ""PORTAGG"")")</f>
        <v>23.871512129494501</v>
      </c>
      <c r="K12" s="74">
        <f>HLOOKUP(B12,'Index earnings'!$B$1:$N$25,25,FALSE)</f>
        <v>3.4801405293916954E-2</v>
      </c>
      <c r="L12">
        <f>HLOOKUP(A12,'Yearly returns'!$B$1:$N$128,126,FALSE)</f>
        <v>-40.519440000000003</v>
      </c>
      <c r="M12">
        <f t="shared" si="1"/>
        <v>10.37066082823935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2.0939999999999999</v>
      </c>
      <c r="H13" cm="1">
        <f t="array" ref="H13">_xll.FDS(B13,"FG_ROE(0)")</f>
        <v>16.245928346970501</v>
      </c>
      <c r="I13">
        <f>HLOOKUP(B13,'Index ROE'!$B$1:$N$25,24,FALSE)</f>
        <v>14.442959457883401</v>
      </c>
      <c r="J13" cm="1">
        <f t="array" ref="J13">_xll.FDS(B13, "FMA_RBICS_REV_CURRENT(30, LOC, ""PORTAGG"")")</f>
        <v>26.6826894897005</v>
      </c>
      <c r="K13" s="74">
        <f>HLOOKUP(B13,'Index earnings'!$B$1:$N$25,25,FALSE)</f>
        <v>2.4305006375947347E-2</v>
      </c>
      <c r="L13">
        <f>HLOOKUP(A13,'Yearly returns'!$B$1:$N$128,126,FALSE)</f>
        <v>-39.380474</v>
      </c>
      <c r="M13">
        <f t="shared" si="1"/>
        <v>12.348959457883401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44.625</v>
      </c>
      <c r="S13" cm="1">
        <f t="array" ref="S13">_xlfn.PERCENTRANK.EXC(_xlfn._xlws.FILTER(R$2:R$14, ISNUMBER(R$2:R$14)),R13)*100</f>
        <v>50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3.754</v>
      </c>
      <c r="H14" cm="1">
        <f t="array" ref="H14">_xll.FDS(B14,"FG_ROE(0)")</f>
        <v>13.8571748586127</v>
      </c>
      <c r="I14">
        <f>HLOOKUP(B14,'Index ROE'!$B$1:$N$25,24,FALSE)</f>
        <v>9.6445775045501065</v>
      </c>
      <c r="J14" cm="1">
        <f t="array" ref="J14">_xll.FDS(B14, "FMA_RBICS_REV_CURRENT(30, LOC, ""PORTAGG"")")</f>
        <v>37.029707357811503</v>
      </c>
      <c r="K14" s="74">
        <f>HLOOKUP(B14,'Index earnings'!$B$1:$N$25,25,FALSE)</f>
        <v>9.2743946932130061E-3</v>
      </c>
      <c r="L14">
        <f>HLOOKUP(A14,'Yearly returns'!$B$1:$N$128,126,FALSE)</f>
        <v>-31.189609999999998</v>
      </c>
      <c r="M14">
        <f t="shared" si="1"/>
        <v>5.890577504550107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42.8</v>
      </c>
      <c r="R14">
        <f>N14*Assumption!$F$64 + O14*Assumption!$F$61 + P14*Assumption!$F$62 + Q14*Assumption!$F$63</f>
        <v>24.974999999999998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93169.89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4</v>
      </c>
      <c r="G3" cm="1">
        <f t="array" ref="G3">_xll.FDS(A3,"SIZE(FG_CONSTITUENTS)")</f>
        <v>14</v>
      </c>
      <c r="H3" s="9">
        <f t="shared" ref="H3:H11" si="0">E3/$G3</f>
        <v>0.21428571428571427</v>
      </c>
      <c r="I3" s="9">
        <f t="shared" ref="I3:I11" si="1">F3/$G3</f>
        <v>0.2857142857142857</v>
      </c>
      <c r="J3" s="9">
        <f t="shared" ref="J3:J11" si="2">H3-I3</f>
        <v>-7.1428571428571425E-2</v>
      </c>
      <c r="K3" s="5" cm="1">
        <f t="array" ref="K3">_xll.FDS(A3,"FMA_PCT_ABOVE_MAVG(200,0,,,,""PORTAGG"")")/100</f>
        <v>0.57142857142857106</v>
      </c>
      <c r="L3" s="41" cm="1">
        <f t="array" ref="L3">_xll.FDSB(A3,"PERCENT_CHANGE(FMA_EPS(+1,0,,,,""PORTAGG"",""MEAN""),FMA_EPS(+1,-1AM,,,,""PORTAGG"",""MEAN""))")</f>
        <v>-2.80458813786192</v>
      </c>
      <c r="M3" s="41" cm="1">
        <f t="array" ref="M3">_xll.FDSB(A3,"PERCENT_CHANGE(FMA_EPS(+1,0,,,,""PORTAGG"",""MEAN""),FMA_EPS(+1,-3AM,,,,""PORTAGG"",""MEAN""))")</f>
        <v>0.84886592914560799</v>
      </c>
      <c r="N3" s="3" cm="1">
        <f t="array" ref="N3">_xll.FDS(C3,"FG_TOTAL_RETURNC(0,-1AM)")</f>
        <v>0.72735550000000004</v>
      </c>
      <c r="O3" s="3" cm="1">
        <f t="array" ref="O3">_xll.FDS(C3,"FG_TOTAL_RETURNC(0,-3AM)")</f>
        <v>4.0211915999999999</v>
      </c>
      <c r="P3" s="3" cm="1">
        <f t="array" ref="P3">_xll.FDS(C3,"FG_TOTAL_RETURNC(0,-6AM)")</f>
        <v>-1.8119752</v>
      </c>
      <c r="Q3" s="9" cm="1">
        <f t="array" ref="Q3">_xll.FDS(C3,"P_PRICE(0)/P_PRICE_HIGH_PR(0,,,,,,""PRICE"",""INTRA"",""52W"")")</f>
        <v>0.91126620000000003</v>
      </c>
      <c r="R3" s="9" cm="1">
        <f t="array" ref="R3">_xll.FDS(C3,"P_PRICE(0)/P_PRICE_low_PR(0,,,,,,""PRICE"",""INTRA"",""52W"")-1")</f>
        <v>0.11381637999999999</v>
      </c>
      <c r="S3" s="3" cm="1">
        <f t="array" ref="S3">_xll.FDS(C3,"FG_TOTAL_RETURNC(0,-12AM)")</f>
        <v>-5.0525245999999999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14.2</v>
      </c>
      <c r="W3" s="4" cm="1">
        <f t="array" ref="W3">_xlfn.PERCENTRANK.EXC(_xlfn._xlws.FILTER($O$3:$O$15, ISNUMBER($O$3:$O$15)),O3)*100</f>
        <v>57.099999999999994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21.4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57.099999999999994</v>
      </c>
      <c r="AC3" s="4">
        <f t="shared" ref="AC3:AC15" si="4">_xlfn.PERCENTRANK.EXC($L$3:$L$15,L3)*100</f>
        <v>14.2</v>
      </c>
      <c r="AD3" s="4">
        <f t="shared" ref="AD3:AD15" si="5">_xlfn.PERCENTRANK.EXC($M$3:$M$15,M3)*100</f>
        <v>85.7</v>
      </c>
      <c r="AE3" s="4">
        <f t="shared" ref="AE3:AE15" si="6">_xlfn.PERCENTRANK.EXC($D$3:$D$15,D3)*100</f>
        <v>7.1</v>
      </c>
      <c r="AF3" s="4">
        <f>'Economic Momentum'!Q4</f>
        <v>7.1</v>
      </c>
      <c r="AG3" s="4">
        <f ca="1">'Economic Momentum'!R4</f>
        <v>14.2</v>
      </c>
      <c r="AH3" s="4">
        <f t="shared" ref="AH3:AH15" ca="1" si="7">SUMPRODUCT($U$2:$AG$2,U3:AG3)</f>
        <v>24.939999999999998</v>
      </c>
      <c r="AJ3" s="3" cm="1">
        <f t="array" aca="1" ref="AJ3" ca="1">_xlfn.PERCENTRANK.EXC(_xlfn._xlws.FILTER($AH$3:$AH$15, ISNUMBER($AH$3:$AH$15)),AH3)*100</f>
        <v>14.2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1694565.5</v>
      </c>
      <c r="E4" cm="1">
        <f t="array" ref="E4">_xll.FDS(C4,"FMA_COS_UP(""EPS"",""1M"",+1,0,,,""PORTAGG"",""MEANR"")")</f>
        <v>20</v>
      </c>
      <c r="F4" cm="1">
        <f t="array" ref="F4">_xll.FDS(C4,"FMA_COS_DOWN(""EPS"",""1M"",+1,0,,,""PORTAGG"",""MEANR"")")</f>
        <v>32</v>
      </c>
      <c r="G4" cm="1">
        <f t="array" ref="G4">_xll.FDS(A4,"SIZE(FG_CONSTITUENTS)")</f>
        <v>60</v>
      </c>
      <c r="H4" s="9">
        <f t="shared" si="0"/>
        <v>0.33333333333333331</v>
      </c>
      <c r="I4" s="9">
        <f t="shared" si="1"/>
        <v>0.53333333333333333</v>
      </c>
      <c r="J4" s="9">
        <f t="shared" si="2"/>
        <v>-0.2</v>
      </c>
      <c r="K4" s="5" cm="1">
        <f t="array" ref="K4">_xll.FDS(A4,"FMA_PCT_ABOVE_MAVG(200,0,,,,""PORTAGG"")")/100</f>
        <v>0.644067796610169</v>
      </c>
      <c r="L4" s="41" cm="1">
        <f t="array" ref="L4">_xll.FDSB(A4,"PERCENT_CHANGE(FMA_EPS(+1,0,,,,""PORTAGG"",""MEAN""),FMA_EPS(+1,-1AM,,,,""PORTAGG"",""MEAN""))")</f>
        <v>-0.17808588627094399</v>
      </c>
      <c r="M4" s="41" cm="1">
        <f t="array" ref="M4">_xll.FDSB(A4,"PERCENT_CHANGE(FMA_EPS(+1,0,,,,""PORTAGG"",""MEAN""),FMA_EPS(+1,-3AM,,,,""PORTAGG"",""MEAN""))")</f>
        <v>-2.49428968349461</v>
      </c>
      <c r="N4" s="3" cm="1">
        <f t="array" ref="N4">_xll.FDS(C4,"FG_TOTAL_RETURNC(0,-1AM)")</f>
        <v>1.8151879</v>
      </c>
      <c r="O4" s="3" cm="1">
        <f t="array" ref="O4">_xll.FDS(C4,"FG_TOTAL_RETURNC(0,-3AM)")</f>
        <v>6.0746909999999996</v>
      </c>
      <c r="P4" s="3" cm="1">
        <f t="array" ref="P4">_xll.FDS(C4,"FG_TOTAL_RETURNC(0,-6AM)")</f>
        <v>6.2090160000000001</v>
      </c>
      <c r="Q4" s="9" cm="1">
        <f t="array" ref="Q4">_xll.FDS(C4,"P_PRICE(0)/P_PRICE_HIGH_PR(0,,,,,,""PRICE"",""INTRA"",""52W"")")</f>
        <v>0.95770275999999999</v>
      </c>
      <c r="R4" s="9" cm="1">
        <f t="array" ref="R4">_xll.FDS(C4,"P_PRICE(0)/P_PRICE_low_PR(0,,,,,,""PRICE"",""INTRA"",""52W"")-1")</f>
        <v>0.20625615</v>
      </c>
      <c r="S4" s="3" cm="1">
        <f t="array" ref="S4">_xll.FDS(C4,"FG_TOTAL_RETURNC(0,-12AM)")</f>
        <v>9.4133739999999992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71.399999999999991</v>
      </c>
      <c r="X4" s="4" cm="1">
        <f t="array" ref="X4">_xlfn.PERCENTRANK.EXC(_xlfn._xlws.FILTER($P$3:$P$15, ISNUMBER($P$3:$P$15)),P4)*100</f>
        <v>35.699999999999996</v>
      </c>
      <c r="Y4" s="201" cm="1">
        <f t="array" ref="Y4">_xlfn.PERCENTRANK.EXC(_xlfn._xlws.FILTER($S$3:$S$15, ISNUMBER($S$3:$S$15)),S4)*100</f>
        <v>35.699999999999996</v>
      </c>
      <c r="Z4" s="4" cm="1">
        <f t="array" ref="Z4">_xlfn.PERCENTRANK.EXC(_xlfn._xlws.FILTER($K$3:$K$15, ISNUMBER($K$3:$K$15)),K4)*100</f>
        <v>57.099999999999994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42.8</v>
      </c>
      <c r="AC4" s="4">
        <f t="shared" si="4"/>
        <v>50</v>
      </c>
      <c r="AD4" s="4">
        <f t="shared" si="5"/>
        <v>21.4</v>
      </c>
      <c r="AE4" s="4">
        <f t="shared" si="6"/>
        <v>35.699999999999996</v>
      </c>
      <c r="AF4" s="4">
        <f>'Economic Momentum'!Q5</f>
        <v>42.8</v>
      </c>
      <c r="AG4" s="4">
        <f ca="1">'Economic Momentum'!R5</f>
        <v>57.099999999999994</v>
      </c>
      <c r="AH4" s="4">
        <f t="shared" ca="1" si="7"/>
        <v>57.81</v>
      </c>
      <c r="AJ4" s="3" cm="1">
        <f t="array" aca="1" ref="AJ4" ca="1">_xlfn.PERCENTRANK.EXC(_xlfn._xlws.FILTER($AH$3:$AH$15, ISNUMBER($AH$3:$AH$15)),AH4)*100</f>
        <v>71.399999999999991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2778568.8</v>
      </c>
      <c r="E5" cm="1">
        <f t="array" ref="E5">_xll.FDS(C5,"FMA_COS_UP(""EPS"",""1M"",+1,0,,,""PORTAGG"",""MEANR"")")</f>
        <v>34</v>
      </c>
      <c r="F5" cm="1">
        <f t="array" ref="F5">_xll.FDS(C5,"FMA_COS_DOWN(""EPS"",""1M"",+1,0,,,""PORTAGG"",""MEANR"")")</f>
        <v>38</v>
      </c>
      <c r="G5" cm="1">
        <f t="array" ref="G5">_xll.FDS(A5,"SIZE(FG_CONSTITUENTS)")</f>
        <v>88</v>
      </c>
      <c r="H5" s="9">
        <f t="shared" si="0"/>
        <v>0.38636363636363635</v>
      </c>
      <c r="I5" s="9">
        <f t="shared" si="1"/>
        <v>0.43181818181818182</v>
      </c>
      <c r="J5" s="9">
        <f t="shared" si="2"/>
        <v>-4.545454545454547E-2</v>
      </c>
      <c r="K5" s="5" cm="1">
        <f t="array" ref="K5">_xll.FDS(A5,"FMA_PCT_ABOVE_MAVG(200,0,,,,""PORTAGG"")")/100</f>
        <v>0.76136363636363602</v>
      </c>
      <c r="L5" s="41" cm="1">
        <f t="array" ref="L5">_xll.FDSB(A5,"PERCENT_CHANGE(FMA_EPS(+1,0,,,,""PORTAGG"",""MEAN""),FMA_EPS(+1,-1AM,,,,""PORTAGG"",""MEAN""))")</f>
        <v>-1.12002504444639</v>
      </c>
      <c r="M5" s="41" cm="1">
        <f t="array" ref="M5">_xll.FDSB(A5,"PERCENT_CHANGE(FMA_EPS(+1,0,,,,""PORTAGG"",""MEAN""),FMA_EPS(+1,-3AM,,,,""PORTAGG"",""MEAN""))")</f>
        <v>-1.9401973771052701</v>
      </c>
      <c r="N5" s="3" cm="1">
        <f t="array" ref="N5">_xll.FDS(C5,"FG_TOTAL_RETURNC(0,-1AM)")</f>
        <v>3.7909627000000001</v>
      </c>
      <c r="O5" s="3" cm="1">
        <f t="array" ref="O5">_xll.FDS(C5,"FG_TOTAL_RETURNC(0,-3AM)")</f>
        <v>2.8246760000000002</v>
      </c>
      <c r="P5" s="3" cm="1">
        <f t="array" ref="P5">_xll.FDS(C5,"FG_TOTAL_RETURNC(0,-6AM)")</f>
        <v>6.0952067000000003</v>
      </c>
      <c r="Q5" s="9" cm="1">
        <f t="array" ref="Q5">_xll.FDS(C5,"P_PRICE(0)/P_PRICE_HIGH_PR(0,,,,,,""PRICE"",""INTRA"",""52W"")")</f>
        <v>0.98206514</v>
      </c>
      <c r="R5" s="9" cm="1">
        <f t="array" ref="R5">_xll.FDS(C5,"P_PRICE(0)/P_PRICE_low_PR(0,,,,,,""PRICE"",""INTRA"",""52W"")-1")</f>
        <v>0.22031212</v>
      </c>
      <c r="S5" s="3" cm="1">
        <f t="array" ref="S5">_xll.FDS(C5,"FG_TOTAL_RETURNC(0,-12AM)")</f>
        <v>9.3091369999999998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21.4</v>
      </c>
      <c r="X5" s="4" cm="1">
        <f t="array" ref="X5">_xlfn.PERCENTRANK.EXC(_xlfn._xlws.FILTER($P$3:$P$15, ISNUMBER($P$3:$P$15)),P5)*100</f>
        <v>28.499999999999996</v>
      </c>
      <c r="Y5" s="201" cm="1">
        <f t="array" ref="Y5">_xlfn.PERCENTRANK.EXC(_xlfn._xlws.FILTER($S$3:$S$15, ISNUMBER($S$3:$S$15)),S5)*100</f>
        <v>28.499999999999996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78.5</v>
      </c>
      <c r="AB5" s="4" cm="1">
        <f t="array" ref="AB5">_xlfn.PERCENTRANK.EXC(_xlfn._xlws.FILTER($J$3:$J$15, ISNUMBER($J$3:$J$15)),J5)*100</f>
        <v>64.2</v>
      </c>
      <c r="AC5" s="4">
        <f t="shared" si="4"/>
        <v>21.4</v>
      </c>
      <c r="AD5" s="4">
        <f t="shared" si="5"/>
        <v>35.699999999999996</v>
      </c>
      <c r="AE5" s="4">
        <f t="shared" si="6"/>
        <v>57.099999999999994</v>
      </c>
      <c r="AF5" s="4">
        <f>'Economic Momentum'!Q6</f>
        <v>50</v>
      </c>
      <c r="AG5" s="4">
        <f ca="1">'Economic Momentum'!R6</f>
        <v>42.8</v>
      </c>
      <c r="AH5" s="4">
        <f t="shared" ca="1" si="7"/>
        <v>49.25</v>
      </c>
      <c r="AJ5" s="3" cm="1">
        <f t="array" aca="1" ref="AJ5" ca="1">_xlfn.PERCENTRANK.EXC(_xlfn._xlws.FILTER($AH$3:$AH$15, ISNUMBER($AH$3:$AH$15)),AH5)*100</f>
        <v>42.8</v>
      </c>
      <c r="AK5">
        <f t="shared" si="8"/>
        <v>3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2260596</v>
      </c>
      <c r="E6" cm="1">
        <f t="array" ref="E6">_xll.FDS(C6,"FMA_COS_UP(""EPS"",""1M"",+1,0,,,""PORTAGG"",""MEANR"")")</f>
        <v>20</v>
      </c>
      <c r="F6" cm="1">
        <f t="array" ref="F6">_xll.FDS(C6,"FMA_COS_DOWN(""EPS"",""1M"",+1,0,,,""PORTAGG"",""MEANR"")")</f>
        <v>34</v>
      </c>
      <c r="G6" cm="1">
        <f t="array" ref="G6">_xll.FDS(A6,"SIZE(FG_CONSTITUENTS)")</f>
        <v>59</v>
      </c>
      <c r="H6" s="9">
        <f t="shared" si="0"/>
        <v>0.33898305084745761</v>
      </c>
      <c r="I6" s="9">
        <f t="shared" si="1"/>
        <v>0.57627118644067798</v>
      </c>
      <c r="J6" s="9">
        <f t="shared" si="2"/>
        <v>-0.23728813559322037</v>
      </c>
      <c r="K6" s="5" cm="1">
        <f t="array" ref="K6">_xll.FDS(A6,"FMA_PCT_ABOVE_MAVG(200,0,,,,""PORTAGG"")")/100</f>
        <v>0.58620689655172398</v>
      </c>
      <c r="L6" s="41" cm="1">
        <f t="array" ref="L6">_xll.FDSB(A6,"PERCENT_CHANGE(FMA_EPS(+1,0,,,,""PORTAGG"",""MEAN""),FMA_EPS(+1,-1AM,,,,""PORTAGG"",""MEAN""))")</f>
        <v>0.21240266023464399</v>
      </c>
      <c r="M6" s="41" cm="1">
        <f t="array" ref="M6">_xll.FDSB(A6,"PERCENT_CHANGE(FMA_EPS(+1,0,,,,""PORTAGG"",""MEAN""),FMA_EPS(+1,-3AM,,,,""PORTAGG"",""MEAN""))")</f>
        <v>-0.24031816442936799</v>
      </c>
      <c r="N6" s="3" cm="1">
        <f t="array" ref="N6">_xll.FDS(C6,"FG_TOTAL_RETURNC(0,-1AM)")</f>
        <v>3.0951499999999998</v>
      </c>
      <c r="O6" s="3" cm="1">
        <f t="array" ref="O6">_xll.FDS(C6,"FG_TOTAL_RETURNC(0,-3AM)")</f>
        <v>3.6249756999999998</v>
      </c>
      <c r="P6" s="3" cm="1">
        <f t="array" ref="P6">_xll.FDS(C6,"FG_TOTAL_RETURNC(0,-6AM)")</f>
        <v>9.1605659999999993</v>
      </c>
      <c r="Q6" s="9" cm="1">
        <f t="array" ref="Q6">_xll.FDS(C6,"P_PRICE(0)/P_PRICE_HIGH_PR(0,,,,,,""PRICE"",""INTRA"",""52W"")")</f>
        <v>0.95610344000000003</v>
      </c>
      <c r="R6" s="9" cm="1">
        <f t="array" ref="R6">_xll.FDS(C6,"P_PRICE(0)/P_PRICE_low_PR(0,,,,,,""PRICE"",""INTRA"",""52W"")-1")</f>
        <v>0.26735472999999998</v>
      </c>
      <c r="S6" s="3" cm="1">
        <f t="array" ref="S6">_xll.FDS(C6,"FG_TOTAL_RETURNC(0,-12AM)")</f>
        <v>10.787177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57.099999999999994</v>
      </c>
      <c r="W6" s="4" cm="1">
        <f t="array" ref="W6">_xlfn.PERCENTRANK.EXC(_xlfn._xlws.FILTER($O$3:$O$15, ISNUMBER($O$3:$O$15)),O6)*100</f>
        <v>50</v>
      </c>
      <c r="X6" s="4" cm="1">
        <f t="array" ref="X6">_xlfn.PERCENTRANK.EXC(_xlfn._xlws.FILTER($P$3:$P$15, ISNUMBER($P$3:$P$15)),P6)*100</f>
        <v>64.2</v>
      </c>
      <c r="Y6" s="201" cm="1">
        <f t="array" ref="Y6">_xlfn.PERCENTRANK.EXC(_xlfn._xlws.FILTER($S$3:$S$15, ISNUMBER($S$3:$S$15)),S6)*100</f>
        <v>42.8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50</v>
      </c>
      <c r="AB6" s="4" cm="1">
        <f t="array" ref="AB6">_xlfn.PERCENTRANK.EXC(_xlfn._xlws.FILTER($J$3:$J$15, ISNUMBER($J$3:$J$15)),J6)*100</f>
        <v>35.699999999999996</v>
      </c>
      <c r="AC6" s="4">
        <f t="shared" si="4"/>
        <v>78.5</v>
      </c>
      <c r="AD6" s="4">
        <f t="shared" si="5"/>
        <v>57.099999999999994</v>
      </c>
      <c r="AE6" s="4">
        <f t="shared" si="6"/>
        <v>50</v>
      </c>
      <c r="AF6" s="4">
        <f>'Economic Momentum'!Q7</f>
        <v>14.2</v>
      </c>
      <c r="AG6" s="4">
        <f ca="1">'Economic Momentum'!R7</f>
        <v>64.2</v>
      </c>
      <c r="AH6" s="4">
        <f t="shared" ca="1" si="7"/>
        <v>57.100000000000009</v>
      </c>
      <c r="AJ6" s="3" cm="1">
        <f t="array" aca="1" ref="AJ6" ca="1">_xlfn.PERCENTRANK.EXC(_xlfn._xlws.FILTER($AH$3:$AH$15, ISNUMBER($AH$3:$AH$15)),AH6)*100</f>
        <v>57.099999999999994</v>
      </c>
      <c r="AK6">
        <f t="shared" si="8"/>
        <v>0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6395283.5</v>
      </c>
      <c r="E7" cm="1">
        <f t="array" ref="E7">_xll.FDS(C7,"FMA_COS_UP(""EPS"",""1M"",+1,0,,,""PORTAGG"",""MEANR"")")</f>
        <v>104</v>
      </c>
      <c r="F7" cm="1">
        <f t="array" ref="F7">_xll.FDS(C7,"FMA_COS_DOWN(""EPS"",""1M"",+1,0,,,""PORTAGG"",""MEANR"")")</f>
        <v>57</v>
      </c>
      <c r="G7" cm="1">
        <f t="array" ref="G7">_xll.FDS(A7,"SIZE(FG_CONSTITUENTS)")</f>
        <v>205</v>
      </c>
      <c r="H7" s="9">
        <f t="shared" si="0"/>
        <v>0.50731707317073171</v>
      </c>
      <c r="I7" s="9">
        <f t="shared" si="1"/>
        <v>0.2780487804878049</v>
      </c>
      <c r="J7" s="9">
        <f t="shared" si="2"/>
        <v>0.22926829268292681</v>
      </c>
      <c r="K7" s="5" cm="1">
        <f t="array" ref="K7">_xll.FDS(A7,"FMA_PCT_ABOVE_MAVG(200,0,,,,""PORTAGG"")")/100</f>
        <v>0.62254901960784303</v>
      </c>
      <c r="L7" s="41" cm="1">
        <f t="array" ref="L7">_xll.FDSB(A7,"PERCENT_CHANGE(FMA_EPS(+1,0,,,,""PORTAGG"",""MEAN""),FMA_EPS(+1,-1AM,,,,""PORTAGG"",""MEAN""))")</f>
        <v>3.4310717064142602</v>
      </c>
      <c r="M7" s="41" cm="1">
        <f t="array" ref="M7">_xll.FDSB(A7,"PERCENT_CHANGE(FMA_EPS(+1,0,,,,""PORTAGG"",""MEAN""),FMA_EPS(+1,-3AM,,,,""PORTAGG"",""MEAN""))")</f>
        <v>-0.38029078944331801</v>
      </c>
      <c r="N7" s="3" cm="1">
        <f t="array" ref="N7">_xll.FDS(C7,"FG_TOTAL_RETURNC(0,-1AM)")</f>
        <v>2.0502210000000001</v>
      </c>
      <c r="O7" s="3" cm="1">
        <f t="array" ref="O7">_xll.FDS(C7,"FG_TOTAL_RETURNC(0,-3AM)")</f>
        <v>3.0885696</v>
      </c>
      <c r="P7" s="3" cm="1">
        <f t="array" ref="P7">_xll.FDS(C7,"FG_TOTAL_RETURNC(0,-6AM)")</f>
        <v>5.8317183999999997</v>
      </c>
      <c r="Q7" s="9" cm="1">
        <f t="array" ref="Q7">_xll.FDS(C7,"P_PRICE(0)/P_PRICE_HIGH_PR(0,,,,,,""PRICE"",""INTRA"",""52W"")")</f>
        <v>0.95316725999999996</v>
      </c>
      <c r="R7" s="9" cm="1">
        <f t="array" ref="R7">_xll.FDS(C7,"P_PRICE(0)/P_PRICE_low_PR(0,,,,,,""PRICE"",""INTRA"",""52W"")-1")</f>
        <v>0.20087421</v>
      </c>
      <c r="S7" s="3" cm="1">
        <f t="array" ref="S7">_xll.FDS(C7,"FG_TOTAL_RETURNC(0,-12AM)")</f>
        <v>11.69628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50</v>
      </c>
      <c r="W7" s="4" cm="1">
        <f t="array" ref="W7">_xlfn.PERCENTRANK.EXC(_xlfn._xlws.FILTER($O$3:$O$15, ISNUMBER($O$3:$O$15)),O7)*100</f>
        <v>28.499999999999996</v>
      </c>
      <c r="X7" s="4" cm="1">
        <f t="array" ref="X7">_xlfn.PERCENTRANK.EXC(_xlfn._xlws.FILTER($P$3:$P$15, ISNUMBER($P$3:$P$15)),P7)*100</f>
        <v>21.4</v>
      </c>
      <c r="Y7" s="201" cm="1">
        <f t="array" ref="Y7">_xlfn.PERCENTRANK.EXC(_xlfn._xlws.FILTER($S$3:$S$15, ISNUMBER($S$3:$S$15)),S7)*100</f>
        <v>50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92.800000000000011</v>
      </c>
      <c r="AC7" s="4">
        <f t="shared" si="4"/>
        <v>92.800000000000011</v>
      </c>
      <c r="AD7" s="4">
        <f t="shared" si="5"/>
        <v>50</v>
      </c>
      <c r="AE7" s="4">
        <f t="shared" si="6"/>
        <v>78.5</v>
      </c>
      <c r="AF7" s="4">
        <f>'Economic Momentum'!Q8</f>
        <v>64.2</v>
      </c>
      <c r="AG7" s="4">
        <f ca="1">'Economic Momentum'!R8</f>
        <v>92.800000000000011</v>
      </c>
      <c r="AH7" s="4">
        <f t="shared" ca="1" si="7"/>
        <v>34.97</v>
      </c>
      <c r="AJ7" s="3" cm="1">
        <f t="array" aca="1" ref="AJ7" ca="1">_xlfn.PERCENTRANK.EXC(_xlfn._xlws.FILTER($AH$3:$AH$15, ISNUMBER($AH$3:$AH$15)),AH7)*100</f>
        <v>28.499999999999996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2248412.7999999998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9">
        <f t="shared" si="0"/>
        <v>0.47826086956521741</v>
      </c>
      <c r="I8" s="9">
        <f t="shared" si="1"/>
        <v>0.39130434782608697</v>
      </c>
      <c r="J8" s="9">
        <f t="shared" si="2"/>
        <v>8.6956521739130432E-2</v>
      </c>
      <c r="K8" s="5" cm="1">
        <f t="array" ref="K8">_xll.FDS(A8,"FMA_PCT_ABOVE_MAVG(200,0,,,,""PORTAGG"")")/100</f>
        <v>0.76086956521739102</v>
      </c>
      <c r="L8" s="41" cm="1">
        <f t="array" ref="L8">_xll.FDSB(A8,"PERCENT_CHANGE(FMA_EPS(+1,0,,,,""PORTAGG"",""MEAN""),FMA_EPS(+1,-1AM,,,,""PORTAGG"",""MEAN""))")</f>
        <v>0.76299559821086005</v>
      </c>
      <c r="M8" s="41" cm="1">
        <f t="array" ref="M8">_xll.FDSB(A8,"PERCENT_CHANGE(FMA_EPS(+1,0,,,,""PORTAGG"",""MEAN""),FMA_EPS(+1,-3AM,,,,""PORTAGG"",""MEAN""))")</f>
        <v>2.33695673029592</v>
      </c>
      <c r="N8" s="3" cm="1">
        <f t="array" ref="N8">_xll.FDS(C8,"FG_TOTAL_RETURNC(0,-1AM)")</f>
        <v>3.6010027</v>
      </c>
      <c r="O8" s="3" cm="1">
        <f t="array" ref="O8">_xll.FDS(C8,"FG_TOTAL_RETURNC(0,-3AM)")</f>
        <v>11.254096000000001</v>
      </c>
      <c r="P8" s="3" cm="1">
        <f t="array" ref="P8">_xll.FDS(C8,"FG_TOTAL_RETURNC(0,-6AM)")</f>
        <v>6.8802357000000001</v>
      </c>
      <c r="Q8" s="9" cm="1">
        <f t="array" ref="Q8">_xll.FDS(C8,"P_PRICE(0)/P_PRICE_HIGH_PR(0,,,,,,""PRICE"",""INTRA"",""52W"")")</f>
        <v>0.98874189999999995</v>
      </c>
      <c r="R8" s="9" cm="1">
        <f t="array" ref="R8">_xll.FDS(C8,"P_PRICE(0)/P_PRICE_low_PR(0,,,,,,""PRICE"",""INTRA"",""52W"")-1")</f>
        <v>0.20481347999999999</v>
      </c>
      <c r="S8" s="3" cm="1">
        <f t="array" ref="S8">_xll.FDS(C8,"FG_TOTAL_RETURNC(0,-12AM)")</f>
        <v>7.171583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92.800000000000011</v>
      </c>
      <c r="X8" s="4" cm="1">
        <f t="array" ref="X8">_xlfn.PERCENTRANK.EXC(_xlfn._xlws.FILTER($P$3:$P$15, ISNUMBER($P$3:$P$15)),P8)*100</f>
        <v>42.8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85.7</v>
      </c>
      <c r="AA8" s="4" cm="1">
        <f t="array" ref="AA8">_xlfn.PERCENTRANK.EXC(_xlfn._xlws.FILTER($H$3:$H$15, ISNUMBER($H$3:$H$15)),H8)*100</f>
        <v>85.7</v>
      </c>
      <c r="AB8" s="4" cm="1">
        <f t="array" ref="AB8">_xlfn.PERCENTRANK.EXC(_xlfn._xlws.FILTER($J$3:$J$15, ISNUMBER($J$3:$J$15)),J8)*100</f>
        <v>85.7</v>
      </c>
      <c r="AC8" s="4">
        <f t="shared" si="4"/>
        <v>85.7</v>
      </c>
      <c r="AD8" s="4">
        <f t="shared" si="5"/>
        <v>92.800000000000011</v>
      </c>
      <c r="AE8" s="4">
        <f t="shared" si="6"/>
        <v>42.8</v>
      </c>
      <c r="AF8" s="4">
        <f>'Economic Momentum'!Q9</f>
        <v>21.4</v>
      </c>
      <c r="AG8" s="4">
        <f ca="1">'Economic Momentum'!R9</f>
        <v>35.699999999999996</v>
      </c>
      <c r="AH8" s="4">
        <f t="shared" ca="1" si="7"/>
        <v>77.800000000000011</v>
      </c>
      <c r="AJ8" s="3" cm="1">
        <f t="array" aca="1" ref="AJ8" ca="1">_xlfn.PERCENTRANK.EXC(_xlfn._xlws.FILTER($AH$3:$AH$15, ISNUMBER($AH$3:$AH$15)),AH8)*100</f>
        <v>92.800000000000011</v>
      </c>
      <c r="AK8">
        <f t="shared" si="8"/>
        <v>5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3309482.3</v>
      </c>
      <c r="E9" cm="1">
        <f t="array" ref="E9">_xll.FDS(C9,"FMA_COS_UP(""EPS"",""1M"",+1,0,,,""PORTAGG"",""MEANR"")")</f>
        <v>22</v>
      </c>
      <c r="F9" cm="1">
        <f t="array" ref="F9">_xll.FDS(C9,"FMA_COS_DOWN(""EPS"",""1M"",+1,0,,,""PORTAGG"",""MEANR"")")</f>
        <v>45</v>
      </c>
      <c r="G9" cm="1">
        <f t="array" ref="G9">_xll.FDS(A9,"SIZE(FG_CONSTITUENTS)")</f>
        <v>81</v>
      </c>
      <c r="H9" s="9">
        <f t="shared" si="0"/>
        <v>0.27160493827160492</v>
      </c>
      <c r="I9" s="9">
        <f t="shared" si="1"/>
        <v>0.55555555555555558</v>
      </c>
      <c r="J9" s="9">
        <f t="shared" si="2"/>
        <v>-0.28395061728395066</v>
      </c>
      <c r="K9" s="5" cm="1">
        <f t="array" ref="K9">_xll.FDS(A9,"FMA_PCT_ABOVE_MAVG(200,0,,,,""PORTAGG"")")/100</f>
        <v>0.65</v>
      </c>
      <c r="L9" s="41" cm="1">
        <f t="array" ref="L9">_xll.FDSB(A9,"PERCENT_CHANGE(FMA_EPS(+1,0,,,,""PORTAGG"",""MEAN""),FMA_EPS(+1,-1AM,,,,""PORTAGG"",""MEAN""))")</f>
        <v>-0.87164996084791402</v>
      </c>
      <c r="M9" s="41" cm="1">
        <f t="array" ref="M9">_xll.FDSB(A9,"PERCENT_CHANGE(FMA_EPS(+1,0,,,,""PORTAGG"",""MEAN""),FMA_EPS(+1,-3AM,,,,""PORTAGG"",""MEAN""))")</f>
        <v>-1.35858940419601E-2</v>
      </c>
      <c r="N9" s="3" cm="1">
        <f t="array" ref="N9">_xll.FDS(C9,"FG_TOTAL_RETURNC(0,-1AM)")</f>
        <v>2.796805</v>
      </c>
      <c r="O9" s="3" cm="1">
        <f t="array" ref="O9">_xll.FDS(C9,"FG_TOTAL_RETURNC(0,-3AM)")</f>
        <v>5.4418445000000002</v>
      </c>
      <c r="P9" s="3" cm="1">
        <f t="array" ref="P9">_xll.FDS(C9,"FG_TOTAL_RETURNC(0,-6AM)")</f>
        <v>12.516534999999999</v>
      </c>
      <c r="Q9" s="9" cm="1">
        <f t="array" ref="Q9">_xll.FDS(C9,"P_PRICE(0)/P_PRICE_HIGH_PR(0,,,,,,""PRICE"",""INTRA"",""52W"")")</f>
        <v>0.97973619999999995</v>
      </c>
      <c r="R9" s="9" cm="1">
        <f t="array" ref="R9">_xll.FDS(C9,"P_PRICE(0)/P_PRICE_low_PR(0,,,,,,""PRICE"",""INTRA"",""52W"")-1")</f>
        <v>0.19508958000000001</v>
      </c>
      <c r="S9" s="3" cm="1">
        <f t="array" ref="S9">_xll.FDS(C9,"FG_TOTAL_RETURNC(0,-12AM)")</f>
        <v>11.884665500000001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85.7</v>
      </c>
      <c r="Y9" s="201" cm="1">
        <f t="array" ref="Y9">_xlfn.PERCENTRANK.EXC(_xlfn._xlws.FILTER($S$3:$S$15, ISNUMBER($S$3:$S$15)),S9)*100</f>
        <v>57.099999999999994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21.4</v>
      </c>
      <c r="AB9" s="4" cm="1">
        <f t="array" ref="AB9">_xlfn.PERCENTRANK.EXC(_xlfn._xlws.FILTER($J$3:$J$15, ISNUMBER($J$3:$J$15)),J9)*100</f>
        <v>14.2</v>
      </c>
      <c r="AC9" s="4">
        <f t="shared" si="4"/>
        <v>28.499999999999996</v>
      </c>
      <c r="AD9" s="4">
        <f t="shared" si="5"/>
        <v>71.399999999999991</v>
      </c>
      <c r="AE9" s="4">
        <f t="shared" si="6"/>
        <v>71.399999999999991</v>
      </c>
      <c r="AF9" s="4">
        <f>'Economic Momentum'!Q10</f>
        <v>78.5</v>
      </c>
      <c r="AG9" s="4">
        <f ca="1">'Economic Momentum'!R10</f>
        <v>78.5</v>
      </c>
      <c r="AH9" s="4">
        <f t="shared" ca="1" si="7"/>
        <v>76.37</v>
      </c>
      <c r="AJ9" s="3" cm="1">
        <f t="array" aca="1" ref="AJ9" ca="1">_xlfn.PERCENTRANK.EXC(_xlfn._xlws.FILTER($AH$3:$AH$15, ISNUMBER($AH$3:$AH$15)),AH9)*100</f>
        <v>85.7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56951612</v>
      </c>
      <c r="E10" cm="1">
        <f t="array" ref="E10">_xll.FDS(C10,"FMA_COS_UP(""EPS"",""1M"",+1,0,,,""PORTAGG"",""MEANR"")")</f>
        <v>39</v>
      </c>
      <c r="F10" cm="1">
        <f t="array" ref="F10">_xll.FDS(C10,"FMA_COS_DOWN(""EPS"",""1M"",+1,0,,,""PORTAGG"",""MEANR"")")</f>
        <v>37</v>
      </c>
      <c r="G10" cm="1">
        <f t="array" ref="G10">_xll.FDS(A10,"SIZE(FG_CONSTITUENTS)")</f>
        <v>102</v>
      </c>
      <c r="H10" s="9">
        <f t="shared" si="0"/>
        <v>0.38235294117647056</v>
      </c>
      <c r="I10" s="9">
        <f t="shared" si="1"/>
        <v>0.36274509803921567</v>
      </c>
      <c r="J10" s="9">
        <f t="shared" si="2"/>
        <v>1.9607843137254888E-2</v>
      </c>
      <c r="K10" s="5" cm="1">
        <f t="array" ref="K10">_xll.FDS(A10,"FMA_PCT_ABOVE_MAVG(200,0,,,,""PORTAGG"")")/100</f>
        <v>0.63725490196078394</v>
      </c>
      <c r="L10" s="41" cm="1">
        <f t="array" ref="L10">_xll.FDSB(A10,"PERCENT_CHANGE(FMA_EPS(+1,0,,,,""PORTAGG"",""MEAN""),FMA_EPS(+1,-1AM,,,,""PORTAGG"",""MEAN""))")</f>
        <v>-0.140557886396838</v>
      </c>
      <c r="M10" s="41" cm="1">
        <f t="array" ref="M10">_xll.FDSB(A10,"PERCENT_CHANGE(FMA_EPS(+1,0,,,,""PORTAGG"",""MEAN""),FMA_EPS(+1,-3AM,,,,""PORTAGG"",""MEAN""))")</f>
        <v>0.36400264640908098</v>
      </c>
      <c r="N10" s="3" cm="1">
        <f t="array" ref="N10">_xll.FDS(C10,"FG_TOTAL_RETURNC(0,-1AM)")</f>
        <v>-3.622204</v>
      </c>
      <c r="O10" s="3" cm="1">
        <f t="array" ref="O10">_xll.FDS(C10,"FG_TOTAL_RETURNC(0,-3AM)")</f>
        <v>7.5902224</v>
      </c>
      <c r="P10" s="3" cm="1">
        <f t="array" ref="P10">_xll.FDS(C10,"FG_TOTAL_RETURNC(0,-6AM)")</f>
        <v>9.5589279999999999</v>
      </c>
      <c r="Q10" s="9" cm="1">
        <f t="array" ref="Q10">_xll.FDS(C10,"P_PRICE(0)/P_PRICE_HIGH_PR(0,,,,,,""PRICE"",""INTRA"",""52W"")")</f>
        <v>0.91946700000000003</v>
      </c>
      <c r="R10" s="9" cm="1">
        <f t="array" ref="R10">_xll.FDS(C10,"P_PRICE(0)/P_PRICE_low_PR(0,,,,,,""PRICE"",""INTRA"",""52W"")-1")</f>
        <v>0.35232950000000002</v>
      </c>
      <c r="S10" s="3" cm="1">
        <f t="array" ref="S10">_xll.FDS(C10,"FG_TOTAL_RETURNC(0,-12AM)")</f>
        <v>23.479604999999999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85.7</v>
      </c>
      <c r="X10" s="4" cm="1">
        <f t="array" ref="X10">_xlfn.PERCENTRANK.EXC(_xlfn._xlws.FILTER($P$3:$P$15, ISNUMBER($P$3:$P$15)),P10)*100</f>
        <v>71.399999999999991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64.2</v>
      </c>
      <c r="AB10" s="4" cm="1">
        <f t="array" ref="AB10">_xlfn.PERCENTRANK.EXC(_xlfn._xlws.FILTER($J$3:$J$15, ISNUMBER($J$3:$J$15)),J10)*100</f>
        <v>78.5</v>
      </c>
      <c r="AC10" s="4">
        <f t="shared" si="4"/>
        <v>57.099999999999994</v>
      </c>
      <c r="AD10" s="4">
        <f t="shared" si="5"/>
        <v>78.5</v>
      </c>
      <c r="AE10" s="4">
        <f t="shared" si="6"/>
        <v>85.7</v>
      </c>
      <c r="AF10" s="4">
        <f>'Economic Momentum'!Q11</f>
        <v>85.7</v>
      </c>
      <c r="AG10" s="4">
        <f ca="1">'Economic Momentum'!R11</f>
        <v>21.4</v>
      </c>
      <c r="AH10" s="4">
        <f t="shared" ca="1" si="7"/>
        <v>55.69</v>
      </c>
      <c r="AJ10" s="3" cm="1">
        <f t="array" aca="1" ref="AJ10" ca="1">_xlfn.PERCENTRANK.EXC(_xlfn._xlws.FILTER($AH$3:$AH$15, ISNUMBER($AH$3:$AH$15)),AH10)*100</f>
        <v>50</v>
      </c>
      <c r="AK10">
        <f t="shared" si="8"/>
        <v>4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56951612</v>
      </c>
      <c r="E11" cm="1">
        <f t="array" ref="E11">_xll.FDS(C11,"FMA_COS_UP(""EPS"",""1M"",+1,0,,,""PORTAGG"",""MEANR"")")</f>
        <v>184</v>
      </c>
      <c r="F11" cm="1">
        <f t="array" ref="F11">_xll.FDS(C11,"FMA_COS_DOWN(""EPS"",""1M"",+1,0,,,""PORTAGG"",""MEANR"")")</f>
        <v>223</v>
      </c>
      <c r="G11" cm="1">
        <f t="array" ref="G11">_xll.FDS(A11,"SIZE(FG_CONSTITUENTS)")</f>
        <v>503</v>
      </c>
      <c r="H11" s="9">
        <f t="shared" si="0"/>
        <v>0.36580516898608351</v>
      </c>
      <c r="I11" s="9">
        <f t="shared" si="1"/>
        <v>0.44333996023856859</v>
      </c>
      <c r="J11" s="9">
        <f t="shared" si="2"/>
        <v>-7.753479125248508E-2</v>
      </c>
      <c r="K11" s="5" cm="1">
        <f t="array" ref="K11">_xll.FDS(A11,"FMA_PCT_ABOVE_MAVG(200,0,,,,""PORTAGG"")")/100</f>
        <v>0.69461077844311403</v>
      </c>
      <c r="L11" s="41" cm="1">
        <f t="array" ref="L11">_xll.FDSB(A11,"PERCENT_CHANGE(FMA_EPS(+1,0,,,,""PORTAGG"",""MEAN""),FMA_EPS(+1,-1AM,,,,""PORTAGG"",""MEAN""))")</f>
        <v>-0.12839510604629101</v>
      </c>
      <c r="M11" s="41" cm="1">
        <f t="array" ref="M11">_xll.FDSB(A11,"PERCENT_CHANGE(FMA_EPS(+1,0,,,,""PORTAGG"",""MEAN""),FMA_EPS(+1,-3AM,,,,""PORTAGG"",""MEAN""))")</f>
        <v>-0.17176498470088999</v>
      </c>
      <c r="N11" s="3" cm="1">
        <f t="array" ref="N11">_xll.FDS(C11,"FG_TOTAL_RETURNC(0,-1AM)")</f>
        <v>-0.19614697</v>
      </c>
      <c r="O11" s="3" cm="1">
        <f t="array" ref="O11">_xll.FDS(C11,"FG_TOTAL_RETURNC(0,-3AM)")</f>
        <v>7.4644446000000002</v>
      </c>
      <c r="P11" s="3" cm="1">
        <f t="array" ref="P11">_xll.FDS(C11,"FG_TOTAL_RETURNC(0,-6AM)")</f>
        <v>12.412034999999999</v>
      </c>
      <c r="Q11" s="9" cm="1">
        <f t="array" ref="Q11">_xll.FDS(C11,"P_PRICE(0)/P_PRICE_HIGH_PR(0,,,,,,""PRICE"",""INTRA"",""52W"")")</f>
        <v>0.96333784</v>
      </c>
      <c r="R11" s="9" cm="1">
        <f t="array" ref="R11">_xll.FDS(C11,"P_PRICE(0)/P_PRICE_low_PR(0,,,,,,""PRICE"",""INTRA"",""52W"")-1")</f>
        <v>0.33046603000000002</v>
      </c>
      <c r="S11" s="3" cm="1">
        <f t="array" ref="S11">_xll.FDS(C11,"FG_TOTAL_RETURNC(0,-12AM)")</f>
        <v>21.204163000000001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71.399999999999991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78.5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57.099999999999994</v>
      </c>
      <c r="AB11" s="4" cm="1">
        <f t="array" ref="AB11">_xlfn.PERCENTRANK.EXC(_xlfn._xlws.FILTER($J$3:$J$15, ISNUMBER($J$3:$J$15)),J11)*100</f>
        <v>50</v>
      </c>
      <c r="AC11" s="4">
        <f t="shared" si="4"/>
        <v>64.2</v>
      </c>
      <c r="AD11" s="4">
        <f t="shared" si="5"/>
        <v>64.2</v>
      </c>
      <c r="AE11" s="4">
        <f t="shared" si="6"/>
        <v>85.7</v>
      </c>
      <c r="AF11" s="4">
        <f>'Economic Momentum'!Q12</f>
        <v>85.7</v>
      </c>
      <c r="AG11" s="4">
        <f ca="1">'Economic Momentum'!R12</f>
        <v>21.4</v>
      </c>
      <c r="AH11" s="4">
        <f t="shared" ca="1" si="7"/>
        <v>75.66</v>
      </c>
      <c r="AJ11" s="3" cm="1">
        <f t="array" aca="1" ref="AJ11" ca="1">_xlfn.PERCENTRANK.EXC(_xlfn._xlws.FILTER($AH$3:$AH$15, ISNUMBER($AH$3:$AH$15)),AH11)*100</f>
        <v>78.5</v>
      </c>
      <c r="AK11">
        <f t="shared" si="8"/>
        <v>5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3147640.5</v>
      </c>
      <c r="E12" cm="1">
        <f t="array" ref="E12">_xll.FDS(C12,"FMA_COS_UP(""EPS"",""1M"",+1,0,,,""PORTAGG"",""MEANR"")")</f>
        <v>18</v>
      </c>
      <c r="F12" cm="1">
        <f t="array" ref="F12">_xll.FDS(C12,"FMA_COS_DOWN(""EPS"",""1M"",+1,0,,,""PORTAGG"",""MEANR"")")</f>
        <v>37</v>
      </c>
      <c r="G12" cm="1">
        <f t="array" ref="G12">_xll.FDS(A12,"SIZE(FG_CONSTITUENTS)")</f>
        <v>63</v>
      </c>
      <c r="H12" s="9">
        <f t="shared" ref="H12:H15" si="9">E12/$G12</f>
        <v>0.2857142857142857</v>
      </c>
      <c r="I12" s="9">
        <f t="shared" ref="I12:I15" si="10">F12/$G12</f>
        <v>0.58730158730158732</v>
      </c>
      <c r="J12" s="9">
        <f t="shared" ref="J12:J15" si="11">H12-I12</f>
        <v>-0.30158730158730163</v>
      </c>
      <c r="K12" s="5" cm="1">
        <f t="array" ref="K12">_xll.FDS(A12,"FMA_PCT_ABOVE_MAVG(200,0,,,,""PORTAGG"")")/100</f>
        <v>0.45161290322580599</v>
      </c>
      <c r="L12" s="41" cm="1">
        <f t="array" ref="L12">_xll.FDSB(A12,"PERCENT_CHANGE(FMA_EPS(+1,0,,,,""PORTAGG"",""MEAN""),FMA_EPS(+1,-1AM,,,,""PORTAGG"",""MEAN""))")</f>
        <v>-5.37371048478806E-2</v>
      </c>
      <c r="M12" s="41" cm="1">
        <f t="array" ref="M12">_xll.FDSB(A12,"PERCENT_CHANGE(FMA_EPS(+1,0,,,,""PORTAGG"",""MEAN""),FMA_EPS(+1,-3AM,,,,""PORTAGG"",""MEAN""))")</f>
        <v>-1.27728187207148</v>
      </c>
      <c r="N12" s="3" cm="1">
        <f t="array" ref="N12">_xll.FDS(C12,"FG_TOTAL_RETURNC(0,-1AM)")</f>
        <v>1.0449409999999999</v>
      </c>
      <c r="O12" s="3" cm="1">
        <f t="array" ref="O12">_xll.FDS(C12,"FG_TOTAL_RETURNC(0,-3AM)")</f>
        <v>-2.6836156999999998</v>
      </c>
      <c r="P12" s="3" cm="1">
        <f t="array" ref="P12">_xll.FDS(C12,"FG_TOTAL_RETURNC(0,-6AM)")</f>
        <v>1.4575123999999999</v>
      </c>
      <c r="Q12" s="9" cm="1">
        <f t="array" ref="Q12">_xll.FDS(C12,"P_PRICE(0)/P_PRICE_HIGH_PR(0,,,,,,""PRICE"",""INTRA"",""52W"")")</f>
        <v>0.90798129999999999</v>
      </c>
      <c r="R12" s="9" cm="1">
        <f t="array" ref="R12">_xll.FDS(C12,"P_PRICE(0)/P_PRICE_low_PR(0,,,,,,""PRICE"",""INTRA"",""52W"")-1")</f>
        <v>0.14913845000000001</v>
      </c>
      <c r="S12" s="3" cm="1">
        <f t="array" ref="S12">_xll.FDS(C12,"FG_TOTAL_RETURNC(0,-12AM)")</f>
        <v>2.8565645000000002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7.1</v>
      </c>
      <c r="AC12" s="4">
        <f t="shared" si="4"/>
        <v>71.399999999999991</v>
      </c>
      <c r="AD12" s="4">
        <f t="shared" si="5"/>
        <v>42.8</v>
      </c>
      <c r="AE12" s="4">
        <f t="shared" si="6"/>
        <v>64.2</v>
      </c>
      <c r="AF12" s="4">
        <f>'Economic Momentum'!Q13</f>
        <v>28.499999999999996</v>
      </c>
      <c r="AG12" s="4">
        <f ca="1">'Economic Momentum'!R13</f>
        <v>50</v>
      </c>
      <c r="AH12" s="4">
        <f t="shared" ca="1" si="7"/>
        <v>9.23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1095033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28</v>
      </c>
      <c r="G13" cm="1">
        <f t="array" ref="G13">_xll.FDS(A13,"SIZE(FG_CONSTITUENTS)")</f>
        <v>53</v>
      </c>
      <c r="H13" s="9">
        <f t="shared" si="9"/>
        <v>0.28301886792452829</v>
      </c>
      <c r="I13" s="9">
        <f t="shared" si="10"/>
        <v>0.52830188679245282</v>
      </c>
      <c r="J13" s="9">
        <f t="shared" si="11"/>
        <v>-0.24528301886792453</v>
      </c>
      <c r="K13" s="5" cm="1">
        <f t="array" ref="K13">_xll.FDS(A13,"FMA_PCT_ABOVE_MAVG(200,0,,,,""PORTAGG"")")/100</f>
        <v>0.58490566037735803</v>
      </c>
      <c r="L13" s="41" cm="1">
        <f t="array" ref="L13">_xll.FDSB(A13,"PERCENT_CHANGE(FMA_EPS(+1,0,,,,""PORTAGG"",""MEAN""),FMA_EPS(+1,-1AM,,,,""PORTAGG"",""MEAN""))")</f>
        <v>-0.71073868934070705</v>
      </c>
      <c r="M13" s="41" cm="1">
        <f t="array" ref="M13">_xll.FDSB(A13,"PERCENT_CHANGE(FMA_EPS(+1,0,,,,""PORTAGG"",""MEAN""),FMA_EPS(+1,-3AM,,,,""PORTAGG"",""MEAN""))")</f>
        <v>-2.7346740606120101</v>
      </c>
      <c r="N13" s="3" cm="1">
        <f t="array" ref="N13">_xll.FDS(C13,"FG_TOTAL_RETURNC(0,-1AM)")</f>
        <v>-2.8292476999999998</v>
      </c>
      <c r="O13" s="3" cm="1">
        <f t="array" ref="O13">_xll.FDS(C13,"FG_TOTAL_RETURNC(0,-3AM)")</f>
        <v>1.8801570000000001</v>
      </c>
      <c r="P13" s="3" cm="1">
        <f t="array" ref="P13">_xll.FDS(C13,"FG_TOTAL_RETURNC(0,-6AM)")</f>
        <v>7.3578239999999999</v>
      </c>
      <c r="Q13" s="9" cm="1">
        <f t="array" ref="Q13">_xll.FDS(C13,"P_PRICE(0)/P_PRICE_HIGH_PR(0,,,,,,""PRICE"",""INTRA"",""52W"")")</f>
        <v>0.91966813999999997</v>
      </c>
      <c r="R13" s="9" cm="1">
        <f t="array" ref="R13">_xll.FDS(C13,"P_PRICE(0)/P_PRICE_low_PR(0,,,,,,""PRICE"",""INTRA"",""52W"")-1")</f>
        <v>0.34389639999999999</v>
      </c>
      <c r="S13" s="3" cm="1">
        <f t="array" ref="S13">_xll.FDS(C13,"FG_TOTAL_RETURNC(0,-12AM)")</f>
        <v>12.898540499999999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28.499999999999996</v>
      </c>
      <c r="W13" s="4" cm="1">
        <f t="array" ref="W13">_xlfn.PERCENTRANK.EXC(_xlfn._xlws.FILTER($O$3:$O$15, ISNUMBER($O$3:$O$15)),O13)*100</f>
        <v>14.2</v>
      </c>
      <c r="X13" s="4" cm="1">
        <f t="array" ref="X13">_xlfn.PERCENTRANK.EXC(_xlfn._xlws.FILTER($P$3:$P$15, ISNUMBER($P$3:$P$15)),P13)*100</f>
        <v>50</v>
      </c>
      <c r="Y13" s="201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28.499999999999996</v>
      </c>
      <c r="AC13" s="4">
        <f t="shared" si="4"/>
        <v>35.699999999999996</v>
      </c>
      <c r="AD13" s="4">
        <f t="shared" si="5"/>
        <v>7.1</v>
      </c>
      <c r="AE13" s="4">
        <f t="shared" si="6"/>
        <v>28.499999999999996</v>
      </c>
      <c r="AF13" s="4">
        <f>'Economic Momentum'!Q14</f>
        <v>71.399999999999991</v>
      </c>
      <c r="AG13" s="4">
        <f ca="1">'Economic Momentum'!R14</f>
        <v>85.7</v>
      </c>
      <c r="AH13" s="4">
        <f t="shared" ca="1" si="7"/>
        <v>30.659999999999997</v>
      </c>
      <c r="AJ13" s="3" cm="1">
        <f t="array" aca="1" ref="AJ13" ca="1">_xlfn.PERCENTRANK.EXC(_xlfn._xlws.FILTER($AH$3:$AH$15, ISNUMBER($AH$3:$AH$15)),AH13)*100</f>
        <v>21.4</v>
      </c>
      <c r="AK13">
        <f t="shared" si="8"/>
        <v>0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1009585.7</v>
      </c>
      <c r="E14" cm="1">
        <f t="array" ref="E14">_xll.FDS(C14,"FMA_COS_UP(""EPS"",""1M"",+1,0,,,""PORTAGG"",""MEANR"")")</f>
        <v>12</v>
      </c>
      <c r="F14" cm="1">
        <f t="array" ref="F14">_xll.FDS(C14,"FMA_COS_DOWN(""EPS"",""1M"",+1,0,,,""PORTAGG"",""MEANR"")")</f>
        <v>25</v>
      </c>
      <c r="G14" cm="1">
        <f t="array" ref="G14">_xll.FDS(A14,"SIZE(FG_CONSTITUENTS)")</f>
        <v>46</v>
      </c>
      <c r="H14" s="9">
        <f t="shared" si="9"/>
        <v>0.2608695652173913</v>
      </c>
      <c r="I14" s="9">
        <f t="shared" si="10"/>
        <v>0.54347826086956519</v>
      </c>
      <c r="J14" s="9">
        <f t="shared" si="11"/>
        <v>-0.28260869565217389</v>
      </c>
      <c r="K14" s="5" cm="1">
        <f t="array" ref="K14">_xll.FDS(A14,"FMA_PCT_ABOVE_MAVG(200,0,,,,""PORTAGG"")")/100</f>
        <v>0.70454545454545492</v>
      </c>
      <c r="L14" s="41" cm="1">
        <f t="array" ref="L14">_xll.FDSB(A14,"PERCENT_CHANGE(FMA_EPS(+1,0,,,,""PORTAGG"",""MEAN""),FMA_EPS(+1,-1AM,,,,""PORTAGG"",""MEAN""))")</f>
        <v>-4.7788926032197399</v>
      </c>
      <c r="M14" s="41" cm="1">
        <f t="array" ref="M14">_xll.FDSB(A14,"PERCENT_CHANGE(FMA_EPS(+1,0,,,,""PORTAGG"",""MEAN""),FMA_EPS(+1,-3AM,,,,""PORTAGG"",""MEAN""))")</f>
        <v>-2.0261744713398699</v>
      </c>
      <c r="N14" s="3" cm="1">
        <f t="array" ref="N14">_xll.FDS(C14,"FG_TOTAL_RETURNC(0,-1AM)")</f>
        <v>-1.220429</v>
      </c>
      <c r="O14" s="3" cm="1">
        <f t="array" ref="O14">_xll.FDS(C14,"FG_TOTAL_RETURNC(0,-3AM)")</f>
        <v>3.1193852</v>
      </c>
      <c r="P14" s="3" cm="1">
        <f t="array" ref="P14">_xll.FDS(C14,"FG_TOTAL_RETURNC(0,-6AM)")</f>
        <v>8.0983280000000004</v>
      </c>
      <c r="Q14" s="9" cm="1">
        <f t="array" ref="Q14">_xll.FDS(C14,"P_PRICE(0)/P_PRICE_HIGH_PR(0,,,,,,""PRICE"",""INTRA"",""52W"")")</f>
        <v>0.92989445000000004</v>
      </c>
      <c r="R14" s="9" cm="1">
        <f t="array" ref="R14">_xll.FDS(C14,"P_PRICE(0)/P_PRICE_low_PR(0,,,,,,""PRICE"",""INTRA"",""52W"")-1")</f>
        <v>0.29248822000000002</v>
      </c>
      <c r="S14" s="3" cm="1">
        <f t="array" ref="S14">_xll.FDS(C14,"FG_TOTAL_RETURNC(0,-12AM)")</f>
        <v>14.420092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35.699999999999996</v>
      </c>
      <c r="X14" s="4" cm="1">
        <f t="array" ref="X14">_xlfn.PERCENTRANK.EXC(_xlfn._xlws.FILTER($P$3:$P$15, ISNUMBER($P$3:$P$15)),P14)*100</f>
        <v>57.099999999999994</v>
      </c>
      <c r="Y14" s="201" cm="1">
        <f t="array" ref="Y14">_xlfn.PERCENTRANK.EXC(_xlfn._xlws.FILTER($S$3:$S$15, ISNUMBER($S$3:$S$15)),S14)*100</f>
        <v>71.399999999999991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21.4</v>
      </c>
      <c r="AC14" s="4">
        <f t="shared" si="4"/>
        <v>7.1</v>
      </c>
      <c r="AD14" s="4">
        <f t="shared" si="5"/>
        <v>28.499999999999996</v>
      </c>
      <c r="AE14" s="4">
        <f t="shared" si="6"/>
        <v>21.4</v>
      </c>
      <c r="AF14" s="4">
        <f>'Economic Momentum'!Q15</f>
        <v>57.099999999999994</v>
      </c>
      <c r="AG14" s="4">
        <f ca="1">'Economic Momentum'!R15</f>
        <v>71.399999999999991</v>
      </c>
      <c r="AH14" s="4">
        <f t="shared" ca="1" si="7"/>
        <v>42.12</v>
      </c>
      <c r="AJ14" s="3" cm="1">
        <f t="array" aca="1" ref="AJ14" ca="1">_xlfn.PERCENTRANK.EXC(_xlfn._xlws.FILTER($AH$3:$AH$15, ISNUMBER($AH$3:$AH$15)),AH14)*100</f>
        <v>35.699999999999996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871803.25</v>
      </c>
      <c r="E15" cm="1">
        <f t="array" ref="E15">_xll.FDS(C15,"FMA_COS_UP(""EPS"",""1M"",+1,0,,,""PORTAGG"",""MEANR"")")</f>
        <v>10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9">
        <f t="shared" si="9"/>
        <v>0.38461538461538464</v>
      </c>
      <c r="I15" s="9">
        <f t="shared" si="10"/>
        <v>0.42307692307692307</v>
      </c>
      <c r="J15" s="9">
        <f t="shared" si="11"/>
        <v>-3.8461538461538436E-2</v>
      </c>
      <c r="K15" s="5" cm="1">
        <f t="array" ref="K15">_xll.FDS(A15,"FMA_PCT_ABOVE_MAVG(200,0,,,,""PORTAGG"")")/100</f>
        <v>0.56000000000000005</v>
      </c>
      <c r="L15" s="41" cm="1">
        <f t="array" ref="L15">_xll.FDSB(A15,"PERCENT_CHANGE(FMA_EPS(+1,0,,,,""PORTAGG"",""MEAN""),FMA_EPS(+1,-1AM,,,,""PORTAGG"",""MEAN""))")</f>
        <v>-0.48792868726270699</v>
      </c>
      <c r="M15" s="41" cm="1">
        <f t="array" ref="M15">_xll.FDSB(A15,"PERCENT_CHANGE(FMA_EPS(+1,0,,,,""PORTAGG"",""MEAN""),FMA_EPS(+1,-3AM,,,,""PORTAGG"",""MEAN""))")</f>
        <v>-2.7073172770246301</v>
      </c>
      <c r="N15" s="3" cm="1">
        <f t="array" ref="N15">_xll.FDS(C15,"FG_TOTAL_RETURNC(0,-1AM)")</f>
        <v>3.6197900000000001</v>
      </c>
      <c r="O15" s="3" cm="1">
        <f t="array" ref="O15">_xll.FDS(C15,"FG_TOTAL_RETURNC(0,-3AM)")</f>
        <v>3.1919955999999998</v>
      </c>
      <c r="P15" s="3" cm="1">
        <f t="array" ref="P15">_xll.FDS(C15,"FG_TOTAL_RETURNC(0,-6AM)")</f>
        <v>14.849674</v>
      </c>
      <c r="Q15" s="9" cm="1">
        <f t="array" ref="Q15">_xll.FDS(C15,"P_PRICE(0)/P_PRICE_HIGH_PR(0,,,,,,""PRICE"",""INTRA"",""52W"")")</f>
        <v>0.95250195000000004</v>
      </c>
      <c r="R15" s="9" cm="1">
        <f t="array" ref="R15">_xll.FDS(C15,"P_PRICE(0)/P_PRICE_low_PR(0,,,,,,""PRICE"",""INTRA"",""52W"")-1")</f>
        <v>0.29243492999999998</v>
      </c>
      <c r="S15" s="3" cm="1">
        <f t="array" ref="S15">_xll.FDS(C15,"FG_TOTAL_RETURNC(0,-12AM)")</f>
        <v>17.209387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42.8</v>
      </c>
      <c r="W15" s="4" cm="1">
        <f t="array" ref="W15">_xlfn.PERCENTRANK.EXC(_xlfn._xlws.FILTER($O$3:$O$15, ISNUMBER($O$3:$O$15)),O15)*100</f>
        <v>42.8</v>
      </c>
      <c r="X15" s="4" cm="1">
        <f t="array" ref="X15">_xlfn.PERCENTRANK.EXC(_xlfn._xlws.FILTER($P$3:$P$15, ISNUMBER($P$3:$P$15)),P15)*100</f>
        <v>92.800000000000011</v>
      </c>
      <c r="Y15" s="201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14.2</v>
      </c>
      <c r="AA15" s="4" cm="1">
        <f t="array" ref="AA15">_xlfn.PERCENTRANK.EXC(_xlfn._xlws.FILTER($H$3:$H$15, ISNUMBER($H$3:$H$15)),H15)*100</f>
        <v>71.399999999999991</v>
      </c>
      <c r="AB15" s="4" cm="1">
        <f t="array" ref="AB15">_xlfn.PERCENTRANK.EXC(_xlfn._xlws.FILTER($J$3:$J$15, ISNUMBER($J$3:$J$15)),J15)*100</f>
        <v>71.399999999999991</v>
      </c>
      <c r="AC15" s="4">
        <f t="shared" si="4"/>
        <v>42.8</v>
      </c>
      <c r="AD15" s="4">
        <f t="shared" si="5"/>
        <v>14.2</v>
      </c>
      <c r="AE15" s="4">
        <f t="shared" si="6"/>
        <v>14.2</v>
      </c>
      <c r="AF15" s="4">
        <f>'Economic Momentum'!Q16</f>
        <v>35.699999999999996</v>
      </c>
      <c r="AG15" s="4">
        <f ca="1">'Economic Momentum'!R16</f>
        <v>7.1</v>
      </c>
      <c r="AH15" s="4">
        <f t="shared" ca="1" si="7"/>
        <v>57.800000000000004</v>
      </c>
      <c r="AJ15" s="3" cm="1">
        <f t="array" aca="1" ref="AJ15" ca="1">_xlfn.PERCENTRANK.EXC(_xlfn._xlws.FILTER($AH$3:$AH$15, ISNUMBER($AH$3:$AH$15)),AH15)*100</f>
        <v>64.2</v>
      </c>
      <c r="AK15">
        <f t="shared" si="8"/>
        <v>4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464</v>
      </c>
      <c r="F18" cm="1">
        <f t="array" ref="F18">_xll.FDS(C18,"FMA_COS_DOWN(""EPS"",""1M"",+1,0,,,""PORTAGG"",""MEANR"")")</f>
        <v>488</v>
      </c>
      <c r="G18" cm="1">
        <f t="array" ref="G18">_xll.FDS(A18,"SIZE(FG_CONSTITUENTS)")</f>
        <v>1283</v>
      </c>
      <c r="H18" s="9">
        <f>E18/$G18</f>
        <v>0.36165237724084176</v>
      </c>
      <c r="I18" s="9">
        <f>F18/$G18</f>
        <v>0.38035853468433362</v>
      </c>
      <c r="J18" s="9">
        <f t="shared" ref="J18" si="13">H18-I18</f>
        <v>-1.8706157443491855E-2</v>
      </c>
      <c r="K18" s="5" cm="1">
        <f t="array" ref="K18">_xll.FDS(A18,"FMA_PCT_ABOVE_MAVG(200,0,,,,""PORTAGG"")")/100</f>
        <v>0.60111464968152906</v>
      </c>
      <c r="L18" s="41" cm="1">
        <f t="array" ref="L18">_xll.FDSB(A18,"PERCENT_CHANGE(FMA_EPS(+1,0,,,,""PORTAGG"",""MEAN""),FMA_EPS(+1,-1AM,,,,""PORTAGG"",""MEAN""))")</f>
        <v>-2.8688189546545799</v>
      </c>
      <c r="M18" s="41" cm="1">
        <f t="array" ref="M18">_xll.FDSB(A18,"PERCENT_CHANGE(FMA_EPS(+1,0,,,,""PORTAGG"",""MEAN""),FMA_EPS(+1,-3AM,,,,""PORTAGG"",""MEAN""))")</f>
        <v>0.28871996162305402</v>
      </c>
      <c r="N18" s="3" cm="1">
        <f t="array" ref="N18">_xll.FDS(C18,"FG_TOTAL_RETURNC(0,-1AM)")</f>
        <v>1.7779826999999999</v>
      </c>
      <c r="O18" s="3" cm="1">
        <f t="array" ref="O18">_xll.FDS(C18,"FG_TOTAL_RETURNC(0,-3AM)")</f>
        <v>4.1843890000000004</v>
      </c>
      <c r="P18" s="3" cm="1">
        <f t="array" ref="P18">_xll.FDS(C18,"FG_TOTAL_RETURNC(0,-6AM)")</f>
        <v>8.7942599999999995</v>
      </c>
      <c r="Q18" s="9" cm="1">
        <f t="array" ref="Q18">_xll.FDS(C18,"P_PRICE(0)/P_PRICE_HIGH_PR(0,,,,,,""PRICE"",""INTRA"",""52W"")")</f>
        <v>0.96384860000000006</v>
      </c>
      <c r="R18" s="9" cm="1">
        <f t="array" ref="R18">_xll.FDS(C18,"P_PRICE(0)/P_PRICE_low_PR(0,,,,,,""PRICE"",""INTRA"",""52W"")-1")</f>
        <v>0.23719585000000001</v>
      </c>
      <c r="S18" s="3" cm="1">
        <f t="array" ref="S18">_xll.FDS(C18,"FG_TOTAL_RETURNC(0,-12AM)")</f>
        <v>11.086071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820</v>
      </c>
      <c r="F19" cm="1">
        <f t="array" ref="F19">_xll.FDS(C19,"FMA_COS_DOWN(""EPS"",""1M"",+1,0,,,""PORTAGG"",""MEANR"")")</f>
        <v>971</v>
      </c>
      <c r="G19" cm="1">
        <f t="array" ref="G19">_xll.FDS(A19,"SIZE(FG_CONSTITUENTS)")</f>
        <v>4776</v>
      </c>
      <c r="H19" s="9">
        <f>E19/$G19</f>
        <v>0.17169179229480738</v>
      </c>
      <c r="I19" s="9">
        <f>F19/$G19</f>
        <v>0.20330820770519262</v>
      </c>
      <c r="J19" s="9">
        <f t="shared" ref="J19" si="14">H19-I19</f>
        <v>-3.1616415410385235E-2</v>
      </c>
      <c r="K19" s="5" cm="1">
        <f t="array" ref="K19">_xll.FDS(A19,"FMA_PCT_ABOVE_MAVG(200,0,,,,""PORTAGG"")")/100</f>
        <v>0.402586206896552</v>
      </c>
      <c r="L19" s="41" cm="1">
        <f t="array" ref="L19">_xll.FDSB(A19,"PERCENT_CHANGE(FMA_EPS(+1,0,,,,""PORTAGG"",""MEAN""),FMA_EPS(+1,-1AM,,,,""PORTAGG"",""MEAN""))")</f>
        <v>170.81896501542801</v>
      </c>
      <c r="M19" s="41" cm="1">
        <f t="array" ref="M19">_xll.FDSB(A19,"PERCENT_CHANGE(FMA_EPS(+1,0,,,,""PORTAGG"",""MEAN""),FMA_EPS(+1,-3AM,,,,""PORTAGG"",""MEAN""))")</f>
        <v>-8.3227308731274494</v>
      </c>
      <c r="N19" s="3" cm="1">
        <f t="array" ref="N19">_xll.FDS(C19,"FG_TOTAL_RETURNC(0,-1AM)")</f>
        <v>0.11450051999999999</v>
      </c>
      <c r="O19" s="3" cm="1">
        <f t="array" ref="O19">_xll.FDS(C19,"FG_TOTAL_RETURNC(0,-3AM)")</f>
        <v>3.7086606</v>
      </c>
      <c r="P19" s="3" cm="1">
        <f t="array" ref="P19">_xll.FDS(C19,"FG_TOTAL_RETURNC(0,-6AM)")</f>
        <v>9.3877550000000003</v>
      </c>
      <c r="Q19" s="9" cm="1">
        <f t="array" ref="Q19">_xll.FDS(C19,"P_PRICE(0)/P_PRICE_HIGH_PR(0,,,,,,""PRICE"",""INTRA"",""52W"")")</f>
        <v>0.95615095000000005</v>
      </c>
      <c r="R19" s="9" cm="1">
        <f t="array" ref="R19">_xll.FDS(C19,"P_PRICE(0)/P_PRICE_low_PR(0,,,,,,""PRICE"",""INTRA"",""52W"")-1")</f>
        <v>0.16726732</v>
      </c>
      <c r="S19" s="3" cm="1">
        <f t="array" ref="S19">_xll.FDS(C19,"FG_TOTAL_RETURNC(0,-12AM)")</f>
        <v>6.5253614999999998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543</v>
      </c>
      <c r="F20" cm="1">
        <f t="array" ref="F20">_xll.FDS(C20,"FMA_COS_DOWN(""EPS"",""1M"",+1,0,,,""PORTAGG"",""MEANR"")")</f>
        <v>623</v>
      </c>
      <c r="G20" cm="1">
        <f t="array" ref="G20">_xll.FDS(A20,"SIZE(FG_CONSTITUENTS)")</f>
        <v>1430</v>
      </c>
      <c r="H20" s="9">
        <f t="shared" ref="H20" si="16">E20/$G20</f>
        <v>0.37972027972027972</v>
      </c>
      <c r="I20" s="9">
        <f t="shared" ref="I20" si="17">F20/$G20</f>
        <v>0.43566433566433566</v>
      </c>
      <c r="J20" s="9">
        <f t="shared" ref="J20" si="18">H20-I20</f>
        <v>-5.5944055944055937E-2</v>
      </c>
      <c r="K20" s="5" cm="1">
        <f t="array" ref="K20">_xll.FDS(A20,"FMA_PCT_ABOVE_MAVG(200,0,,,,""PORTAGG"")")/100</f>
        <v>0.65077138849929894</v>
      </c>
      <c r="L20" s="41" cm="1">
        <f t="array" ref="L20">_xll.FDSB(A20,"PERCENT_CHANGE(FMA_EPS(+1,0,,,,""PORTAGG"",""MEAN""),FMA_EPS(+1,-1AM,,,,""PORTAGG"",""MEAN""))")</f>
        <v>2.6663655338465701E-2</v>
      </c>
      <c r="M20" s="41" cm="1">
        <f t="array" ref="M20">_xll.FDSB(A20,"PERCENT_CHANGE(FMA_EPS(+1,0,,,,""PORTAGG"",""MEAN""),FMA_EPS(+1,-3AM,,,,""PORTAGG"",""MEAN""))")</f>
        <v>-0.49376654191326003</v>
      </c>
      <c r="N20" s="3" cm="1">
        <f t="array" ref="N20">_xll.FDS(C20,"FG_TOTAL_RETURNC(0,-1AM)")</f>
        <v>0.29113293000000001</v>
      </c>
      <c r="O20" s="3" cm="1">
        <f t="array" ref="O20">_xll.FDS(C20,"FG_TOTAL_RETURNC(0,-3AM)")</f>
        <v>6.0631513999999997</v>
      </c>
      <c r="P20" s="3" cm="1">
        <f t="array" ref="P20">_xll.FDS(C20,"FG_TOTAL_RETURNC(0,-6AM)")</f>
        <v>10.562611</v>
      </c>
      <c r="Q20" s="9" cm="1">
        <f t="array" ref="Q20">_xll.FDS(C20,"P_PRICE(0)/P_PRICE_HIGH_PR(0,,,,,,""PRICE"",""INTRA"",""52W"")")</f>
        <v>0.96551955</v>
      </c>
      <c r="R20" s="9" cm="1">
        <f t="array" ref="R20">_xll.FDS(C20,"P_PRICE(0)/P_PRICE_low_PR(0,,,,,,""PRICE"",""INTRA"",""52W"")-1")</f>
        <v>0.2914561</v>
      </c>
      <c r="S20" s="3" cm="1">
        <f t="array" ref="S20">_xll.FDS(C20,"FG_TOTAL_RETURNC(0,-12AM)")</f>
        <v>17.633236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104</v>
      </c>
      <c r="F21" cm="1">
        <f t="array" ref="F21">_xll.FDS(C21,"FMA_COS_DOWN(""EPS"",""1M"",+1,0,,,""PORTAGG"",""MEANR"")")</f>
        <v>57</v>
      </c>
      <c r="G21" cm="1">
        <f t="array" ref="G21">_xll.FDS(A21,"SIZE(FG_CONSTITUENTS)")</f>
        <v>205</v>
      </c>
      <c r="H21" s="9">
        <f t="shared" ref="H21:H22" si="20">E21/$G21</f>
        <v>0.50731707317073171</v>
      </c>
      <c r="I21" s="9">
        <f t="shared" ref="I21:I22" si="21">F21/$G21</f>
        <v>0.2780487804878049</v>
      </c>
      <c r="J21" s="9">
        <f t="shared" ref="J21:J22" si="22">H21-I21</f>
        <v>0.22926829268292681</v>
      </c>
      <c r="K21" s="5" cm="1">
        <f t="array" ref="K21">_xll.FDS(A21,"FMA_PCT_ABOVE_MAVG(200,0,,,,""PORTAGG"")")/100</f>
        <v>0.62254901960784303</v>
      </c>
      <c r="L21" s="41" cm="1">
        <f t="array" ref="L21">_xll.FDSB(A21,"PERCENT_CHANGE(FMA_EPS(+1,0,,,,""PORTAGG"",""MEAN""),FMA_EPS(+1,-1AM,,,,""PORTAGG"",""MEAN""))")</f>
        <v>3.4310717064142602</v>
      </c>
      <c r="M21" s="41" cm="1">
        <f t="array" ref="M21">_xll.FDSB(A21,"PERCENT_CHANGE(FMA_EPS(+1,0,,,,""PORTAGG"",""MEAN""),FMA_EPS(+1,-3AM,,,,""PORTAGG"",""MEAN""))")</f>
        <v>-0.38029078944331801</v>
      </c>
      <c r="N21" s="3" cm="1">
        <f t="array" ref="N21">_xll.FDS(C21,"FG_TOTAL_RETURNC(0,-1AM)")</f>
        <v>2.0502210000000001</v>
      </c>
      <c r="O21" s="3" cm="1">
        <f t="array" ref="O21">_xll.FDS(C21,"FG_TOTAL_RETURNC(0,-3AM)")</f>
        <v>3.0885696</v>
      </c>
      <c r="P21" s="3" cm="1">
        <f t="array" ref="P21">_xll.FDS(C21,"FG_TOTAL_RETURNC(0,-6AM)")</f>
        <v>5.8317183999999997</v>
      </c>
      <c r="Q21" s="9" cm="1">
        <f t="array" ref="Q21">_xll.FDS(C21,"P_PRICE(0)/P_PRICE_HIGH_PR(0,,,,,,""PRICE"",""INTRA"",""52W"")")</f>
        <v>0.95316725999999996</v>
      </c>
      <c r="R21" s="9" cm="1">
        <f t="array" ref="R21">_xll.FDS(C21,"P_PRICE(0)/P_PRICE_low_PR(0,,,,,,""PRICE"",""INTRA"",""52W"")-1")</f>
        <v>0.20087421</v>
      </c>
      <c r="S21" s="3" cm="1">
        <f t="array" ref="S21">_xll.FDS(C21,"FG_TOTAL_RETURNC(0,-12AM)")</f>
        <v>11.69628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184</v>
      </c>
      <c r="F22" cm="1">
        <f t="array" ref="F22">_xll.FDS(C22,"FMA_COS_DOWN(""EPS"",""1M"",+1,0,,,""PORTAGG"",""MEANR"")")</f>
        <v>223</v>
      </c>
      <c r="G22" cm="1">
        <f t="array" ref="G22">_xll.FDS(A22,"SIZE(FG_CONSTITUENTS)")</f>
        <v>503</v>
      </c>
      <c r="H22" s="9">
        <f t="shared" si="20"/>
        <v>0.36580516898608351</v>
      </c>
      <c r="I22" s="9">
        <f t="shared" si="21"/>
        <v>0.44333996023856859</v>
      </c>
      <c r="J22" s="9">
        <f t="shared" si="22"/>
        <v>-7.753479125248508E-2</v>
      </c>
      <c r="K22" s="5" cm="1">
        <f t="array" ref="K22">_xll.FDS(A22,"FMA_PCT_ABOVE_MAVG(200,0,,,,""PORTAGG"")")/100</f>
        <v>0.69461077844311403</v>
      </c>
      <c r="L22" s="41" cm="1">
        <f t="array" ref="L22">_xll.FDSB(A22,"PERCENT_CHANGE(FMA_EPS(+1,0,,,,""PORTAGG"",""MEAN""),FMA_EPS(+1,-1AM,,,,""PORTAGG"",""MEAN""))")</f>
        <v>-0.12839510604629101</v>
      </c>
      <c r="M22" s="41" cm="1">
        <f t="array" ref="M22">_xll.FDSB(A22,"PERCENT_CHANGE(FMA_EPS(+1,0,,,,""PORTAGG"",""MEAN""),FMA_EPS(+1,-3AM,,,,""PORTAGG"",""MEAN""))")</f>
        <v>-0.17176498470088999</v>
      </c>
      <c r="N22" s="3" cm="1">
        <f t="array" ref="N22">_xll.FDS(C22,"FG_TOTAL_RETURNC(0,-1AM)")</f>
        <v>-0.19614697</v>
      </c>
      <c r="O22" s="3" cm="1">
        <f t="array" ref="O22">_xll.FDS(C22,"FG_TOTAL_RETURNC(0,-3AM)")</f>
        <v>7.4644446000000002</v>
      </c>
      <c r="P22" s="3" cm="1">
        <f t="array" ref="P22">_xll.FDS(C22,"FG_TOTAL_RETURNC(0,-6AM)")</f>
        <v>12.412034999999999</v>
      </c>
      <c r="Q22" s="9" cm="1">
        <f t="array" ref="Q22">_xll.FDS(C22,"P_PRICE(0)/P_PRICE_HIGH_PR(0,,,,,,""PRICE"",""INTRA"",""52W"")")</f>
        <v>0.96333784</v>
      </c>
      <c r="R22" s="9" cm="1">
        <f t="array" ref="R22">_xll.FDS(C22,"P_PRICE(0)/P_PRICE_low_PR(0,,,,,,""PRICE"",""INTRA"",""52W"")-1")</f>
        <v>0.33046603000000002</v>
      </c>
      <c r="S22" s="3" cm="1">
        <f t="array" ref="S22">_xll.FDS(C22,"FG_TOTAL_RETURNC(0,-12AM)")</f>
        <v>21.204163000000001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26</v>
      </c>
      <c r="F23" cm="1">
        <f t="array" ref="F23">_xll.FDS(C23,"FMA_COS_DOWN(""EPS"",""1M"",+1,0,,,""PORTAGG"",""MEANR"")")</f>
        <v>22</v>
      </c>
      <c r="G23" cm="1">
        <f t="array" ref="G23">_xll.FDS(A23,"SIZE(FG_CONSTITUENTS)")</f>
        <v>52</v>
      </c>
      <c r="H23" s="9">
        <f t="shared" ref="H23" si="24">E23/$G23</f>
        <v>0.5</v>
      </c>
      <c r="I23" s="9">
        <f t="shared" ref="I23" si="25">F23/$G23</f>
        <v>0.42307692307692307</v>
      </c>
      <c r="J23" s="9">
        <f t="shared" ref="J23" si="26">H23-I23</f>
        <v>7.6923076923076927E-2</v>
      </c>
      <c r="K23" s="5" cm="1">
        <f t="array" ref="K23">_xll.FDS(A23,"FMA_PCT_ABOVE_MAVG(200,0,,,,""PORTAGG"")")/100</f>
        <v>0.56862745098039202</v>
      </c>
      <c r="L23" s="41" cm="1">
        <f t="array" ref="L23">_xll.FDSB(A23,"PERCENT_CHANGE(FMA_EPS(+1,0,,,,""PORTAGG"",""MEAN""),FMA_EPS(+1,-1AM,,,,""PORTAGG"",""MEAN""))")</f>
        <v>1.6728513308061701</v>
      </c>
      <c r="M23" s="41" cm="1">
        <f t="array" ref="M23">_xll.FDSB(A23,"PERCENT_CHANGE(FMA_EPS(+1,0,,,,""PORTAGG"",""MEAN""),FMA_EPS(+1,-3AM,,,,""PORTAGG"",""MEAN""))")</f>
        <v>3.7478707736479202</v>
      </c>
      <c r="N23" s="3" cm="1">
        <f t="array" ref="N23">_xll.FDS(C23,"FG_TOTAL_RETURNC(0,-1AM)")</f>
        <v>-3.7707388000000002</v>
      </c>
      <c r="O23" s="3" cm="1">
        <f t="array" ref="O23">_xll.FDS(C23,"FG_TOTAL_RETURNC(0,-3AM)")</f>
        <v>-1.0368824000000001</v>
      </c>
      <c r="P23" s="3" cm="1">
        <f t="array" ref="P23">_xll.FDS(C23,"FG_TOTAL_RETURNC(0,-6AM)")</f>
        <v>13.282107999999999</v>
      </c>
      <c r="Q23" s="9" cm="1">
        <f t="array" ref="Q23">_xll.FDS(C23,"P_PRICE(0)/P_PRICE_HIGH_PR(0,,,,,,""PRICE"",""INTRA"",""52W"")")</f>
        <v>0.83562539999999996</v>
      </c>
      <c r="R23" s="9" cm="1">
        <f t="array" ref="R23">_xll.FDS(C23,"P_PRICE(0)/P_PRICE_low_PR(0,,,,,,""PRICE"",""INTRA"",""52W"")-1")</f>
        <v>0.22339403999999999</v>
      </c>
      <c r="S23" s="3" cm="1">
        <f t="array" ref="S23">_xll.FDS(C23,"FG_TOTAL_RETURNC(0,-12AM)")</f>
        <v>-9.2835059999999991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-0.15760767000000001</v>
      </c>
      <c r="E4" s="9">
        <f>HLOOKUP(B4,'Monthly Returns'!$A$1:$Q$134, 132, FALSE)</f>
        <v>0.15702479338842976</v>
      </c>
      <c r="H4" s="9">
        <f>HLOOKUP(B4,'Yearly returns'!$B$1:$N$140, 133, FALSE)</f>
        <v>0.14049586776859505</v>
      </c>
      <c r="I4" s="9">
        <f>HLOOKUP(B4,'Yearly returns'!$B$1:$N$140, 138, FALSE)</f>
        <v>0.221</v>
      </c>
      <c r="J4" s="183">
        <f>1/E4</f>
        <v>6.3684210526315788</v>
      </c>
      <c r="K4" s="185">
        <f>PERCENTRANK($J$4:$J$16,J4)*100</f>
        <v>16.600000000000001</v>
      </c>
      <c r="L4" s="47">
        <f>(1-PERCENTRANK($E$4:$E$16,E4))*100</f>
        <v>16.700000000000003</v>
      </c>
      <c r="M4" s="47">
        <f>(1-PERCENTRANK($H$4:$H$16,H4))*100</f>
        <v>50</v>
      </c>
      <c r="N4" s="47">
        <f>(1-PERCENTRANK($I$4:$I$16,I4))*100</f>
        <v>100</v>
      </c>
      <c r="P4">
        <f>L4*Assumption!$E$53 + M4*Assumption!$F$53 + N4*Assumption!$G$53</f>
        <v>66.674999999999997</v>
      </c>
      <c r="R4" cm="1">
        <f t="array" ref="R4">_xlfn.PERCENTRANK.EXC(_xlfn._xlws.FILTER(P$4:P$16, ISNUMBER(P$4:P$16)),P4)*100</f>
        <v>71.399999999999991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-0.26002829999999999</v>
      </c>
      <c r="E5" s="9">
        <f>HLOOKUP(B5,'Monthly Returns'!$A$1:$Q$134, 132, FALSE)</f>
        <v>0.14049586776859505</v>
      </c>
      <c r="H5" s="9">
        <f>HLOOKUP(B5,'Yearly returns'!$B$1:$N$140, 133, FALSE)</f>
        <v>0.18181818181818182</v>
      </c>
      <c r="I5" s="9">
        <f>HLOOKUP(B5,'Yearly returns'!$B$1:$N$140, 138, FALSE)</f>
        <v>0.64700000000000002</v>
      </c>
      <c r="J5" s="183">
        <f t="shared" ref="J5:J16" si="0">1/E5</f>
        <v>7.117647058823529</v>
      </c>
      <c r="K5" s="185">
        <f t="shared" ref="K5:K16" si="1">PERCENTRANK($J$4:$J$16,J5)*100</f>
        <v>25</v>
      </c>
      <c r="L5" s="47">
        <f t="shared" ref="L5:L16" si="2">(1-PERCENTRANK($E$4:$E$16,E5))*100</f>
        <v>41.7</v>
      </c>
      <c r="M5" s="47">
        <f t="shared" ref="M5:M16" si="3">(1-PERCENTRANK($H$4:$H$16,H5))*100</f>
        <v>25</v>
      </c>
      <c r="N5" s="47">
        <f t="shared" ref="N5:N16" si="4">(1-PERCENTRANK($I$4:$I$16,I5))*100</f>
        <v>33.4</v>
      </c>
      <c r="P5">
        <f>L5*Assumption!$E$53 + M5*Assumption!$F$53 + N5*Assumption!$G$53</f>
        <v>33.375</v>
      </c>
      <c r="R5" cm="1">
        <f t="array" ref="R5">_xlfn.PERCENTRANK.EXC(_xlfn._xlws.FILTER(P$4:P$16, ISNUMBER(P$4:P$16)),P5)*100</f>
        <v>35.699999999999996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-0.24896550000000001</v>
      </c>
      <c r="E6" s="9">
        <f>HLOOKUP(B6,'Monthly Returns'!$A$1:$Q$134, 132, FALSE)</f>
        <v>0.13223140495867769</v>
      </c>
      <c r="H6" s="9">
        <f>HLOOKUP(B6,'Yearly returns'!$B$1:$N$140, 133, FALSE)</f>
        <v>0.15702479338842976</v>
      </c>
      <c r="I6" s="9">
        <f>HLOOKUP(B6,'Yearly returns'!$B$1:$N$140, 138, FALSE)</f>
        <v>0.63100000000000001</v>
      </c>
      <c r="J6" s="183">
        <f t="shared" si="0"/>
        <v>7.5625</v>
      </c>
      <c r="K6" s="185">
        <f t="shared" si="1"/>
        <v>50</v>
      </c>
      <c r="L6" s="47">
        <f t="shared" si="2"/>
        <v>58.400000000000006</v>
      </c>
      <c r="M6" s="47">
        <f t="shared" si="3"/>
        <v>41.7</v>
      </c>
      <c r="N6" s="47">
        <f t="shared" si="4"/>
        <v>50</v>
      </c>
      <c r="P6">
        <f>L6*Assumption!$E$53 + M6*Assumption!$F$53 + N6*Assumption!$G$53</f>
        <v>50.025000000000006</v>
      </c>
      <c r="R6" cm="1">
        <f t="array" ref="R6">_xlfn.PERCENTRANK.EXC(_xlfn._xlws.FILTER(P$4:P$16, ISNUMBER(P$4:P$16)),P6)*100</f>
        <v>50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-0.19131720000000002</v>
      </c>
      <c r="E7" s="9">
        <f>HLOOKUP(B7,'Monthly Returns'!$A$1:$Q$134, 132, FALSE)</f>
        <v>0.16528925619834711</v>
      </c>
      <c r="H7" s="9">
        <f>HLOOKUP(B7,'Yearly returns'!$B$1:$N$140, 133, FALSE)</f>
        <v>0.21487603305785125</v>
      </c>
      <c r="I7" s="9">
        <f>HLOOKUP(B7,'Yearly returns'!$B$1:$N$140, 138, FALSE)</f>
        <v>0.63100000000000001</v>
      </c>
      <c r="J7" s="183">
        <f t="shared" si="0"/>
        <v>6.05</v>
      </c>
      <c r="K7" s="185">
        <f t="shared" si="1"/>
        <v>8.3000000000000007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50</v>
      </c>
      <c r="P7">
        <f>L7*Assumption!$E$53 + M7*Assumption!$F$53 + N7*Assumption!$G$53</f>
        <v>29.2</v>
      </c>
      <c r="R7" cm="1">
        <f t="array" ref="R7">_xlfn.PERCENTRANK.EXC(_xlfn._xlws.FILTER(P$4:P$16, ISNUMBER(P$4:P$16)),P7)*100</f>
        <v>21.4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-0.10808128</v>
      </c>
      <c r="E8" s="9">
        <f>HLOOKUP(B8,'Monthly Returns'!$A$1:$Q$134, 132, FALSE)</f>
        <v>0.13223140495867769</v>
      </c>
      <c r="H8" s="9">
        <f>HLOOKUP(B8,'Yearly returns'!$B$1:$N$140, 133, FALSE)</f>
        <v>0.11570247933884298</v>
      </c>
      <c r="I8" s="9">
        <f>HLOOKUP(B8,'Yearly returns'!$B$1:$N$140, 138, FALSE)</f>
        <v>0.622</v>
      </c>
      <c r="J8" s="183">
        <f t="shared" si="0"/>
        <v>7.5625</v>
      </c>
      <c r="K8" s="185">
        <f t="shared" si="1"/>
        <v>50</v>
      </c>
      <c r="L8" s="47">
        <f t="shared" si="2"/>
        <v>58.400000000000006</v>
      </c>
      <c r="M8" s="47">
        <f t="shared" si="3"/>
        <v>66.7</v>
      </c>
      <c r="N8" s="47">
        <f t="shared" si="4"/>
        <v>66.7</v>
      </c>
      <c r="P8">
        <f>L8*Assumption!$E$53 + M8*Assumption!$F$53 + N8*Assumption!$G$53</f>
        <v>64.625</v>
      </c>
      <c r="R8" cm="1">
        <f t="array" ref="R8">_xlfn.PERCENTRANK.EXC(_xlfn._xlws.FILTER(P$4:P$16, ISNUMBER(P$4:P$16)),P8)*100</f>
        <v>64.2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-0.10440886000000001</v>
      </c>
      <c r="E9" s="9">
        <f>HLOOKUP(B9,'Monthly Returns'!$A$1:$Q$134, 132, FALSE)</f>
        <v>0.10743801652892562</v>
      </c>
      <c r="H9" s="9">
        <f>HLOOKUP(B9,'Yearly returns'!$B$1:$N$140, 133, FALSE)</f>
        <v>8.2644628099173556E-2</v>
      </c>
      <c r="I9" s="9">
        <f>HLOOKUP(B9,'Yearly returns'!$B$1:$N$140, 138, FALSE)</f>
        <v>0.5</v>
      </c>
      <c r="J9" s="183">
        <f t="shared" si="0"/>
        <v>9.3076923076923066</v>
      </c>
      <c r="K9" s="185">
        <f t="shared" si="1"/>
        <v>83.3</v>
      </c>
      <c r="L9" s="47">
        <f t="shared" si="2"/>
        <v>91.7</v>
      </c>
      <c r="M9" s="47">
        <f t="shared" si="3"/>
        <v>91.7</v>
      </c>
      <c r="N9" s="47">
        <f t="shared" si="4"/>
        <v>83.399999999999991</v>
      </c>
      <c r="P9">
        <f>L9*Assumption!$E$53 + M9*Assumption!$F$53 + N9*Assumption!$G$53</f>
        <v>87.55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-0.20796602</v>
      </c>
      <c r="E10" s="9">
        <f>HLOOKUP(B10,'Monthly Returns'!$A$1:$Q$134, 132, FALSE)</f>
        <v>0.12396694214876033</v>
      </c>
      <c r="H10" s="9">
        <f>HLOOKUP(B10,'Yearly returns'!$B$1:$N$140, 133, FALSE)</f>
        <v>0.19008264462809918</v>
      </c>
      <c r="I10" s="9">
        <f>HLOOKUP(B10,'Yearly returns'!$B$1:$N$140, 138, FALSE)</f>
        <v>0.71299999999999997</v>
      </c>
      <c r="J10" s="183">
        <f t="shared" si="0"/>
        <v>8.0666666666666664</v>
      </c>
      <c r="K10" s="185">
        <f t="shared" si="1"/>
        <v>66.600000000000009</v>
      </c>
      <c r="L10" s="47">
        <f t="shared" si="2"/>
        <v>66.7</v>
      </c>
      <c r="M10" s="47">
        <f t="shared" si="3"/>
        <v>16.700000000000003</v>
      </c>
      <c r="N10" s="47">
        <f t="shared" si="4"/>
        <v>8.3999999999999968</v>
      </c>
      <c r="P10">
        <f>L10*Assumption!$E$53 + M10*Assumption!$F$53 + N10*Assumption!$G$53</f>
        <v>25.05</v>
      </c>
      <c r="R10" cm="1">
        <f t="array" ref="R10">_xlfn.PERCENTRANK.EXC(_xlfn._xlws.FILTER(P$4:P$16, ISNUMBER(P$4:P$16)),P10)*100</f>
        <v>14.2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-0.13189059</v>
      </c>
      <c r="E11" s="9">
        <f>HLOOKUP(B11,'Monthly Returns'!$A$1:$Q$134, 132, FALSE)</f>
        <v>0.10743801652892562</v>
      </c>
      <c r="H11" s="9">
        <f>HLOOKUP(B11,'Yearly returns'!$B$1:$N$140, 133, FALSE)</f>
        <v>8.2644628099173556E-2</v>
      </c>
      <c r="I11" s="9">
        <f>HLOOKUP(B11,'Yearly returns'!$B$1:$N$140, 138, FALSE)</f>
        <v>0.54900000000000004</v>
      </c>
      <c r="J11" s="183">
        <f t="shared" si="0"/>
        <v>9.3076923076923066</v>
      </c>
      <c r="K11" s="185">
        <f t="shared" si="1"/>
        <v>83.3</v>
      </c>
      <c r="L11" s="47">
        <f t="shared" si="2"/>
        <v>91.7</v>
      </c>
      <c r="M11" s="47">
        <f t="shared" si="3"/>
        <v>91.7</v>
      </c>
      <c r="N11" s="47">
        <f t="shared" si="4"/>
        <v>75</v>
      </c>
      <c r="P11">
        <f>L11*Assumption!$E$53 + M11*Assumption!$F$53 + N11*Assumption!$G$53</f>
        <v>83.35</v>
      </c>
      <c r="R11" cm="1">
        <f t="array" ref="R11">_xlfn.PERCENTRANK.EXC(_xlfn._xlws.FILTER(P$4:P$16, ISNUMBER(P$4:P$16)),P11)*100</f>
        <v>85.7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-0.15632545</v>
      </c>
      <c r="E12" s="9">
        <f>HLOOKUP(B12,'Monthly Returns'!$A$1:$Q$134, 132, FALSE)</f>
        <v>8.2644628099173556E-2</v>
      </c>
      <c r="H12" s="9">
        <f>HLOOKUP(B12,'Yearly returns'!$B$1:$N$140, 133, FALSE)</f>
        <v>4.9586776859504134E-2</v>
      </c>
      <c r="I12" s="9">
        <f>HLOOKUP(B12,'Yearly returns'!$B$1:$N$140, 138, FALSE)</f>
        <v>0.77</v>
      </c>
      <c r="J12" s="183">
        <f t="shared" si="0"/>
        <v>12.1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42.8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-0.17811876000000001</v>
      </c>
      <c r="E13" s="9">
        <f>HLOOKUP(B13,'Monthly Returns'!$A$1:$Q$134, 132, FALSE)</f>
        <v>0.11570247933884298</v>
      </c>
      <c r="H13" s="9">
        <f>HLOOKUP(B13,'Yearly returns'!$B$1:$N$140, 133, FALSE)</f>
        <v>0.11570247933884298</v>
      </c>
      <c r="I13" s="9">
        <f>HLOOKUP(B13,'Yearly returns'!$B$1:$N$140, 138, FALSE)</f>
        <v>0.46700000000000003</v>
      </c>
      <c r="J13" s="183">
        <f t="shared" si="0"/>
        <v>8.6428571428571423</v>
      </c>
      <c r="K13" s="185">
        <f t="shared" si="1"/>
        <v>75</v>
      </c>
      <c r="L13" s="47">
        <f t="shared" si="2"/>
        <v>75</v>
      </c>
      <c r="M13" s="47">
        <f t="shared" si="3"/>
        <v>66.7</v>
      </c>
      <c r="N13" s="47">
        <f t="shared" si="4"/>
        <v>91.7</v>
      </c>
      <c r="P13">
        <f>L13*Assumption!$E$53 + M13*Assumption!$F$53 + N13*Assumption!$G$53</f>
        <v>81.275000000000006</v>
      </c>
      <c r="R13" cm="1">
        <f t="array" ref="R13">_xlfn.PERCENTRANK.EXC(_xlfn._xlws.FILTER(P$4:P$16, ISNUMBER(P$4:P$16)),P13)*100</f>
        <v>78.5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-0.16010088</v>
      </c>
      <c r="E14" s="9">
        <f>HLOOKUP(B14,'Monthly Returns'!$A$1:$Q$134, 132, FALSE)</f>
        <v>0.14049586776859505</v>
      </c>
      <c r="H14" s="9">
        <f>HLOOKUP(B14,'Yearly returns'!$B$1:$N$140, 133, FALSE)</f>
        <v>0.10743801652892562</v>
      </c>
      <c r="I14" s="9">
        <f>HLOOKUP(B14,'Yearly returns'!$B$1:$N$140, 138, FALSE)</f>
        <v>0.622</v>
      </c>
      <c r="J14" s="183">
        <f t="shared" si="0"/>
        <v>7.117647058823529</v>
      </c>
      <c r="K14" s="185">
        <f t="shared" si="1"/>
        <v>25</v>
      </c>
      <c r="L14" s="47">
        <f t="shared" si="2"/>
        <v>41.7</v>
      </c>
      <c r="M14" s="47">
        <f t="shared" si="3"/>
        <v>75</v>
      </c>
      <c r="N14" s="47">
        <f t="shared" si="4"/>
        <v>66.7</v>
      </c>
      <c r="P14">
        <f>L14*Assumption!$E$53 + M14*Assumption!$F$53 + N14*Assumption!$G$53</f>
        <v>62.525000000000006</v>
      </c>
      <c r="R14" cm="1">
        <f t="array" ref="R14">_xlfn.PERCENTRANK.EXC(_xlfn._xlws.FILTER(P$4:P$16, ISNUMBER(P$4:P$16)),P14)*100</f>
        <v>57.099999999999994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-0.18855327999999999</v>
      </c>
      <c r="E15" s="9">
        <f>HLOOKUP(B15,'Monthly Returns'!$A$1:$Q$134, 132, FALSE)</f>
        <v>0.14049586776859505</v>
      </c>
      <c r="H15" s="9">
        <f>HLOOKUP(B15,'Yearly returns'!$B$1:$N$140, 133, FALSE)</f>
        <v>0.17355371900826447</v>
      </c>
      <c r="I15" s="9">
        <f>HLOOKUP(B15,'Yearly returns'!$B$1:$N$140, 138, FALSE)</f>
        <v>0.67200000000000004</v>
      </c>
      <c r="J15" s="183">
        <f t="shared" si="0"/>
        <v>7.117647058823529</v>
      </c>
      <c r="K15" s="185">
        <f t="shared" si="1"/>
        <v>25</v>
      </c>
      <c r="L15" s="47">
        <f t="shared" si="2"/>
        <v>41.7</v>
      </c>
      <c r="M15" s="47">
        <f t="shared" si="3"/>
        <v>33.4</v>
      </c>
      <c r="N15" s="47">
        <f t="shared" si="4"/>
        <v>25</v>
      </c>
      <c r="P15">
        <f>L15*Assumption!$E$53 + M15*Assumption!$F$53 + N15*Assumption!$G$53</f>
        <v>31.274999999999999</v>
      </c>
      <c r="R15" cm="1">
        <f t="array" ref="R15">_xlfn.PERCENTRANK.EXC(_xlfn._xlws.FILTER(P$4:P$16, ISNUMBER(P$4:P$16)),P15)*100</f>
        <v>28.499999999999996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-0.2241379</v>
      </c>
      <c r="E16" s="9">
        <f>HLOOKUP(B16,'Monthly Returns'!$A$1:$Q$134, 132, FALSE)</f>
        <v>0.20661157024793389</v>
      </c>
      <c r="H16" s="9">
        <f>HLOOKUP(B16,'Yearly returns'!$B$1:$N$140, 133, FALSE)</f>
        <v>0.30578512396694213</v>
      </c>
      <c r="I16" s="9">
        <f>HLOOKUP(B16,'Yearly returns'!$B$1:$N$140, 138, FALSE)</f>
        <v>0.67200000000000004</v>
      </c>
      <c r="J16" s="183">
        <f t="shared" si="0"/>
        <v>4.84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25</v>
      </c>
      <c r="P16">
        <f>L16*Assumption!$E$53 + M16*Assumption!$F$53 + N16*Assumption!$G$53</f>
        <v>12.5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0.51600000000000001</v>
      </c>
      <c r="G5" s="141" cm="1">
        <f t="array" ref="G5">_xll.FDSZ(C5,"FG_PRICE(0)")</f>
        <v>45.7</v>
      </c>
      <c r="H5" s="141" cm="1">
        <f t="array" ref="H5">_xll.FDSZ(C5,"FG_PRICE_MAVG(0,,,,30)")</f>
        <v>45.862426999999997</v>
      </c>
      <c r="I5" s="141" cm="1">
        <f t="array" ref="I5">_xll.FDSZ(C5,"FG_PRICE_MAVG(0,,,,60)")</f>
        <v>45.706547</v>
      </c>
      <c r="J5" s="141" cm="1">
        <f t="array" ref="J5">_xll.FDSZ(C5,"FG_PRICE_MAVG(0,,,,200)")</f>
        <v>45.539302999999997</v>
      </c>
      <c r="L5">
        <f>IF($G5&gt;H5, 1, 0)</f>
        <v>0</v>
      </c>
      <c r="M5">
        <f>IF($G5&gt;I5, 1, 0)</f>
        <v>0</v>
      </c>
      <c r="N5">
        <f>IF($G5&gt;J5, 1, 0)</f>
        <v>1</v>
      </c>
      <c r="P5">
        <f>SUM(L5:N5)</f>
        <v>1</v>
      </c>
      <c r="R5" t="s">
        <v>839</v>
      </c>
      <c r="S5" s="7" cm="1">
        <f t="array" ref="S5">_xll.FDSZ($R5,"FG_PRICE(0)")</f>
        <v>391.05847</v>
      </c>
      <c r="T5" s="7" cm="1">
        <f t="array" ref="T5">_xll.FDSZ($R5,"FG_PRICE(0)")</f>
        <v>391.05847</v>
      </c>
      <c r="U5" s="7" cm="1">
        <f t="array" ref="U5">_xll.FDSZ($R5,"FG_PRICE(0)")</f>
        <v>391.05847</v>
      </c>
      <c r="V5" s="7" cm="1">
        <f t="array" ref="V5">_xll.FDSZ($R5,"FG_PRICE(0)")</f>
        <v>391.05847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0.622</v>
      </c>
      <c r="G6" s="141" cm="1">
        <f t="array" ref="G6">_xll.FDSZ(C6,"FG_PRICE(0)")</f>
        <v>24.68</v>
      </c>
      <c r="H6" s="141" cm="1">
        <f t="array" ref="H6">_xll.FDSZ(C6,"FG_PRICE_MAVG(0,,,,30)")</f>
        <v>24.729666000000002</v>
      </c>
      <c r="I6" s="141" cm="1">
        <f t="array" ref="I6">_xll.FDSZ(C6,"FG_PRICE_MAVG(0,,,,60)")</f>
        <v>24.663</v>
      </c>
      <c r="J6" s="141" cm="1">
        <f t="array" ref="J6">_xll.FDSZ(C6,"FG_PRICE_MAVG(0,,,,200)")</f>
        <v>23.661349999999999</v>
      </c>
      <c r="L6">
        <f t="shared" ref="L6:L17" si="0">IF($G6&gt;H6, 1, 0)</f>
        <v>0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2</v>
      </c>
      <c r="R6" t="s">
        <v>840</v>
      </c>
      <c r="S6" s="7" cm="1">
        <f t="array" ref="S6">_xll.FDSZ($R6,"FG_PRICE(0)")</f>
        <v>361.78890000000001</v>
      </c>
      <c r="T6" s="7" cm="1">
        <f t="array" ref="T6">_xll.FDSZ($R6,"FG_PRICE(0)")</f>
        <v>361.78890000000001</v>
      </c>
      <c r="U6" s="7" cm="1">
        <f t="array" ref="U6">_xll.FDSZ($R6,"FG_PRICE(0)")</f>
        <v>361.78890000000001</v>
      </c>
      <c r="V6" s="7" cm="1">
        <f t="array" ref="V6">_xll.FDSZ($R6,"FG_PRICE(0)")</f>
        <v>361.78890000000001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0.77</v>
      </c>
      <c r="G7" s="141" cm="1">
        <f t="array" ref="G7">_xll.FDSZ(C7,"FG_PRICE(0)")</f>
        <v>38.33</v>
      </c>
      <c r="H7" s="141" cm="1">
        <f t="array" ref="H7">_xll.FDSZ(C7,"FG_PRICE_MAVG(0,,,,30)")</f>
        <v>37.638331999999998</v>
      </c>
      <c r="I7" s="141" cm="1">
        <f t="array" ref="I7">_xll.FDSZ(C7,"FG_PRICE_MAVG(0,,,,60)")</f>
        <v>37.768332999999998</v>
      </c>
      <c r="J7" s="141" cm="1">
        <f t="array" ref="J7">_xll.FDSZ(C7,"FG_PRICE_MAVG(0,,,,200)")</f>
        <v>36.447400000000002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296.13333</v>
      </c>
      <c r="T7" s="7" cm="1">
        <f t="array" ref="T7">_xll.FDSZ($R7,"FG_PRICE(0)")</f>
        <v>296.13333</v>
      </c>
      <c r="U7" s="7" cm="1">
        <f t="array" ref="U7">_xll.FDSZ($R7,"FG_PRICE(0)")</f>
        <v>296.13333</v>
      </c>
      <c r="V7" s="7" cm="1">
        <f t="array" ref="V7">_xll.FDSZ($R7,"FG_PRICE(0)")</f>
        <v>296.13333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0.68799999999999994</v>
      </c>
      <c r="G8" s="141" cm="1">
        <f t="array" ref="G8">_xll.FDSZ(C8,"FG_PRICE(0)")</f>
        <v>31.31</v>
      </c>
      <c r="H8" s="141" cm="1">
        <f t="array" ref="H8">_xll.FDSZ(C8,"FG_PRICE_MAVG(0,,,,30)")</f>
        <v>30.903334000000001</v>
      </c>
      <c r="I8" s="141" cm="1">
        <f t="array" ref="I8">_xll.FDSZ(C8,"FG_PRICE_MAVG(0,,,,60)")</f>
        <v>31.390667000000001</v>
      </c>
      <c r="J8" s="141" cm="1">
        <f t="array" ref="J8">_xll.FDSZ(C8,"FG_PRICE_MAVG(0,,,,200)")</f>
        <v>29.768000000000001</v>
      </c>
      <c r="L8">
        <f t="shared" si="0"/>
        <v>1</v>
      </c>
      <c r="M8">
        <f t="shared" si="1"/>
        <v>0</v>
      </c>
      <c r="N8">
        <f t="shared" si="2"/>
        <v>1</v>
      </c>
      <c r="P8">
        <f t="shared" si="3"/>
        <v>2</v>
      </c>
      <c r="R8" t="s">
        <v>838</v>
      </c>
      <c r="S8" s="7" cm="1">
        <f t="array" ref="S8">_xll.FDSZ($R8,"FG_PRICE(0)")</f>
        <v>9.8815369999999998</v>
      </c>
      <c r="T8" s="7" cm="1">
        <f t="array" ref="T8">_xll.FDSZ($R8,"FG_PRICE(0)")</f>
        <v>9.8815369999999998</v>
      </c>
      <c r="U8" s="7" cm="1">
        <f t="array" ref="U8">_xll.FDSZ($R8,"FG_PRICE(0)")</f>
        <v>9.8815369999999998</v>
      </c>
      <c r="V8" s="7" cm="1">
        <f t="array" ref="V8">_xll.FDSZ($R8,"FG_PRICE(0)")</f>
        <v>9.8815369999999998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0.64700000000000002</v>
      </c>
      <c r="G9" s="141" cm="1">
        <f t="array" ref="G9">_xll.FDSZ(C9,"FG_PRICE(0)")</f>
        <v>68.69</v>
      </c>
      <c r="H9" s="141" cm="1">
        <f t="array" ref="H9">_xll.FDSZ(C9,"FG_PRICE_MAVG(0,,,,30)")</f>
        <v>68.912999999999997</v>
      </c>
      <c r="I9" s="141" cm="1">
        <f t="array" ref="I9">_xll.FDSZ(C9,"FG_PRICE_MAVG(0,,,,60)")</f>
        <v>68.741839999999996</v>
      </c>
      <c r="J9" s="141" cm="1">
        <f t="array" ref="J9">_xll.FDSZ(C9,"FG_PRICE_MAVG(0,,,,200)")</f>
        <v>66.321600000000004</v>
      </c>
      <c r="L9">
        <f t="shared" si="0"/>
        <v>0</v>
      </c>
      <c r="M9">
        <f t="shared" si="1"/>
        <v>0</v>
      </c>
      <c r="N9">
        <f t="shared" si="2"/>
        <v>1</v>
      </c>
      <c r="P9">
        <f t="shared" si="3"/>
        <v>1</v>
      </c>
      <c r="R9" t="s">
        <v>842</v>
      </c>
      <c r="S9" s="7" cm="1">
        <f t="array" ref="S9">_xll.FDSZ($R9,"FG_PRICE(0)")</f>
        <v>172.8723</v>
      </c>
      <c r="T9" s="7" cm="1">
        <f t="array" ref="T9">_xll.FDSZ($R9,"FG_PRICE(0)")</f>
        <v>172.8723</v>
      </c>
      <c r="U9" s="7" cm="1">
        <f t="array" ref="U9">_xll.FDSZ($R9,"FG_PRICE(0)")</f>
        <v>172.8723</v>
      </c>
      <c r="V9" s="7" cm="1">
        <f t="array" ref="V9">_xll.FDSZ($R9,"FG_PRICE(0)")</f>
        <v>172.8723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0.754</v>
      </c>
      <c r="G10" s="141" cm="1">
        <f t="array" ref="G10">_xll.FDSZ(C10,"FG_PRICE(0)")</f>
        <v>50.06</v>
      </c>
      <c r="H10" s="141" cm="1">
        <f t="array" ref="H10">_xll.FDSZ(C10,"FG_PRICE_MAVG(0,,,,30)")</f>
        <v>49.04233</v>
      </c>
      <c r="I10" s="141" cm="1">
        <f t="array" ref="I10">_xll.FDSZ(C10,"FG_PRICE_MAVG(0,,,,60)")</f>
        <v>48.676665999999997</v>
      </c>
      <c r="J10" s="141" cm="1">
        <f t="array" ref="J10">_xll.FDSZ(C10,"FG_PRICE_MAVG(0,,,,200)")</f>
        <v>46.865549999999999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340.94362999999998</v>
      </c>
      <c r="T10" s="7" cm="1">
        <f t="array" ref="T10">_xll.FDSZ($R10,"FG_PRICE(0)")</f>
        <v>340.94362999999998</v>
      </c>
      <c r="U10" s="7" cm="1">
        <f t="array" ref="U10">_xll.FDSZ($R10,"FG_PRICE(0)")</f>
        <v>340.94362999999998</v>
      </c>
      <c r="V10" s="7" cm="1">
        <f t="array" ref="V10">_xll.FDSZ($R10,"FG_PRICE(0)")</f>
        <v>340.94362999999998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0.68</v>
      </c>
      <c r="G11" s="141" cm="1">
        <f t="array" ref="G11">_xll.FDSZ(C11,"FG_PRICE(0)")</f>
        <v>36.020000000000003</v>
      </c>
      <c r="H11" s="141" cm="1">
        <f t="array" ref="H11">_xll.FDSZ(C11,"FG_PRICE_MAVG(0,,,,30)")</f>
        <v>35.368000000000002</v>
      </c>
      <c r="I11" s="141" cm="1">
        <f t="array" ref="I11">_xll.FDSZ(C11,"FG_PRICE_MAVG(0,,,,60)")</f>
        <v>35.689667</v>
      </c>
      <c r="J11" s="141" cm="1">
        <f t="array" ref="J11">_xll.FDSZ(C11,"FG_PRICE_MAVG(0,,,,200)")</f>
        <v>33.581499999999998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130.86403000000001</v>
      </c>
      <c r="T11" s="7" cm="1">
        <f t="array" ref="T11">_xll.FDSZ($R11,"FG_PRICE(0)")</f>
        <v>130.86403000000001</v>
      </c>
      <c r="U11" s="7" cm="1">
        <f t="array" ref="U11">_xll.FDSZ($R11,"FG_PRICE(0)")</f>
        <v>130.86403000000001</v>
      </c>
      <c r="V11" s="7" cm="1">
        <f t="array" ref="V11">_xll.FDSZ($R11,"FG_PRICE(0)")</f>
        <v>130.86403000000001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0.13100000000000001</v>
      </c>
      <c r="G12" s="141" cm="1">
        <f t="array" ref="G12">_xll.FDSZ(C12,"FG_PRICE(0)")</f>
        <v>462.97</v>
      </c>
      <c r="H12" s="141" cm="1">
        <f t="array" ref="H12">_xll.FDSZ(C12,"FG_PRICE_MAVG(0,,,,30)")</f>
        <v>483.32434000000001</v>
      </c>
      <c r="I12" s="141" cm="1">
        <f t="array" ref="I12">_xll.FDSZ(C12,"FG_PRICE_MAVG(0,,,,60)")</f>
        <v>467.22933999999998</v>
      </c>
      <c r="J12" s="141" cm="1">
        <f t="array" ref="J12">_xll.FDSZ(C12,"FG_PRICE_MAVG(0,,,,200)")</f>
        <v>427.27733999999998</v>
      </c>
      <c r="L12">
        <f t="shared" si="0"/>
        <v>0</v>
      </c>
      <c r="M12">
        <f t="shared" si="1"/>
        <v>0</v>
      </c>
      <c r="N12">
        <f t="shared" si="2"/>
        <v>1</v>
      </c>
      <c r="P12">
        <f t="shared" si="3"/>
        <v>1</v>
      </c>
      <c r="R12" t="s">
        <v>845</v>
      </c>
      <c r="S12" s="7" cm="1">
        <f t="array" ref="S12">_xll.FDSZ($R12,"FG_PRICE(0)")</f>
        <v>410.40030000000002</v>
      </c>
      <c r="T12" s="7" cm="1">
        <f t="array" ref="T12">_xll.FDSZ($R12,"FG_PRICE(0)")</f>
        <v>410.40030000000002</v>
      </c>
      <c r="U12" s="7" cm="1">
        <f t="array" ref="U12">_xll.FDSZ($R12,"FG_PRICE(0)")</f>
        <v>410.40030000000002</v>
      </c>
      <c r="V12" s="7" cm="1">
        <f t="array" ref="V12">_xll.FDSZ($R12,"FG_PRICE(0)")</f>
        <v>410.40030000000002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0.311</v>
      </c>
      <c r="G13" s="141" cm="1">
        <f t="array" ref="G13">_xll.FDSZ(C13,"FG_PRICE(0)")</f>
        <v>544.44000000000005</v>
      </c>
      <c r="H13" s="141" cm="1">
        <f t="array" ref="H13">_xll.FDSZ(C13,"FG_PRICE_MAVG(0,,,,30)")</f>
        <v>550.09436000000005</v>
      </c>
      <c r="I13" s="141" cm="1">
        <f t="array" ref="I13">_xll.FDSZ(C13,"FG_PRICE_MAVG(0,,,,60)")</f>
        <v>537.82635000000005</v>
      </c>
      <c r="J13" s="141" cm="1">
        <f t="array" ref="J13">_xll.FDSZ(C13,"FG_PRICE_MAVG(0,,,,200)")</f>
        <v>496.76710000000003</v>
      </c>
      <c r="L13">
        <f t="shared" si="0"/>
        <v>0</v>
      </c>
      <c r="M13">
        <f t="shared" si="1"/>
        <v>1</v>
      </c>
      <c r="N13">
        <f t="shared" si="2"/>
        <v>1</v>
      </c>
      <c r="P13">
        <f t="shared" si="3"/>
        <v>2</v>
      </c>
      <c r="R13" t="s">
        <v>845</v>
      </c>
      <c r="S13" s="7" cm="1">
        <f t="array" ref="S13">_xll.FDSZ($R13,"FG_PRICE(0)")</f>
        <v>410.40030000000002</v>
      </c>
      <c r="T13" s="7" cm="1">
        <f t="array" ref="T13">_xll.FDSZ($R13,"FG_PRICE(0)")</f>
        <v>410.40030000000002</v>
      </c>
      <c r="U13" s="7" cm="1">
        <f t="array" ref="U13">_xll.FDSZ($R13,"FG_PRICE(0)")</f>
        <v>410.40030000000002</v>
      </c>
      <c r="V13" s="7" cm="1">
        <f t="array" ref="V13">_xll.FDSZ($R13,"FG_PRICE(0)")</f>
        <v>410.40030000000002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0.54</v>
      </c>
      <c r="G14" s="141" cm="1">
        <f t="array" ref="G14">_xll.FDSZ(C14,"FG_PRICE(0)")</f>
        <v>38.68</v>
      </c>
      <c r="H14" s="141" cm="1">
        <f t="array" ref="H14">_xll.FDSZ(C14,"FG_PRICE_MAVG(0,,,,30)")</f>
        <v>38.601999999999997</v>
      </c>
      <c r="I14" s="141" cm="1">
        <f t="array" ref="I14">_xll.FDSZ(C14,"FG_PRICE_MAVG(0,,,,60)")</f>
        <v>40.048169999999999</v>
      </c>
      <c r="J14" s="141" cm="1">
        <f t="array" ref="J14">_xll.FDSZ(C14,"FG_PRICE_MAVG(0,,,,200)")</f>
        <v>38.992825000000003</v>
      </c>
      <c r="L14">
        <f t="shared" si="0"/>
        <v>1</v>
      </c>
      <c r="M14">
        <f t="shared" si="1"/>
        <v>0</v>
      </c>
      <c r="N14">
        <f t="shared" si="2"/>
        <v>0</v>
      </c>
      <c r="P14">
        <f t="shared" si="3"/>
        <v>1</v>
      </c>
      <c r="R14" t="s">
        <v>845</v>
      </c>
      <c r="S14" s="7" cm="1">
        <f t="array" ref="S14">_xll.FDSZ($R14,"FG_PRICE(0)")</f>
        <v>410.40030000000002</v>
      </c>
      <c r="T14" s="7" cm="1">
        <f t="array" ref="T14">_xll.FDSZ($R14,"FG_PRICE(0)")</f>
        <v>410.40030000000002</v>
      </c>
      <c r="U14" s="7" cm="1">
        <f t="array" ref="U14">_xll.FDSZ($R14,"FG_PRICE(0)")</f>
        <v>410.40030000000002</v>
      </c>
      <c r="V14" s="7" cm="1">
        <f t="array" ref="V14">_xll.FDSZ($R14,"FG_PRICE(0)")</f>
        <v>410.40030000000002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0.19600000000000001</v>
      </c>
      <c r="G15" s="141" cm="1">
        <f t="array" ref="G15">_xll.FDSZ(C15,"FG_PRICE(0)")</f>
        <v>48.77</v>
      </c>
      <c r="H15" s="141" cm="1">
        <f t="array" ref="H15">_xll.FDSZ(C15,"FG_PRICE_MAVG(0,,,,30)")</f>
        <v>50.773000000000003</v>
      </c>
      <c r="I15" s="141" cm="1">
        <f t="array" ref="I15">_xll.FDSZ(C15,"FG_PRICE_MAVG(0,,,,60)")</f>
        <v>50.8735</v>
      </c>
      <c r="J15" s="141" cm="1">
        <f t="array" ref="J15">_xll.FDSZ(C15,"FG_PRICE_MAVG(0,,,,200)")</f>
        <v>46.473860000000002</v>
      </c>
      <c r="L15">
        <f t="shared" si="0"/>
        <v>0</v>
      </c>
      <c r="M15">
        <f t="shared" si="1"/>
        <v>0</v>
      </c>
      <c r="N15">
        <f t="shared" si="2"/>
        <v>1</v>
      </c>
      <c r="P15">
        <f t="shared" si="3"/>
        <v>1</v>
      </c>
      <c r="R15" t="s">
        <v>845</v>
      </c>
      <c r="S15" s="7" cm="1">
        <f t="array" ref="S15">_xll.FDSZ($R15,"FG_PRICE(0)")</f>
        <v>410.40030000000002</v>
      </c>
      <c r="T15" s="7" cm="1">
        <f t="array" ref="T15">_xll.FDSZ($R15,"FG_PRICE(0)")</f>
        <v>410.40030000000002</v>
      </c>
      <c r="U15" s="7" cm="1">
        <f t="array" ref="U15">_xll.FDSZ($R15,"FG_PRICE(0)")</f>
        <v>410.40030000000002</v>
      </c>
      <c r="V15" s="7" cm="1">
        <f t="array" ref="V15">_xll.FDSZ($R15,"FG_PRICE(0)")</f>
        <v>410.40030000000002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0.39300000000000002</v>
      </c>
      <c r="G16" s="141" cm="1">
        <f t="array" ref="G16">_xll.FDSZ(C16,"FG_PRICE(0)")</f>
        <v>39.659999999999997</v>
      </c>
      <c r="H16" s="141" cm="1">
        <f t="array" ref="H16">_xll.FDSZ(C16,"FG_PRICE_MAVG(0,,,,30)")</f>
        <v>40.420665999999997</v>
      </c>
      <c r="I16" s="141" cm="1">
        <f t="array" ref="I16">_xll.FDSZ(C16,"FG_PRICE_MAVG(0,,,,60)")</f>
        <v>40.762500000000003</v>
      </c>
      <c r="J16" s="141" cm="1">
        <f t="array" ref="J16">_xll.FDSZ(C16,"FG_PRICE_MAVG(0,,,,200)")</f>
        <v>38.385123999999998</v>
      </c>
      <c r="L16">
        <f t="shared" si="0"/>
        <v>0</v>
      </c>
      <c r="M16">
        <f t="shared" si="1"/>
        <v>0</v>
      </c>
      <c r="N16">
        <f t="shared" si="2"/>
        <v>1</v>
      </c>
      <c r="P16">
        <f t="shared" si="3"/>
        <v>1</v>
      </c>
      <c r="R16" t="s">
        <v>845</v>
      </c>
      <c r="S16" s="7" cm="1">
        <f t="array" ref="S16">_xll.FDSZ($R16,"FG_PRICE(0)")</f>
        <v>410.40030000000002</v>
      </c>
      <c r="T16" s="7" cm="1">
        <f t="array" ref="T16">_xll.FDSZ($R16,"FG_PRICE(0)")</f>
        <v>410.40030000000002</v>
      </c>
      <c r="U16" s="7" cm="1">
        <f t="array" ref="U16">_xll.FDSZ($R16,"FG_PRICE(0)")</f>
        <v>410.40030000000002</v>
      </c>
      <c r="V16" s="7" cm="1">
        <f t="array" ref="V16">_xll.FDSZ($R16,"FG_PRICE(0)")</f>
        <v>410.40030000000002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0.70399999999999996</v>
      </c>
      <c r="G17" s="141" cm="1">
        <f t="array" ref="G17">_xll.FDSZ(C17,"FG_PRICE(0)")</f>
        <v>37.5</v>
      </c>
      <c r="H17" s="141" cm="1">
        <f t="array" ref="H17">_xll.FDSZ(C17,"FG_PRICE_MAVG(0,,,,30)")</f>
        <v>36.850665999999997</v>
      </c>
      <c r="I17" s="141" cm="1">
        <f t="array" ref="I17">_xll.FDSZ(C17,"FG_PRICE_MAVG(0,,,,60)")</f>
        <v>37.548831999999997</v>
      </c>
      <c r="J17" s="141" cm="1">
        <f t="array" ref="J17">_xll.FDSZ(C17,"FG_PRICE_MAVG(0,,,,200)")</f>
        <v>35.097050000000003</v>
      </c>
      <c r="L17">
        <f t="shared" si="0"/>
        <v>1</v>
      </c>
      <c r="M17">
        <f t="shared" si="1"/>
        <v>0</v>
      </c>
      <c r="N17">
        <f t="shared" si="2"/>
        <v>1</v>
      </c>
      <c r="P17">
        <f t="shared" si="3"/>
        <v>2</v>
      </c>
      <c r="R17" t="s">
        <v>845</v>
      </c>
      <c r="S17" s="7" cm="1">
        <f t="array" ref="S17">_xll.FDSZ($R17,"FG_PRICE(0)")</f>
        <v>410.40030000000002</v>
      </c>
      <c r="T17" s="7" cm="1">
        <f t="array" ref="T17">_xll.FDSZ($R17,"FG_PRICE(0)")</f>
        <v>410.40030000000002</v>
      </c>
      <c r="U17" s="7" cm="1">
        <f t="array" ref="U17">_xll.FDSZ($R17,"FG_PRICE(0)")</f>
        <v>410.40030000000002</v>
      </c>
      <c r="V17" s="7" cm="1">
        <f t="array" ref="V17">_xll.FDSZ($R17,"FG_PRICE(0)")</f>
        <v>410.40030000000002</v>
      </c>
    </row>
    <row r="19" spans="1:22" x14ac:dyDescent="0.35">
      <c r="K19" s="1" t="s">
        <v>906</v>
      </c>
      <c r="L19" s="1">
        <f>SUM(L5:L17)</f>
        <v>6</v>
      </c>
      <c r="M19" s="1">
        <f t="shared" ref="M19:N19" si="4">SUM(M5:M17)</f>
        <v>5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0.46153846153846156</v>
      </c>
      <c r="M22" s="182">
        <f t="shared" ref="M22:N22" si="6">M19/M20</f>
        <v>0.38461538461538464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107.14</v>
      </c>
      <c r="D3" cm="1">
        <f t="array" ref="D3">_xll.FDS($A3,"FG_PRICE_MAVG(0,,,,30)")</f>
        <v>108.31032999999999</v>
      </c>
      <c r="E3" s="47" cm="1">
        <f t="array" ref="E3">_xll.FDS($A3,"FG_PRICE_CHANGE(0,-1AM)")</f>
        <v>0.54429429429430098</v>
      </c>
      <c r="F3" s="47" cm="1">
        <f t="array" ref="F3">_xll.FDS($A3,"FG_PRICE_CHANGE(0,-3AM)")</f>
        <v>-2.74146695715323</v>
      </c>
      <c r="G3" s="47" cm="1">
        <f t="array" ref="G3">_xll.FDS($A3,"FG_PRICE_CHANGE(0,-6AM)")</f>
        <v>-20.9590556990041</v>
      </c>
      <c r="H3" s="47" cm="1">
        <f t="array" ref="H3">_xll.FDS($A3,"FG_PRICE_CHANGE(0,-1AY)")</f>
        <v>-5.0934538045885303</v>
      </c>
      <c r="I3" s="47" cm="1">
        <f t="array" ref="I3">_xll.FDS($A3,"FG_PRICE(0)/MAX(FG_PRICE(0,-1AY))")</f>
        <v>0.74320199778024398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0</v>
      </c>
      <c r="T3">
        <f>S3</f>
        <v>0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4.1044999999999998</v>
      </c>
      <c r="D4" cm="1">
        <f t="array" ref="D4">_xll.FDS($A4,"FG_PRICE_MAVG(0,,,,30)")</f>
        <v>4.4239335000000004</v>
      </c>
      <c r="E4" s="47" cm="1">
        <f t="array" ref="E4">_xll.FDS($A4,"FG_PRICE_CHANGE(0,-1AM)")</f>
        <v>-6.0217515741270802</v>
      </c>
      <c r="F4" s="47" cm="1">
        <f t="array" ref="F4">_xll.FDS($A4,"FG_PRICE_CHANGE(0,-3AM)")</f>
        <v>-10.1663383672576</v>
      </c>
      <c r="G4" s="47" cm="1">
        <f t="array" ref="G4">_xll.FDS($A4,"FG_PRICE_CHANGE(0,-6AM)")</f>
        <v>6.59654590312946</v>
      </c>
      <c r="H4" s="47" cm="1">
        <f t="array" ref="H4">_xll.FDS($A4,"FG_PRICE_CHANGE(0,-1AY)")</f>
        <v>5.5005783318339496</v>
      </c>
      <c r="I4" s="47" cm="1">
        <f t="array" ref="I4">_xll.FDS($A4,"FG_PRICE(0)/MAX(FG_PRICE(0,-1AY))")</f>
        <v>0.80181676108614997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1</v>
      </c>
      <c r="T4">
        <f t="shared" ref="T4:T5" si="0">S4</f>
        <v>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1.9472809308952701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1</v>
      </c>
      <c r="T5">
        <f t="shared" si="0"/>
        <v>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5.2350000000000003</v>
      </c>
      <c r="D6" cm="1">
        <f t="array" ref="D6">_xll.FDS($A6,"FG_PRICE_MAVG(0,,,,30)")</f>
        <v>5.5564165000000001</v>
      </c>
      <c r="E6" s="47" cm="1">
        <f t="array" ref="E6">_xll.FDS($A6,"FG_PRICE_CHANGE(0,-1AM)")</f>
        <v>-3.27944572748267</v>
      </c>
      <c r="F6" s="47" cm="1">
        <f t="array" ref="F6">_xll.FDS($A6,"FG_PRICE_CHANGE(0,-3AM)")</f>
        <v>-13.2200580190634</v>
      </c>
      <c r="G6" s="47" cm="1">
        <f t="array" ref="G6">_xll.FDS($A6,"FG_PRICE_CHANGE(0,-6AM)")</f>
        <v>-12.7863390254061</v>
      </c>
      <c r="H6" s="47" cm="1">
        <f t="array" ref="H6">_xll.FDS($A6,"FG_PRICE_CHANGE(0,-1AY)")</f>
        <v>-27.2916666666667</v>
      </c>
      <c r="I6" s="47" cm="1">
        <f t="array" ref="I6">_xll.FDS($A6,"FG_PRICE(0)/MAX(FG_PRICE(0,-1AY))")</f>
        <v>0.72708333333333297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4044</v>
      </c>
      <c r="D7" cm="1">
        <f t="array" ref="D7">_xll.FDS($A7,"FG_PRICE_MAVG(0,,,,30)")</f>
        <v>3996.7</v>
      </c>
      <c r="E7" s="47" cm="1">
        <f t="array" ref="E7">_xll.FDS($A7,"FG_PRICE_CHANGE(0,-1AM)")</f>
        <v>3.0056036678553202</v>
      </c>
      <c r="F7" s="47" cm="1">
        <f t="array" ref="F7">_xll.FDS($A7,"FG_PRICE_CHANGE(0,-3AM)")</f>
        <v>2.87458661918087</v>
      </c>
      <c r="G7" s="47" cm="1">
        <f t="array" ref="G7">_xll.FDS($A7,"FG_PRICE_CHANGE(0,-6AM)")</f>
        <v>0.62204528489673305</v>
      </c>
      <c r="H7" s="47" cm="1">
        <f t="array" ref="H7">_xll.FDS($A7,"FG_PRICE_CHANGE(0,-1AY)")</f>
        <v>1.42964635063958</v>
      </c>
      <c r="I7" s="47" cm="1">
        <f t="array" ref="I7">_xll.FDS($A7,"FG_PRICE(0)/MAX(FG_PRICE(0,-1AY))")</f>
        <v>0.88316226250273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941</v>
      </c>
      <c r="D8" cm="1">
        <f t="array" ref="D8">_xll.FDS($A8,"FG_PRICE_MAVG(0,,,,30)")</f>
        <v>987.83330000000001</v>
      </c>
      <c r="E8" s="47" cm="1">
        <f t="array" ref="E8">_xll.FDS($A8,"FG_PRICE_CHANGE(0,-1AM)")</f>
        <v>-6.3681592039800998</v>
      </c>
      <c r="F8" s="47" cm="1">
        <f t="array" ref="F8">_xll.FDS($A8,"FG_PRICE_CHANGE(0,-3AM)")</f>
        <v>2.2826086956521801</v>
      </c>
      <c r="G8" s="47" cm="1">
        <f t="array" ref="G8">_xll.FDS($A8,"FG_PRICE_CHANGE(0,-6AM)")</f>
        <v>3.4065934065934198</v>
      </c>
      <c r="H8" s="47" cm="1">
        <f t="array" ref="H8">_xll.FDS($A8,"FG_PRICE_CHANGE(0,-1AY)")</f>
        <v>-2.6887280248190302</v>
      </c>
      <c r="I8" s="47" cm="1">
        <f t="array" ref="I8">_xll.FDS($A8,"FG_PRICE(0)/MAX(FG_PRICE(0,-1AY))")</f>
        <v>0.88026192703461204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15550</v>
      </c>
      <c r="D9" cm="1">
        <f t="array" ref="D9">_xll.FDS($A9,"FG_PRICE_MAVG(0,,,,30)")</f>
        <v>16670.333999999999</v>
      </c>
      <c r="E9" s="47" cm="1">
        <f t="array" ref="E9">_xll.FDS($A9,"FG_PRICE_CHANGE(0,-1AM)")</f>
        <v>-8.0425783560023607</v>
      </c>
      <c r="F9" s="47" cm="1">
        <f t="array" ref="F9">_xll.FDS($A9,"FG_PRICE_CHANGE(0,-3AM)")</f>
        <v>-18.925964546402501</v>
      </c>
      <c r="G9" s="47" cm="1">
        <f t="array" ref="G9">_xll.FDS($A9,"FG_PRICE_CHANGE(0,-6AM)")</f>
        <v>-5.9570607801632898</v>
      </c>
      <c r="H9" s="47" cm="1">
        <f t="array" ref="H9">_xll.FDS($A9,"FG_PRICE_CHANGE(0,-1AY)")</f>
        <v>-27.9258400926999</v>
      </c>
      <c r="I9" s="47" cm="1">
        <f t="array" ref="I9">_xll.FDS($A9,"FG_PRICE(0)/MAX(FG_PRICE(0,-1AY))")</f>
        <v>0.695593826884366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915</v>
      </c>
      <c r="D10" cm="1">
        <f t="array" ref="D10">_xll.FDS($A10,"FG_PRICE_MAVG(0,,,,30)")</f>
        <v>964.5</v>
      </c>
      <c r="E10" s="47" cm="1">
        <f t="array" ref="E10">_xll.FDS($A10,"FG_PRICE_CHANGE(0,-1AM)")</f>
        <v>-2.6595744680851001</v>
      </c>
      <c r="F10" s="47" cm="1">
        <f t="array" ref="F10">_xll.FDS($A10,"FG_PRICE_CHANGE(0,-3AM)")</f>
        <v>-6.8228105906313701</v>
      </c>
      <c r="G10" s="47" cm="1">
        <f t="array" ref="G10">_xll.FDS($A10,"FG_PRICE_CHANGE(0,-6AM)")</f>
        <v>-4.1884816753926701</v>
      </c>
      <c r="H10" s="47" cm="1">
        <f t="array" ref="H10">_xll.FDS($A10,"FG_PRICE_CHANGE(0,-1AY)")</f>
        <v>-27.667984189723299</v>
      </c>
      <c r="I10" s="47" cm="1">
        <f t="array" ref="I10">_xll.FDS($A10,"FG_PRICE(0)/MAX(FG_PRICE(0,-1AY))")</f>
        <v>0.68283582089552197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526.70000000000005</v>
      </c>
      <c r="D11" cm="1">
        <f t="array" ref="D11">_xll.FDS($A11,"FG_PRICE_MAVG(0,,,,30)")</f>
        <v>558.08669999999995</v>
      </c>
      <c r="E11" s="47" cm="1">
        <f t="array" ref="E11">_xll.FDS($A11,"FG_PRICE_CHANGE(0,-1AM)")</f>
        <v>-7.4666198172874196</v>
      </c>
      <c r="F11" s="47" cm="1">
        <f t="array" ref="F11">_xll.FDS($A11,"FG_PRICE_CHANGE(0,-3AM)")</f>
        <v>-6.5637750576547704</v>
      </c>
      <c r="G11" s="47" cm="1">
        <f t="array" ref="G11">_xll.FDS($A11,"FG_PRICE_CHANGE(0,-6AM)")</f>
        <v>-21.164496332884301</v>
      </c>
      <c r="H11" s="47" cm="1">
        <f t="array" ref="H11">_xll.FDS($A11,"FG_PRICE_CHANGE(0,-1AY)")</f>
        <v>-23.255136237796901</v>
      </c>
      <c r="I11" s="47" cm="1">
        <f t="array" ref="I11">_xll.FDS($A11,"FG_PRICE(0)/MAX(FG_PRICE(0,-1AY))")</f>
        <v>0.68993974325386398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0.91138529999999995</v>
      </c>
      <c r="D12" cm="1">
        <f t="array" ref="D12">_xll.FDS($A12,"FG_PRICE_MAVG(0,,,,30)")</f>
        <v>0.93216390000000005</v>
      </c>
      <c r="E12" s="47" cm="1">
        <f t="array" ref="E12">_xll.FDS($A12,"FG_PRICE_CHANGE(0,-1AM)")</f>
        <v>-3.3613385677821799</v>
      </c>
      <c r="F12" s="47" cm="1">
        <f t="array" ref="F12">_xll.FDS($A12,"FG_PRICE_CHANGE(0,-3AM)")</f>
        <v>-5.8230639998298797</v>
      </c>
      <c r="G12" s="47" cm="1">
        <f t="array" ref="G12">_xll.FDS($A12,"FG_PRICE_CHANGE(0,-6AM)")</f>
        <v>-6.3423412202698497</v>
      </c>
      <c r="H12" s="47" cm="1">
        <f t="array" ref="H12">_xll.FDS($A12,"FG_PRICE_CHANGE(0,-1AY)")</f>
        <v>-6.5163196992390597</v>
      </c>
      <c r="I12" s="47" cm="1">
        <f t="array" ref="I12">_xll.FDS($A12,"FG_PRICE(0)/MAX(FG_PRICE(0,-1AY))")</f>
        <v>0.87633201923076898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41845</v>
      </c>
      <c r="B2" s="3" cm="1">
        <f t="array" ref="B2:B122">_xll.FDS(B1,"FMA_PE(LTMA,-10AY,0,AM,""PORTAGG"",""MEANR"")")</f>
        <v>18.1471650053407</v>
      </c>
      <c r="C2" s="3" cm="1">
        <f t="array" ref="C2:C122">_xll.FDS(C1,"FMA_PE(LTMA,-10AY,0,AM,""PORTAGG"",""MEANR"")")</f>
        <v>15.4615956867859</v>
      </c>
      <c r="D2" s="3" cm="1">
        <f t="array" ref="D2:D122">_xll.FDS(D1,"FMA_PE(LTMA,-10AY,0,AM,""PORTAGG"",""MEANR"")")</f>
        <v>16.408628572466402</v>
      </c>
      <c r="E2" s="3" cm="1">
        <f t="array" ref="E2:E122">_xll.FDS(E1,"FMA_PE(LTMA,-10AY,0,AM,""PORTAGG"",""MEANR"")")</f>
        <v>14.3897941389999</v>
      </c>
      <c r="F2" s="3" cm="1">
        <f t="array" ref="F2:F122">_xll.FDS(F1,"FMA_PE(LTMA,-10AY,0,AM,""PORTAGG"",""MEANR"")")</f>
        <v>15.279736962234001</v>
      </c>
      <c r="G2" s="3" cm="1">
        <f t="array" ref="G2:G122">_xll.FDS(G1,"FMA_PE(LTMA,-10AY,0,AM,""PORTAGG"",""MEANR"")")</f>
        <v>17.282409038357201</v>
      </c>
      <c r="H2" s="3" cm="1">
        <f t="array" ref="H2:H122">_xll.FDS(H1,"FMA_PE(LTMA,-10AY,0,AM,""PORTAGG"",""MEANR"")")</f>
        <v>14.406239591782001</v>
      </c>
      <c r="I2" s="3" cm="1">
        <f t="array" ref="I2:I122">_xll.FDS(I1,"FMA_PE(LTMA,-10AY,0,AM,""PORTAGG"",""MEANR"")")</f>
        <v>19.147185716701198</v>
      </c>
      <c r="J2" s="3" cm="1">
        <f t="array" ref="J2:J122">_xll.FDS(J1,"FMA_PE(LTMA,-10AY,0,AM,""PORTAGG"",""MEANR"")")</f>
        <v>16.401256759269401</v>
      </c>
      <c r="K2" s="3" cm="1">
        <f t="array" ref="K2:K122">_xll.FDS(K1,"FMA_PE(LTMA,-10AY,0,AM,""PORTAGG"",""MEANR"")")</f>
        <v>15.425179816376801</v>
      </c>
      <c r="L2" s="3" cm="1">
        <f t="array" ref="L2:L122">_xll.FDS(L1,"FMA_PE(LTMA,-10AY,0,AM,""PORTAGG"",""MEANR"")")</f>
        <v>16.472846687436899</v>
      </c>
      <c r="M2" s="3" cm="1">
        <f t="array" ref="M2:M122">_xll.FDS(M1,"FMA_PE(LTMA,-10AY,0,AM,""PORTAGG"",""MEANR"")")</f>
        <v>16.075799223719802</v>
      </c>
      <c r="N2" s="3" cm="1">
        <f t="array" ref="N2:N122">_xll.FDS(N1,"FMA_PE(LTMA,-10AY,0,AM,""PORTAGG"",""MEANR"")")</f>
        <v>17.288518512265</v>
      </c>
    </row>
    <row r="3" spans="1:14" x14ac:dyDescent="0.35">
      <c r="A3" s="2">
        <v>41877</v>
      </c>
      <c r="B3" s="3">
        <v>18.019199164784201</v>
      </c>
      <c r="C3" s="3">
        <v>15.495300881697</v>
      </c>
      <c r="D3" s="3">
        <v>16.477599194056399</v>
      </c>
      <c r="E3" s="3">
        <v>14.274507906122601</v>
      </c>
      <c r="F3" s="3">
        <v>15.104279802573201</v>
      </c>
      <c r="G3" s="3">
        <v>17.427559021686999</v>
      </c>
      <c r="H3" s="3">
        <v>14.2852588188202</v>
      </c>
      <c r="I3" s="3">
        <v>19.443699518211901</v>
      </c>
      <c r="J3" s="3">
        <v>16.500830275781802</v>
      </c>
      <c r="K3" s="3">
        <v>15.470361940998</v>
      </c>
      <c r="L3" s="3">
        <v>16.616501994507399</v>
      </c>
      <c r="M3" s="3">
        <v>15.9156974779325</v>
      </c>
      <c r="N3" s="3">
        <v>17.500196535927099</v>
      </c>
    </row>
    <row r="4" spans="1:14" x14ac:dyDescent="0.35">
      <c r="A4" s="2">
        <v>41908</v>
      </c>
      <c r="B4" s="3">
        <v>17.904143439210401</v>
      </c>
      <c r="C4" s="3">
        <v>14.718470095515499</v>
      </c>
      <c r="D4" s="3">
        <v>15.9895560942524</v>
      </c>
      <c r="E4" s="3">
        <v>14.064598256027301</v>
      </c>
      <c r="F4" s="3">
        <v>15.428607525540301</v>
      </c>
      <c r="G4" s="3">
        <v>17.2698775866963</v>
      </c>
      <c r="H4" s="3">
        <v>13.962348114274301</v>
      </c>
      <c r="I4" s="3">
        <v>19.329719137003899</v>
      </c>
      <c r="J4" s="3">
        <v>16.433304869852901</v>
      </c>
      <c r="K4" s="3">
        <v>15.3731192448609</v>
      </c>
      <c r="L4" s="3">
        <v>16.758782740630501</v>
      </c>
      <c r="M4" s="3">
        <v>15.9975096250154</v>
      </c>
      <c r="N4" s="3">
        <v>17.859914773193399</v>
      </c>
    </row>
    <row r="5" spans="1:14" x14ac:dyDescent="0.35">
      <c r="A5" s="2">
        <v>41936</v>
      </c>
      <c r="B5" s="3">
        <v>18.222717789750199</v>
      </c>
      <c r="C5" s="3">
        <v>15.0948856764954</v>
      </c>
      <c r="D5" s="3">
        <v>15.631334239510901</v>
      </c>
      <c r="E5" s="3">
        <v>13.408668354228</v>
      </c>
      <c r="F5" s="3">
        <v>14.610614826395</v>
      </c>
      <c r="G5" s="3">
        <v>16.878264281384499</v>
      </c>
      <c r="H5" s="3">
        <v>13.549808383732399</v>
      </c>
      <c r="I5" s="3">
        <v>19.2337236661063</v>
      </c>
      <c r="J5" s="3">
        <v>16.3812700217889</v>
      </c>
      <c r="K5" s="3">
        <v>14.7044525992183</v>
      </c>
      <c r="L5" s="3">
        <v>16.0167154791461</v>
      </c>
      <c r="M5" s="3">
        <v>15.781733924369799</v>
      </c>
      <c r="N5" s="3">
        <v>16.944250946816901</v>
      </c>
    </row>
    <row r="6" spans="1:14" x14ac:dyDescent="0.35">
      <c r="A6" s="2">
        <v>41969</v>
      </c>
      <c r="B6" s="3">
        <v>18.573644875312901</v>
      </c>
      <c r="C6" s="3">
        <v>14.836936019909199</v>
      </c>
      <c r="D6" s="3">
        <v>15.980738879234799</v>
      </c>
      <c r="E6" s="3">
        <v>14.4278581444787</v>
      </c>
      <c r="F6" s="3">
        <v>15.9654064465761</v>
      </c>
      <c r="G6" s="3">
        <v>17.734943490231</v>
      </c>
      <c r="H6" s="3">
        <v>14.067460282287399</v>
      </c>
      <c r="I6" s="3">
        <v>20.443700986745199</v>
      </c>
      <c r="J6" s="3">
        <v>17.148406827400901</v>
      </c>
      <c r="K6" s="3">
        <v>15.387317085516401</v>
      </c>
      <c r="L6" s="3">
        <v>17.7461626791649</v>
      </c>
      <c r="M6" s="3">
        <v>17.209485583615201</v>
      </c>
      <c r="N6" s="3">
        <v>18.246541590194699</v>
      </c>
    </row>
    <row r="7" spans="1:14" x14ac:dyDescent="0.35">
      <c r="A7" s="2">
        <v>41999</v>
      </c>
      <c r="B7" s="3">
        <v>19.135174035517</v>
      </c>
      <c r="C7" s="3">
        <v>14.5478656383555</v>
      </c>
      <c r="D7" s="3">
        <v>15.602338836546901</v>
      </c>
      <c r="E7" s="3">
        <v>14.4741141790598</v>
      </c>
      <c r="F7" s="3">
        <v>16.191712338601398</v>
      </c>
      <c r="G7" s="3">
        <v>17.3627595471822</v>
      </c>
      <c r="H7" s="3">
        <v>13.8644898471586</v>
      </c>
      <c r="I7" s="3">
        <v>20.475069244301199</v>
      </c>
      <c r="J7" s="3">
        <v>17.523051124746502</v>
      </c>
      <c r="K7" s="3">
        <v>15.123375607069899</v>
      </c>
      <c r="L7" s="3">
        <v>17.6644900500192</v>
      </c>
      <c r="M7" s="3">
        <v>17.629642756686799</v>
      </c>
      <c r="N7" s="3">
        <v>18.571848842250599</v>
      </c>
    </row>
    <row r="8" spans="1:14" x14ac:dyDescent="0.35">
      <c r="A8" s="2">
        <v>42030</v>
      </c>
      <c r="B8" s="3">
        <v>19.7310428328413</v>
      </c>
      <c r="C8" s="3">
        <v>15.033547128278901</v>
      </c>
      <c r="D8" s="3">
        <v>15.8994637843955</v>
      </c>
      <c r="E8" s="3">
        <v>15.7172638188525</v>
      </c>
      <c r="F8" s="3">
        <v>15.4165574830491</v>
      </c>
      <c r="G8" s="3">
        <v>16.586068308630701</v>
      </c>
      <c r="H8" s="3">
        <v>14.3208953986805</v>
      </c>
      <c r="I8" s="3">
        <v>20.1084809573927</v>
      </c>
      <c r="J8" s="3">
        <v>17.297183673318202</v>
      </c>
      <c r="K8" s="3">
        <v>16.400430466660701</v>
      </c>
      <c r="L8" s="3">
        <v>18.9438312624895</v>
      </c>
      <c r="M8" s="3">
        <v>18.6089900515585</v>
      </c>
      <c r="N8" s="3">
        <v>22.331042232879799</v>
      </c>
    </row>
    <row r="9" spans="1:14" x14ac:dyDescent="0.35">
      <c r="A9" s="2">
        <v>42061</v>
      </c>
      <c r="B9" s="3">
        <v>20.491045970498899</v>
      </c>
      <c r="C9" s="3">
        <v>16.134357145628901</v>
      </c>
      <c r="D9" s="3">
        <v>17.0235896298101</v>
      </c>
      <c r="E9" s="3">
        <v>16.389707898690901</v>
      </c>
      <c r="F9" s="3">
        <v>16.912626684138999</v>
      </c>
      <c r="G9" s="3">
        <v>18.0220959471973</v>
      </c>
      <c r="H9" s="3">
        <v>15.151419776052499</v>
      </c>
      <c r="I9" s="3">
        <v>20.9043572909377</v>
      </c>
      <c r="J9" s="3">
        <v>17.6354460650807</v>
      </c>
      <c r="K9" s="3">
        <v>17.4468270575269</v>
      </c>
      <c r="L9" s="3">
        <v>20.114550139552801</v>
      </c>
      <c r="M9" s="3">
        <v>20.2217339928199</v>
      </c>
      <c r="N9" s="3">
        <v>44.741614146447397</v>
      </c>
    </row>
    <row r="10" spans="1:14" x14ac:dyDescent="0.35">
      <c r="A10" s="2">
        <v>42089</v>
      </c>
      <c r="B10" s="3">
        <v>20.2008330515695</v>
      </c>
      <c r="C10" s="3">
        <v>16.251823312192599</v>
      </c>
      <c r="D10" s="3">
        <v>17.0467013658387</v>
      </c>
      <c r="E10" s="3">
        <v>16.496666404310599</v>
      </c>
      <c r="F10" s="3">
        <v>16.9119925900794</v>
      </c>
      <c r="G10" s="3">
        <v>18.0025801512176</v>
      </c>
      <c r="H10" s="3">
        <v>15.2651256973647</v>
      </c>
      <c r="I10" s="3">
        <v>20.488811734412199</v>
      </c>
      <c r="J10" s="3">
        <v>17.4862637390688</v>
      </c>
      <c r="K10" s="3">
        <v>17.532943951536701</v>
      </c>
      <c r="L10" s="3">
        <v>19.922958400874499</v>
      </c>
      <c r="M10" s="3">
        <v>20.028706159662399</v>
      </c>
      <c r="N10" s="3">
        <v>42.8551049095799</v>
      </c>
    </row>
    <row r="11" spans="1:14" x14ac:dyDescent="0.35">
      <c r="A11" s="2">
        <v>42118</v>
      </c>
      <c r="B11" s="3">
        <v>20.071456801340801</v>
      </c>
      <c r="C11" s="3">
        <v>16.416869099401801</v>
      </c>
      <c r="D11" s="3">
        <v>17.330830079553301</v>
      </c>
      <c r="E11" s="3">
        <v>16.409305783953702</v>
      </c>
      <c r="F11" s="3">
        <v>16.979416063890501</v>
      </c>
      <c r="G11" s="3">
        <v>18.1951277739111</v>
      </c>
      <c r="H11" s="3">
        <v>15.628700427850699</v>
      </c>
      <c r="I11" s="3">
        <v>20.5717507338301</v>
      </c>
      <c r="J11" s="3">
        <v>17.6077051522952</v>
      </c>
      <c r="K11" s="3">
        <v>17.636483387018099</v>
      </c>
      <c r="L11" s="3">
        <v>19.867328246920799</v>
      </c>
      <c r="M11" s="3">
        <v>19.629184293262799</v>
      </c>
      <c r="N11" s="3">
        <v>40.266864288866103</v>
      </c>
    </row>
    <row r="12" spans="1:14" x14ac:dyDescent="0.35">
      <c r="A12" s="2">
        <v>42150</v>
      </c>
      <c r="B12" s="3">
        <v>20.010133915147598</v>
      </c>
      <c r="C12" s="3">
        <v>16.278850530265199</v>
      </c>
      <c r="D12" s="3">
        <v>17.230658766508999</v>
      </c>
      <c r="E12" s="3">
        <v>16.058941341704301</v>
      </c>
      <c r="F12" s="3">
        <v>17.1779674792249</v>
      </c>
      <c r="G12" s="3">
        <v>18.0849156587925</v>
      </c>
      <c r="H12" s="3">
        <v>15.7185536485261</v>
      </c>
      <c r="I12" s="3">
        <v>20.233379384300701</v>
      </c>
      <c r="J12" s="3">
        <v>17.5054366954414</v>
      </c>
      <c r="K12" s="3">
        <v>17.4816881893878</v>
      </c>
      <c r="L12" s="3">
        <v>19.526968008316601</v>
      </c>
      <c r="M12" s="3">
        <v>19.3114386912568</v>
      </c>
      <c r="N12" s="3">
        <v>37.263989282382298</v>
      </c>
    </row>
    <row r="13" spans="1:14" x14ac:dyDescent="0.35">
      <c r="A13" s="2">
        <v>42181</v>
      </c>
      <c r="B13" s="3">
        <v>19.649687823684499</v>
      </c>
      <c r="C13" s="3">
        <v>15.987243121963299</v>
      </c>
      <c r="D13" s="3">
        <v>17.182983845766302</v>
      </c>
      <c r="E13" s="3">
        <v>15.775482783216599</v>
      </c>
      <c r="F13" s="3">
        <v>16.956451939157301</v>
      </c>
      <c r="G13" s="3">
        <v>17.897615630091501</v>
      </c>
      <c r="H13" s="3">
        <v>15.6923925093541</v>
      </c>
      <c r="I13" s="3">
        <v>20.0829378723056</v>
      </c>
      <c r="J13" s="3">
        <v>17.484466481276002</v>
      </c>
      <c r="K13" s="3">
        <v>17.3969752417282</v>
      </c>
      <c r="L13" s="3">
        <v>19.2686697328413</v>
      </c>
      <c r="M13" s="3">
        <v>18.840706368308702</v>
      </c>
      <c r="N13" s="3">
        <v>34.410407534298301</v>
      </c>
    </row>
    <row r="14" spans="1:14" x14ac:dyDescent="0.35">
      <c r="A14" s="2">
        <v>42209</v>
      </c>
      <c r="B14" s="3">
        <v>19.8385257248821</v>
      </c>
      <c r="C14" s="3">
        <v>15.9321085063801</v>
      </c>
      <c r="D14" s="3">
        <v>16.7707390110536</v>
      </c>
      <c r="E14" s="3">
        <v>15.474243196414101</v>
      </c>
      <c r="F14" s="3">
        <v>16.821190356708399</v>
      </c>
      <c r="G14" s="3">
        <v>18.1484670385573</v>
      </c>
      <c r="H14" s="3">
        <v>15.545330237979799</v>
      </c>
      <c r="I14" s="3">
        <v>20.252921385542699</v>
      </c>
      <c r="J14" s="3">
        <v>17.415450997077802</v>
      </c>
      <c r="K14" s="3">
        <v>17.295144286131102</v>
      </c>
      <c r="L14" s="3">
        <v>19.050163763762502</v>
      </c>
      <c r="M14" s="3">
        <v>18.5800215155746</v>
      </c>
      <c r="N14" s="3">
        <v>31.6886470050264</v>
      </c>
    </row>
    <row r="15" spans="1:14" x14ac:dyDescent="0.35">
      <c r="A15" s="2">
        <v>42242</v>
      </c>
      <c r="B15" s="3">
        <v>19.022741889376</v>
      </c>
      <c r="C15" s="3">
        <v>15.438191658052601</v>
      </c>
      <c r="D15" s="3">
        <v>16.263308662880601</v>
      </c>
      <c r="E15" s="3">
        <v>14.2397661064254</v>
      </c>
      <c r="F15" s="3">
        <v>15.576049116767599</v>
      </c>
      <c r="G15" s="3">
        <v>17.158314963520802</v>
      </c>
      <c r="H15" s="3">
        <v>14.727149409755899</v>
      </c>
      <c r="I15" s="3">
        <v>19.3146021165335</v>
      </c>
      <c r="J15" s="3">
        <v>16.655930005048301</v>
      </c>
      <c r="K15" s="3">
        <v>15.8721475387491</v>
      </c>
      <c r="L15" s="3">
        <v>17.2589073795872</v>
      </c>
      <c r="M15" s="3">
        <v>17.265289936708299</v>
      </c>
      <c r="N15" s="3">
        <v>28.089980107198599</v>
      </c>
    </row>
    <row r="16" spans="1:14" x14ac:dyDescent="0.35">
      <c r="A16" s="2">
        <v>42272</v>
      </c>
      <c r="B16" s="3">
        <v>18.911145321220101</v>
      </c>
      <c r="C16" s="3">
        <v>15.100493988845001</v>
      </c>
      <c r="D16" s="3">
        <v>16.366005556641799</v>
      </c>
      <c r="E16" s="3">
        <v>13.698006976901</v>
      </c>
      <c r="F16" s="3">
        <v>15.1717236283757</v>
      </c>
      <c r="G16" s="3">
        <v>16.948765122845501</v>
      </c>
      <c r="H16" s="3">
        <v>14.996445229581299</v>
      </c>
      <c r="I16" s="3">
        <v>19.1333734821261</v>
      </c>
      <c r="J16" s="3">
        <v>16.529932085073799</v>
      </c>
      <c r="K16" s="3">
        <v>15.6218848909774</v>
      </c>
      <c r="L16" s="3">
        <v>16.7641690361841</v>
      </c>
      <c r="M16" s="3">
        <v>16.5630149010859</v>
      </c>
      <c r="N16" s="3">
        <v>25.239705929472201</v>
      </c>
    </row>
    <row r="17" spans="1:14" x14ac:dyDescent="0.35">
      <c r="A17" s="2">
        <v>42303</v>
      </c>
      <c r="B17" s="3">
        <v>19.4900213208971</v>
      </c>
      <c r="C17" s="3">
        <v>15.8454261017108</v>
      </c>
      <c r="D17" s="3">
        <v>16.871165458817401</v>
      </c>
      <c r="E17" s="3">
        <v>14.475030640971699</v>
      </c>
      <c r="F17" s="3">
        <v>15.898782836660899</v>
      </c>
      <c r="G17" s="3">
        <v>17.7349971107265</v>
      </c>
      <c r="H17" s="3">
        <v>15.846958699655</v>
      </c>
      <c r="I17" s="3">
        <v>20.335550394237799</v>
      </c>
      <c r="J17" s="3">
        <v>17.4268916654067</v>
      </c>
      <c r="K17" s="3">
        <v>16.411493721036798</v>
      </c>
      <c r="L17" s="3">
        <v>17.609875465051001</v>
      </c>
      <c r="M17" s="3">
        <v>17.311145261010601</v>
      </c>
      <c r="N17" s="3">
        <v>23.5409874558196</v>
      </c>
    </row>
    <row r="18" spans="1:14" x14ac:dyDescent="0.35">
      <c r="A18" s="2">
        <v>42333</v>
      </c>
      <c r="B18" s="3">
        <v>19.492434993472699</v>
      </c>
      <c r="C18" s="3">
        <v>15.5470704058247</v>
      </c>
      <c r="D18" s="3">
        <v>16.682638668764099</v>
      </c>
      <c r="E18" s="3">
        <v>14.839776031114701</v>
      </c>
      <c r="F18" s="3">
        <v>16.263678832162</v>
      </c>
      <c r="G18" s="3">
        <v>17.550029200700099</v>
      </c>
      <c r="H18" s="3">
        <v>15.889258018524901</v>
      </c>
      <c r="I18" s="3">
        <v>20.407874643452502</v>
      </c>
      <c r="J18" s="3">
        <v>17.488051141642401</v>
      </c>
      <c r="K18" s="3">
        <v>16.252514893928701</v>
      </c>
      <c r="L18" s="3">
        <v>18.082897136493699</v>
      </c>
      <c r="M18" s="3">
        <v>16.761316231165001</v>
      </c>
      <c r="N18" s="3">
        <v>21.721751998508999</v>
      </c>
    </row>
    <row r="19" spans="1:14" x14ac:dyDescent="0.35">
      <c r="A19" s="2">
        <v>42362</v>
      </c>
      <c r="B19" s="3">
        <v>19.763453225913299</v>
      </c>
      <c r="C19" s="3">
        <v>15.735541344647601</v>
      </c>
      <c r="D19" s="3">
        <v>16.564592993310601</v>
      </c>
      <c r="E19" s="3">
        <v>14.0848073133548</v>
      </c>
      <c r="F19" s="3">
        <v>15.626644061887299</v>
      </c>
      <c r="G19" s="3">
        <v>17.347383251053799</v>
      </c>
      <c r="H19" s="3">
        <v>15.7596319513903</v>
      </c>
      <c r="I19" s="3">
        <v>20.240709644518901</v>
      </c>
      <c r="J19" s="3">
        <v>17.267833301201001</v>
      </c>
      <c r="K19" s="3">
        <v>15.510163797027101</v>
      </c>
      <c r="L19" s="3">
        <v>17.254760592398998</v>
      </c>
      <c r="M19" s="3">
        <v>16.113610515284702</v>
      </c>
      <c r="N19" s="3">
        <v>18.626055611480499</v>
      </c>
    </row>
    <row r="20" spans="1:14" x14ac:dyDescent="0.35">
      <c r="A20" s="2">
        <v>42395</v>
      </c>
      <c r="B20" s="3">
        <v>19.133896382265299</v>
      </c>
      <c r="C20" s="3">
        <v>15.1464580863957</v>
      </c>
      <c r="D20" s="3">
        <v>14.8825318938816</v>
      </c>
      <c r="E20" s="3">
        <v>12.7793827168709</v>
      </c>
      <c r="F20" s="3">
        <v>13.9049721886283</v>
      </c>
      <c r="G20" s="3">
        <v>16.614917031192402</v>
      </c>
      <c r="H20" s="3">
        <v>14.894369233571499</v>
      </c>
      <c r="I20" s="3">
        <v>18.632787910554899</v>
      </c>
      <c r="J20" s="3">
        <v>15.972065875404899</v>
      </c>
      <c r="K20" s="3">
        <v>14.507165843330901</v>
      </c>
      <c r="L20" s="3">
        <v>16.0682241202184</v>
      </c>
      <c r="M20" s="3">
        <v>15.1117667791444</v>
      </c>
      <c r="N20" s="3">
        <v>15.802973711248701</v>
      </c>
    </row>
    <row r="21" spans="1:14" x14ac:dyDescent="0.35">
      <c r="A21" s="2">
        <v>42426</v>
      </c>
      <c r="B21" s="3">
        <v>19.290308050580801</v>
      </c>
      <c r="C21" s="3">
        <v>14.937202735664201</v>
      </c>
      <c r="D21" s="3">
        <v>15.6168821012362</v>
      </c>
      <c r="E21" s="3">
        <v>12.6511839848056</v>
      </c>
      <c r="F21" s="3">
        <v>13.958170248406301</v>
      </c>
      <c r="G21" s="3">
        <v>16.607338295033902</v>
      </c>
      <c r="H21" s="3">
        <v>15.4662677386287</v>
      </c>
      <c r="I21" s="3">
        <v>18.330561353136499</v>
      </c>
      <c r="J21" s="3">
        <v>16.2966838906097</v>
      </c>
      <c r="K21" s="3">
        <v>15.013481845584399</v>
      </c>
      <c r="L21" s="3">
        <v>16.2192761305052</v>
      </c>
      <c r="M21" s="3">
        <v>15.5362511309696</v>
      </c>
      <c r="N21" s="3">
        <v>15.2901698920908</v>
      </c>
    </row>
    <row r="22" spans="1:14" x14ac:dyDescent="0.35">
      <c r="A22" s="2">
        <v>42453</v>
      </c>
      <c r="B22" s="3">
        <v>19.257798741171001</v>
      </c>
      <c r="C22" s="3">
        <v>15.141290089921499</v>
      </c>
      <c r="D22" s="3">
        <v>15.9798475786873</v>
      </c>
      <c r="E22" s="3">
        <v>12.7350620119251</v>
      </c>
      <c r="F22" s="3">
        <v>13.854876363467801</v>
      </c>
      <c r="G22" s="3">
        <v>16.595976802544001</v>
      </c>
      <c r="H22" s="3">
        <v>15.6566241433498</v>
      </c>
      <c r="I22" s="3">
        <v>18.312873826698802</v>
      </c>
      <c r="J22" s="3">
        <v>16.188193427520002</v>
      </c>
      <c r="K22" s="3">
        <v>15.099882866181501</v>
      </c>
      <c r="L22" s="3">
        <v>16.387204622321001</v>
      </c>
      <c r="M22" s="3">
        <v>15.5093716247203</v>
      </c>
      <c r="N22" s="3">
        <v>15.329065087465199</v>
      </c>
    </row>
    <row r="23" spans="1:14" x14ac:dyDescent="0.35">
      <c r="A23" s="2">
        <v>42486</v>
      </c>
      <c r="B23" s="3">
        <v>19.4178078832587</v>
      </c>
      <c r="C23" s="3">
        <v>15.406994090158801</v>
      </c>
      <c r="D23" s="3">
        <v>16.314182744254701</v>
      </c>
      <c r="E23" s="3">
        <v>12.953454735882101</v>
      </c>
      <c r="F23" s="3">
        <v>13.968046086082699</v>
      </c>
      <c r="G23" s="3">
        <v>16.859590589057898</v>
      </c>
      <c r="H23" s="3">
        <v>15.9897566331872</v>
      </c>
      <c r="I23" s="3">
        <v>18.396675292521099</v>
      </c>
      <c r="J23" s="3">
        <v>16.445215307047398</v>
      </c>
      <c r="K23" s="3">
        <v>15.282930820482999</v>
      </c>
      <c r="L23" s="3">
        <v>16.326182215436301</v>
      </c>
      <c r="M23" s="3">
        <v>15.7596346132098</v>
      </c>
      <c r="N23" s="3">
        <v>15.3298285958255</v>
      </c>
    </row>
    <row r="24" spans="1:14" x14ac:dyDescent="0.35">
      <c r="A24" s="2">
        <v>42516</v>
      </c>
      <c r="B24" s="3">
        <v>19.664088146105701</v>
      </c>
      <c r="C24" s="3">
        <v>15.761347769764599</v>
      </c>
      <c r="D24" s="3">
        <v>16.6139335103361</v>
      </c>
      <c r="E24" s="3">
        <v>12.950152657466001</v>
      </c>
      <c r="F24" s="3">
        <v>13.964264572044</v>
      </c>
      <c r="G24" s="3">
        <v>17.135999976495</v>
      </c>
      <c r="H24" s="3">
        <v>16.0616572501301</v>
      </c>
      <c r="I24" s="3">
        <v>18.567053358045101</v>
      </c>
      <c r="J24" s="3">
        <v>16.7169237226151</v>
      </c>
      <c r="K24" s="3">
        <v>15.2740644904781</v>
      </c>
      <c r="L24" s="3">
        <v>16.3317248157907</v>
      </c>
      <c r="M24" s="3">
        <v>15.619251939419</v>
      </c>
      <c r="N24" s="3">
        <v>15.584910054065899</v>
      </c>
    </row>
    <row r="25" spans="1:14" x14ac:dyDescent="0.35">
      <c r="A25" s="2">
        <v>42545</v>
      </c>
      <c r="B25" s="3">
        <v>19.391155062891801</v>
      </c>
      <c r="C25" s="3">
        <v>15.5322341052293</v>
      </c>
      <c r="D25" s="3">
        <v>16.675073966150201</v>
      </c>
      <c r="E25" s="3">
        <v>12.559947211930499</v>
      </c>
      <c r="F25" s="3">
        <v>13.432403605960999</v>
      </c>
      <c r="G25" s="3">
        <v>16.823133528548301</v>
      </c>
      <c r="H25" s="3">
        <v>15.8379451262284</v>
      </c>
      <c r="I25" s="3">
        <v>18.313498666373501</v>
      </c>
      <c r="J25" s="3">
        <v>16.6206897365049</v>
      </c>
      <c r="K25" s="3">
        <v>14.617444585979801</v>
      </c>
      <c r="L25" s="3">
        <v>15.6621705201919</v>
      </c>
      <c r="M25" s="3">
        <v>15.581932521549099</v>
      </c>
      <c r="N25" s="3">
        <v>14.2145687253534</v>
      </c>
    </row>
    <row r="26" spans="1:14" x14ac:dyDescent="0.35">
      <c r="A26" s="2">
        <v>42577</v>
      </c>
      <c r="B26" s="3">
        <v>20.474661772760999</v>
      </c>
      <c r="C26" s="3">
        <v>16.427067863864199</v>
      </c>
      <c r="D26" s="3">
        <v>17.187182982873001</v>
      </c>
      <c r="E26" s="3">
        <v>13.0741434967674</v>
      </c>
      <c r="F26" s="3">
        <v>14.1017432046718</v>
      </c>
      <c r="G26" s="3">
        <v>17.496222338858001</v>
      </c>
      <c r="H26" s="3">
        <v>16.617990514814299</v>
      </c>
      <c r="I26" s="3">
        <v>19.259656587878698</v>
      </c>
      <c r="J26" s="3">
        <v>17.3442419315341</v>
      </c>
      <c r="K26" s="3">
        <v>15.056671033951</v>
      </c>
      <c r="L26" s="3">
        <v>16.149703231640501</v>
      </c>
      <c r="M26" s="3">
        <v>15.793417320877101</v>
      </c>
      <c r="N26" s="3">
        <v>14.729232550362299</v>
      </c>
    </row>
    <row r="27" spans="1:14" x14ac:dyDescent="0.35">
      <c r="A27" s="2">
        <v>42608</v>
      </c>
      <c r="B27" s="3">
        <v>20.7805426923717</v>
      </c>
      <c r="C27" s="3">
        <v>16.687379090146901</v>
      </c>
      <c r="D27" s="3">
        <v>17.486478567012199</v>
      </c>
      <c r="E27" s="3">
        <v>13.3854191212356</v>
      </c>
      <c r="F27" s="3">
        <v>13.9603365984447</v>
      </c>
      <c r="G27" s="3">
        <v>17.852950161165801</v>
      </c>
      <c r="H27" s="3">
        <v>16.955903091619899</v>
      </c>
      <c r="I27" s="3">
        <v>19.5341477318184</v>
      </c>
      <c r="J27" s="3">
        <v>17.516870573197899</v>
      </c>
      <c r="K27" s="3">
        <v>14.9344542492125</v>
      </c>
      <c r="L27" s="3">
        <v>16.143297624822001</v>
      </c>
      <c r="M27" s="3">
        <v>16.031855197288301</v>
      </c>
      <c r="N27" s="3">
        <v>15.065896229452999</v>
      </c>
    </row>
    <row r="28" spans="1:14" x14ac:dyDescent="0.35">
      <c r="A28" s="2">
        <v>42639</v>
      </c>
      <c r="B28" s="3">
        <v>20.763938818330601</v>
      </c>
      <c r="C28" s="3">
        <v>16.6856100875079</v>
      </c>
      <c r="D28" s="3">
        <v>17.735311789388899</v>
      </c>
      <c r="E28" s="3">
        <v>13.4641406922538</v>
      </c>
      <c r="F28" s="3">
        <v>14.2893750826585</v>
      </c>
      <c r="G28" s="3">
        <v>18.021376676852402</v>
      </c>
      <c r="H28" s="3">
        <v>16.859300141779499</v>
      </c>
      <c r="I28" s="3">
        <v>19.770812224867498</v>
      </c>
      <c r="J28" s="3">
        <v>17.591611858357901</v>
      </c>
      <c r="K28" s="3">
        <v>14.8027176601907</v>
      </c>
      <c r="L28" s="3">
        <v>15.968050138551501</v>
      </c>
      <c r="M28" s="3">
        <v>16.2745799284572</v>
      </c>
      <c r="N28" s="3">
        <v>14.568208734107101</v>
      </c>
    </row>
    <row r="29" spans="1:14" x14ac:dyDescent="0.35">
      <c r="A29" s="2">
        <v>42669</v>
      </c>
      <c r="B29" s="3">
        <v>19.978491116539299</v>
      </c>
      <c r="C29" s="3">
        <v>16.719248034698101</v>
      </c>
      <c r="D29" s="3">
        <v>18.205156473764799</v>
      </c>
      <c r="E29" s="3">
        <v>13.8426259443546</v>
      </c>
      <c r="F29" s="3">
        <v>14.6775784434305</v>
      </c>
      <c r="G29" s="3">
        <v>17.6702235113837</v>
      </c>
      <c r="H29" s="3">
        <v>16.813075461297501</v>
      </c>
      <c r="I29" s="3">
        <v>19.967859411576701</v>
      </c>
      <c r="J29" s="3">
        <v>17.630336020666899</v>
      </c>
      <c r="K29" s="3">
        <v>15.0404566098826</v>
      </c>
      <c r="L29" s="3">
        <v>15.9160837578957</v>
      </c>
      <c r="M29" s="3">
        <v>17.4221451352042</v>
      </c>
      <c r="N29" s="3">
        <v>15.2503448321312</v>
      </c>
    </row>
    <row r="30" spans="1:14" x14ac:dyDescent="0.35">
      <c r="A30" s="2">
        <v>42699</v>
      </c>
      <c r="B30" s="3">
        <v>20.108500484312199</v>
      </c>
      <c r="C30" s="3">
        <v>17.356518039905801</v>
      </c>
      <c r="D30" s="3">
        <v>18.823163152451599</v>
      </c>
      <c r="E30" s="3">
        <v>13.7594308090077</v>
      </c>
      <c r="F30" s="3">
        <v>15.584517879212701</v>
      </c>
      <c r="G30" s="3">
        <v>17.540022845934899</v>
      </c>
      <c r="H30" s="3">
        <v>16.519472277075302</v>
      </c>
      <c r="I30" s="3">
        <v>20.096740645195599</v>
      </c>
      <c r="J30" s="3">
        <v>18.338937061288</v>
      </c>
      <c r="K30" s="3">
        <v>14.9037204180646</v>
      </c>
      <c r="L30" s="3">
        <v>15.6955777490254</v>
      </c>
      <c r="M30" s="3">
        <v>17.4631892061572</v>
      </c>
      <c r="N30" s="3">
        <v>14.615483313279499</v>
      </c>
    </row>
    <row r="31" spans="1:14" x14ac:dyDescent="0.35">
      <c r="A31" s="2">
        <v>42727</v>
      </c>
      <c r="B31" s="3">
        <v>19.985796736772699</v>
      </c>
      <c r="C31" s="3">
        <v>17.542486066542899</v>
      </c>
      <c r="D31" s="3">
        <v>19.345795208613801</v>
      </c>
      <c r="E31" s="3">
        <v>14.716453867307701</v>
      </c>
      <c r="F31" s="3">
        <v>16.6002770747317</v>
      </c>
      <c r="G31" s="3">
        <v>18.154187078983501</v>
      </c>
      <c r="H31" s="3">
        <v>16.9863977375723</v>
      </c>
      <c r="I31" s="3">
        <v>20.5712874187743</v>
      </c>
      <c r="J31" s="3">
        <v>18.947440677000198</v>
      </c>
      <c r="K31" s="3">
        <v>15.6855725147825</v>
      </c>
      <c r="L31" s="3">
        <v>16.321554481800799</v>
      </c>
      <c r="M31" s="3">
        <v>18.2220308462426</v>
      </c>
      <c r="N31" s="3">
        <v>27.530033272413899</v>
      </c>
    </row>
    <row r="32" spans="1:14" x14ac:dyDescent="0.35">
      <c r="A32" s="2">
        <v>42761</v>
      </c>
      <c r="B32" s="3">
        <v>20.604865698840101</v>
      </c>
      <c r="C32" s="3">
        <v>17.6178658189964</v>
      </c>
      <c r="D32" s="3">
        <v>19.978479121217301</v>
      </c>
      <c r="E32" s="3">
        <v>15.2023965586817</v>
      </c>
      <c r="F32" s="3">
        <v>16.619246080037801</v>
      </c>
      <c r="G32" s="3">
        <v>18.681591944302099</v>
      </c>
      <c r="H32" s="3">
        <v>17.097666263602601</v>
      </c>
      <c r="I32" s="3">
        <v>21.2950506977073</v>
      </c>
      <c r="J32" s="3">
        <v>19.098567773592599</v>
      </c>
      <c r="K32" s="3">
        <v>15.764443362830599</v>
      </c>
      <c r="L32" s="3">
        <v>16.349452857593999</v>
      </c>
      <c r="M32" s="3">
        <v>18.832503644590901</v>
      </c>
      <c r="N32" s="3">
        <v>27.603950777437198</v>
      </c>
    </row>
    <row r="33" spans="1:14" x14ac:dyDescent="0.35">
      <c r="A33" s="2">
        <v>42790</v>
      </c>
      <c r="B33" s="3">
        <v>20.204930651405</v>
      </c>
      <c r="C33" s="3">
        <v>17.6912154457615</v>
      </c>
      <c r="D33" s="3">
        <v>19.608892103150001</v>
      </c>
      <c r="E33" s="3">
        <v>15.0047171548094</v>
      </c>
      <c r="F33" s="3">
        <v>16.160163561620401</v>
      </c>
      <c r="G33" s="3">
        <v>19.601393814102199</v>
      </c>
      <c r="H33" s="3">
        <v>17.412863976647198</v>
      </c>
      <c r="I33" s="3">
        <v>21.789158600800999</v>
      </c>
      <c r="J33" s="3">
        <v>19.539452930892001</v>
      </c>
      <c r="K33" s="3">
        <v>15.5565625418421</v>
      </c>
      <c r="L33" s="3">
        <v>16.461150033371901</v>
      </c>
      <c r="M33" s="3">
        <v>17.4405008377122</v>
      </c>
      <c r="N33" s="3">
        <v>85.285881462857802</v>
      </c>
    </row>
    <row r="34" spans="1:14" x14ac:dyDescent="0.35">
      <c r="A34" s="2">
        <v>42818</v>
      </c>
      <c r="B34" s="3">
        <v>19.720274745723199</v>
      </c>
      <c r="C34" s="3">
        <v>17.351854611565798</v>
      </c>
      <c r="D34" s="3">
        <v>19.1557254624603</v>
      </c>
      <c r="E34" s="3">
        <v>14.929957922802</v>
      </c>
      <c r="F34" s="3">
        <v>15.820647244414699</v>
      </c>
      <c r="G34" s="3">
        <v>19.5707082797753</v>
      </c>
      <c r="H34" s="3">
        <v>17.181596209425901</v>
      </c>
      <c r="I34" s="3">
        <v>21.624156427887002</v>
      </c>
      <c r="J34" s="3">
        <v>19.346167681475201</v>
      </c>
      <c r="K34" s="3">
        <v>15.6246489408614</v>
      </c>
      <c r="L34" s="3">
        <v>16.480207323297901</v>
      </c>
      <c r="M34" s="3">
        <v>17.588332038016599</v>
      </c>
      <c r="N34" s="3">
        <v>80.449126688321996</v>
      </c>
    </row>
    <row r="35" spans="1:14" x14ac:dyDescent="0.35">
      <c r="A35" s="2">
        <v>42851</v>
      </c>
      <c r="B35" s="3">
        <v>19.889644868902199</v>
      </c>
      <c r="C35" s="3">
        <v>17.291963870536101</v>
      </c>
      <c r="D35" s="3">
        <v>18.878798236746601</v>
      </c>
      <c r="E35" s="3">
        <v>14.935772036311199</v>
      </c>
      <c r="F35" s="3">
        <v>15.6310102133284</v>
      </c>
      <c r="G35" s="3">
        <v>19.492884832651999</v>
      </c>
      <c r="H35" s="3">
        <v>16.9402831487679</v>
      </c>
      <c r="I35" s="3">
        <v>21.684442389510799</v>
      </c>
      <c r="J35" s="3">
        <v>19.260223649737799</v>
      </c>
      <c r="K35" s="3">
        <v>15.8057818896144</v>
      </c>
      <c r="L35" s="3">
        <v>16.656439764297701</v>
      </c>
      <c r="M35" s="3">
        <v>17.678727668620802</v>
      </c>
      <c r="N35" s="3">
        <v>72.783715815462898</v>
      </c>
    </row>
    <row r="36" spans="1:14" x14ac:dyDescent="0.35">
      <c r="A36" s="2">
        <v>42881</v>
      </c>
      <c r="B36" s="3">
        <v>20.018662549414</v>
      </c>
      <c r="C36" s="3">
        <v>16.9521872566133</v>
      </c>
      <c r="D36" s="3">
        <v>18.582898109176799</v>
      </c>
      <c r="E36" s="3">
        <v>14.781198421535199</v>
      </c>
      <c r="F36" s="3">
        <v>15.643490033175</v>
      </c>
      <c r="G36" s="3">
        <v>19.538625454505599</v>
      </c>
      <c r="H36" s="3">
        <v>16.813623085605101</v>
      </c>
      <c r="I36" s="3">
        <v>21.968066775267499</v>
      </c>
      <c r="J36" s="3">
        <v>19.1914525240663</v>
      </c>
      <c r="K36" s="3">
        <v>15.805845667153999</v>
      </c>
      <c r="L36" s="3">
        <v>16.727256760788901</v>
      </c>
      <c r="M36" s="3">
        <v>18.090570105625101</v>
      </c>
      <c r="N36" s="3">
        <v>65.791575678426398</v>
      </c>
    </row>
    <row r="37" spans="1:14" x14ac:dyDescent="0.35">
      <c r="A37" s="2">
        <v>42912</v>
      </c>
      <c r="B37" s="3">
        <v>20.163251228545601</v>
      </c>
      <c r="C37" s="3">
        <v>16.7622644502888</v>
      </c>
      <c r="D37" s="3">
        <v>18.122236172298301</v>
      </c>
      <c r="E37" s="3">
        <v>14.738084297086401</v>
      </c>
      <c r="F37" s="3">
        <v>15.6144133337366</v>
      </c>
      <c r="G37" s="3">
        <v>19.5285095100616</v>
      </c>
      <c r="H37" s="3">
        <v>16.499073158789201</v>
      </c>
      <c r="I37" s="3">
        <v>21.902779698631701</v>
      </c>
      <c r="J37" s="3">
        <v>19.154558522805399</v>
      </c>
      <c r="K37" s="3">
        <v>15.7571424042966</v>
      </c>
      <c r="L37" s="3">
        <v>16.682484967601301</v>
      </c>
      <c r="M37" s="3">
        <v>17.688366290190299</v>
      </c>
      <c r="N37" s="3">
        <v>58.445418419903604</v>
      </c>
    </row>
    <row r="38" spans="1:14" x14ac:dyDescent="0.35">
      <c r="A38" s="2">
        <v>42942</v>
      </c>
      <c r="B38" s="3">
        <v>20.402028892511002</v>
      </c>
      <c r="C38" s="3">
        <v>16.893684130684399</v>
      </c>
      <c r="D38" s="3">
        <v>18.032824548259999</v>
      </c>
      <c r="E38" s="3">
        <v>14.416111471987399</v>
      </c>
      <c r="F38" s="3">
        <v>15.423586902907701</v>
      </c>
      <c r="G38" s="3">
        <v>19.312836580431899</v>
      </c>
      <c r="H38" s="3">
        <v>16.509503478894398</v>
      </c>
      <c r="I38" s="3">
        <v>22.2834301280806</v>
      </c>
      <c r="J38" s="3">
        <v>19.230272660936802</v>
      </c>
      <c r="K38" s="3">
        <v>15.697535946337799</v>
      </c>
      <c r="L38" s="3">
        <v>16.754586487024401</v>
      </c>
      <c r="M38" s="3">
        <v>17.445818868669601</v>
      </c>
      <c r="N38" s="3">
        <v>51.685664935093499</v>
      </c>
    </row>
    <row r="39" spans="1:14" x14ac:dyDescent="0.35">
      <c r="A39" s="2">
        <v>42972</v>
      </c>
      <c r="B39" s="3">
        <v>20.6911266485399</v>
      </c>
      <c r="C39" s="3">
        <v>16.743789197886301</v>
      </c>
      <c r="D39" s="3">
        <v>17.642847800019101</v>
      </c>
      <c r="E39" s="3">
        <v>14.1681228163519</v>
      </c>
      <c r="F39" s="3">
        <v>14.9226344247617</v>
      </c>
      <c r="G39" s="3">
        <v>19.152982320451301</v>
      </c>
      <c r="H39" s="3">
        <v>16.110822339419698</v>
      </c>
      <c r="I39" s="3">
        <v>21.8977762969064</v>
      </c>
      <c r="J39" s="3">
        <v>18.955652665003399</v>
      </c>
      <c r="K39" s="3">
        <v>15.463914753681101</v>
      </c>
      <c r="L39" s="3">
        <v>16.573543617261599</v>
      </c>
      <c r="M39" s="3">
        <v>16.813089691621599</v>
      </c>
      <c r="N39" s="3">
        <v>44.5532427194684</v>
      </c>
    </row>
    <row r="40" spans="1:14" x14ac:dyDescent="0.35">
      <c r="A40" s="2">
        <v>43004</v>
      </c>
      <c r="B40" s="3">
        <v>20.644790512715101</v>
      </c>
      <c r="C40" s="3">
        <v>16.3122640345692</v>
      </c>
      <c r="D40" s="3">
        <v>17.526165943590001</v>
      </c>
      <c r="E40" s="3">
        <v>14.4434641570347</v>
      </c>
      <c r="F40" s="3">
        <v>15.060188410110801</v>
      </c>
      <c r="G40" s="3">
        <v>19.3541178726182</v>
      </c>
      <c r="H40" s="3">
        <v>15.751499606036701</v>
      </c>
      <c r="I40" s="3">
        <v>22.065809183378502</v>
      </c>
      <c r="J40" s="3">
        <v>19.1911483162745</v>
      </c>
      <c r="K40" s="3">
        <v>15.8104215356058</v>
      </c>
      <c r="L40" s="3">
        <v>16.771751495570101</v>
      </c>
      <c r="M40" s="3">
        <v>17.4624123135745</v>
      </c>
      <c r="N40" s="3">
        <v>37.2495128618596</v>
      </c>
    </row>
    <row r="41" spans="1:14" x14ac:dyDescent="0.35">
      <c r="A41" s="2">
        <v>43034</v>
      </c>
      <c r="B41" s="3">
        <v>21.287519382257901</v>
      </c>
      <c r="C41" s="3">
        <v>16.680527004456</v>
      </c>
      <c r="D41" s="3">
        <v>17.517286915674301</v>
      </c>
      <c r="E41" s="3">
        <v>15.014842207007799</v>
      </c>
      <c r="F41" s="3">
        <v>15.405067987612</v>
      </c>
      <c r="G41" s="3">
        <v>20.140730266833501</v>
      </c>
      <c r="H41" s="3">
        <v>15.618879788860999</v>
      </c>
      <c r="I41" s="3">
        <v>22.457090103874201</v>
      </c>
      <c r="J41" s="3">
        <v>19.568585792026401</v>
      </c>
      <c r="K41" s="3">
        <v>16.2439479063517</v>
      </c>
      <c r="L41" s="3">
        <v>17.240170057901899</v>
      </c>
      <c r="M41" s="3">
        <v>18.358665595126901</v>
      </c>
      <c r="N41" s="3">
        <v>30.5567118627607</v>
      </c>
    </row>
    <row r="42" spans="1:14" x14ac:dyDescent="0.35">
      <c r="A42" s="2">
        <v>43063</v>
      </c>
      <c r="B42" s="3">
        <v>21.386904254670299</v>
      </c>
      <c r="C42" s="3">
        <v>16.691411410143498</v>
      </c>
      <c r="D42" s="3">
        <v>17.383099341853399</v>
      </c>
      <c r="E42" s="3">
        <v>15.2718524542402</v>
      </c>
      <c r="F42" s="3">
        <v>15.9894788240869</v>
      </c>
      <c r="G42" s="3">
        <v>20.488088624946499</v>
      </c>
      <c r="H42" s="3">
        <v>15.2669974341472</v>
      </c>
      <c r="I42" s="3">
        <v>23.318335846675001</v>
      </c>
      <c r="J42" s="3">
        <v>19.722871994616401</v>
      </c>
      <c r="K42" s="3">
        <v>16.0930389669577</v>
      </c>
      <c r="L42" s="3">
        <v>17.245962932809601</v>
      </c>
      <c r="M42" s="3">
        <v>18.089423780482299</v>
      </c>
      <c r="N42" s="3">
        <v>23.695888414988499</v>
      </c>
    </row>
    <row r="43" spans="1:14" x14ac:dyDescent="0.35">
      <c r="A43" s="2">
        <v>43095</v>
      </c>
      <c r="B43" s="3">
        <v>22.372408394438001</v>
      </c>
      <c r="C43" s="3">
        <v>16.761744722365101</v>
      </c>
      <c r="D43" s="3">
        <v>17.188395333892998</v>
      </c>
      <c r="E43" s="3">
        <v>15.4533698837963</v>
      </c>
      <c r="F43" s="3">
        <v>16.455469378785001</v>
      </c>
      <c r="G43" s="3">
        <v>20.619738598738898</v>
      </c>
      <c r="H43" s="3">
        <v>15.3208482902482</v>
      </c>
      <c r="I43" s="3">
        <v>23.6509973360595</v>
      </c>
      <c r="J43" s="3">
        <v>20.288346783261801</v>
      </c>
      <c r="K43" s="3">
        <v>16.096149684788099</v>
      </c>
      <c r="L43" s="3">
        <v>17.327826143171698</v>
      </c>
      <c r="M43" s="3">
        <v>18.2095759807527</v>
      </c>
      <c r="N43" s="3">
        <v>16.419803412433001</v>
      </c>
    </row>
    <row r="44" spans="1:14" x14ac:dyDescent="0.35">
      <c r="A44" s="2">
        <v>43126</v>
      </c>
      <c r="B44" s="3">
        <v>22.049625333821702</v>
      </c>
      <c r="C44" s="3">
        <v>16.8083737695171</v>
      </c>
      <c r="D44" s="3">
        <v>17.1053973104326</v>
      </c>
      <c r="E44" s="3">
        <v>15.5625769581742</v>
      </c>
      <c r="F44" s="3">
        <v>16.791673731079602</v>
      </c>
      <c r="G44" s="3">
        <v>22.2579310036866</v>
      </c>
      <c r="H44" s="3">
        <v>15.6340012196857</v>
      </c>
      <c r="I44" s="3">
        <v>25.491867614769799</v>
      </c>
      <c r="J44" s="3">
        <v>21.453518208633799</v>
      </c>
      <c r="K44" s="3">
        <v>16.607592605887401</v>
      </c>
      <c r="L44" s="3">
        <v>17.524026269134598</v>
      </c>
      <c r="M44" s="3">
        <v>18.426780040026301</v>
      </c>
      <c r="N44" s="3">
        <v>15.931655200244499</v>
      </c>
    </row>
    <row r="45" spans="1:14" x14ac:dyDescent="0.35">
      <c r="A45" s="2">
        <v>43157</v>
      </c>
      <c r="B45" s="3">
        <v>22.563768636375102</v>
      </c>
      <c r="C45" s="3">
        <v>16.643798159354699</v>
      </c>
      <c r="D45" s="3">
        <v>16.1722331091905</v>
      </c>
      <c r="E45" s="3">
        <v>14.380245265640299</v>
      </c>
      <c r="F45" s="3">
        <v>14.611920469284</v>
      </c>
      <c r="G45" s="3">
        <v>21.594979721699499</v>
      </c>
      <c r="H45" s="3">
        <v>14.104950272563901</v>
      </c>
      <c r="I45" s="3">
        <v>24.628861575409601</v>
      </c>
      <c r="J45" s="3">
        <v>20.298207599242801</v>
      </c>
      <c r="K45" s="3">
        <v>15.718400282356599</v>
      </c>
      <c r="L45" s="3">
        <v>16.775942306892802</v>
      </c>
      <c r="M45" s="3">
        <v>17.041808073391401</v>
      </c>
      <c r="N45" s="3">
        <v>14.245453333786701</v>
      </c>
    </row>
    <row r="46" spans="1:14" x14ac:dyDescent="0.35">
      <c r="A46" s="2">
        <v>43185</v>
      </c>
      <c r="B46" s="3">
        <v>22.489766472932399</v>
      </c>
      <c r="C46" s="3">
        <v>16.3229135764186</v>
      </c>
      <c r="D46" s="3">
        <v>15.682186561797399</v>
      </c>
      <c r="E46" s="3">
        <v>14.0330408358331</v>
      </c>
      <c r="F46" s="3">
        <v>14.2190230329435</v>
      </c>
      <c r="G46" s="3">
        <v>20.679835551379998</v>
      </c>
      <c r="H46" s="3">
        <v>13.8430653531936</v>
      </c>
      <c r="I46" s="3">
        <v>23.798886158384398</v>
      </c>
      <c r="J46" s="3">
        <v>19.498165224405501</v>
      </c>
      <c r="K46" s="3">
        <v>15.4167376775673</v>
      </c>
      <c r="L46" s="3">
        <v>16.506784142635102</v>
      </c>
      <c r="M46" s="3">
        <v>16.7432122447245</v>
      </c>
      <c r="N46" s="3">
        <v>14.0340129207136</v>
      </c>
    </row>
    <row r="47" spans="1:14" x14ac:dyDescent="0.35">
      <c r="A47" s="2">
        <v>43216</v>
      </c>
      <c r="B47" s="3">
        <v>22.195516565185599</v>
      </c>
      <c r="C47" s="3">
        <v>16.2393468814175</v>
      </c>
      <c r="D47" s="3">
        <v>15.6336271957853</v>
      </c>
      <c r="E47" s="3">
        <v>14.138242386983899</v>
      </c>
      <c r="F47" s="3">
        <v>14.294183818685299</v>
      </c>
      <c r="G47" s="3">
        <v>20.342428133726401</v>
      </c>
      <c r="H47" s="3">
        <v>14.025116967956199</v>
      </c>
      <c r="I47" s="3">
        <v>23.328024807093101</v>
      </c>
      <c r="J47" s="3">
        <v>19.1746584617058</v>
      </c>
      <c r="K47" s="3">
        <v>15.561522790323901</v>
      </c>
      <c r="L47" s="3">
        <v>16.581425980739599</v>
      </c>
      <c r="M47" s="3">
        <v>16.814468828433</v>
      </c>
      <c r="N47" s="3">
        <v>14.209866098073601</v>
      </c>
    </row>
    <row r="48" spans="1:14" x14ac:dyDescent="0.35">
      <c r="A48" s="2">
        <v>43245</v>
      </c>
      <c r="B48" s="3">
        <v>22.388654072534301</v>
      </c>
      <c r="C48" s="3">
        <v>16.239052514505001</v>
      </c>
      <c r="D48" s="3">
        <v>15.514966641215301</v>
      </c>
      <c r="E48" s="3">
        <v>14.1462469085437</v>
      </c>
      <c r="F48" s="3">
        <v>14.179086034397599</v>
      </c>
      <c r="G48" s="3">
        <v>19.9247140924011</v>
      </c>
      <c r="H48" s="3">
        <v>14.031655388303101</v>
      </c>
      <c r="I48" s="3">
        <v>23.212039935254101</v>
      </c>
      <c r="J48" s="3">
        <v>18.951352631013801</v>
      </c>
      <c r="K48" s="3">
        <v>15.5509828623392</v>
      </c>
      <c r="L48" s="3">
        <v>16.712467864896201</v>
      </c>
      <c r="M48" s="3">
        <v>16.7210733583433</v>
      </c>
      <c r="N48" s="3">
        <v>13.639176041730501</v>
      </c>
    </row>
    <row r="49" spans="1:14" x14ac:dyDescent="0.35">
      <c r="A49" s="2">
        <v>43277</v>
      </c>
      <c r="B49" s="3">
        <v>22.8783785247056</v>
      </c>
      <c r="C49" s="3">
        <v>16.275198683746101</v>
      </c>
      <c r="D49" s="3">
        <v>15.5469580633783</v>
      </c>
      <c r="E49" s="3">
        <v>13.8685799939365</v>
      </c>
      <c r="F49" s="3">
        <v>13.927963881524599</v>
      </c>
      <c r="G49" s="3">
        <v>19.218147725380899</v>
      </c>
      <c r="H49" s="3">
        <v>13.8045689353615</v>
      </c>
      <c r="I49" s="3">
        <v>23.043285088950199</v>
      </c>
      <c r="J49" s="3">
        <v>18.656986319700898</v>
      </c>
      <c r="K49" s="3">
        <v>15.141393427623299</v>
      </c>
      <c r="L49" s="3">
        <v>16.470912371403301</v>
      </c>
      <c r="M49" s="3">
        <v>16.3389914636365</v>
      </c>
      <c r="N49" s="3">
        <v>13.2551875712256</v>
      </c>
    </row>
    <row r="50" spans="1:14" x14ac:dyDescent="0.35">
      <c r="A50" s="2">
        <v>43307</v>
      </c>
      <c r="B50" s="3">
        <v>22.8523007715836</v>
      </c>
      <c r="C50" s="3">
        <v>16.2776415290631</v>
      </c>
      <c r="D50" s="3">
        <v>15.529371549954501</v>
      </c>
      <c r="E50" s="3">
        <v>14.196114483033</v>
      </c>
      <c r="F50" s="3">
        <v>13.9489215678195</v>
      </c>
      <c r="G50" s="3">
        <v>19.333518112910301</v>
      </c>
      <c r="H50" s="3">
        <v>13.8507577462765</v>
      </c>
      <c r="I50" s="3">
        <v>23.356978887272799</v>
      </c>
      <c r="J50" s="3">
        <v>18.751364396463501</v>
      </c>
      <c r="K50" s="3">
        <v>15.288335406086199</v>
      </c>
      <c r="L50" s="3">
        <v>16.8234838419455</v>
      </c>
      <c r="M50" s="3">
        <v>16.584251624843802</v>
      </c>
      <c r="N50" s="3">
        <v>13.2331876381478</v>
      </c>
    </row>
    <row r="51" spans="1:14" x14ac:dyDescent="0.35">
      <c r="A51" s="2">
        <v>43336</v>
      </c>
      <c r="B51" s="3">
        <v>23.404915014968498</v>
      </c>
      <c r="C51" s="3">
        <v>16.264056110780899</v>
      </c>
      <c r="D51" s="3">
        <v>15.3376575527633</v>
      </c>
      <c r="E51" s="3">
        <v>14.035411692358601</v>
      </c>
      <c r="F51" s="3">
        <v>13.5662653306719</v>
      </c>
      <c r="G51" s="3">
        <v>18.888522835116099</v>
      </c>
      <c r="H51" s="3">
        <v>13.650158069126199</v>
      </c>
      <c r="I51" s="3">
        <v>23.1716946930873</v>
      </c>
      <c r="J51" s="3">
        <v>18.640169440122701</v>
      </c>
      <c r="K51" s="3">
        <v>15.0881532760868</v>
      </c>
      <c r="L51" s="3">
        <v>16.598367488238999</v>
      </c>
      <c r="M51" s="3">
        <v>16.7470864446401</v>
      </c>
      <c r="N51" s="3">
        <v>12.687744148530401</v>
      </c>
    </row>
    <row r="52" spans="1:14" x14ac:dyDescent="0.35">
      <c r="A52" s="2">
        <v>43369</v>
      </c>
      <c r="B52" s="3">
        <v>23.665002738342299</v>
      </c>
      <c r="C52" s="3">
        <v>16.061707804174201</v>
      </c>
      <c r="D52" s="3">
        <v>15.1066894680246</v>
      </c>
      <c r="E52" s="3">
        <v>14.0087231112272</v>
      </c>
      <c r="F52" s="3">
        <v>13.999902822728201</v>
      </c>
      <c r="G52" s="3">
        <v>18.622648641927501</v>
      </c>
      <c r="H52" s="3">
        <v>13.678232133262</v>
      </c>
      <c r="I52" s="3">
        <v>23.137544833333099</v>
      </c>
      <c r="J52" s="3">
        <v>18.570480498625098</v>
      </c>
      <c r="K52" s="3">
        <v>15.171432270574099</v>
      </c>
      <c r="L52" s="3">
        <v>16.3634421868571</v>
      </c>
      <c r="M52" s="3">
        <v>16.909383201864301</v>
      </c>
      <c r="N52" s="3">
        <v>12.7129197907046</v>
      </c>
    </row>
    <row r="53" spans="1:14" x14ac:dyDescent="0.35">
      <c r="A53" s="2">
        <v>43399</v>
      </c>
      <c r="B53" s="3">
        <v>22.152770553601101</v>
      </c>
      <c r="C53" s="3">
        <v>14.906488844542499</v>
      </c>
      <c r="D53" s="3">
        <v>14.039981153860699</v>
      </c>
      <c r="E53" s="3">
        <v>13.0385689251633</v>
      </c>
      <c r="F53" s="3">
        <v>12.5601466172745</v>
      </c>
      <c r="G53" s="3">
        <v>17.492504930414999</v>
      </c>
      <c r="H53" s="3">
        <v>12.6539028754221</v>
      </c>
      <c r="I53" s="3">
        <v>20.981212347148599</v>
      </c>
      <c r="J53" s="3">
        <v>17.077289874446201</v>
      </c>
      <c r="K53" s="3">
        <v>13.901818037007599</v>
      </c>
      <c r="L53" s="3">
        <v>15.236951736153699</v>
      </c>
      <c r="M53" s="3">
        <v>14.8901571378867</v>
      </c>
      <c r="N53" s="3">
        <v>11.3108001361022</v>
      </c>
    </row>
    <row r="54" spans="1:14" x14ac:dyDescent="0.35">
      <c r="A54" s="2">
        <v>43430</v>
      </c>
      <c r="B54" s="3">
        <v>22.3199738688715</v>
      </c>
      <c r="C54" s="3">
        <v>14.905390184758099</v>
      </c>
      <c r="D54" s="3">
        <v>13.942751715083601</v>
      </c>
      <c r="E54" s="3">
        <v>12.9905513383978</v>
      </c>
      <c r="F54" s="3">
        <v>12.592401910564099</v>
      </c>
      <c r="G54" s="3">
        <v>17.610992594246799</v>
      </c>
      <c r="H54" s="3">
        <v>12.682362790537899</v>
      </c>
      <c r="I54" s="3">
        <v>20.0822898838836</v>
      </c>
      <c r="J54" s="3">
        <v>16.815124189219102</v>
      </c>
      <c r="K54" s="3">
        <v>13.772175959584599</v>
      </c>
      <c r="L54" s="3">
        <v>15.375891864276999</v>
      </c>
      <c r="M54" s="3">
        <v>14.8168076787125</v>
      </c>
      <c r="N54" s="3">
        <v>11.3062829335173</v>
      </c>
    </row>
    <row r="55" spans="1:14" x14ac:dyDescent="0.35">
      <c r="A55" s="2">
        <v>43460</v>
      </c>
      <c r="B55" s="3">
        <v>22.747700365783</v>
      </c>
      <c r="C55" s="3">
        <v>14.2542076694949</v>
      </c>
      <c r="D55" s="3">
        <v>12.7567585772802</v>
      </c>
      <c r="E55" s="3">
        <v>12.1334201699405</v>
      </c>
      <c r="F55" s="3">
        <v>11.0813466141975</v>
      </c>
      <c r="G55" s="3">
        <v>16.2145847016698</v>
      </c>
      <c r="H55" s="3">
        <v>11.910870576053201</v>
      </c>
      <c r="I55" s="3">
        <v>18.6084825260521</v>
      </c>
      <c r="J55" s="3">
        <v>15.316553249100901</v>
      </c>
      <c r="K55" s="3">
        <v>12.6956066234888</v>
      </c>
      <c r="L55" s="3">
        <v>14.0053500018105</v>
      </c>
      <c r="M55" s="3">
        <v>13.7526502958275</v>
      </c>
      <c r="N55" s="3">
        <v>10.505626426036301</v>
      </c>
    </row>
    <row r="56" spans="1:14" x14ac:dyDescent="0.35">
      <c r="A56" s="2">
        <v>43490</v>
      </c>
      <c r="B56" s="3">
        <v>23.534881389336601</v>
      </c>
      <c r="C56" s="3">
        <v>15.379943196650499</v>
      </c>
      <c r="D56" s="3">
        <v>14.3356663879129</v>
      </c>
      <c r="E56" s="3">
        <v>12.9844578798768</v>
      </c>
      <c r="F56" s="3">
        <v>12.1044512092648</v>
      </c>
      <c r="G56" s="3">
        <v>17.505277794846599</v>
      </c>
      <c r="H56" s="3">
        <v>12.3215879560705</v>
      </c>
      <c r="I56" s="3">
        <v>20.0432632847245</v>
      </c>
      <c r="J56" s="3">
        <v>16.468925011740001</v>
      </c>
      <c r="K56" s="3">
        <v>13.559878520587599</v>
      </c>
      <c r="L56" s="3">
        <v>15.2333356268761</v>
      </c>
      <c r="M56" s="3">
        <v>16.155809581158898</v>
      </c>
      <c r="N56" s="3">
        <v>11.144565850974599</v>
      </c>
    </row>
    <row r="57" spans="1:14" x14ac:dyDescent="0.35">
      <c r="A57" s="2">
        <v>43522</v>
      </c>
      <c r="B57" s="3">
        <v>24.135878512620401</v>
      </c>
      <c r="C57" s="3">
        <v>15.8260052751908</v>
      </c>
      <c r="D57" s="3">
        <v>14.8522238718363</v>
      </c>
      <c r="E57" s="3">
        <v>13.2578457995986</v>
      </c>
      <c r="F57" s="3">
        <v>12.7504623038435</v>
      </c>
      <c r="G57" s="3">
        <v>18.484503621934799</v>
      </c>
      <c r="H57" s="3">
        <v>13.078639904554301</v>
      </c>
      <c r="I57" s="3">
        <v>20.926496095874001</v>
      </c>
      <c r="J57" s="3">
        <v>17.166822692178599</v>
      </c>
      <c r="K57" s="3">
        <v>14.5242488828286</v>
      </c>
      <c r="L57" s="3">
        <v>16.2251792653466</v>
      </c>
      <c r="M57" s="3">
        <v>18.258099935809799</v>
      </c>
      <c r="N57" s="3">
        <v>11.2462746563947</v>
      </c>
    </row>
    <row r="58" spans="1:14" x14ac:dyDescent="0.35">
      <c r="A58" s="2">
        <v>43550</v>
      </c>
      <c r="B58" s="3">
        <v>24.0542161928566</v>
      </c>
      <c r="C58" s="3">
        <v>15.8550787284173</v>
      </c>
      <c r="D58" s="3">
        <v>14.722409056132101</v>
      </c>
      <c r="E58" s="3">
        <v>13.1581826300358</v>
      </c>
      <c r="F58" s="3">
        <v>12.732261818721501</v>
      </c>
      <c r="G58" s="3">
        <v>18.246813921606901</v>
      </c>
      <c r="H58" s="3">
        <v>12.9358688721883</v>
      </c>
      <c r="I58" s="3">
        <v>21.018495566407701</v>
      </c>
      <c r="J58" s="3">
        <v>17.116426163717598</v>
      </c>
      <c r="K58" s="3">
        <v>14.5266465145815</v>
      </c>
      <c r="L58" s="3">
        <v>16.1232263158455</v>
      </c>
      <c r="M58" s="3">
        <v>17.917729992700099</v>
      </c>
      <c r="N58" s="3">
        <v>11.308089727332399</v>
      </c>
    </row>
    <row r="59" spans="1:14" x14ac:dyDescent="0.35">
      <c r="A59" s="2">
        <v>43581</v>
      </c>
      <c r="B59" s="3">
        <v>24.192150964945402</v>
      </c>
      <c r="C59" s="3">
        <v>15.922305153878201</v>
      </c>
      <c r="D59" s="3">
        <v>14.652872928544999</v>
      </c>
      <c r="E59" s="3">
        <v>13.403477466833801</v>
      </c>
      <c r="F59" s="3">
        <v>12.778366949311399</v>
      </c>
      <c r="G59" s="3">
        <v>18.290804645380401</v>
      </c>
      <c r="H59" s="3">
        <v>13.0001250357299</v>
      </c>
      <c r="I59" s="3">
        <v>21.459794636825301</v>
      </c>
      <c r="J59" s="3">
        <v>17.305794639778199</v>
      </c>
      <c r="K59" s="3">
        <v>14.6781481223226</v>
      </c>
      <c r="L59" s="3">
        <v>16.313457154666501</v>
      </c>
      <c r="M59" s="3">
        <v>17.972438528292301</v>
      </c>
      <c r="N59" s="3">
        <v>11.3367884322787</v>
      </c>
    </row>
    <row r="60" spans="1:14" x14ac:dyDescent="0.35">
      <c r="A60" s="2">
        <v>43609</v>
      </c>
      <c r="B60" s="3">
        <v>24.456895263509999</v>
      </c>
      <c r="C60" s="3">
        <v>15.9823662155039</v>
      </c>
      <c r="D60" s="3">
        <v>14.445384840155899</v>
      </c>
      <c r="E60" s="3">
        <v>13.172391095270299</v>
      </c>
      <c r="F60" s="3">
        <v>12.6513351699803</v>
      </c>
      <c r="G60" s="3">
        <v>18.172773524762601</v>
      </c>
      <c r="H60" s="3">
        <v>12.855863226542001</v>
      </c>
      <c r="I60" s="3">
        <v>20.9971913511962</v>
      </c>
      <c r="J60" s="3">
        <v>17.0593342108554</v>
      </c>
      <c r="K60" s="3">
        <v>14.438871423119799</v>
      </c>
      <c r="L60" s="3">
        <v>16.077401585186301</v>
      </c>
      <c r="M60" s="3">
        <v>17.316038967751201</v>
      </c>
      <c r="N60" s="3">
        <v>11.030853328770201</v>
      </c>
    </row>
    <row r="61" spans="1:14" x14ac:dyDescent="0.35">
      <c r="A61" s="2">
        <v>43642</v>
      </c>
      <c r="B61" s="3">
        <v>24.545061961649601</v>
      </c>
      <c r="C61" s="3">
        <v>16.2879694939672</v>
      </c>
      <c r="D61" s="3">
        <v>14.460099386386799</v>
      </c>
      <c r="E61" s="3">
        <v>13.326187996742901</v>
      </c>
      <c r="F61" s="3">
        <v>12.7869316452423</v>
      </c>
      <c r="G61" s="3">
        <v>18.305313970996899</v>
      </c>
      <c r="H61" s="3">
        <v>13.0280929520013</v>
      </c>
      <c r="I61" s="3">
        <v>21.535681533178099</v>
      </c>
      <c r="J61" s="3">
        <v>17.3156999071977</v>
      </c>
      <c r="K61" s="3">
        <v>14.626136319734201</v>
      </c>
      <c r="L61" s="3">
        <v>16.2900685422869</v>
      </c>
      <c r="M61" s="3">
        <v>17.118177379581301</v>
      </c>
      <c r="N61" s="3">
        <v>11.0756457052366</v>
      </c>
    </row>
    <row r="62" spans="1:14" x14ac:dyDescent="0.35">
      <c r="A62" s="2">
        <v>43672</v>
      </c>
      <c r="B62" s="3">
        <v>25.209220493953701</v>
      </c>
      <c r="C62" s="3">
        <v>16.464363964217998</v>
      </c>
      <c r="D62" s="3">
        <v>14.5303190889753</v>
      </c>
      <c r="E62" s="3">
        <v>13.6674042358793</v>
      </c>
      <c r="F62" s="3">
        <v>13.0178773581738</v>
      </c>
      <c r="G62" s="3">
        <v>18.338674055182199</v>
      </c>
      <c r="H62" s="3">
        <v>13.1407658101612</v>
      </c>
      <c r="I62" s="3">
        <v>22.253871579522698</v>
      </c>
      <c r="J62" s="3">
        <v>17.7995704828345</v>
      </c>
      <c r="K62" s="3">
        <v>14.9554047587309</v>
      </c>
      <c r="L62" s="3">
        <v>16.768439817493402</v>
      </c>
      <c r="M62" s="3">
        <v>16.934657760765401</v>
      </c>
      <c r="N62" s="3">
        <v>11.2984827660761</v>
      </c>
    </row>
    <row r="63" spans="1:14" x14ac:dyDescent="0.35">
      <c r="A63" s="2">
        <v>43703</v>
      </c>
      <c r="B63" s="3">
        <v>27.567234378918499</v>
      </c>
      <c r="C63" s="3">
        <v>16.155027773753901</v>
      </c>
      <c r="D63" s="3">
        <v>14.2523459628759</v>
      </c>
      <c r="E63" s="3">
        <v>13.3452808601706</v>
      </c>
      <c r="F63" s="3">
        <v>12.6422196539997</v>
      </c>
      <c r="G63" s="3">
        <v>18.1181887980627</v>
      </c>
      <c r="H63" s="3">
        <v>12.6855837134558</v>
      </c>
      <c r="I63" s="3">
        <v>21.600503619702302</v>
      </c>
      <c r="J63" s="3">
        <v>17.334563969984401</v>
      </c>
      <c r="K63" s="3">
        <v>14.5538659765955</v>
      </c>
      <c r="L63" s="3">
        <v>16.243204425523899</v>
      </c>
      <c r="M63" s="3">
        <v>15.6398322081023</v>
      </c>
      <c r="N63" s="3">
        <v>10.897508844705399</v>
      </c>
    </row>
    <row r="64" spans="1:14" x14ac:dyDescent="0.35">
      <c r="A64" s="2">
        <v>43734</v>
      </c>
      <c r="B64" s="3">
        <v>28.369757584305798</v>
      </c>
      <c r="C64" s="3">
        <v>16.778689443957202</v>
      </c>
      <c r="D64" s="3">
        <v>14.720863272280701</v>
      </c>
      <c r="E64" s="3">
        <v>13.9470689412837</v>
      </c>
      <c r="F64" s="3">
        <v>13.6084960700113</v>
      </c>
      <c r="G64" s="3">
        <v>18.378587467723801</v>
      </c>
      <c r="H64" s="3">
        <v>13.0837832643643</v>
      </c>
      <c r="I64" s="3">
        <v>22.136826203993699</v>
      </c>
      <c r="J64" s="3">
        <v>17.860680946700899</v>
      </c>
      <c r="K64" s="3">
        <v>15.0726912777285</v>
      </c>
      <c r="L64" s="3">
        <v>17.097154998578301</v>
      </c>
      <c r="M64" s="3">
        <v>16.4324793274568</v>
      </c>
      <c r="N64" s="3">
        <v>11.294254525724901</v>
      </c>
    </row>
    <row r="65" spans="1:14" x14ac:dyDescent="0.35">
      <c r="A65" s="2">
        <v>43763</v>
      </c>
      <c r="B65" s="3">
        <v>28.5998071790507</v>
      </c>
      <c r="C65" s="3">
        <v>17.2894523495894</v>
      </c>
      <c r="D65" s="3">
        <v>14.677031552046399</v>
      </c>
      <c r="E65" s="3">
        <v>14.7272506897877</v>
      </c>
      <c r="F65" s="3">
        <v>13.943487492674601</v>
      </c>
      <c r="G65" s="3">
        <v>18.5971199354437</v>
      </c>
      <c r="H65" s="3">
        <v>13.3175853990811</v>
      </c>
      <c r="I65" s="3">
        <v>22.7848821841873</v>
      </c>
      <c r="J65" s="3">
        <v>18.236458915593101</v>
      </c>
      <c r="K65" s="3">
        <v>15.551652792051399</v>
      </c>
      <c r="L65" s="3">
        <v>17.405944286076402</v>
      </c>
      <c r="M65" s="3">
        <v>16.946090590213199</v>
      </c>
      <c r="N65" s="3">
        <v>11.641979500927</v>
      </c>
    </row>
    <row r="66" spans="1:14" x14ac:dyDescent="0.35">
      <c r="A66" s="2">
        <v>43795</v>
      </c>
      <c r="B66" s="3">
        <v>30.215839770024299</v>
      </c>
      <c r="C66" s="3">
        <v>17.6222374081403</v>
      </c>
      <c r="D66" s="3">
        <v>15.1319781639866</v>
      </c>
      <c r="E66" s="3">
        <v>15.201807254138201</v>
      </c>
      <c r="F66" s="3">
        <v>14.6937281483847</v>
      </c>
      <c r="G66" s="3">
        <v>19.129605099116201</v>
      </c>
      <c r="H66" s="3">
        <v>13.543726262863</v>
      </c>
      <c r="I66" s="3">
        <v>24.088367383569601</v>
      </c>
      <c r="J66" s="3">
        <v>19.069972160974899</v>
      </c>
      <c r="K66" s="3">
        <v>16.149127445934099</v>
      </c>
      <c r="L66" s="3">
        <v>18.09137102351</v>
      </c>
      <c r="M66" s="3">
        <v>15.9989522467807</v>
      </c>
      <c r="N66" s="3">
        <v>11.969635931800299</v>
      </c>
    </row>
    <row r="67" spans="1:14" x14ac:dyDescent="0.35">
      <c r="A67" s="2">
        <v>43825</v>
      </c>
      <c r="B67" s="3">
        <v>32.810208224261302</v>
      </c>
      <c r="C67" s="3">
        <v>17.974561700467898</v>
      </c>
      <c r="D67" s="3">
        <v>15.3739994771231</v>
      </c>
      <c r="E67" s="3">
        <v>15.531223754703401</v>
      </c>
      <c r="F67" s="3">
        <v>15.353618684669801</v>
      </c>
      <c r="G67" s="3">
        <v>19.715629338766401</v>
      </c>
      <c r="H67" s="3">
        <v>14.167907110686899</v>
      </c>
      <c r="I67" s="3">
        <v>25.542882428968401</v>
      </c>
      <c r="J67" s="3">
        <v>19.898355497456802</v>
      </c>
      <c r="K67" s="3">
        <v>16.587873384698302</v>
      </c>
      <c r="L67" s="3">
        <v>18.751291322133799</v>
      </c>
      <c r="M67" s="3">
        <v>16.434042746097401</v>
      </c>
      <c r="N67" s="3">
        <v>12.313650206857799</v>
      </c>
    </row>
    <row r="68" spans="1:14" x14ac:dyDescent="0.35">
      <c r="A68" s="2">
        <v>43854</v>
      </c>
      <c r="B68" s="3">
        <v>33.229275106881602</v>
      </c>
      <c r="C68" s="3">
        <v>18.744803625634599</v>
      </c>
      <c r="D68" s="3">
        <v>15.657811991291201</v>
      </c>
      <c r="E68" s="3">
        <v>15.7825810921999</v>
      </c>
      <c r="F68" s="3">
        <v>15.421606712285699</v>
      </c>
      <c r="G68" s="3">
        <v>20.157378328319702</v>
      </c>
      <c r="H68" s="3">
        <v>14.2198467901806</v>
      </c>
      <c r="I68" s="3">
        <v>26.315080202346799</v>
      </c>
      <c r="J68" s="3">
        <v>20.1571727375938</v>
      </c>
      <c r="K68" s="3">
        <v>16.609160927459801</v>
      </c>
      <c r="L68" s="3">
        <v>18.7614697338037</v>
      </c>
      <c r="M68" s="3">
        <v>14.288635224400799</v>
      </c>
      <c r="N68" s="3">
        <v>12.2578299598184</v>
      </c>
    </row>
    <row r="69" spans="1:14" x14ac:dyDescent="0.35">
      <c r="A69" s="2">
        <v>43887</v>
      </c>
      <c r="B69" s="3">
        <v>31.764475377507399</v>
      </c>
      <c r="C69" s="3">
        <v>17.7439313339083</v>
      </c>
      <c r="D69" s="3">
        <v>14.9846902254256</v>
      </c>
      <c r="E69" s="3">
        <v>15.0541918272441</v>
      </c>
      <c r="F69" s="3">
        <v>14.741575549598901</v>
      </c>
      <c r="G69" s="3">
        <v>19.174361287761801</v>
      </c>
      <c r="H69" s="3">
        <v>13.247830926639301</v>
      </c>
      <c r="I69" s="3">
        <v>25.0140329761632</v>
      </c>
      <c r="J69" s="3">
        <v>18.896664808728801</v>
      </c>
      <c r="K69" s="3">
        <v>15.638159806199999</v>
      </c>
      <c r="L69" s="3">
        <v>18.516748434395399</v>
      </c>
      <c r="M69" s="3">
        <v>13.704846679645399</v>
      </c>
      <c r="N69" s="3">
        <v>12.0530679452878</v>
      </c>
    </row>
    <row r="70" spans="1:14" x14ac:dyDescent="0.35">
      <c r="A70" s="2">
        <v>43916</v>
      </c>
      <c r="B70" s="3">
        <v>30.396335606141601</v>
      </c>
      <c r="C70" s="3">
        <v>16.327416654863299</v>
      </c>
      <c r="D70" s="3">
        <v>14.176493735218999</v>
      </c>
      <c r="E70" s="3">
        <v>13.780694247801501</v>
      </c>
      <c r="F70" s="3">
        <v>13.7242415120987</v>
      </c>
      <c r="G70" s="3">
        <v>17.727327206772301</v>
      </c>
      <c r="H70" s="3">
        <v>12.311373171795999</v>
      </c>
      <c r="I70" s="3">
        <v>23.5379724045365</v>
      </c>
      <c r="J70" s="3">
        <v>17.621358359183901</v>
      </c>
      <c r="K70" s="3">
        <v>14.410893382887799</v>
      </c>
      <c r="L70" s="3">
        <v>16.864446839614001</v>
      </c>
      <c r="M70" s="3">
        <v>12.841231623330099</v>
      </c>
      <c r="N70" s="3">
        <v>11.064761245405199</v>
      </c>
    </row>
    <row r="71" spans="1:14" x14ac:dyDescent="0.35">
      <c r="A71" s="2">
        <v>43945</v>
      </c>
      <c r="B71" s="3">
        <v>31.351219288867799</v>
      </c>
      <c r="C71" s="3">
        <v>16.891448172578801</v>
      </c>
      <c r="D71" s="3">
        <v>15.228492953253101</v>
      </c>
      <c r="E71" s="3">
        <v>14.549426561998599</v>
      </c>
      <c r="F71" s="3">
        <v>14.1306783939398</v>
      </c>
      <c r="G71" s="3">
        <v>18.474681545684302</v>
      </c>
      <c r="H71" s="3">
        <v>13.1807308919348</v>
      </c>
      <c r="I71" s="3">
        <v>24.700991881542201</v>
      </c>
      <c r="J71" s="3">
        <v>18.970365354118101</v>
      </c>
      <c r="K71" s="3">
        <v>15.4091770796046</v>
      </c>
      <c r="L71" s="3">
        <v>17.5809248312002</v>
      </c>
      <c r="M71" s="3">
        <v>14.172534907405099</v>
      </c>
      <c r="N71" s="3">
        <v>12.0311150395606</v>
      </c>
    </row>
    <row r="72" spans="1:14" x14ac:dyDescent="0.35">
      <c r="A72" s="2">
        <v>43977</v>
      </c>
      <c r="B72" s="3">
        <v>32.961161567171303</v>
      </c>
      <c r="C72" s="3">
        <v>18.024991997261601</v>
      </c>
      <c r="D72" s="3">
        <v>17.089332137408</v>
      </c>
      <c r="E72" s="3">
        <v>16.044722497872499</v>
      </c>
      <c r="F72" s="3">
        <v>15.198267706402101</v>
      </c>
      <c r="G72" s="3">
        <v>19.083331805618101</v>
      </c>
      <c r="H72" s="3">
        <v>14.467241382383399</v>
      </c>
      <c r="I72" s="3">
        <v>26.211417290067299</v>
      </c>
      <c r="J72" s="3">
        <v>20.213167478885101</v>
      </c>
      <c r="K72" s="3">
        <v>16.639090424390702</v>
      </c>
      <c r="L72" s="3">
        <v>18.417758497777101</v>
      </c>
      <c r="M72" s="3">
        <v>15.543719865877099</v>
      </c>
      <c r="N72" s="3">
        <v>14.0952737375039</v>
      </c>
    </row>
    <row r="73" spans="1:14" x14ac:dyDescent="0.35">
      <c r="A73" s="2">
        <v>44008</v>
      </c>
      <c r="B73" s="3">
        <v>32.402352566887302</v>
      </c>
      <c r="C73" s="3">
        <v>18.387988240997899</v>
      </c>
      <c r="D73" s="3">
        <v>17.108307038247101</v>
      </c>
      <c r="E73" s="3">
        <v>17.306714000473502</v>
      </c>
      <c r="F73" s="3">
        <v>16.973903878386299</v>
      </c>
      <c r="G73" s="3">
        <v>19.4727075203472</v>
      </c>
      <c r="H73" s="3">
        <v>15.064690009650199</v>
      </c>
      <c r="I73" s="3">
        <v>27.149267921342201</v>
      </c>
      <c r="J73" s="3">
        <v>20.8154241128465</v>
      </c>
      <c r="K73" s="3">
        <v>18.290488303762299</v>
      </c>
      <c r="L73" s="3">
        <v>19.428603331772202</v>
      </c>
      <c r="M73" s="3">
        <v>17.074691918117601</v>
      </c>
      <c r="N73" s="3">
        <v>16.130415748497299</v>
      </c>
    </row>
    <row r="74" spans="1:14" x14ac:dyDescent="0.35">
      <c r="A74" s="2">
        <v>44036</v>
      </c>
      <c r="B74" s="3">
        <v>33.6765762864135</v>
      </c>
      <c r="C74" s="3">
        <v>19.0604964561104</v>
      </c>
      <c r="D74" s="3">
        <v>17.676400653184398</v>
      </c>
      <c r="E74" s="3">
        <v>18.773706538668499</v>
      </c>
      <c r="F74" s="3">
        <v>17.7369384804074</v>
      </c>
      <c r="G74" s="3">
        <v>20.041150563100601</v>
      </c>
      <c r="H74" s="3">
        <v>15.619899067314799</v>
      </c>
      <c r="I74" s="3">
        <v>28.499063574240299</v>
      </c>
      <c r="J74" s="3">
        <v>22.032912659788401</v>
      </c>
      <c r="K74" s="3">
        <v>20.194104808067799</v>
      </c>
      <c r="L74" s="3">
        <v>20.293597562372401</v>
      </c>
      <c r="M74" s="3">
        <v>17.048040126438</v>
      </c>
      <c r="N74" s="3">
        <v>17.600226269665001</v>
      </c>
    </row>
    <row r="75" spans="1:14" x14ac:dyDescent="0.35">
      <c r="A75" s="2">
        <v>44069</v>
      </c>
      <c r="B75" s="3">
        <v>34.751303576429997</v>
      </c>
      <c r="C75" s="3">
        <v>19.824192925533598</v>
      </c>
      <c r="D75" s="3">
        <v>18.464297181349799</v>
      </c>
      <c r="E75" s="3">
        <v>20.145685726124398</v>
      </c>
      <c r="F75" s="3">
        <v>18.827515827583699</v>
      </c>
      <c r="G75" s="3">
        <v>20.6850303621673</v>
      </c>
      <c r="H75" s="3">
        <v>16.428228331779199</v>
      </c>
      <c r="I75" s="3">
        <v>31.1191625968188</v>
      </c>
      <c r="J75" s="3">
        <v>23.4687142499921</v>
      </c>
      <c r="K75" s="3">
        <v>22.695307668233401</v>
      </c>
      <c r="L75" s="3">
        <v>21.522154056067201</v>
      </c>
      <c r="M75" s="3">
        <v>17.326195287010101</v>
      </c>
      <c r="N75" s="3">
        <v>17.938861004594301</v>
      </c>
    </row>
    <row r="76" spans="1:14" x14ac:dyDescent="0.35">
      <c r="A76" s="2">
        <v>44099</v>
      </c>
      <c r="B76" s="3">
        <v>33.531476566050102</v>
      </c>
      <c r="C76" s="3">
        <v>19.3970669183844</v>
      </c>
      <c r="D76" s="3">
        <v>18.210291203499601</v>
      </c>
      <c r="E76" s="3">
        <v>19.810448658293499</v>
      </c>
      <c r="F76" s="3">
        <v>19.937149982714001</v>
      </c>
      <c r="G76" s="3">
        <v>20.587535983604699</v>
      </c>
      <c r="H76" s="3">
        <v>16.5259738952338</v>
      </c>
      <c r="I76" s="3">
        <v>30.166421107902298</v>
      </c>
      <c r="J76" s="3">
        <v>23.104274109313799</v>
      </c>
      <c r="K76" s="3">
        <v>22.514806764413201</v>
      </c>
      <c r="L76" s="3">
        <v>21.4444945067962</v>
      </c>
      <c r="M76" s="3">
        <v>17.6901100185666</v>
      </c>
      <c r="N76" s="3">
        <v>17.801421180080499</v>
      </c>
    </row>
    <row r="77" spans="1:14" x14ac:dyDescent="0.35">
      <c r="A77" s="2">
        <v>44130</v>
      </c>
      <c r="B77" s="3">
        <v>36.061760964554601</v>
      </c>
      <c r="C77" s="3">
        <v>20.1425555086016</v>
      </c>
      <c r="D77" s="3">
        <v>18.484528220997301</v>
      </c>
      <c r="E77" s="3">
        <v>19.4152285707309</v>
      </c>
      <c r="F77" s="3">
        <v>20.616021888602798</v>
      </c>
      <c r="G77" s="3">
        <v>20.4797462606066</v>
      </c>
      <c r="H77" s="3">
        <v>16.793129041931699</v>
      </c>
      <c r="I77" s="3">
        <v>31.503525410521799</v>
      </c>
      <c r="J77" s="3">
        <v>23.9641916024129</v>
      </c>
      <c r="K77" s="3">
        <v>23.9646155257741</v>
      </c>
      <c r="L77" s="3">
        <v>22.018721387657799</v>
      </c>
      <c r="M77" s="3">
        <v>15.3986098470151</v>
      </c>
      <c r="N77" s="3">
        <v>18.8380726361878</v>
      </c>
    </row>
    <row r="78" spans="1:14" x14ac:dyDescent="0.35">
      <c r="A78" s="2">
        <v>44160</v>
      </c>
      <c r="B78" s="3">
        <v>35.287306374718497</v>
      </c>
      <c r="C78" s="3">
        <v>22.489260596005501</v>
      </c>
      <c r="D78" s="3">
        <v>19.867183008805402</v>
      </c>
      <c r="E78" s="3">
        <v>21.683810613924699</v>
      </c>
      <c r="F78" s="3">
        <v>22.5496275940598</v>
      </c>
      <c r="G78" s="3">
        <v>21.271210839807999</v>
      </c>
      <c r="H78" s="3">
        <v>18.711343866423601</v>
      </c>
      <c r="I78" s="3">
        <v>32.732818190978001</v>
      </c>
      <c r="J78" s="3">
        <v>25.279289575841201</v>
      </c>
      <c r="K78" s="3">
        <v>27.951955584711001</v>
      </c>
      <c r="L78" s="3">
        <v>24.835557123828799</v>
      </c>
      <c r="M78" s="3">
        <v>16.798269237323598</v>
      </c>
      <c r="N78" s="3">
        <v>22.675253775494301</v>
      </c>
    </row>
    <row r="79" spans="1:14" x14ac:dyDescent="0.35">
      <c r="A79" s="2">
        <v>44189</v>
      </c>
      <c r="B79" s="3">
        <v>37.802733876103503</v>
      </c>
      <c r="C79" s="3">
        <v>23.018444686291598</v>
      </c>
      <c r="D79" s="3">
        <v>20.487910685181301</v>
      </c>
      <c r="E79" s="3">
        <v>21.707170779083299</v>
      </c>
      <c r="F79" s="3">
        <v>22.970192741364201</v>
      </c>
      <c r="G79" s="3">
        <v>21.380412556360099</v>
      </c>
      <c r="H79" s="3">
        <v>19.616764364024998</v>
      </c>
      <c r="I79" s="3">
        <v>34.564272147437002</v>
      </c>
      <c r="J79" s="3">
        <v>26.877522569680199</v>
      </c>
      <c r="K79" s="3">
        <v>28.464467153103101</v>
      </c>
      <c r="L79" s="3">
        <v>27.091162116495902</v>
      </c>
      <c r="M79" s="3">
        <v>17.090427271746499</v>
      </c>
      <c r="N79" s="3">
        <v>23.053936561267001</v>
      </c>
    </row>
    <row r="80" spans="1:14" x14ac:dyDescent="0.35">
      <c r="A80" s="2">
        <v>44222</v>
      </c>
      <c r="B80" s="3">
        <v>37.397650426966699</v>
      </c>
      <c r="C80" s="3">
        <v>23.386467363635699</v>
      </c>
      <c r="D80" s="3">
        <v>20.695226191537699</v>
      </c>
      <c r="E80" s="3">
        <v>21.518892652140401</v>
      </c>
      <c r="F80" s="3">
        <v>23.6193084604425</v>
      </c>
      <c r="G80" s="3">
        <v>21.742675069354899</v>
      </c>
      <c r="H80" s="3">
        <v>19.8579863605719</v>
      </c>
      <c r="I80" s="3">
        <v>36.196582882464099</v>
      </c>
      <c r="J80" s="3">
        <v>27.428037455547901</v>
      </c>
      <c r="K80" s="3">
        <v>28.1474947906372</v>
      </c>
      <c r="L80" s="3">
        <v>28.029538258563498</v>
      </c>
      <c r="M80" s="3">
        <v>18.427641207412002</v>
      </c>
      <c r="N80" s="3">
        <v>20.6260969136538</v>
      </c>
    </row>
    <row r="81" spans="1:14" x14ac:dyDescent="0.35">
      <c r="A81" s="2">
        <v>44253</v>
      </c>
      <c r="B81" s="3">
        <v>34.343740925786598</v>
      </c>
      <c r="C81" s="3">
        <v>21.803472996914799</v>
      </c>
      <c r="D81" s="3">
        <v>19.9904739717302</v>
      </c>
      <c r="E81" s="3">
        <v>20.295086301686101</v>
      </c>
      <c r="F81" s="3">
        <v>21.6770992801852</v>
      </c>
      <c r="G81" s="3">
        <v>20.482314389170899</v>
      </c>
      <c r="H81" s="3">
        <v>18.808343681970999</v>
      </c>
      <c r="I81" s="3">
        <v>32.945700761879102</v>
      </c>
      <c r="J81" s="3">
        <v>26.293169397588699</v>
      </c>
      <c r="K81" s="3">
        <v>27.0710572154549</v>
      </c>
      <c r="L81" s="3">
        <v>28.983305238102801</v>
      </c>
      <c r="M81" s="3">
        <v>17.560412932187599</v>
      </c>
      <c r="N81" s="3">
        <v>20.352573516655301</v>
      </c>
    </row>
    <row r="82" spans="1:14" x14ac:dyDescent="0.35">
      <c r="A82" s="2">
        <v>44281</v>
      </c>
      <c r="B82" s="3">
        <v>34.383329221032398</v>
      </c>
      <c r="C82" s="3">
        <v>21.398570464910801</v>
      </c>
      <c r="D82" s="3">
        <v>19.650003408836699</v>
      </c>
      <c r="E82" s="3">
        <v>20.059631231353599</v>
      </c>
      <c r="F82" s="3">
        <v>21.428133704886999</v>
      </c>
      <c r="G82" s="3">
        <v>20.4682490884232</v>
      </c>
      <c r="H82" s="3">
        <v>18.363047787594201</v>
      </c>
      <c r="I82" s="3">
        <v>32.575904826867301</v>
      </c>
      <c r="J82" s="3">
        <v>26.0763065652554</v>
      </c>
      <c r="K82" s="3">
        <v>26.409933450214801</v>
      </c>
      <c r="L82" s="3">
        <v>28.624076890717301</v>
      </c>
      <c r="M82" s="3">
        <v>18.094700031835099</v>
      </c>
      <c r="N82" s="3">
        <v>19.862734581653299</v>
      </c>
    </row>
    <row r="83" spans="1:14" x14ac:dyDescent="0.35">
      <c r="A83" s="2">
        <v>44312</v>
      </c>
      <c r="B83" s="3">
        <v>34.507710467444099</v>
      </c>
      <c r="C83" s="3">
        <v>21.115233177602001</v>
      </c>
      <c r="D83" s="3">
        <v>19.297908150774202</v>
      </c>
      <c r="E83" s="3">
        <v>19.557689906708699</v>
      </c>
      <c r="F83" s="3">
        <v>20.847658621699701</v>
      </c>
      <c r="G83" s="3">
        <v>20.2845455938056</v>
      </c>
      <c r="H83" s="3">
        <v>17.825608457424199</v>
      </c>
      <c r="I83" s="3">
        <v>32.803588595449099</v>
      </c>
      <c r="J83" s="3">
        <v>25.838185405381601</v>
      </c>
      <c r="K83" s="3">
        <v>25.653971699213599</v>
      </c>
      <c r="L83" s="3">
        <v>28.143213486715499</v>
      </c>
      <c r="M83" s="3">
        <v>18.070844890193001</v>
      </c>
      <c r="N83" s="3">
        <v>19.288851479046901</v>
      </c>
    </row>
    <row r="84" spans="1:14" x14ac:dyDescent="0.35">
      <c r="A84" s="2">
        <v>44342</v>
      </c>
      <c r="B84" s="3">
        <v>34.614293265691401</v>
      </c>
      <c r="C84" s="3">
        <v>20.6537833434265</v>
      </c>
      <c r="D84" s="3">
        <v>18.876049004494199</v>
      </c>
      <c r="E84" s="3">
        <v>18.869888704265101</v>
      </c>
      <c r="F84" s="3">
        <v>20.237934185005599</v>
      </c>
      <c r="G84" s="3">
        <v>20.577773833277099</v>
      </c>
      <c r="H84" s="3">
        <v>17.200036251614399</v>
      </c>
      <c r="I84" s="3">
        <v>31.597186666634901</v>
      </c>
      <c r="J84" s="3">
        <v>25.1452281077508</v>
      </c>
      <c r="K84" s="3">
        <v>24.6766004320761</v>
      </c>
      <c r="L84" s="3">
        <v>27.2218133693383</v>
      </c>
      <c r="M84" s="3">
        <v>17.421055728066101</v>
      </c>
      <c r="N84" s="3">
        <v>18.523745485833299</v>
      </c>
    </row>
    <row r="85" spans="1:14" x14ac:dyDescent="0.35">
      <c r="A85" s="2">
        <v>44372</v>
      </c>
      <c r="B85" s="3">
        <v>35.844698057178803</v>
      </c>
      <c r="C85" s="3">
        <v>20.233287992883799</v>
      </c>
      <c r="D85" s="3">
        <v>18.5815296320512</v>
      </c>
      <c r="E85" s="3">
        <v>18.4824892672078</v>
      </c>
      <c r="F85" s="3">
        <v>19.9283780917869</v>
      </c>
      <c r="G85" s="3">
        <v>20.951417476707299</v>
      </c>
      <c r="H85" s="3">
        <v>16.637679413655398</v>
      </c>
      <c r="I85" s="3">
        <v>31.721456630655201</v>
      </c>
      <c r="J85" s="3">
        <v>24.864769918072099</v>
      </c>
      <c r="K85" s="3">
        <v>23.994255917845599</v>
      </c>
      <c r="L85" s="3">
        <v>26.7174645129232</v>
      </c>
      <c r="M85" s="3">
        <v>17.9423125334018</v>
      </c>
      <c r="N85" s="3">
        <v>18.204416338172901</v>
      </c>
    </row>
    <row r="86" spans="1:14" x14ac:dyDescent="0.35">
      <c r="A86" s="2">
        <v>44403</v>
      </c>
      <c r="B86" s="3">
        <v>36.535187628309203</v>
      </c>
      <c r="C86" s="3">
        <v>19.287285681511399</v>
      </c>
      <c r="D86" s="3">
        <v>17.953091968382999</v>
      </c>
      <c r="E86" s="3">
        <v>17.772112115112201</v>
      </c>
      <c r="F86" s="3">
        <v>19.213581019369599</v>
      </c>
      <c r="G86" s="3">
        <v>20.871565416700498</v>
      </c>
      <c r="H86" s="3">
        <v>15.6699101231352</v>
      </c>
      <c r="I86" s="3">
        <v>32.203979950403699</v>
      </c>
      <c r="J86" s="3">
        <v>24.545539835675498</v>
      </c>
      <c r="K86" s="3">
        <v>22.681790451764702</v>
      </c>
      <c r="L86" s="3">
        <v>26.327418178844798</v>
      </c>
      <c r="M86" s="3">
        <v>18.179855416105699</v>
      </c>
      <c r="N86" s="3">
        <v>17.4252250155856</v>
      </c>
    </row>
    <row r="87" spans="1:14" x14ac:dyDescent="0.35">
      <c r="A87" s="2">
        <v>44434</v>
      </c>
      <c r="B87" s="3">
        <v>38.098055930533498</v>
      </c>
      <c r="C87" s="3">
        <v>19.108895252623501</v>
      </c>
      <c r="D87" s="3">
        <v>17.220404334144501</v>
      </c>
      <c r="E87" s="3">
        <v>16.981579210907</v>
      </c>
      <c r="F87" s="3">
        <v>18.3430107190817</v>
      </c>
      <c r="G87" s="3">
        <v>21.1556802123336</v>
      </c>
      <c r="H87" s="3">
        <v>14.8130755698662</v>
      </c>
      <c r="I87" s="3">
        <v>31.395214424960599</v>
      </c>
      <c r="J87" s="3">
        <v>23.902425333073602</v>
      </c>
      <c r="K87" s="3">
        <v>21.186128359179101</v>
      </c>
      <c r="L87" s="3">
        <v>25.965450706245999</v>
      </c>
      <c r="M87" s="3">
        <v>17.505198887372</v>
      </c>
      <c r="N87" s="3">
        <v>15.782114758102599</v>
      </c>
    </row>
    <row r="88" spans="1:14" x14ac:dyDescent="0.35">
      <c r="A88" s="2">
        <v>44463</v>
      </c>
      <c r="B88" s="3">
        <v>38.8249415402382</v>
      </c>
      <c r="C88" s="3">
        <v>18.5958215218382</v>
      </c>
      <c r="D88" s="3">
        <v>16.633388088966001</v>
      </c>
      <c r="E88" s="3">
        <v>16.227010963237799</v>
      </c>
      <c r="F88" s="3">
        <v>18.610096089796698</v>
      </c>
      <c r="G88" s="3">
        <v>20.416215615181599</v>
      </c>
      <c r="H88" s="3">
        <v>14.0800921115357</v>
      </c>
      <c r="I88" s="3">
        <v>31.210712650611399</v>
      </c>
      <c r="J88" s="3">
        <v>23.530018354986201</v>
      </c>
      <c r="K88" s="3">
        <v>20.1367969279558</v>
      </c>
      <c r="L88" s="3">
        <v>25.247349396654201</v>
      </c>
      <c r="M88" s="3">
        <v>17.266346600838599</v>
      </c>
      <c r="N88" s="3">
        <v>14.966621870715899</v>
      </c>
    </row>
    <row r="89" spans="1:14" x14ac:dyDescent="0.35">
      <c r="A89" s="2">
        <v>44495</v>
      </c>
      <c r="B89" s="3">
        <v>38.97750959959</v>
      </c>
      <c r="C89" s="3">
        <v>18.808122550649099</v>
      </c>
      <c r="D89" s="3">
        <v>16.807755744472299</v>
      </c>
      <c r="E89" s="3">
        <v>15.8703027629701</v>
      </c>
      <c r="F89" s="3">
        <v>17.668234265814799</v>
      </c>
      <c r="G89" s="3">
        <v>20.614579405762299</v>
      </c>
      <c r="H89" s="3">
        <v>13.7860550264308</v>
      </c>
      <c r="I89" s="3">
        <v>31.109360585812301</v>
      </c>
      <c r="J89" s="3">
        <v>23.3532493127496</v>
      </c>
      <c r="K89" s="3">
        <v>18.9406313599317</v>
      </c>
      <c r="L89" s="3">
        <v>24.7403804924468</v>
      </c>
      <c r="M89" s="3">
        <v>17.405084189757599</v>
      </c>
      <c r="N89" s="3">
        <v>14.474495894590399</v>
      </c>
    </row>
    <row r="90" spans="1:14" x14ac:dyDescent="0.35">
      <c r="A90" s="2">
        <v>44526</v>
      </c>
      <c r="B90" s="3">
        <v>37.687644036327697</v>
      </c>
      <c r="C90" s="3">
        <v>17.668962420503899</v>
      </c>
      <c r="D90" s="3">
        <v>15.9383858565328</v>
      </c>
      <c r="E90" s="3">
        <v>14.326653939516</v>
      </c>
      <c r="F90" s="3">
        <v>16.871634106743901</v>
      </c>
      <c r="G90" s="3">
        <v>20.414135954597398</v>
      </c>
      <c r="H90" s="3">
        <v>12.532333768564801</v>
      </c>
      <c r="I90" s="3">
        <v>31.464374665933999</v>
      </c>
      <c r="J90" s="3">
        <v>22.826410538488901</v>
      </c>
      <c r="K90" s="3">
        <v>17.3750006491248</v>
      </c>
      <c r="L90" s="3">
        <v>22.956033261362801</v>
      </c>
      <c r="M90" s="3">
        <v>16.268108997642202</v>
      </c>
      <c r="N90" s="3">
        <v>12.7672599545387</v>
      </c>
    </row>
    <row r="91" spans="1:14" x14ac:dyDescent="0.35">
      <c r="A91" s="2">
        <v>44553</v>
      </c>
      <c r="B91" s="3">
        <v>38.910821715592803</v>
      </c>
      <c r="C91" s="3">
        <v>17.814105774419399</v>
      </c>
      <c r="D91" s="3">
        <v>15.509443829075</v>
      </c>
      <c r="E91" s="3">
        <v>14.1969419195821</v>
      </c>
      <c r="F91" s="3">
        <v>16.252139571702902</v>
      </c>
      <c r="G91" s="3">
        <v>21.421454981571401</v>
      </c>
      <c r="H91" s="3">
        <v>12.4627713586144</v>
      </c>
      <c r="I91" s="3">
        <v>31.932181299743402</v>
      </c>
      <c r="J91" s="3">
        <v>23.132149587702301</v>
      </c>
      <c r="K91" s="3">
        <v>17.339672439426</v>
      </c>
      <c r="L91" s="3">
        <v>22.7155727823048</v>
      </c>
      <c r="M91" s="3">
        <v>16.622728855566699</v>
      </c>
      <c r="N91" s="3">
        <v>12.150165438302199</v>
      </c>
    </row>
    <row r="92" spans="1:14" x14ac:dyDescent="0.35">
      <c r="A92" s="2">
        <v>44587</v>
      </c>
      <c r="B92" s="3">
        <v>37.202075897519499</v>
      </c>
      <c r="C92" s="3">
        <v>16.466493801915799</v>
      </c>
      <c r="D92" s="3">
        <v>14.9481690463298</v>
      </c>
      <c r="E92" s="3">
        <v>13.6328486674345</v>
      </c>
      <c r="F92" s="3">
        <v>15.0900099586657</v>
      </c>
      <c r="G92" s="3">
        <v>19.914593774050399</v>
      </c>
      <c r="H92" s="3">
        <v>12.5607026924297</v>
      </c>
      <c r="I92" s="3">
        <v>27.392637422640199</v>
      </c>
      <c r="J92" s="3">
        <v>21.050071080816299</v>
      </c>
      <c r="K92" s="3">
        <v>16.4389769426536</v>
      </c>
      <c r="L92" s="3">
        <v>20.381932685209001</v>
      </c>
      <c r="M92" s="3">
        <v>12.124673921938999</v>
      </c>
      <c r="N92" s="3">
        <v>11.773154481119599</v>
      </c>
    </row>
    <row r="93" spans="1:14" x14ac:dyDescent="0.35">
      <c r="A93" s="2">
        <v>44617</v>
      </c>
      <c r="B93" s="3">
        <v>35.245554578918401</v>
      </c>
      <c r="C93" s="3">
        <v>15.5226364317685</v>
      </c>
      <c r="D93" s="3">
        <v>15.2370762119043</v>
      </c>
      <c r="E93" s="3">
        <v>12.6280547266543</v>
      </c>
      <c r="F93" s="3">
        <v>14.702745064573</v>
      </c>
      <c r="G93" s="3">
        <v>18.403220727085699</v>
      </c>
      <c r="H93" s="3">
        <v>12.5995102900464</v>
      </c>
      <c r="I93" s="3">
        <v>26.627214602372099</v>
      </c>
      <c r="J93" s="3">
        <v>20.7936649882563</v>
      </c>
      <c r="K93" s="3">
        <v>15.6958185141116</v>
      </c>
      <c r="L93" s="3">
        <v>18.329586061679301</v>
      </c>
      <c r="M93" s="3">
        <v>11.6476301231072</v>
      </c>
      <c r="N93" s="3">
        <v>10.7837623689634</v>
      </c>
    </row>
    <row r="94" spans="1:14" x14ac:dyDescent="0.35">
      <c r="A94" s="2">
        <v>44645</v>
      </c>
      <c r="B94" s="3">
        <v>34.998609108678203</v>
      </c>
      <c r="C94" s="3">
        <v>15.807882452175599</v>
      </c>
      <c r="D94" s="3">
        <v>15.0991309801464</v>
      </c>
      <c r="E94" s="3">
        <v>12.434372385204</v>
      </c>
      <c r="F94" s="3">
        <v>14.7047075980439</v>
      </c>
      <c r="G94" s="3">
        <v>18.544761604936902</v>
      </c>
      <c r="H94" s="3">
        <v>12.4140001042741</v>
      </c>
      <c r="I94" s="3">
        <v>26.8096956887189</v>
      </c>
      <c r="J94" s="3">
        <v>20.743411933070799</v>
      </c>
      <c r="K94" s="3">
        <v>15.2428178174018</v>
      </c>
      <c r="L94" s="3">
        <v>18.501232181385699</v>
      </c>
      <c r="M94" s="3">
        <v>11.948242088981599</v>
      </c>
      <c r="N94" s="3">
        <v>10.530148412729201</v>
      </c>
    </row>
    <row r="95" spans="1:14" x14ac:dyDescent="0.35">
      <c r="A95" s="2">
        <v>44677</v>
      </c>
      <c r="B95" s="3">
        <v>34.436189663636704</v>
      </c>
      <c r="C95" s="3">
        <v>15.399589164758099</v>
      </c>
      <c r="D95" s="3">
        <v>14.630169183739101</v>
      </c>
      <c r="E95" s="3">
        <v>12.218352460664301</v>
      </c>
      <c r="F95" s="3">
        <v>14.3453737540302</v>
      </c>
      <c r="G95" s="3">
        <v>18.427385184645001</v>
      </c>
      <c r="H95" s="3">
        <v>12.0366564612935</v>
      </c>
      <c r="I95" s="3">
        <v>25.7726834293099</v>
      </c>
      <c r="J95" s="3">
        <v>20.066783532709199</v>
      </c>
      <c r="K95" s="3">
        <v>14.8761654641061</v>
      </c>
      <c r="L95" s="3">
        <v>18.2004407771831</v>
      </c>
      <c r="M95" s="3">
        <v>12.147605761346499</v>
      </c>
      <c r="N95" s="3">
        <v>10.337836855698299</v>
      </c>
    </row>
    <row r="96" spans="1:14" x14ac:dyDescent="0.35">
      <c r="A96" s="2">
        <v>44707</v>
      </c>
      <c r="B96" s="3">
        <v>33.665221710495899</v>
      </c>
      <c r="C96" s="3">
        <v>15.023324911026</v>
      </c>
      <c r="D96" s="3">
        <v>14.287623758378899</v>
      </c>
      <c r="E96" s="3">
        <v>12.0722026926593</v>
      </c>
      <c r="F96" s="3">
        <v>14.15783136227</v>
      </c>
      <c r="G96" s="3">
        <v>18.1218493925209</v>
      </c>
      <c r="H96" s="3">
        <v>11.7898406180636</v>
      </c>
      <c r="I96" s="3">
        <v>25.127731486531498</v>
      </c>
      <c r="J96" s="3">
        <v>19.6558620681867</v>
      </c>
      <c r="K96" s="3">
        <v>14.3989928728972</v>
      </c>
      <c r="L96" s="3">
        <v>18.3650057334971</v>
      </c>
      <c r="M96" s="3">
        <v>13.3704911688216</v>
      </c>
      <c r="N96" s="3">
        <v>10.1262920955218</v>
      </c>
    </row>
    <row r="97" spans="1:14" x14ac:dyDescent="0.35">
      <c r="A97" s="2">
        <v>44736</v>
      </c>
      <c r="B97" s="3">
        <v>32.949858310535198</v>
      </c>
      <c r="C97" s="3">
        <v>14.138048042782399</v>
      </c>
      <c r="D97" s="3">
        <v>13.5468165096982</v>
      </c>
      <c r="E97" s="3">
        <v>11.5482627998613</v>
      </c>
      <c r="F97" s="3">
        <v>13.883971444498201</v>
      </c>
      <c r="G97" s="3">
        <v>17.663897589757699</v>
      </c>
      <c r="H97" s="3">
        <v>11.3023700297953</v>
      </c>
      <c r="I97" s="3">
        <v>24.6537281442161</v>
      </c>
      <c r="J97" s="3">
        <v>19.071203035546802</v>
      </c>
      <c r="K97" s="3">
        <v>13.798154242849</v>
      </c>
      <c r="L97" s="3">
        <v>17.993617119682501</v>
      </c>
      <c r="M97" s="3">
        <v>13.194796000442601</v>
      </c>
      <c r="N97" s="3">
        <v>9.5110058929379697</v>
      </c>
    </row>
    <row r="98" spans="1:14" x14ac:dyDescent="0.35">
      <c r="A98" s="2">
        <v>44768</v>
      </c>
      <c r="B98" s="3">
        <v>32.763591026501601</v>
      </c>
      <c r="C98" s="3">
        <v>14.3938630665793</v>
      </c>
      <c r="D98" s="3">
        <v>13.1349025939668</v>
      </c>
      <c r="E98" s="3">
        <v>11.3875770018421</v>
      </c>
      <c r="F98" s="3">
        <v>13.9533925172775</v>
      </c>
      <c r="G98" s="3">
        <v>17.946774074598899</v>
      </c>
      <c r="H98" s="3">
        <v>10.9987995571658</v>
      </c>
      <c r="I98" s="3">
        <v>24.428214904046399</v>
      </c>
      <c r="J98" s="3">
        <v>18.806160841192</v>
      </c>
      <c r="K98" s="3">
        <v>13.3722269058406</v>
      </c>
      <c r="L98" s="3">
        <v>19.2391812579732</v>
      </c>
      <c r="M98" s="3">
        <v>14.245543014246801</v>
      </c>
      <c r="N98" s="3">
        <v>8.9730191783703503</v>
      </c>
    </row>
    <row r="99" spans="1:14" x14ac:dyDescent="0.35">
      <c r="A99" s="2">
        <v>44799</v>
      </c>
      <c r="B99" s="3">
        <v>34.767674069606301</v>
      </c>
      <c r="C99" s="3">
        <v>14.6102212533448</v>
      </c>
      <c r="D99" s="3">
        <v>13.091495403271299</v>
      </c>
      <c r="E99" s="3">
        <v>10.7798534425797</v>
      </c>
      <c r="F99" s="3">
        <v>13.956533794133399</v>
      </c>
      <c r="G99" s="3">
        <v>17.999495094741501</v>
      </c>
      <c r="H99" s="3">
        <v>10.5408347081364</v>
      </c>
      <c r="I99" s="3">
        <v>25.2338284513304</v>
      </c>
      <c r="J99" s="3">
        <v>18.999126911400499</v>
      </c>
      <c r="K99" s="3">
        <v>12.728279107515201</v>
      </c>
      <c r="L99" s="3">
        <v>18.994785856889301</v>
      </c>
      <c r="M99" s="3">
        <v>14.5367404165374</v>
      </c>
      <c r="N99" s="3">
        <v>8.4318568569455508</v>
      </c>
    </row>
    <row r="100" spans="1:14" x14ac:dyDescent="0.35">
      <c r="A100" s="2">
        <v>44830</v>
      </c>
      <c r="B100" s="3">
        <v>32.537237627983302</v>
      </c>
      <c r="C100" s="3">
        <v>13.297179283021499</v>
      </c>
      <c r="D100" s="3">
        <v>12.1538513888758</v>
      </c>
      <c r="E100" s="3">
        <v>10.2299740297897</v>
      </c>
      <c r="F100" s="3">
        <v>13.1388372399789</v>
      </c>
      <c r="G100" s="3">
        <v>16.773832498817701</v>
      </c>
      <c r="H100" s="3">
        <v>9.5153827565353293</v>
      </c>
      <c r="I100" s="3">
        <v>23.109672735377199</v>
      </c>
      <c r="J100" s="3">
        <v>17.525895908453801</v>
      </c>
      <c r="K100" s="3">
        <v>11.580258959297</v>
      </c>
      <c r="L100" s="3">
        <v>17.412874577521201</v>
      </c>
      <c r="M100" s="3">
        <v>14.099768113380801</v>
      </c>
      <c r="N100" s="3">
        <v>8.1048223880814501</v>
      </c>
    </row>
    <row r="101" spans="1:14" x14ac:dyDescent="0.35">
      <c r="A101" s="2">
        <v>44860</v>
      </c>
      <c r="B101" s="3">
        <v>31.029124344787501</v>
      </c>
      <c r="C101" s="3">
        <v>13.532802025380001</v>
      </c>
      <c r="D101" s="3">
        <v>12.451995317563</v>
      </c>
      <c r="E101" s="3">
        <v>10.539953654121099</v>
      </c>
      <c r="F101" s="3">
        <v>13.229598658807801</v>
      </c>
      <c r="G101" s="3">
        <v>17.813816759643501</v>
      </c>
      <c r="H101" s="3">
        <v>9.5719924385038695</v>
      </c>
      <c r="I101" s="3">
        <v>23.252899814000099</v>
      </c>
      <c r="J101" s="3">
        <v>17.946512093029799</v>
      </c>
      <c r="K101" s="3">
        <v>11.8997239542519</v>
      </c>
      <c r="L101" s="3">
        <v>17.913195999222001</v>
      </c>
      <c r="M101" s="3">
        <v>13.448134048739201</v>
      </c>
      <c r="N101" s="3">
        <v>8.1085909377758298</v>
      </c>
    </row>
    <row r="102" spans="1:14" x14ac:dyDescent="0.35">
      <c r="A102" s="2">
        <v>44890</v>
      </c>
      <c r="B102" s="3">
        <v>30.143198218041601</v>
      </c>
      <c r="C102" s="3">
        <v>14.4668092716619</v>
      </c>
      <c r="D102" s="3">
        <v>12.7748052871226</v>
      </c>
      <c r="E102" s="3">
        <v>11.1645589056172</v>
      </c>
      <c r="F102" s="3">
        <v>13.722001067939001</v>
      </c>
      <c r="G102" s="3">
        <v>19.848209641084999</v>
      </c>
      <c r="H102" s="3">
        <v>9.8948392457508607</v>
      </c>
      <c r="I102" s="3">
        <v>23.683931853165699</v>
      </c>
      <c r="J102" s="3">
        <v>18.478384585167198</v>
      </c>
      <c r="K102" s="3">
        <v>12.2363999413251</v>
      </c>
      <c r="L102" s="3">
        <v>18.7200734612796</v>
      </c>
      <c r="M102" s="3">
        <v>14.375776368052801</v>
      </c>
      <c r="N102" s="3">
        <v>8.2859496386793108</v>
      </c>
    </row>
    <row r="103" spans="1:14" x14ac:dyDescent="0.35">
      <c r="A103" s="2">
        <v>44918</v>
      </c>
      <c r="B103" s="3">
        <v>29.281957799986799</v>
      </c>
      <c r="C103" s="3">
        <v>14.100126310753399</v>
      </c>
      <c r="D103" s="3">
        <v>12.1842575604266</v>
      </c>
      <c r="E103" s="3">
        <v>10.4909403059387</v>
      </c>
      <c r="F103" s="3">
        <v>12.861871612967199</v>
      </c>
      <c r="G103" s="3">
        <v>20.1016253030926</v>
      </c>
      <c r="H103" s="3">
        <v>9.6412768053366307</v>
      </c>
      <c r="I103" s="3">
        <v>22.901926934774</v>
      </c>
      <c r="J103" s="3">
        <v>17.499297609845499</v>
      </c>
      <c r="K103" s="3">
        <v>11.6409717967068</v>
      </c>
      <c r="L103" s="3">
        <v>17.8940024396959</v>
      </c>
      <c r="M103" s="3">
        <v>15.427287545359</v>
      </c>
      <c r="N103" s="3">
        <v>7.4802015447323198</v>
      </c>
    </row>
    <row r="104" spans="1:14" x14ac:dyDescent="0.35">
      <c r="A104" s="2">
        <v>44952</v>
      </c>
      <c r="B104" s="3">
        <v>29.941421492637399</v>
      </c>
      <c r="C104" s="3">
        <v>14.8755916972341</v>
      </c>
      <c r="D104" s="3">
        <v>12.8910892030477</v>
      </c>
      <c r="E104" s="3">
        <v>11.4095510805681</v>
      </c>
      <c r="F104" s="3">
        <v>13.430865069980101</v>
      </c>
      <c r="G104" s="3">
        <v>21.2136909722349</v>
      </c>
      <c r="H104" s="3">
        <v>10.146445831015299</v>
      </c>
      <c r="I104" s="3">
        <v>24.954270066172299</v>
      </c>
      <c r="J104" s="3">
        <v>18.439950439896599</v>
      </c>
      <c r="K104" s="3">
        <v>12.8456934021664</v>
      </c>
      <c r="L104" s="3">
        <v>19.531897971779099</v>
      </c>
      <c r="M104" s="3">
        <v>24.578648003278701</v>
      </c>
      <c r="N104" s="3">
        <v>8.0708650778823294</v>
      </c>
    </row>
    <row r="105" spans="1:14" x14ac:dyDescent="0.35">
      <c r="A105" s="2">
        <v>44981</v>
      </c>
      <c r="B105" s="3">
        <v>29.603934706634799</v>
      </c>
      <c r="C105" s="3">
        <v>14.3270764204306</v>
      </c>
      <c r="D105" s="3">
        <v>12.564369735211301</v>
      </c>
      <c r="E105" s="3">
        <v>11.242659090365301</v>
      </c>
      <c r="F105" s="3">
        <v>13.5125423193735</v>
      </c>
      <c r="G105" s="3">
        <v>20.851247145225798</v>
      </c>
      <c r="H105" s="3">
        <v>10.1632402345501</v>
      </c>
      <c r="I105" s="3">
        <v>25.113618126650898</v>
      </c>
      <c r="J105" s="3">
        <v>18.0530095123693</v>
      </c>
      <c r="K105" s="3">
        <v>12.7185449973021</v>
      </c>
      <c r="L105" s="3">
        <v>20.5588222655438</v>
      </c>
      <c r="M105" s="3">
        <v>25.5414126717457</v>
      </c>
      <c r="N105" s="3">
        <v>8.1100926911140601</v>
      </c>
    </row>
    <row r="106" spans="1:14" x14ac:dyDescent="0.35">
      <c r="A106" s="2">
        <v>45009</v>
      </c>
      <c r="B106" s="3">
        <v>28.8981887653777</v>
      </c>
      <c r="C106" s="3">
        <v>14.127481087503901</v>
      </c>
      <c r="D106" s="3">
        <v>12.5292826867068</v>
      </c>
      <c r="E106" s="3">
        <v>11.265975621434499</v>
      </c>
      <c r="F106" s="3">
        <v>13.570484294001201</v>
      </c>
      <c r="G106" s="3">
        <v>20.337374606595301</v>
      </c>
      <c r="H106" s="3">
        <v>10.146546806253401</v>
      </c>
      <c r="I106" s="3">
        <v>25.4606070014833</v>
      </c>
      <c r="J106" s="3">
        <v>18.050046398030101</v>
      </c>
      <c r="K106" s="3">
        <v>12.844290409230799</v>
      </c>
      <c r="L106" s="3">
        <v>20.2833810912012</v>
      </c>
      <c r="M106" s="3">
        <v>24.5372833329785</v>
      </c>
      <c r="N106" s="3">
        <v>8.20559969218478</v>
      </c>
    </row>
    <row r="107" spans="1:14" x14ac:dyDescent="0.35">
      <c r="A107" s="2">
        <v>45042</v>
      </c>
      <c r="B107" s="3">
        <v>28.501224196085499</v>
      </c>
      <c r="C107" s="3">
        <v>14.336296328296999</v>
      </c>
      <c r="D107" s="3">
        <v>12.757931581960801</v>
      </c>
      <c r="E107" s="3">
        <v>11.424940959446401</v>
      </c>
      <c r="F107" s="3">
        <v>13.7028054788932</v>
      </c>
      <c r="G107" s="3">
        <v>20.283850180554602</v>
      </c>
      <c r="H107" s="3">
        <v>10.4157822862703</v>
      </c>
      <c r="I107" s="3">
        <v>25.471078829525101</v>
      </c>
      <c r="J107" s="3">
        <v>18.191581807942399</v>
      </c>
      <c r="K107" s="3">
        <v>13.2110203523427</v>
      </c>
      <c r="L107" s="3">
        <v>19.832344229272699</v>
      </c>
      <c r="M107" s="3">
        <v>23.431295208753099</v>
      </c>
      <c r="N107" s="3">
        <v>8.3598064896755098</v>
      </c>
    </row>
    <row r="108" spans="1:14" x14ac:dyDescent="0.35">
      <c r="A108" s="2">
        <v>45072</v>
      </c>
      <c r="B108" s="3">
        <v>28.015046681685</v>
      </c>
      <c r="C108" s="3">
        <v>14.2076625511532</v>
      </c>
      <c r="D108" s="3">
        <v>12.8251301945017</v>
      </c>
      <c r="E108" s="3">
        <v>11.2915354973394</v>
      </c>
      <c r="F108" s="3">
        <v>14.047185483287199</v>
      </c>
      <c r="G108" s="3">
        <v>19.934896206884101</v>
      </c>
      <c r="H108" s="3">
        <v>10.266998333644</v>
      </c>
      <c r="I108" s="3">
        <v>26.343977943357299</v>
      </c>
      <c r="J108" s="3">
        <v>18.440090082416202</v>
      </c>
      <c r="K108" s="3">
        <v>13.106316547344701</v>
      </c>
      <c r="L108" s="3">
        <v>19.621247380049201</v>
      </c>
      <c r="M108" s="3">
        <v>22.231183099723001</v>
      </c>
      <c r="N108" s="3">
        <v>8.2071572421250991</v>
      </c>
    </row>
    <row r="109" spans="1:14" x14ac:dyDescent="0.35">
      <c r="A109" s="2">
        <v>45103</v>
      </c>
      <c r="B109" s="3">
        <v>25.917306563527099</v>
      </c>
      <c r="C109" s="3">
        <v>14.4287169893067</v>
      </c>
      <c r="D109" s="3">
        <v>12.8439921248491</v>
      </c>
      <c r="E109" s="3">
        <v>11.186909008834601</v>
      </c>
      <c r="F109" s="3">
        <v>14.473371090181001</v>
      </c>
      <c r="G109" s="3">
        <v>19.227542404368702</v>
      </c>
      <c r="H109" s="3">
        <v>10.2670933750716</v>
      </c>
      <c r="I109" s="3">
        <v>26.768287374763599</v>
      </c>
      <c r="J109" s="3">
        <v>18.828446753797898</v>
      </c>
      <c r="K109" s="3">
        <v>13.1103373676663</v>
      </c>
      <c r="L109" s="3">
        <v>19.0067926504254</v>
      </c>
      <c r="M109" s="3">
        <v>20.891444172988798</v>
      </c>
      <c r="N109" s="3">
        <v>8.4364340514360308</v>
      </c>
    </row>
    <row r="110" spans="1:14" x14ac:dyDescent="0.35">
      <c r="A110" s="2">
        <v>45133</v>
      </c>
      <c r="B110" s="3">
        <v>25.415757499784998</v>
      </c>
      <c r="C110" s="3">
        <v>15.129876876993899</v>
      </c>
      <c r="D110" s="3">
        <v>13.5143343672502</v>
      </c>
      <c r="E110" s="3">
        <v>11.310990853158501</v>
      </c>
      <c r="F110" s="3">
        <v>14.624052964123599</v>
      </c>
      <c r="G110" s="3">
        <v>19.176143556602199</v>
      </c>
      <c r="H110" s="3">
        <v>10.633022168292401</v>
      </c>
      <c r="I110" s="3">
        <v>27.009748884579</v>
      </c>
      <c r="J110" s="3">
        <v>19.657828109930598</v>
      </c>
      <c r="K110" s="3">
        <v>13.3191438301674</v>
      </c>
      <c r="L110" s="3">
        <v>18.930186952196099</v>
      </c>
      <c r="M110" s="3">
        <v>19.6813388869748</v>
      </c>
      <c r="N110" s="3">
        <v>8.5094805286697195</v>
      </c>
    </row>
    <row r="111" spans="1:14" x14ac:dyDescent="0.35">
      <c r="A111" s="2">
        <v>45163</v>
      </c>
      <c r="B111" s="3">
        <v>24.225819301481302</v>
      </c>
      <c r="C111" s="3">
        <v>14.787388248035899</v>
      </c>
      <c r="D111" s="3">
        <v>13.256179132377101</v>
      </c>
      <c r="E111" s="3">
        <v>11.111020204450201</v>
      </c>
      <c r="F111" s="3">
        <v>14.486180096024601</v>
      </c>
      <c r="G111" s="3">
        <v>18.702716739270102</v>
      </c>
      <c r="H111" s="3">
        <v>10.3387903090312</v>
      </c>
      <c r="I111" s="3">
        <v>26.151240390285999</v>
      </c>
      <c r="J111" s="3">
        <v>19.212790833622499</v>
      </c>
      <c r="K111" s="3">
        <v>13.1364251797955</v>
      </c>
      <c r="L111" s="3">
        <v>17.699702482043399</v>
      </c>
      <c r="M111" s="3">
        <v>17.921738520522599</v>
      </c>
      <c r="N111" s="3">
        <v>8.2088973125710094</v>
      </c>
    </row>
    <row r="112" spans="1:14" x14ac:dyDescent="0.35">
      <c r="A112" s="2">
        <v>45195</v>
      </c>
      <c r="B112" s="3">
        <v>23.7150134104144</v>
      </c>
      <c r="C112" s="3">
        <v>14.762913124176301</v>
      </c>
      <c r="D112" s="3">
        <v>13.3037148285709</v>
      </c>
      <c r="E112" s="3">
        <v>10.9793026517013</v>
      </c>
      <c r="F112" s="3">
        <v>15.007432322473401</v>
      </c>
      <c r="G112" s="3">
        <v>18.421773994172899</v>
      </c>
      <c r="H112" s="3">
        <v>10.6095278728527</v>
      </c>
      <c r="I112" s="3">
        <v>25.705038441115999</v>
      </c>
      <c r="J112" s="3">
        <v>18.984838272071102</v>
      </c>
      <c r="K112" s="3">
        <v>12.920300634274399</v>
      </c>
      <c r="L112" s="3">
        <v>16.676720753918602</v>
      </c>
      <c r="M112" s="3">
        <v>16.7256598504039</v>
      </c>
      <c r="N112" s="3">
        <v>8.2337927518608396</v>
      </c>
    </row>
    <row r="113" spans="1:25" x14ac:dyDescent="0.35">
      <c r="A113" s="2">
        <v>45225</v>
      </c>
      <c r="B113" s="3">
        <v>22.4256738905191</v>
      </c>
      <c r="C113" s="3">
        <v>14.397625431403</v>
      </c>
      <c r="D113" s="3">
        <v>12.986666127489899</v>
      </c>
      <c r="E113" s="3">
        <v>10.6238886383628</v>
      </c>
      <c r="F113" s="3">
        <v>14.3381404664004</v>
      </c>
      <c r="G113" s="3">
        <v>17.569393597908199</v>
      </c>
      <c r="H113" s="3">
        <v>10.3043874818867</v>
      </c>
      <c r="I113" s="3">
        <v>25.029437566702398</v>
      </c>
      <c r="J113" s="3">
        <v>18.672764644741498</v>
      </c>
      <c r="K113" s="3">
        <v>12.6166038350666</v>
      </c>
      <c r="L113" s="3">
        <v>15.811568532431901</v>
      </c>
      <c r="M113" s="3">
        <v>15.8558472843202</v>
      </c>
      <c r="N113" s="3">
        <v>7.9581350298125004</v>
      </c>
    </row>
    <row r="114" spans="1:25" x14ac:dyDescent="0.35">
      <c r="A114" s="2">
        <v>45254</v>
      </c>
      <c r="B114" s="3">
        <v>22.175377179959298</v>
      </c>
      <c r="C114" s="3">
        <v>15.125656881923501</v>
      </c>
      <c r="D114" s="3">
        <v>13.7322967198767</v>
      </c>
      <c r="E114" s="3">
        <v>11.462071158706999</v>
      </c>
      <c r="F114" s="3">
        <v>15.321524066566001</v>
      </c>
      <c r="G114" s="3">
        <v>18.083571956789601</v>
      </c>
      <c r="H114" s="3">
        <v>10.7987644053942</v>
      </c>
      <c r="I114" s="3">
        <v>27.681471802081301</v>
      </c>
      <c r="J114" s="3">
        <v>20.370893630117902</v>
      </c>
      <c r="K114" s="3">
        <v>13.371740407855</v>
      </c>
      <c r="L114" s="3">
        <v>16.523686326746098</v>
      </c>
      <c r="M114" s="3">
        <v>15.806954855071201</v>
      </c>
      <c r="N114" s="3">
        <v>8.2864279002108407</v>
      </c>
    </row>
    <row r="115" spans="1:25" x14ac:dyDescent="0.35">
      <c r="A115" s="2">
        <v>45286</v>
      </c>
      <c r="B115" s="3">
        <v>23.779211451081299</v>
      </c>
      <c r="C115" s="3">
        <v>16.342037939408801</v>
      </c>
      <c r="D115" s="3">
        <v>14.517413974968999</v>
      </c>
      <c r="E115" s="3">
        <v>11.916758225940001</v>
      </c>
      <c r="F115" s="3">
        <v>15.1191655667945</v>
      </c>
      <c r="G115" s="3">
        <v>18.364457999773801</v>
      </c>
      <c r="H115" s="3">
        <v>11.2220745794944</v>
      </c>
      <c r="I115" s="3">
        <v>29.2416765862862</v>
      </c>
      <c r="J115" s="3">
        <v>21.7090763897213</v>
      </c>
      <c r="K115" s="3">
        <v>14.083527871268201</v>
      </c>
      <c r="L115" s="3">
        <v>16.622683406096201</v>
      </c>
      <c r="M115" s="3">
        <v>17.9126144324797</v>
      </c>
      <c r="N115" s="3">
        <v>8.8549075115545595</v>
      </c>
    </row>
    <row r="116" spans="1:25" x14ac:dyDescent="0.35">
      <c r="A116" s="2">
        <v>45317</v>
      </c>
      <c r="B116" s="3">
        <v>23.423596294797299</v>
      </c>
      <c r="C116" s="3">
        <v>16.395950503892202</v>
      </c>
      <c r="D116" s="3">
        <v>14.711992799303999</v>
      </c>
      <c r="E116" s="3">
        <v>12.0961878972339</v>
      </c>
      <c r="F116" s="3">
        <v>16.147983196334199</v>
      </c>
      <c r="G116" s="3">
        <v>18.6721673798354</v>
      </c>
      <c r="H116" s="3">
        <v>11.3663186587574</v>
      </c>
      <c r="I116" s="3">
        <v>29.8686549134515</v>
      </c>
      <c r="J116" s="3">
        <v>22.276742585984302</v>
      </c>
      <c r="K116" s="3">
        <v>14.477433963943501</v>
      </c>
      <c r="L116" s="3">
        <v>17.387109209587599</v>
      </c>
      <c r="M116" s="3">
        <v>15.378847553283199</v>
      </c>
      <c r="N116" s="3">
        <v>9.0165700155623707</v>
      </c>
    </row>
    <row r="117" spans="1:25" x14ac:dyDescent="0.35">
      <c r="A117" s="2">
        <v>45348</v>
      </c>
      <c r="B117" s="3">
        <v>23.6222430697504</v>
      </c>
      <c r="C117" s="3">
        <v>16.594911952140802</v>
      </c>
      <c r="D117" s="3">
        <v>14.8557474232926</v>
      </c>
      <c r="E117" s="3">
        <v>12.389700973642</v>
      </c>
      <c r="F117" s="3">
        <v>17.049668875809601</v>
      </c>
      <c r="G117" s="3">
        <v>19.291256492990399</v>
      </c>
      <c r="H117" s="3">
        <v>11.525255674846001</v>
      </c>
      <c r="I117" s="3">
        <v>30.176787822538198</v>
      </c>
      <c r="J117" s="3">
        <v>22.676649214235599</v>
      </c>
      <c r="K117" s="3">
        <v>15.497086278803399</v>
      </c>
      <c r="L117" s="3">
        <v>17.8332199688987</v>
      </c>
      <c r="M117" s="3">
        <v>15.7116259145351</v>
      </c>
      <c r="N117" s="3">
        <v>9.27879221943601</v>
      </c>
    </row>
    <row r="118" spans="1:25" x14ac:dyDescent="0.35">
      <c r="A118" s="2">
        <v>45377</v>
      </c>
      <c r="B118" s="3">
        <v>24.034727828290499</v>
      </c>
      <c r="C118" s="3">
        <v>16.644578875820098</v>
      </c>
      <c r="D118" s="3">
        <v>14.930232884165299</v>
      </c>
      <c r="E118" s="3">
        <v>12.5902022128915</v>
      </c>
      <c r="F118" s="3">
        <v>17.051558032853599</v>
      </c>
      <c r="G118" s="3">
        <v>19.143560749593998</v>
      </c>
      <c r="H118" s="3">
        <v>11.5260698373641</v>
      </c>
      <c r="I118" s="3">
        <v>30.081465994387401</v>
      </c>
      <c r="J118" s="3">
        <v>22.7270259842462</v>
      </c>
      <c r="K118" s="3">
        <v>15.518098482134</v>
      </c>
      <c r="L118" s="3">
        <v>18.458988186163499</v>
      </c>
      <c r="M118" s="3">
        <v>15.981471488043701</v>
      </c>
      <c r="N118" s="3">
        <v>9.4828685490357891</v>
      </c>
    </row>
    <row r="119" spans="1:25" x14ac:dyDescent="0.35">
      <c r="A119" s="2">
        <v>45408</v>
      </c>
      <c r="B119" s="3">
        <v>24.221086949592699</v>
      </c>
      <c r="C119" s="3">
        <v>16.544060353134299</v>
      </c>
      <c r="D119" s="3">
        <v>14.898537974974101</v>
      </c>
      <c r="E119" s="3">
        <v>12.5398847314937</v>
      </c>
      <c r="F119" s="3">
        <v>16.747091403873299</v>
      </c>
      <c r="G119" s="3">
        <v>18.832662840245298</v>
      </c>
      <c r="H119" s="3">
        <v>11.603553416039301</v>
      </c>
      <c r="I119" s="3">
        <v>29.547056313344498</v>
      </c>
      <c r="J119" s="3">
        <v>22.433038228048702</v>
      </c>
      <c r="K119" s="3">
        <v>15.455419387189099</v>
      </c>
      <c r="L119" s="3">
        <v>18.183864843943699</v>
      </c>
      <c r="M119" s="3">
        <v>15.906981620981099</v>
      </c>
      <c r="N119" s="3">
        <v>9.4560969899052001</v>
      </c>
    </row>
    <row r="120" spans="1:25" x14ac:dyDescent="0.35">
      <c r="A120" s="2">
        <v>45436</v>
      </c>
      <c r="B120" s="3">
        <v>24.5136966610476</v>
      </c>
      <c r="C120" s="3">
        <v>16.6925012107593</v>
      </c>
      <c r="D120" s="3">
        <v>14.9781880702888</v>
      </c>
      <c r="E120" s="3">
        <v>12.558474663946001</v>
      </c>
      <c r="F120" s="3">
        <v>16.748968360893802</v>
      </c>
      <c r="G120" s="3">
        <v>18.862742683761201</v>
      </c>
      <c r="H120" s="3">
        <v>11.7476147730204</v>
      </c>
      <c r="I120" s="3">
        <v>29.778905855770901</v>
      </c>
      <c r="J120" s="3">
        <v>22.566384865699501</v>
      </c>
      <c r="K120" s="3">
        <v>15.430369810373501</v>
      </c>
      <c r="L120" s="3">
        <v>18.358603278061</v>
      </c>
      <c r="M120" s="3">
        <v>16.109754714845099</v>
      </c>
      <c r="N120" s="3">
        <v>9.5619115049097996</v>
      </c>
    </row>
    <row r="121" spans="1:25" x14ac:dyDescent="0.35">
      <c r="A121" s="2">
        <v>45469</v>
      </c>
      <c r="B121" s="3">
        <v>24.4928622709051</v>
      </c>
      <c r="C121" s="3">
        <v>16.8774247589288</v>
      </c>
      <c r="D121" s="3">
        <v>14.7973061826292</v>
      </c>
      <c r="E121" s="3">
        <v>12.4362604327796</v>
      </c>
      <c r="F121" s="3">
        <v>16.7680307550634</v>
      </c>
      <c r="G121" s="3">
        <v>18.798604850919801</v>
      </c>
      <c r="H121" s="3">
        <v>11.661421882332</v>
      </c>
      <c r="I121" s="3">
        <v>30.191891391173002</v>
      </c>
      <c r="J121" s="3">
        <v>22.811076577063901</v>
      </c>
      <c r="K121" s="3">
        <v>14.994212366143101</v>
      </c>
      <c r="L121" s="3">
        <v>18.273391315466899</v>
      </c>
      <c r="M121" s="3">
        <v>16.032050994233099</v>
      </c>
      <c r="N121" s="3">
        <v>9.4828209538947501</v>
      </c>
    </row>
    <row r="122" spans="1:25" x14ac:dyDescent="0.35">
      <c r="A122" s="2">
        <v>45497</v>
      </c>
      <c r="B122" s="3">
        <v>25.404926842397099</v>
      </c>
      <c r="C122" s="3">
        <v>16.974169684523499</v>
      </c>
      <c r="D122" s="3">
        <v>15.1088768241406</v>
      </c>
      <c r="E122" s="3">
        <v>12.5531303363697</v>
      </c>
      <c r="F122" s="3">
        <v>16.5844215267443</v>
      </c>
      <c r="G122" s="3">
        <v>18.865452977373501</v>
      </c>
      <c r="H122" s="3">
        <v>11.8051375112492</v>
      </c>
      <c r="I122" s="3">
        <v>29.4745303470572</v>
      </c>
      <c r="J122" s="3">
        <v>22.607185527412302</v>
      </c>
      <c r="K122" s="3">
        <v>14.8651219646691</v>
      </c>
      <c r="L122" s="3">
        <v>17.960882719517699</v>
      </c>
      <c r="M122" s="3">
        <v>16.390467938820699</v>
      </c>
      <c r="N122" s="3">
        <v>9.6746418896436897</v>
      </c>
    </row>
    <row r="124" spans="1:25" x14ac:dyDescent="0.35">
      <c r="A124" s="2" t="s">
        <v>91</v>
      </c>
      <c r="B124" s="3" cm="1">
        <f t="array" ref="B124">MIN(_xlfn._xlws.FILTER(B1:B122, ISNUMBER(B1:B122)))</f>
        <v>17.904143439210401</v>
      </c>
      <c r="C124" s="3" cm="1">
        <f t="array" ref="C124">MIN(_xlfn._xlws.FILTER(C1:C122, ISNUMBER(C1:C122)))</f>
        <v>13.297179283021499</v>
      </c>
      <c r="D124" s="3" cm="1">
        <f t="array" ref="D124">MIN(_xlfn._xlws.FILTER(D1:D122, ISNUMBER(D1:D122)))</f>
        <v>12.1538513888758</v>
      </c>
      <c r="E124" s="3" cm="1">
        <f t="array" ref="E124">MIN(_xlfn._xlws.FILTER(E1:E122, ISNUMBER(E1:E122)))</f>
        <v>10.2299740297897</v>
      </c>
      <c r="F124" s="3" cm="1">
        <f t="array" ref="F124">MIN(_xlfn._xlws.FILTER(F1:F122, ISNUMBER(F1:F122)))</f>
        <v>11.0813466141975</v>
      </c>
      <c r="G124" s="3" cm="1">
        <f t="array" ref="G124">MIN(_xlfn._xlws.FILTER(G1:G122, ISNUMBER(G1:G122)))</f>
        <v>16.2145847016698</v>
      </c>
      <c r="H124" s="3" cm="1">
        <f t="array" ref="H124">MIN(_xlfn._xlws.FILTER(H1:H122, ISNUMBER(H1:H122)))</f>
        <v>9.5153827565353293</v>
      </c>
      <c r="I124" s="3" cm="1">
        <f t="array" ref="I124">MIN(_xlfn._xlws.FILTER(I1:I122, ISNUMBER(I1:I122)))</f>
        <v>18.312873826698802</v>
      </c>
      <c r="J124" s="3" cm="1">
        <f t="array" ref="J124">MIN(_xlfn._xlws.FILTER(J1:J122, ISNUMBER(J1:J122)))</f>
        <v>15.316553249100901</v>
      </c>
      <c r="K124" s="3" cm="1">
        <f t="array" ref="K124">MIN(_xlfn._xlws.FILTER(K1:K122, ISNUMBER(K1:K122)))</f>
        <v>11.580258959297</v>
      </c>
      <c r="L124" s="3" cm="1">
        <f t="array" ref="L124">MIN(_xlfn._xlws.FILTER(L1:L122, ISNUMBER(L1:L122)))</f>
        <v>14.0053500018105</v>
      </c>
      <c r="M124" s="3" cm="1">
        <f t="array" ref="M124">MIN(_xlfn._xlws.FILTER(M1:M122, ISNUMBER(M1:M122)))</f>
        <v>11.6476301231072</v>
      </c>
      <c r="N124" s="3" cm="1">
        <f t="array" ref="N124">MIN(_xlfn._xlws.FILTER(N1:N122, ISNUMBER(N1:N122)))</f>
        <v>7.4802015447323198</v>
      </c>
    </row>
    <row r="125" spans="1:25" x14ac:dyDescent="0.35">
      <c r="A125" s="2" t="s">
        <v>92</v>
      </c>
      <c r="B125" s="3" cm="1">
        <f t="array" ref="B125">MAX(_xlfn._xlws.FILTER(B1:B122, ISNUMBER(B1:B122)))</f>
        <v>38.97750959959</v>
      </c>
      <c r="C125" s="3" cm="1">
        <f t="array" ref="C125">MAX(_xlfn._xlws.FILTER(C1:C122, ISNUMBER(C1:C122)))</f>
        <v>23.386467363635699</v>
      </c>
      <c r="D125" s="3" cm="1">
        <f t="array" ref="D125">MAX(_xlfn._xlws.FILTER(D1:D122, ISNUMBER(D1:D122)))</f>
        <v>20.695226191537699</v>
      </c>
      <c r="E125" s="3" cm="1">
        <f t="array" ref="E125">MAX(_xlfn._xlws.FILTER(E1:E122, ISNUMBER(E1:E122)))</f>
        <v>21.707170779083299</v>
      </c>
      <c r="F125" s="3" cm="1">
        <f t="array" ref="F125">MAX(_xlfn._xlws.FILTER(F1:F122, ISNUMBER(F1:F122)))</f>
        <v>23.6193084604425</v>
      </c>
      <c r="G125" s="3" cm="1">
        <f t="array" ref="G125">MAX(_xlfn._xlws.FILTER(G1:G122, ISNUMBER(G1:G122)))</f>
        <v>22.2579310036866</v>
      </c>
      <c r="H125" s="3" cm="1">
        <f t="array" ref="H125">MAX(_xlfn._xlws.FILTER(H1:H122, ISNUMBER(H1:H122)))</f>
        <v>19.8579863605719</v>
      </c>
      <c r="I125" s="3" cm="1">
        <f t="array" ref="I125">MAX(_xlfn._xlws.FILTER(I1:I122, ISNUMBER(I1:I122)))</f>
        <v>36.196582882464099</v>
      </c>
      <c r="J125" s="3" cm="1">
        <f t="array" ref="J125">MAX(_xlfn._xlws.FILTER(J1:J122, ISNUMBER(J1:J122)))</f>
        <v>27.428037455547901</v>
      </c>
      <c r="K125" s="3" cm="1">
        <f t="array" ref="K125">MAX(_xlfn._xlws.FILTER(K1:K122, ISNUMBER(K1:K122)))</f>
        <v>28.464467153103101</v>
      </c>
      <c r="L125" s="3" cm="1">
        <f t="array" ref="L125">MAX(_xlfn._xlws.FILTER(L1:L122, ISNUMBER(L1:L122)))</f>
        <v>28.983305238102801</v>
      </c>
      <c r="M125" s="3" cm="1">
        <f t="array" ref="M125">MAX(_xlfn._xlws.FILTER(M1:M122, ISNUMBER(M1:M122)))</f>
        <v>25.5414126717457</v>
      </c>
      <c r="N125" s="3" cm="1">
        <f t="array" ref="N125">MAX(_xlfn._xlws.FILTER(N1:N122, ISNUMBER(N1:N122)))</f>
        <v>85.285881462857802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0.56499999999999995</v>
      </c>
      <c r="C127" s="9" cm="1">
        <f t="array" ref="C127">_xlfn.PERCENTRANK.EXC(_xlfn._xlws.FILTER(C1:C122, ISNUMBER(C1:C122)),C121)</f>
        <v>0.70399999999999996</v>
      </c>
      <c r="D127" s="9" cm="1">
        <f t="array" ref="D127">_xlfn.PERCENTRANK.EXC(_xlfn._xlws.FILTER(D1:D122, ISNUMBER(D1:D122)),D121)</f>
        <v>0.29499999999999998</v>
      </c>
      <c r="E127" s="9" cm="1">
        <f t="array" ref="E127">_xlfn.PERCENTRANK.EXC(_xlfn._xlws.FILTER(E1:E122, ISNUMBER(E1:E122)),E121)</f>
        <v>0.21299999999999999</v>
      </c>
      <c r="F127" s="9" cm="1">
        <f t="array" ref="F127">_xlfn.PERCENTRANK.EXC(_xlfn._xlws.FILTER(F1:F122, ISNUMBER(F1:F122)),F121)</f>
        <v>0.77</v>
      </c>
      <c r="G127" s="9" cm="1">
        <f t="array" ref="G127">_xlfn.PERCENTRANK.EXC(_xlfn._xlws.FILTER(G1:G122, ISNUMBER(G1:G122)),G121)</f>
        <v>0.51600000000000001</v>
      </c>
      <c r="H127" s="9" cm="1">
        <f t="array" ref="H127">_xlfn.PERCENTRANK.EXC(_xlfn._xlws.FILTER(H1:H122, ISNUMBER(H1:H122)),H121)</f>
        <v>0.19600000000000001</v>
      </c>
      <c r="I127" s="9" cm="1">
        <f t="array" ref="I127">_xlfn.PERCENTRANK.EXC(_xlfn._xlws.FILTER(I1:I122, ISNUMBER(I1:I122)),I121)</f>
        <v>0.86</v>
      </c>
      <c r="J127" s="9" cm="1">
        <f t="array" ref="J127">_xlfn.PERCENTRANK.EXC(_xlfn._xlws.FILTER(J1:J122, ISNUMBER(J1:J122)),J121)</f>
        <v>0.85199999999999998</v>
      </c>
      <c r="K127" s="9" cm="1">
        <f t="array" ref="K127">_xlfn.PERCENTRANK.EXC(_xlfn._xlws.FILTER(K1:K122, ISNUMBER(K1:K122)),K121)</f>
        <v>0.34399999999999997</v>
      </c>
      <c r="L127" s="9" cm="1">
        <f t="array" ref="L127">_xlfn.PERCENTRANK.EXC(_xlfn._xlws.FILTER(L1:L122, ISNUMBER(L1:L122)),L121)</f>
        <v>0.61399999999999999</v>
      </c>
      <c r="M127" s="9" cm="1">
        <f t="array" ref="M127">_xlfn.PERCENTRANK.EXC(_xlfn._xlws.FILTER(M1:M122, ISNUMBER(M1:M122)),M121)</f>
        <v>0.33600000000000002</v>
      </c>
      <c r="N127" s="9" cm="1">
        <f t="array" ref="N127">_xlfn.PERCENTRANK.EXC(_xlfn._xlws.FILTER(N1:N122, ISNUMBER(N1:N122)),N121)</f>
        <v>0.18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41845</v>
      </c>
      <c r="B2" s="3" cm="1">
        <f t="array" ref="B2:B122">_xll.FDS(B1,"FMA_PE(NTMA,-10AY,0,AM,""PORTAGG"",""MEANR"")")</f>
        <v>17.500009130694998</v>
      </c>
      <c r="C2" s="3" cm="1">
        <f t="array" ref="C2:C122">_xll.FDS(C1,"FMA_PE(NTMA,-10AY,0,AM,""PORTAGG"",""MEANR"")")</f>
        <v>14.895829666037701</v>
      </c>
      <c r="D2" s="3" cm="1">
        <f t="array" ref="D2:D122">_xll.FDS(D1,"FMA_PE(NTMA,-10AY,0,AM,""PORTAGG"",""MEANR"")")</f>
        <v>15.222213296068</v>
      </c>
      <c r="E2" s="3" cm="1">
        <f t="array" ref="E2:E122">_xll.FDS(E1,"FMA_PE(NTMA,-10AY,0,AM,""PORTAGG"",""MEANR"")")</f>
        <v>12.841185720487999</v>
      </c>
      <c r="F2" s="3" cm="1">
        <f t="array" ref="F2:F122">_xll.FDS(F1,"FMA_PE(NTMA,-10AY,0,AM,""PORTAGG"",""MEANR"")")</f>
        <v>13.866046203386601</v>
      </c>
      <c r="G2" s="3" cm="1">
        <f t="array" ref="G2:G122">_xll.FDS(G1,"FMA_PE(NTMA,-10AY,0,AM,""PORTAGG"",""MEANR"")")</f>
        <v>16.135276351199899</v>
      </c>
      <c r="H2" s="3" cm="1">
        <f t="array" ref="H2:H122">_xll.FDS(H1,"FMA_PE(NTMA,-10AY,0,AM,""PORTAGG"",""MEANR"")")</f>
        <v>13.6954418706691</v>
      </c>
      <c r="I2" s="3" cm="1">
        <f t="array" ref="I2:I122">_xll.FDS(I1,"FMA_PE(NTMA,-10AY,0,AM,""PORTAGG"",""MEANR"")")</f>
        <v>17.565745585980501</v>
      </c>
      <c r="J2" s="3" cm="1">
        <f t="array" ref="J2:J122">_xll.FDS(J1,"FMA_PE(NTMA,-10AY,0,AM,""PORTAGG"",""MEANR"")")</f>
        <v>15.2860538079194</v>
      </c>
      <c r="K2" s="3" cm="1">
        <f t="array" ref="K2:K122">_xll.FDS(K1,"FMA_PE(NTMA,-10AY,0,AM,""PORTAGG"",""MEANR"")")</f>
        <v>13.603717023008199</v>
      </c>
      <c r="L2" s="3" cm="1">
        <f t="array" ref="L2:L122">_xll.FDS(L1,"FMA_PE(NTMA,-10AY,0,AM,""PORTAGG"",""MEANR"")")</f>
        <v>14.116520908642</v>
      </c>
      <c r="M2" s="3" cm="1">
        <f t="array" ref="M2:M122">_xll.FDS(M1,"FMA_PE(NTMA,-10AY,0,AM,""PORTAGG"",""MEANR"")")</f>
        <v>15.695718403294601</v>
      </c>
      <c r="N2" s="3" cm="1">
        <f t="array" ref="N2:N122">_xll.FDS(N1,"FMA_PE(NTMA,-10AY,0,AM,""PORTAGG"",""MEANR"")")</f>
        <v>14.0916180010788</v>
      </c>
    </row>
    <row r="3" spans="1:14" x14ac:dyDescent="0.35">
      <c r="A3" s="2">
        <v>41877</v>
      </c>
      <c r="B3" s="3">
        <v>17.3408362931971</v>
      </c>
      <c r="C3" s="3">
        <v>14.929969488488499</v>
      </c>
      <c r="D3" s="3">
        <v>15.2124911124116</v>
      </c>
      <c r="E3" s="3">
        <v>12.738826515082099</v>
      </c>
      <c r="F3" s="3">
        <v>13.702985052821701</v>
      </c>
      <c r="G3" s="3">
        <v>16.198458505242201</v>
      </c>
      <c r="H3" s="3">
        <v>13.5426204606732</v>
      </c>
      <c r="I3" s="3">
        <v>17.872728965705399</v>
      </c>
      <c r="J3" s="3">
        <v>15.3506120184121</v>
      </c>
      <c r="K3" s="3">
        <v>13.712677385327099</v>
      </c>
      <c r="L3" s="3">
        <v>14.464943095587</v>
      </c>
      <c r="M3" s="3">
        <v>14.8705376916171</v>
      </c>
      <c r="N3" s="3">
        <v>13.8790583105073</v>
      </c>
    </row>
    <row r="4" spans="1:14" x14ac:dyDescent="0.35">
      <c r="A4" s="2">
        <v>41908</v>
      </c>
      <c r="B4" s="3">
        <v>17.1408424546592</v>
      </c>
      <c r="C4" s="3">
        <v>13.9043161430432</v>
      </c>
      <c r="D4" s="3">
        <v>14.5606650456939</v>
      </c>
      <c r="E4" s="3">
        <v>12.509559707222</v>
      </c>
      <c r="F4" s="3">
        <v>14.110884482092899</v>
      </c>
      <c r="G4" s="3">
        <v>15.955430022902901</v>
      </c>
      <c r="H4" s="3">
        <v>13.1154853356456</v>
      </c>
      <c r="I4" s="3">
        <v>17.4832505886197</v>
      </c>
      <c r="J4" s="3">
        <v>15.0996256442277</v>
      </c>
      <c r="K4" s="3">
        <v>13.5612155928874</v>
      </c>
      <c r="L4" s="3">
        <v>14.6043634602116</v>
      </c>
      <c r="M4" s="3">
        <v>14.6050360839399</v>
      </c>
      <c r="N4" s="3">
        <v>13.731167184919601</v>
      </c>
    </row>
    <row r="5" spans="1:14" x14ac:dyDescent="0.35">
      <c r="A5" s="2">
        <v>41936</v>
      </c>
      <c r="B5" s="3">
        <v>17.4518053341985</v>
      </c>
      <c r="C5" s="3">
        <v>14.321005216914701</v>
      </c>
      <c r="D5" s="3">
        <v>14.137634140012301</v>
      </c>
      <c r="E5" s="3">
        <v>11.869350374341501</v>
      </c>
      <c r="F5" s="3">
        <v>13.092690896311399</v>
      </c>
      <c r="G5" s="3">
        <v>15.4499537541042</v>
      </c>
      <c r="H5" s="3">
        <v>12.852854697354701</v>
      </c>
      <c r="I5" s="3">
        <v>17.205040335154798</v>
      </c>
      <c r="J5" s="3">
        <v>15.0722706654006</v>
      </c>
      <c r="K5" s="3">
        <v>12.8572942173471</v>
      </c>
      <c r="L5" s="3">
        <v>13.903108559031001</v>
      </c>
      <c r="M5" s="3">
        <v>14.130160904789401</v>
      </c>
      <c r="N5" s="3">
        <v>12.630099810697301</v>
      </c>
    </row>
    <row r="6" spans="1:14" x14ac:dyDescent="0.35">
      <c r="A6" s="2">
        <v>41969</v>
      </c>
      <c r="B6" s="3">
        <v>17.842408790062802</v>
      </c>
      <c r="C6" s="3">
        <v>14.151382457662599</v>
      </c>
      <c r="D6" s="3">
        <v>14.8652368524019</v>
      </c>
      <c r="E6" s="3">
        <v>12.9911323075462</v>
      </c>
      <c r="F6" s="3">
        <v>14.558320738685399</v>
      </c>
      <c r="G6" s="3">
        <v>16.258124500329</v>
      </c>
      <c r="H6" s="3">
        <v>13.604129159422699</v>
      </c>
      <c r="I6" s="3">
        <v>18.2441850270861</v>
      </c>
      <c r="J6" s="3">
        <v>15.8755455907236</v>
      </c>
      <c r="K6" s="3">
        <v>13.6937614828169</v>
      </c>
      <c r="L6" s="3">
        <v>15.0521252976918</v>
      </c>
      <c r="M6" s="3">
        <v>15.668201476479799</v>
      </c>
      <c r="N6" s="3">
        <v>12.997071083234101</v>
      </c>
    </row>
    <row r="7" spans="1:14" x14ac:dyDescent="0.35">
      <c r="A7" s="2">
        <v>41999</v>
      </c>
      <c r="B7" s="3">
        <v>18.195451601293701</v>
      </c>
      <c r="C7" s="3">
        <v>14.3533535242629</v>
      </c>
      <c r="D7" s="3">
        <v>15.4116897729477</v>
      </c>
      <c r="E7" s="3">
        <v>13.0047754445657</v>
      </c>
      <c r="F7" s="3">
        <v>14.533472192518699</v>
      </c>
      <c r="G7" s="3">
        <v>15.833227224787301</v>
      </c>
      <c r="H7" s="3">
        <v>13.853960125344701</v>
      </c>
      <c r="I7" s="3">
        <v>17.958339907237001</v>
      </c>
      <c r="J7" s="3">
        <v>16.206779925166298</v>
      </c>
      <c r="K7" s="3">
        <v>13.802425349279501</v>
      </c>
      <c r="L7" s="3">
        <v>14.8835903560663</v>
      </c>
      <c r="M7" s="3">
        <v>15.7046229483106</v>
      </c>
      <c r="N7" s="3">
        <v>12.5626614558153</v>
      </c>
    </row>
    <row r="8" spans="1:14" x14ac:dyDescent="0.35">
      <c r="A8" s="2">
        <v>42030</v>
      </c>
      <c r="B8" s="3">
        <v>18.844792918081399</v>
      </c>
      <c r="C8" s="3">
        <v>15.070715086740201</v>
      </c>
      <c r="D8" s="3">
        <v>16.322360209376601</v>
      </c>
      <c r="E8" s="3">
        <v>14.146513267839699</v>
      </c>
      <c r="F8" s="3">
        <v>13.9065734261433</v>
      </c>
      <c r="G8" s="3">
        <v>15.957691593592999</v>
      </c>
      <c r="H8" s="3">
        <v>15.104258889699301</v>
      </c>
      <c r="I8" s="3">
        <v>17.5113569912778</v>
      </c>
      <c r="J8" s="3">
        <v>16.4535352099074</v>
      </c>
      <c r="K8" s="3">
        <v>15.4808129672122</v>
      </c>
      <c r="L8" s="3">
        <v>15.900957734343301</v>
      </c>
      <c r="M8" s="3">
        <v>16.505816850248301</v>
      </c>
      <c r="N8" s="3">
        <v>13.9736789293472</v>
      </c>
    </row>
    <row r="9" spans="1:14" x14ac:dyDescent="0.35">
      <c r="A9" s="2">
        <v>42061</v>
      </c>
      <c r="B9" s="3">
        <v>19.2661654617959</v>
      </c>
      <c r="C9" s="3">
        <v>16.179882503941499</v>
      </c>
      <c r="D9" s="3">
        <v>17.4767055625233</v>
      </c>
      <c r="E9" s="3">
        <v>14.718544073550101</v>
      </c>
      <c r="F9" s="3">
        <v>15.086977749895199</v>
      </c>
      <c r="G9" s="3">
        <v>17.651862268784001</v>
      </c>
      <c r="H9" s="3">
        <v>15.7421012532463</v>
      </c>
      <c r="I9" s="3">
        <v>18.192634430530099</v>
      </c>
      <c r="J9" s="3">
        <v>16.950522867118099</v>
      </c>
      <c r="K9" s="3">
        <v>16.2760013981828</v>
      </c>
      <c r="L9" s="3">
        <v>16.915380177922799</v>
      </c>
      <c r="M9" s="3">
        <v>17.137347329775199</v>
      </c>
      <c r="N9" s="3">
        <v>15.4350844657785</v>
      </c>
    </row>
    <row r="10" spans="1:14" x14ac:dyDescent="0.35">
      <c r="A10" s="2">
        <v>42089</v>
      </c>
      <c r="B10" s="3">
        <v>18.083812277620801</v>
      </c>
      <c r="C10" s="3">
        <v>16.266658430718099</v>
      </c>
      <c r="D10" s="3">
        <v>17.021341606977401</v>
      </c>
      <c r="E10" s="3">
        <v>15.281780973898799</v>
      </c>
      <c r="F10" s="3">
        <v>15.4986776989108</v>
      </c>
      <c r="G10" s="3">
        <v>17.616061722178902</v>
      </c>
      <c r="H10" s="3">
        <v>15.609211453573501</v>
      </c>
      <c r="I10" s="3">
        <v>17.527383027860601</v>
      </c>
      <c r="J10" s="3">
        <v>16.449417589089901</v>
      </c>
      <c r="K10" s="3">
        <v>16.428765845943602</v>
      </c>
      <c r="L10" s="3">
        <v>17.030626395009001</v>
      </c>
      <c r="M10" s="3">
        <v>17.090673015292602</v>
      </c>
      <c r="N10" s="3">
        <v>15.6338753714014</v>
      </c>
    </row>
    <row r="11" spans="1:14" x14ac:dyDescent="0.35">
      <c r="A11" s="2">
        <v>42118</v>
      </c>
      <c r="B11" s="3">
        <v>18.154528799953201</v>
      </c>
      <c r="C11" s="3">
        <v>16.598678549739699</v>
      </c>
      <c r="D11" s="3">
        <v>17.4759822311403</v>
      </c>
      <c r="E11" s="3">
        <v>15.129337276230499</v>
      </c>
      <c r="F11" s="3">
        <v>15.917572587914499</v>
      </c>
      <c r="G11" s="3">
        <v>18.132345458579401</v>
      </c>
      <c r="H11" s="3">
        <v>16.314163858133998</v>
      </c>
      <c r="I11" s="3">
        <v>18.412490594697701</v>
      </c>
      <c r="J11" s="3">
        <v>16.873307830834101</v>
      </c>
      <c r="K11" s="3">
        <v>16.8041574073129</v>
      </c>
      <c r="L11" s="3">
        <v>17.501441165770601</v>
      </c>
      <c r="M11" s="3">
        <v>16.6952859620128</v>
      </c>
      <c r="N11" s="3">
        <v>15.9564437245474</v>
      </c>
    </row>
    <row r="12" spans="1:14" x14ac:dyDescent="0.35">
      <c r="A12" s="2">
        <v>42150</v>
      </c>
      <c r="B12" s="3">
        <v>18.286946432200001</v>
      </c>
      <c r="C12" s="3">
        <v>16.028952354814901</v>
      </c>
      <c r="D12" s="3">
        <v>16.631493870525599</v>
      </c>
      <c r="E12" s="3">
        <v>14.397329789456601</v>
      </c>
      <c r="F12" s="3">
        <v>16.360579435439</v>
      </c>
      <c r="G12" s="3">
        <v>17.679598645643001</v>
      </c>
      <c r="H12" s="3">
        <v>15.990650811904599</v>
      </c>
      <c r="I12" s="3">
        <v>17.8956881926715</v>
      </c>
      <c r="J12" s="3">
        <v>16.531512479554902</v>
      </c>
      <c r="K12" s="3">
        <v>16.318042599820501</v>
      </c>
      <c r="L12" s="3">
        <v>17.058826063911901</v>
      </c>
      <c r="M12" s="3">
        <v>16.418644950793901</v>
      </c>
      <c r="N12" s="3">
        <v>15.6459637879505</v>
      </c>
    </row>
    <row r="13" spans="1:14" x14ac:dyDescent="0.35">
      <c r="A13" s="2">
        <v>42181</v>
      </c>
      <c r="B13" s="3">
        <v>17.768057403183601</v>
      </c>
      <c r="C13" s="3">
        <v>15.3132454893494</v>
      </c>
      <c r="D13" s="3">
        <v>16.1806781809928</v>
      </c>
      <c r="E13" s="3">
        <v>14.031354747149599</v>
      </c>
      <c r="F13" s="3">
        <v>15.7864572920246</v>
      </c>
      <c r="G13" s="3">
        <v>17.189865905725998</v>
      </c>
      <c r="H13" s="3">
        <v>15.5215753531369</v>
      </c>
      <c r="I13" s="3">
        <v>17.832079913245099</v>
      </c>
      <c r="J13" s="3">
        <v>16.4037494531471</v>
      </c>
      <c r="K13" s="3">
        <v>16.087115585993899</v>
      </c>
      <c r="L13" s="3">
        <v>16.922336439798698</v>
      </c>
      <c r="M13" s="3">
        <v>16.028233849607801</v>
      </c>
      <c r="N13" s="3">
        <v>15.595077236739799</v>
      </c>
    </row>
    <row r="14" spans="1:14" x14ac:dyDescent="0.35">
      <c r="A14" s="2">
        <v>42209</v>
      </c>
      <c r="B14" s="3">
        <v>18.301542141405601</v>
      </c>
      <c r="C14" s="3">
        <v>15.262867967809401</v>
      </c>
      <c r="D14" s="3">
        <v>15.2854153200855</v>
      </c>
      <c r="E14" s="3">
        <v>13.7391445768968</v>
      </c>
      <c r="F14" s="3">
        <v>15.510125884741999</v>
      </c>
      <c r="G14" s="3">
        <v>17.6041673664066</v>
      </c>
      <c r="H14" s="3">
        <v>15.1064737915233</v>
      </c>
      <c r="I14" s="3">
        <v>18.3101497218933</v>
      </c>
      <c r="J14" s="3">
        <v>16.2397131434392</v>
      </c>
      <c r="K14" s="3">
        <v>15.867135609871401</v>
      </c>
      <c r="L14" s="3">
        <v>16.7907511662468</v>
      </c>
      <c r="M14" s="3">
        <v>15.999420726615201</v>
      </c>
      <c r="N14" s="3">
        <v>15.2380668723279</v>
      </c>
    </row>
    <row r="15" spans="1:14" x14ac:dyDescent="0.35">
      <c r="A15" s="2">
        <v>42242</v>
      </c>
      <c r="B15" s="3">
        <v>17.2389179048795</v>
      </c>
      <c r="C15" s="3">
        <v>14.4474839532821</v>
      </c>
      <c r="D15" s="3">
        <v>14.396128637330699</v>
      </c>
      <c r="E15" s="3">
        <v>12.1358579906068</v>
      </c>
      <c r="F15" s="3">
        <v>13.6894621636291</v>
      </c>
      <c r="G15" s="3">
        <v>16.164270258104001</v>
      </c>
      <c r="H15" s="3">
        <v>13.7289220426029</v>
      </c>
      <c r="I15" s="3">
        <v>17.052491915041301</v>
      </c>
      <c r="J15" s="3">
        <v>15.106576755209399</v>
      </c>
      <c r="K15" s="3">
        <v>13.9108435721323</v>
      </c>
      <c r="L15" s="3">
        <v>14.534461409838</v>
      </c>
      <c r="M15" s="3">
        <v>14.509168455569499</v>
      </c>
      <c r="N15" s="3">
        <v>14.0488358573942</v>
      </c>
    </row>
    <row r="16" spans="1:14" x14ac:dyDescent="0.35">
      <c r="A16" s="2">
        <v>42272</v>
      </c>
      <c r="B16" s="3">
        <v>17.237435411302201</v>
      </c>
      <c r="C16" s="3">
        <v>14.1964293388636</v>
      </c>
      <c r="D16" s="3">
        <v>14.5021462210472</v>
      </c>
      <c r="E16" s="3">
        <v>11.784971198313601</v>
      </c>
      <c r="F16" s="3">
        <v>13.3711799520933</v>
      </c>
      <c r="G16" s="3">
        <v>15.932203095902601</v>
      </c>
      <c r="H16" s="3">
        <v>14.303327050791999</v>
      </c>
      <c r="I16" s="3">
        <v>16.966144896900101</v>
      </c>
      <c r="J16" s="3">
        <v>15.0352963666916</v>
      </c>
      <c r="K16" s="3">
        <v>13.9622849365278</v>
      </c>
      <c r="L16" s="3">
        <v>14.459271826760499</v>
      </c>
      <c r="M16" s="3">
        <v>14.119600017297</v>
      </c>
      <c r="N16" s="3">
        <v>13.955759240311099</v>
      </c>
    </row>
    <row r="17" spans="1:14" x14ac:dyDescent="0.35">
      <c r="A17" s="2">
        <v>42303</v>
      </c>
      <c r="B17" s="3">
        <v>18.075832716539399</v>
      </c>
      <c r="C17" s="3">
        <v>15.303362735241199</v>
      </c>
      <c r="D17" s="3">
        <v>14.9994971792014</v>
      </c>
      <c r="E17" s="3">
        <v>13.211237187411299</v>
      </c>
      <c r="F17" s="3">
        <v>14.392478459226099</v>
      </c>
      <c r="G17" s="3">
        <v>16.9122038392779</v>
      </c>
      <c r="H17" s="3">
        <v>15.3645917610437</v>
      </c>
      <c r="I17" s="3">
        <v>18.4579324643984</v>
      </c>
      <c r="J17" s="3">
        <v>16.223074036185501</v>
      </c>
      <c r="K17" s="3">
        <v>15.1406435419599</v>
      </c>
      <c r="L17" s="3">
        <v>15.833211849653701</v>
      </c>
      <c r="M17" s="3">
        <v>15.5307119686232</v>
      </c>
      <c r="N17" s="3">
        <v>14.797709198238101</v>
      </c>
    </row>
    <row r="18" spans="1:14" x14ac:dyDescent="0.35">
      <c r="A18" s="2">
        <v>42333</v>
      </c>
      <c r="B18" s="3">
        <v>18.060459379578901</v>
      </c>
      <c r="C18" s="3">
        <v>15.075888983143299</v>
      </c>
      <c r="D18" s="3">
        <v>14.5821341223172</v>
      </c>
      <c r="E18" s="3">
        <v>13.8981322094139</v>
      </c>
      <c r="F18" s="3">
        <v>14.710471201391901</v>
      </c>
      <c r="G18" s="3">
        <v>16.917588146035499</v>
      </c>
      <c r="H18" s="3">
        <v>15.332718339299699</v>
      </c>
      <c r="I18" s="3">
        <v>18.696186639267101</v>
      </c>
      <c r="J18" s="3">
        <v>16.341280422695</v>
      </c>
      <c r="K18" s="3">
        <v>15.189989190585599</v>
      </c>
      <c r="L18" s="3">
        <v>16.370529002313901</v>
      </c>
      <c r="M18" s="3">
        <v>15.368347271380101</v>
      </c>
      <c r="N18" s="3">
        <v>14.9168347348479</v>
      </c>
    </row>
    <row r="19" spans="1:14" x14ac:dyDescent="0.35">
      <c r="A19" s="2">
        <v>42362</v>
      </c>
      <c r="B19" s="3">
        <v>18.1928563698572</v>
      </c>
      <c r="C19" s="3">
        <v>15.437415839911599</v>
      </c>
      <c r="D19" s="3">
        <v>14.617622463005199</v>
      </c>
      <c r="E19" s="3">
        <v>13.333451218656901</v>
      </c>
      <c r="F19" s="3">
        <v>13.910665805109399</v>
      </c>
      <c r="G19" s="3">
        <v>16.822531777321501</v>
      </c>
      <c r="H19" s="3">
        <v>15.320554933019</v>
      </c>
      <c r="I19" s="3">
        <v>18.476129375243602</v>
      </c>
      <c r="J19" s="3">
        <v>16.1143801392714</v>
      </c>
      <c r="K19" s="3">
        <v>14.626809316331601</v>
      </c>
      <c r="L19" s="3">
        <v>15.6414498098419</v>
      </c>
      <c r="M19" s="3">
        <v>14.9834059643114</v>
      </c>
      <c r="N19" s="3">
        <v>14.148628497712</v>
      </c>
    </row>
    <row r="20" spans="1:14" x14ac:dyDescent="0.35">
      <c r="A20" s="2">
        <v>42395</v>
      </c>
      <c r="B20" s="3">
        <v>17.529447137807502</v>
      </c>
      <c r="C20" s="3">
        <v>15.084934853819901</v>
      </c>
      <c r="D20" s="3">
        <v>13.705471845098</v>
      </c>
      <c r="E20" s="3">
        <v>12.3131592758479</v>
      </c>
      <c r="F20" s="3">
        <v>12.367912638070001</v>
      </c>
      <c r="G20" s="3">
        <v>15.996896723813901</v>
      </c>
      <c r="H20" s="3">
        <v>15.111831198458001</v>
      </c>
      <c r="I20" s="3">
        <v>17.025871047635299</v>
      </c>
      <c r="J20" s="3">
        <v>15.1599918184023</v>
      </c>
      <c r="K20" s="3">
        <v>14.047368969109099</v>
      </c>
      <c r="L20" s="3">
        <v>14.7662377273245</v>
      </c>
      <c r="M20" s="3">
        <v>14.5439194185217</v>
      </c>
      <c r="N20" s="3">
        <v>13.0515843199159</v>
      </c>
    </row>
    <row r="21" spans="1:14" x14ac:dyDescent="0.35">
      <c r="A21" s="2">
        <v>42426</v>
      </c>
      <c r="B21" s="3">
        <v>17.556685182503202</v>
      </c>
      <c r="C21" s="3">
        <v>15.077202287216</v>
      </c>
      <c r="D21" s="3">
        <v>14.839457177930999</v>
      </c>
      <c r="E21" s="3">
        <v>12.149438144862099</v>
      </c>
      <c r="F21" s="3">
        <v>12.368059138657401</v>
      </c>
      <c r="G21" s="3">
        <v>16.322451728857502</v>
      </c>
      <c r="H21" s="3">
        <v>15.5831509287384</v>
      </c>
      <c r="I21" s="3">
        <v>17.0070253303169</v>
      </c>
      <c r="J21" s="3">
        <v>15.5099438140132</v>
      </c>
      <c r="K21" s="3">
        <v>14.089952151827999</v>
      </c>
      <c r="L21" s="3">
        <v>14.735441091953501</v>
      </c>
      <c r="M21" s="3">
        <v>15.1124638352433</v>
      </c>
      <c r="N21" s="3">
        <v>12.8578699581264</v>
      </c>
    </row>
    <row r="22" spans="1:14" x14ac:dyDescent="0.35">
      <c r="A22" s="2">
        <v>42453</v>
      </c>
      <c r="B22" s="3">
        <v>18.015781966791899</v>
      </c>
      <c r="C22" s="3">
        <v>15.7665172006967</v>
      </c>
      <c r="D22" s="3">
        <v>15.9227504424342</v>
      </c>
      <c r="E22" s="3">
        <v>12.556369272463501</v>
      </c>
      <c r="F22" s="3">
        <v>12.8685116429064</v>
      </c>
      <c r="G22" s="3">
        <v>16.278073264284199</v>
      </c>
      <c r="H22" s="3">
        <v>15.896173455916999</v>
      </c>
      <c r="I22" s="3">
        <v>17.608628620535701</v>
      </c>
      <c r="J22" s="3">
        <v>15.516736353630501</v>
      </c>
      <c r="K22" s="3">
        <v>14.1620791105493</v>
      </c>
      <c r="L22" s="3">
        <v>15.2427230567229</v>
      </c>
      <c r="M22" s="3">
        <v>14.8304582920345</v>
      </c>
      <c r="N22" s="3">
        <v>13.193144022050401</v>
      </c>
    </row>
    <row r="23" spans="1:14" x14ac:dyDescent="0.35">
      <c r="A23" s="2">
        <v>42486</v>
      </c>
      <c r="B23" s="3">
        <v>18.748227501963001</v>
      </c>
      <c r="C23" s="3">
        <v>16.146062348528599</v>
      </c>
      <c r="D23" s="3">
        <v>16.475502911022101</v>
      </c>
      <c r="E23" s="3">
        <v>13.048452089024</v>
      </c>
      <c r="F23" s="3">
        <v>13.3914222994103</v>
      </c>
      <c r="G23" s="3">
        <v>16.871040067227302</v>
      </c>
      <c r="H23" s="3">
        <v>16.3784808011028</v>
      </c>
      <c r="I23" s="3">
        <v>17.7268409953424</v>
      </c>
      <c r="J23" s="3">
        <v>16.500463546018398</v>
      </c>
      <c r="K23" s="3">
        <v>14.800361942590101</v>
      </c>
      <c r="L23" s="3">
        <v>15.1964550819328</v>
      </c>
      <c r="M23" s="3">
        <v>15.596255629933101</v>
      </c>
      <c r="N23" s="3">
        <v>13.521189324386899</v>
      </c>
    </row>
    <row r="24" spans="1:14" x14ac:dyDescent="0.35">
      <c r="A24" s="2">
        <v>42516</v>
      </c>
      <c r="B24" s="3">
        <v>19.231549549400601</v>
      </c>
      <c r="C24" s="3">
        <v>16.522140181420198</v>
      </c>
      <c r="D24" s="3">
        <v>16.593909702197301</v>
      </c>
      <c r="E24" s="3">
        <v>12.7479670106952</v>
      </c>
      <c r="F24" s="3">
        <v>13.2630296011874</v>
      </c>
      <c r="G24" s="3">
        <v>17.206109012164799</v>
      </c>
      <c r="H24" s="3">
        <v>16.050292619818901</v>
      </c>
      <c r="I24" s="3">
        <v>17.914007505474899</v>
      </c>
      <c r="J24" s="3">
        <v>16.563817451068701</v>
      </c>
      <c r="K24" s="3">
        <v>14.6275632106678</v>
      </c>
      <c r="L24" s="3">
        <v>15.2583770113848</v>
      </c>
      <c r="M24" s="3">
        <v>15.110906641438399</v>
      </c>
      <c r="N24" s="3">
        <v>13.8605755544842</v>
      </c>
    </row>
    <row r="25" spans="1:14" x14ac:dyDescent="0.35">
      <c r="A25" s="2">
        <v>42545</v>
      </c>
      <c r="B25" s="3">
        <v>18.436682785305401</v>
      </c>
      <c r="C25" s="3">
        <v>15.6222328884701</v>
      </c>
      <c r="D25" s="3">
        <v>16.1950782049183</v>
      </c>
      <c r="E25" s="3">
        <v>11.799791816652601</v>
      </c>
      <c r="F25" s="3">
        <v>12.139750757905899</v>
      </c>
      <c r="G25" s="3">
        <v>16.234995213684801</v>
      </c>
      <c r="H25" s="3">
        <v>15.2154223088409</v>
      </c>
      <c r="I25" s="3">
        <v>17.118214132416401</v>
      </c>
      <c r="J25" s="3">
        <v>16.0259653434406</v>
      </c>
      <c r="K25" s="3">
        <v>13.199012480172399</v>
      </c>
      <c r="L25" s="3">
        <v>13.880146651788699</v>
      </c>
      <c r="M25" s="3">
        <v>14.955698893202699</v>
      </c>
      <c r="N25" s="3">
        <v>11.439254829010901</v>
      </c>
    </row>
    <row r="26" spans="1:14" x14ac:dyDescent="0.35">
      <c r="A26" s="2">
        <v>42577</v>
      </c>
      <c r="B26" s="3">
        <v>20.1968332196126</v>
      </c>
      <c r="C26" s="3">
        <v>16.795979095163901</v>
      </c>
      <c r="D26" s="3">
        <v>16.445208603602001</v>
      </c>
      <c r="E26" s="3">
        <v>12.647208172169901</v>
      </c>
      <c r="F26" s="3">
        <v>13.362055576066901</v>
      </c>
      <c r="G26" s="3">
        <v>17.181672007491599</v>
      </c>
      <c r="H26" s="3">
        <v>16.105182611895302</v>
      </c>
      <c r="I26" s="3">
        <v>18.554603969621802</v>
      </c>
      <c r="J26" s="3">
        <v>16.9519572655534</v>
      </c>
      <c r="K26" s="3">
        <v>14.066211108933301</v>
      </c>
      <c r="L26" s="3">
        <v>14.829838369489</v>
      </c>
      <c r="M26" s="3">
        <v>15.1856130775002</v>
      </c>
      <c r="N26" s="3">
        <v>12.4085898501281</v>
      </c>
    </row>
    <row r="27" spans="1:14" x14ac:dyDescent="0.35">
      <c r="A27" s="2">
        <v>42608</v>
      </c>
      <c r="B27" s="3">
        <v>20.425623103699099</v>
      </c>
      <c r="C27" s="3">
        <v>16.7436373869721</v>
      </c>
      <c r="D27" s="3">
        <v>16.316274317669802</v>
      </c>
      <c r="E27" s="3">
        <v>12.944933949685201</v>
      </c>
      <c r="F27" s="3">
        <v>13.088839342113999</v>
      </c>
      <c r="G27" s="3">
        <v>17.315083125937399</v>
      </c>
      <c r="H27" s="3">
        <v>16.127938229516001</v>
      </c>
      <c r="I27" s="3">
        <v>18.583055283831399</v>
      </c>
      <c r="J27" s="3">
        <v>16.789886143735099</v>
      </c>
      <c r="K27" s="3">
        <v>13.971425108289599</v>
      </c>
      <c r="L27" s="3">
        <v>14.922976271556699</v>
      </c>
      <c r="M27" s="3">
        <v>15.442615255348301</v>
      </c>
      <c r="N27" s="3">
        <v>12.5575035375855</v>
      </c>
    </row>
    <row r="28" spans="1:14" x14ac:dyDescent="0.35">
      <c r="A28" s="2">
        <v>42639</v>
      </c>
      <c r="B28" s="3">
        <v>20.045532412950799</v>
      </c>
      <c r="C28" s="3">
        <v>16.283927495251302</v>
      </c>
      <c r="D28" s="3">
        <v>15.994672834003399</v>
      </c>
      <c r="E28" s="3">
        <v>12.7451706136184</v>
      </c>
      <c r="F28" s="3">
        <v>13.494949229644901</v>
      </c>
      <c r="G28" s="3">
        <v>17.1773497112409</v>
      </c>
      <c r="H28" s="3">
        <v>15.5446464482692</v>
      </c>
      <c r="I28" s="3">
        <v>18.476320316107799</v>
      </c>
      <c r="J28" s="3">
        <v>16.500472587309499</v>
      </c>
      <c r="K28" s="3">
        <v>13.760687369935701</v>
      </c>
      <c r="L28" s="3">
        <v>14.730600914775399</v>
      </c>
      <c r="M28" s="3">
        <v>15.4248489694711</v>
      </c>
      <c r="N28" s="3">
        <v>11.670431742891999</v>
      </c>
    </row>
    <row r="29" spans="1:14" x14ac:dyDescent="0.35">
      <c r="A29" s="2">
        <v>42669</v>
      </c>
      <c r="B29" s="3">
        <v>18.9531222942461</v>
      </c>
      <c r="C29" s="3">
        <v>15.8893767250447</v>
      </c>
      <c r="D29" s="3">
        <v>16.016426265100801</v>
      </c>
      <c r="E29" s="3">
        <v>13.0172402991347</v>
      </c>
      <c r="F29" s="3">
        <v>13.7479829317257</v>
      </c>
      <c r="G29" s="3">
        <v>16.555704695538498</v>
      </c>
      <c r="H29" s="3">
        <v>15.0144179662596</v>
      </c>
      <c r="I29" s="3">
        <v>18.402856997571501</v>
      </c>
      <c r="J29" s="3">
        <v>16.310301205863698</v>
      </c>
      <c r="K29" s="3">
        <v>13.986812447610401</v>
      </c>
      <c r="L29" s="3">
        <v>14.755768645197501</v>
      </c>
      <c r="M29" s="3">
        <v>16.260631535525899</v>
      </c>
      <c r="N29" s="3">
        <v>12.219504598420199</v>
      </c>
    </row>
    <row r="30" spans="1:14" x14ac:dyDescent="0.35">
      <c r="A30" s="2">
        <v>42699</v>
      </c>
      <c r="B30" s="3">
        <v>18.8039193501757</v>
      </c>
      <c r="C30" s="3">
        <v>16.089970663858502</v>
      </c>
      <c r="D30" s="3">
        <v>16.025507000157202</v>
      </c>
      <c r="E30" s="3">
        <v>12.863521034403</v>
      </c>
      <c r="F30" s="3">
        <v>14.4447819648914</v>
      </c>
      <c r="G30" s="3">
        <v>16.3602574345351</v>
      </c>
      <c r="H30" s="3">
        <v>14.387931478018</v>
      </c>
      <c r="I30" s="3">
        <v>18.291097102394001</v>
      </c>
      <c r="J30" s="3">
        <v>16.820593626530801</v>
      </c>
      <c r="K30" s="3">
        <v>13.801787114606901</v>
      </c>
      <c r="L30" s="3">
        <v>14.7121136384034</v>
      </c>
      <c r="M30" s="3">
        <v>16.279111685150301</v>
      </c>
      <c r="N30" s="3">
        <v>11.5946242379158</v>
      </c>
    </row>
    <row r="31" spans="1:14" x14ac:dyDescent="0.35">
      <c r="A31" s="2">
        <v>42727</v>
      </c>
      <c r="B31" s="3">
        <v>18.541877820876</v>
      </c>
      <c r="C31" s="3">
        <v>15.7168049140357</v>
      </c>
      <c r="D31" s="3">
        <v>15.907551476073699</v>
      </c>
      <c r="E31" s="3">
        <v>13.6284764546732</v>
      </c>
      <c r="F31" s="3">
        <v>14.9474454123011</v>
      </c>
      <c r="G31" s="3">
        <v>16.770793087825499</v>
      </c>
      <c r="H31" s="3">
        <v>14.2976207077027</v>
      </c>
      <c r="I31" s="3">
        <v>18.376186143711301</v>
      </c>
      <c r="J31" s="3">
        <v>17.035004067095901</v>
      </c>
      <c r="K31" s="3">
        <v>14.525598208995101</v>
      </c>
      <c r="L31" s="3">
        <v>15.104775956139299</v>
      </c>
      <c r="M31" s="3">
        <v>16.503854002505999</v>
      </c>
      <c r="N31" s="3">
        <v>13.8971240301333</v>
      </c>
    </row>
    <row r="32" spans="1:14" x14ac:dyDescent="0.35">
      <c r="A32" s="2">
        <v>42761</v>
      </c>
      <c r="B32" s="3">
        <v>19.073072941834599</v>
      </c>
      <c r="C32" s="3">
        <v>15.6920770570483</v>
      </c>
      <c r="D32" s="3">
        <v>16.241560411543698</v>
      </c>
      <c r="E32" s="3">
        <v>13.9870962914431</v>
      </c>
      <c r="F32" s="3">
        <v>14.703714542331699</v>
      </c>
      <c r="G32" s="3">
        <v>17.288292742786702</v>
      </c>
      <c r="H32" s="3">
        <v>14.314209324324301</v>
      </c>
      <c r="I32" s="3">
        <v>18.9628335773941</v>
      </c>
      <c r="J32" s="3">
        <v>17.115865134153001</v>
      </c>
      <c r="K32" s="3">
        <v>14.490722292708901</v>
      </c>
      <c r="L32" s="3">
        <v>15.1489445007981</v>
      </c>
      <c r="M32" s="3">
        <v>16.5591539834831</v>
      </c>
      <c r="N32" s="3">
        <v>13.221834849032</v>
      </c>
    </row>
    <row r="33" spans="1:14" x14ac:dyDescent="0.35">
      <c r="A33" s="2">
        <v>42790</v>
      </c>
      <c r="B33" s="3">
        <v>18.681419364602601</v>
      </c>
      <c r="C33" s="3">
        <v>15.8540378913022</v>
      </c>
      <c r="D33" s="3">
        <v>15.961723561285099</v>
      </c>
      <c r="E33" s="3">
        <v>13.679542394728699</v>
      </c>
      <c r="F33" s="3">
        <v>14.294326555370301</v>
      </c>
      <c r="G33" s="3">
        <v>17.464975016515801</v>
      </c>
      <c r="H33" s="3">
        <v>14.404046209693</v>
      </c>
      <c r="I33" s="3">
        <v>20.1174651039059</v>
      </c>
      <c r="J33" s="3">
        <v>17.6808800778429</v>
      </c>
      <c r="K33" s="3">
        <v>14.161011096511499</v>
      </c>
      <c r="L33" s="3">
        <v>15.5120249563047</v>
      </c>
      <c r="M33" s="3">
        <v>16.394976997796299</v>
      </c>
      <c r="N33" s="3">
        <v>12.570684905107299</v>
      </c>
    </row>
    <row r="34" spans="1:14" x14ac:dyDescent="0.35">
      <c r="A34" s="2">
        <v>42818</v>
      </c>
      <c r="B34" s="3">
        <v>18.694053441562101</v>
      </c>
      <c r="C34" s="3">
        <v>15.5552445288805</v>
      </c>
      <c r="D34" s="3">
        <v>15.7933055978743</v>
      </c>
      <c r="E34" s="3">
        <v>13.8409818766307</v>
      </c>
      <c r="F34" s="3">
        <v>14.047790875200301</v>
      </c>
      <c r="G34" s="3">
        <v>17.618298320090801</v>
      </c>
      <c r="H34" s="3">
        <v>14.4394987479526</v>
      </c>
      <c r="I34" s="3">
        <v>19.929574949299301</v>
      </c>
      <c r="J34" s="3">
        <v>17.407783019657199</v>
      </c>
      <c r="K34" s="3">
        <v>14.674100621241999</v>
      </c>
      <c r="L34" s="3">
        <v>15.944994867786701</v>
      </c>
      <c r="M34" s="3">
        <v>17.104461151661301</v>
      </c>
      <c r="N34" s="3">
        <v>13.524830615969901</v>
      </c>
    </row>
    <row r="35" spans="1:14" x14ac:dyDescent="0.35">
      <c r="A35" s="2">
        <v>42851</v>
      </c>
      <c r="B35" s="3">
        <v>19.351078901400601</v>
      </c>
      <c r="C35" s="3">
        <v>15.9139028643459</v>
      </c>
      <c r="D35" s="3">
        <v>15.8505978202792</v>
      </c>
      <c r="E35" s="3">
        <v>14.0608224485274</v>
      </c>
      <c r="F35" s="3">
        <v>13.917709908497301</v>
      </c>
      <c r="G35" s="3">
        <v>17.805900918437398</v>
      </c>
      <c r="H35" s="3">
        <v>14.4735432875082</v>
      </c>
      <c r="I35" s="3">
        <v>20.298439452958899</v>
      </c>
      <c r="J35" s="3">
        <v>17.513844816368501</v>
      </c>
      <c r="K35" s="3">
        <v>15.3200893797455</v>
      </c>
      <c r="L35" s="3">
        <v>16.380301281009601</v>
      </c>
      <c r="M35" s="3">
        <v>17.234763361347799</v>
      </c>
      <c r="N35" s="3">
        <v>13.660839599846801</v>
      </c>
    </row>
    <row r="36" spans="1:14" x14ac:dyDescent="0.35">
      <c r="A36" s="2">
        <v>42881</v>
      </c>
      <c r="B36" s="3">
        <v>19.571460769237198</v>
      </c>
      <c r="C36" s="3">
        <v>15.3746191871798</v>
      </c>
      <c r="D36" s="3">
        <v>15.732657480677601</v>
      </c>
      <c r="E36" s="3">
        <v>13.752088725552399</v>
      </c>
      <c r="F36" s="3">
        <v>14.266143892528101</v>
      </c>
      <c r="G36" s="3">
        <v>18.0706202636987</v>
      </c>
      <c r="H36" s="3">
        <v>14.7786969487001</v>
      </c>
      <c r="I36" s="3">
        <v>20.949603082561101</v>
      </c>
      <c r="J36" s="3">
        <v>17.533398846944099</v>
      </c>
      <c r="K36" s="3">
        <v>15.235447872678</v>
      </c>
      <c r="L36" s="3">
        <v>16.3547968889701</v>
      </c>
      <c r="M36" s="3">
        <v>18.0171480827448</v>
      </c>
      <c r="N36" s="3">
        <v>13.548496763555899</v>
      </c>
    </row>
    <row r="37" spans="1:14" x14ac:dyDescent="0.35">
      <c r="A37" s="2">
        <v>42912</v>
      </c>
      <c r="B37" s="3">
        <v>19.6794178926623</v>
      </c>
      <c r="C37" s="3">
        <v>15.3537595882767</v>
      </c>
      <c r="D37" s="3">
        <v>15.2996610252784</v>
      </c>
      <c r="E37" s="3">
        <v>13.757956357174701</v>
      </c>
      <c r="F37" s="3">
        <v>14.367713341097501</v>
      </c>
      <c r="G37" s="3">
        <v>18.091664831653201</v>
      </c>
      <c r="H37" s="3">
        <v>14.523001758488</v>
      </c>
      <c r="I37" s="3">
        <v>20.586613453958002</v>
      </c>
      <c r="J37" s="3">
        <v>17.547248216279701</v>
      </c>
      <c r="K37" s="3">
        <v>15.0319732841372</v>
      </c>
      <c r="L37" s="3">
        <v>16.061276486694499</v>
      </c>
      <c r="M37" s="3">
        <v>16.861373733736698</v>
      </c>
      <c r="N37" s="3">
        <v>13.3209860358957</v>
      </c>
    </row>
    <row r="38" spans="1:14" x14ac:dyDescent="0.35">
      <c r="A38" s="2">
        <v>42942</v>
      </c>
      <c r="B38" s="3">
        <v>19.748006975651801</v>
      </c>
      <c r="C38" s="3">
        <v>15.8103070405955</v>
      </c>
      <c r="D38" s="3">
        <v>15.568325610244599</v>
      </c>
      <c r="E38" s="3">
        <v>13.242105888774001</v>
      </c>
      <c r="F38" s="3">
        <v>14.2051053640165</v>
      </c>
      <c r="G38" s="3">
        <v>17.752635942300898</v>
      </c>
      <c r="H38" s="3">
        <v>14.8675166067502</v>
      </c>
      <c r="I38" s="3">
        <v>20.997716212877599</v>
      </c>
      <c r="J38" s="3">
        <v>17.729527460797598</v>
      </c>
      <c r="K38" s="3">
        <v>14.837322029981699</v>
      </c>
      <c r="L38" s="3">
        <v>16.063669395439302</v>
      </c>
      <c r="M38" s="3">
        <v>16.360976460154799</v>
      </c>
      <c r="N38" s="3">
        <v>13.5731898438431</v>
      </c>
    </row>
    <row r="39" spans="1:14" x14ac:dyDescent="0.35">
      <c r="A39" s="2">
        <v>42972</v>
      </c>
      <c r="B39" s="3">
        <v>20.080177614177799</v>
      </c>
      <c r="C39" s="3">
        <v>15.7824154832613</v>
      </c>
      <c r="D39" s="3">
        <v>15.447728041311301</v>
      </c>
      <c r="E39" s="3">
        <v>13.0306237102773</v>
      </c>
      <c r="F39" s="3">
        <v>13.623831418560901</v>
      </c>
      <c r="G39" s="3">
        <v>17.495341141380798</v>
      </c>
      <c r="H39" s="3">
        <v>14.5343493915413</v>
      </c>
      <c r="I39" s="3">
        <v>20.188545774654798</v>
      </c>
      <c r="J39" s="3">
        <v>17.331703403323399</v>
      </c>
      <c r="K39" s="3">
        <v>14.4613857225405</v>
      </c>
      <c r="L39" s="3">
        <v>15.6955542007074</v>
      </c>
      <c r="M39" s="3">
        <v>15.7196082429829</v>
      </c>
      <c r="N39" s="3">
        <v>13.287204120975399</v>
      </c>
    </row>
    <row r="40" spans="1:14" x14ac:dyDescent="0.35">
      <c r="A40" s="2">
        <v>43004</v>
      </c>
      <c r="B40" s="3">
        <v>19.8457792260742</v>
      </c>
      <c r="C40" s="3">
        <v>15.392844920240901</v>
      </c>
      <c r="D40" s="3">
        <v>15.6026323614335</v>
      </c>
      <c r="E40" s="3">
        <v>13.453251186659701</v>
      </c>
      <c r="F40" s="3">
        <v>14.015170516604799</v>
      </c>
      <c r="G40" s="3">
        <v>17.673005698500798</v>
      </c>
      <c r="H40" s="3">
        <v>14.397544254134001</v>
      </c>
      <c r="I40" s="3">
        <v>20.123278743481698</v>
      </c>
      <c r="J40" s="3">
        <v>17.597398156847099</v>
      </c>
      <c r="K40" s="3">
        <v>14.951334916742899</v>
      </c>
      <c r="L40" s="3">
        <v>15.737077368262099</v>
      </c>
      <c r="M40" s="3">
        <v>16.485031741899402</v>
      </c>
      <c r="N40" s="3">
        <v>13.494056756429799</v>
      </c>
    </row>
    <row r="41" spans="1:14" x14ac:dyDescent="0.35">
      <c r="A41" s="2">
        <v>43034</v>
      </c>
      <c r="B41" s="3">
        <v>20.3965236790233</v>
      </c>
      <c r="C41" s="3">
        <v>15.845455828531</v>
      </c>
      <c r="D41" s="3">
        <v>15.8153364559649</v>
      </c>
      <c r="E41" s="3">
        <v>13.9521562055966</v>
      </c>
      <c r="F41" s="3">
        <v>14.531454382923499</v>
      </c>
      <c r="G41" s="3">
        <v>17.811196461529001</v>
      </c>
      <c r="H41" s="3">
        <v>14.461364765365399</v>
      </c>
      <c r="I41" s="3">
        <v>20.3138590692596</v>
      </c>
      <c r="J41" s="3">
        <v>17.893570502976601</v>
      </c>
      <c r="K41" s="3">
        <v>15.346694440580499</v>
      </c>
      <c r="L41" s="3">
        <v>16.2303353984442</v>
      </c>
      <c r="M41" s="3">
        <v>17.1678046829742</v>
      </c>
      <c r="N41" s="3">
        <v>13.660828686510699</v>
      </c>
    </row>
    <row r="42" spans="1:14" x14ac:dyDescent="0.35">
      <c r="A42" s="2">
        <v>43063</v>
      </c>
      <c r="B42" s="3">
        <v>20.180208037870699</v>
      </c>
      <c r="C42" s="3">
        <v>15.9332336571924</v>
      </c>
      <c r="D42" s="3">
        <v>15.908607947520601</v>
      </c>
      <c r="E42" s="3">
        <v>13.858546265814701</v>
      </c>
      <c r="F42" s="3">
        <v>14.692342456631801</v>
      </c>
      <c r="G42" s="3">
        <v>17.806639473324001</v>
      </c>
      <c r="H42" s="3">
        <v>14.28897394521</v>
      </c>
      <c r="I42" s="3">
        <v>21.089787046156101</v>
      </c>
      <c r="J42" s="3">
        <v>17.973846023740101</v>
      </c>
      <c r="K42" s="3">
        <v>15.0532913579901</v>
      </c>
      <c r="L42" s="3">
        <v>16.036843278918099</v>
      </c>
      <c r="M42" s="3">
        <v>16.653429923549101</v>
      </c>
      <c r="N42" s="3">
        <v>13.2833773757802</v>
      </c>
    </row>
    <row r="43" spans="1:14" x14ac:dyDescent="0.35">
      <c r="A43" s="2">
        <v>43095</v>
      </c>
      <c r="B43" s="3">
        <v>20.936722323547698</v>
      </c>
      <c r="C43" s="3">
        <v>15.963542525294599</v>
      </c>
      <c r="D43" s="3">
        <v>15.8929536298103</v>
      </c>
      <c r="E43" s="3">
        <v>13.911122196100701</v>
      </c>
      <c r="F43" s="3">
        <v>14.819108636225</v>
      </c>
      <c r="G43" s="3">
        <v>17.624299616237401</v>
      </c>
      <c r="H43" s="3">
        <v>14.5452177204018</v>
      </c>
      <c r="I43" s="3">
        <v>20.938321428114001</v>
      </c>
      <c r="J43" s="3">
        <v>18.216936469023999</v>
      </c>
      <c r="K43" s="3">
        <v>14.9218111211466</v>
      </c>
      <c r="L43" s="3">
        <v>16.009084392552499</v>
      </c>
      <c r="M43" s="3">
        <v>16.420391250695101</v>
      </c>
      <c r="N43" s="3">
        <v>13.195177430387901</v>
      </c>
    </row>
    <row r="44" spans="1:14" x14ac:dyDescent="0.35">
      <c r="A44" s="2">
        <v>43126</v>
      </c>
      <c r="B44" s="3">
        <v>20.571632576232499</v>
      </c>
      <c r="C44" s="3">
        <v>15.825534674446001</v>
      </c>
      <c r="D44" s="3">
        <v>15.494546975873799</v>
      </c>
      <c r="E44" s="3">
        <v>14.0254595617577</v>
      </c>
      <c r="F44" s="3">
        <v>15.129532392133299</v>
      </c>
      <c r="G44" s="3">
        <v>17.920254159191</v>
      </c>
      <c r="H44" s="3">
        <v>14.6387740817537</v>
      </c>
      <c r="I44" s="3">
        <v>22.122789293918402</v>
      </c>
      <c r="J44" s="3">
        <v>18.454811483150198</v>
      </c>
      <c r="K44" s="3">
        <v>15.3227740976272</v>
      </c>
      <c r="L44" s="3">
        <v>16.3819912514202</v>
      </c>
      <c r="M44" s="3">
        <v>16.6833353702567</v>
      </c>
      <c r="N44" s="3">
        <v>13.462837678326601</v>
      </c>
    </row>
    <row r="45" spans="1:14" x14ac:dyDescent="0.35">
      <c r="A45" s="2">
        <v>43157</v>
      </c>
      <c r="B45" s="3">
        <v>20.730410112468899</v>
      </c>
      <c r="C45" s="3">
        <v>15.6377095815979</v>
      </c>
      <c r="D45" s="3">
        <v>14.708511698367801</v>
      </c>
      <c r="E45" s="3">
        <v>13.1975322000213</v>
      </c>
      <c r="F45" s="3">
        <v>13.382303758609201</v>
      </c>
      <c r="G45" s="3">
        <v>16.845722386017901</v>
      </c>
      <c r="H45" s="3">
        <v>13.295427770666301</v>
      </c>
      <c r="I45" s="3">
        <v>21.217665348373099</v>
      </c>
      <c r="J45" s="3">
        <v>17.297877121950801</v>
      </c>
      <c r="K45" s="3">
        <v>14.7197159461208</v>
      </c>
      <c r="L45" s="3">
        <v>15.7014083610822</v>
      </c>
      <c r="M45" s="3">
        <v>16.443721029811499</v>
      </c>
      <c r="N45" s="3">
        <v>12.582151619469901</v>
      </c>
    </row>
    <row r="46" spans="1:14" x14ac:dyDescent="0.35">
      <c r="A46" s="2">
        <v>43185</v>
      </c>
      <c r="B46" s="3">
        <v>20.307372852987498</v>
      </c>
      <c r="C46" s="3">
        <v>14.842208220475699</v>
      </c>
      <c r="D46" s="3">
        <v>14.0928940580716</v>
      </c>
      <c r="E46" s="3">
        <v>12.438511079096999</v>
      </c>
      <c r="F46" s="3">
        <v>12.4723178089234</v>
      </c>
      <c r="G46" s="3">
        <v>15.716609631183699</v>
      </c>
      <c r="H46" s="3">
        <v>13.0118036405228</v>
      </c>
      <c r="I46" s="3">
        <v>20.305414801435301</v>
      </c>
      <c r="J46" s="3">
        <v>16.4555044484663</v>
      </c>
      <c r="K46" s="3">
        <v>13.9573080952712</v>
      </c>
      <c r="L46" s="3">
        <v>15.127142292408299</v>
      </c>
      <c r="M46" s="3">
        <v>15.410430538571299</v>
      </c>
      <c r="N46" s="3">
        <v>12.2003946713251</v>
      </c>
    </row>
    <row r="47" spans="1:14" x14ac:dyDescent="0.35">
      <c r="A47" s="2">
        <v>43216</v>
      </c>
      <c r="B47" s="3">
        <v>19.687135965085101</v>
      </c>
      <c r="C47" s="3">
        <v>14.991640495664299</v>
      </c>
      <c r="D47" s="3">
        <v>14.218079115682</v>
      </c>
      <c r="E47" s="3">
        <v>13.1132952008616</v>
      </c>
      <c r="F47" s="3">
        <v>13.2111099472158</v>
      </c>
      <c r="G47" s="3">
        <v>16.118294630031201</v>
      </c>
      <c r="H47" s="3">
        <v>13.7357150464135</v>
      </c>
      <c r="I47" s="3">
        <v>19.701007943847198</v>
      </c>
      <c r="J47" s="3">
        <v>16.257555107045398</v>
      </c>
      <c r="K47" s="3">
        <v>14.6758014424721</v>
      </c>
      <c r="L47" s="3">
        <v>15.6468117138363</v>
      </c>
      <c r="M47" s="3">
        <v>15.919438785330501</v>
      </c>
      <c r="N47" s="3">
        <v>13.113462216251801</v>
      </c>
    </row>
    <row r="48" spans="1:14" x14ac:dyDescent="0.35">
      <c r="A48" s="2">
        <v>43245</v>
      </c>
      <c r="B48" s="3">
        <v>20.430895281563402</v>
      </c>
      <c r="C48" s="3">
        <v>15.254972277061301</v>
      </c>
      <c r="D48" s="3">
        <v>14.153889958105699</v>
      </c>
      <c r="E48" s="3">
        <v>13.2782878689112</v>
      </c>
      <c r="F48" s="3">
        <v>13.118619992775599</v>
      </c>
      <c r="G48" s="3">
        <v>16.007548754668999</v>
      </c>
      <c r="H48" s="3">
        <v>13.735938952783499</v>
      </c>
      <c r="I48" s="3">
        <v>20.078991194066401</v>
      </c>
      <c r="J48" s="3">
        <v>16.286433787531099</v>
      </c>
      <c r="K48" s="3">
        <v>14.7040720812829</v>
      </c>
      <c r="L48" s="3">
        <v>15.9930823957064</v>
      </c>
      <c r="M48" s="3">
        <v>15.7591945336442</v>
      </c>
      <c r="N48" s="3">
        <v>11.778886222645999</v>
      </c>
    </row>
    <row r="49" spans="1:14" x14ac:dyDescent="0.35">
      <c r="A49" s="2">
        <v>43277</v>
      </c>
      <c r="B49" s="3">
        <v>21.299821429370802</v>
      </c>
      <c r="C49" s="3">
        <v>15.457177027081199</v>
      </c>
      <c r="D49" s="3">
        <v>14.3047309353458</v>
      </c>
      <c r="E49" s="3">
        <v>12.68661182662</v>
      </c>
      <c r="F49" s="3">
        <v>12.7977246215604</v>
      </c>
      <c r="G49" s="3">
        <v>15.397921654473301</v>
      </c>
      <c r="H49" s="3">
        <v>13.192849267257699</v>
      </c>
      <c r="I49" s="3">
        <v>20.183337048854298</v>
      </c>
      <c r="J49" s="3">
        <v>16.163507786974598</v>
      </c>
      <c r="K49" s="3">
        <v>13.901673063856601</v>
      </c>
      <c r="L49" s="3">
        <v>15.4486107318373</v>
      </c>
      <c r="M49" s="3">
        <v>15.0487068068376</v>
      </c>
      <c r="N49" s="3">
        <v>11.2627359188914</v>
      </c>
    </row>
    <row r="50" spans="1:14" x14ac:dyDescent="0.35">
      <c r="A50" s="2">
        <v>43307</v>
      </c>
      <c r="B50" s="3">
        <v>20.989867705352101</v>
      </c>
      <c r="C50" s="3">
        <v>15.5195635699127</v>
      </c>
      <c r="D50" s="3">
        <v>14.240399906559499</v>
      </c>
      <c r="E50" s="3">
        <v>13.2315646995528</v>
      </c>
      <c r="F50" s="3">
        <v>12.995773393610699</v>
      </c>
      <c r="G50" s="3">
        <v>16.2924511311362</v>
      </c>
      <c r="H50" s="3">
        <v>13.1874519237826</v>
      </c>
      <c r="I50" s="3">
        <v>20.900337246768299</v>
      </c>
      <c r="J50" s="3">
        <v>16.6545070567098</v>
      </c>
      <c r="K50" s="3">
        <v>14.1550189244262</v>
      </c>
      <c r="L50" s="3">
        <v>15.9858714627717</v>
      </c>
      <c r="M50" s="3">
        <v>15.5541684959768</v>
      </c>
      <c r="N50" s="3">
        <v>11.516849668119701</v>
      </c>
    </row>
    <row r="51" spans="1:14" x14ac:dyDescent="0.35">
      <c r="A51" s="2">
        <v>43336</v>
      </c>
      <c r="B51" s="3">
        <v>21.7409104057086</v>
      </c>
      <c r="C51" s="3">
        <v>15.546502491106899</v>
      </c>
      <c r="D51" s="3">
        <v>13.9368957685575</v>
      </c>
      <c r="E51" s="3">
        <v>12.874738976517101</v>
      </c>
      <c r="F51" s="3">
        <v>12.5393664817306</v>
      </c>
      <c r="G51" s="3">
        <v>16.0643108978736</v>
      </c>
      <c r="H51" s="3">
        <v>12.8386043225702</v>
      </c>
      <c r="I51" s="3">
        <v>20.717621355870001</v>
      </c>
      <c r="J51" s="3">
        <v>16.686214865709101</v>
      </c>
      <c r="K51" s="3">
        <v>13.8701698678315</v>
      </c>
      <c r="L51" s="3">
        <v>15.4908546933789</v>
      </c>
      <c r="M51" s="3">
        <v>15.774574343689499</v>
      </c>
      <c r="N51" s="3">
        <v>10.857927020923601</v>
      </c>
    </row>
    <row r="52" spans="1:14" x14ac:dyDescent="0.35">
      <c r="A52" s="2">
        <v>43369</v>
      </c>
      <c r="B52" s="3">
        <v>21.580371880621598</v>
      </c>
      <c r="C52" s="3">
        <v>15.2804791083467</v>
      </c>
      <c r="D52" s="3">
        <v>13.6510385511269</v>
      </c>
      <c r="E52" s="3">
        <v>12.7835579059648</v>
      </c>
      <c r="F52" s="3">
        <v>13.3612045526556</v>
      </c>
      <c r="G52" s="3">
        <v>16.095636458167</v>
      </c>
      <c r="H52" s="3">
        <v>12.841289835789301</v>
      </c>
      <c r="I52" s="3">
        <v>20.7156263470733</v>
      </c>
      <c r="J52" s="3">
        <v>16.740258002948401</v>
      </c>
      <c r="K52" s="3">
        <v>13.9418727073563</v>
      </c>
      <c r="L52" s="3">
        <v>15.031535764719999</v>
      </c>
      <c r="M52" s="3">
        <v>15.857363828518499</v>
      </c>
      <c r="N52" s="3">
        <v>11.0733652366245</v>
      </c>
    </row>
    <row r="53" spans="1:14" x14ac:dyDescent="0.35">
      <c r="A53" s="2">
        <v>43399</v>
      </c>
      <c r="B53" s="3">
        <v>19.619626257141402</v>
      </c>
      <c r="C53" s="3">
        <v>13.873551572367299</v>
      </c>
      <c r="D53" s="3">
        <v>12.428995998694001</v>
      </c>
      <c r="E53" s="3">
        <v>11.670187331541999</v>
      </c>
      <c r="F53" s="3">
        <v>11.653360445233</v>
      </c>
      <c r="G53" s="3">
        <v>15.1076594589004</v>
      </c>
      <c r="H53" s="3">
        <v>11.578120299786701</v>
      </c>
      <c r="I53" s="3">
        <v>18.511370267478299</v>
      </c>
      <c r="J53" s="3">
        <v>15.175338212088599</v>
      </c>
      <c r="K53" s="3">
        <v>12.5029569648839</v>
      </c>
      <c r="L53" s="3">
        <v>13.7349906754253</v>
      </c>
      <c r="M53" s="3">
        <v>13.917139311949301</v>
      </c>
      <c r="N53" s="3">
        <v>9.5971437989314392</v>
      </c>
    </row>
    <row r="54" spans="1:14" x14ac:dyDescent="0.35">
      <c r="A54" s="2">
        <v>43430</v>
      </c>
      <c r="B54" s="3">
        <v>19.630766567172099</v>
      </c>
      <c r="C54" s="3">
        <v>14.093695133219899</v>
      </c>
      <c r="D54" s="3">
        <v>12.5373272719229</v>
      </c>
      <c r="E54" s="3">
        <v>11.6236773437296</v>
      </c>
      <c r="F54" s="3">
        <v>11.9838072137734</v>
      </c>
      <c r="G54" s="3">
        <v>15.513314723896601</v>
      </c>
      <c r="H54" s="3">
        <v>11.8106370698739</v>
      </c>
      <c r="I54" s="3">
        <v>18.094648226714799</v>
      </c>
      <c r="J54" s="3">
        <v>15.2584565176561</v>
      </c>
      <c r="K54" s="3">
        <v>12.495766378111</v>
      </c>
      <c r="L54" s="3">
        <v>14.0870325191911</v>
      </c>
      <c r="M54" s="3">
        <v>14.0364179101012</v>
      </c>
      <c r="N54" s="3">
        <v>9.7003306159150107</v>
      </c>
    </row>
    <row r="55" spans="1:14" x14ac:dyDescent="0.35">
      <c r="A55" s="2">
        <v>43460</v>
      </c>
      <c r="B55" s="3">
        <v>19.885395548673401</v>
      </c>
      <c r="C55" s="3">
        <v>13.5803836523841</v>
      </c>
      <c r="D55" s="3">
        <v>11.654707227250899</v>
      </c>
      <c r="E55" s="3">
        <v>11.0112390220955</v>
      </c>
      <c r="F55" s="3">
        <v>10.701393026650299</v>
      </c>
      <c r="G55" s="3">
        <v>14.4681109251158</v>
      </c>
      <c r="H55" s="3">
        <v>11.3319540826588</v>
      </c>
      <c r="I55" s="3">
        <v>17.049126204702102</v>
      </c>
      <c r="J55" s="3">
        <v>14.185949416563901</v>
      </c>
      <c r="K55" s="3">
        <v>11.6341800814503</v>
      </c>
      <c r="L55" s="3">
        <v>12.839078143988599</v>
      </c>
      <c r="M55" s="3">
        <v>13.2602411927482</v>
      </c>
      <c r="N55" s="3">
        <v>9.2134441447855195</v>
      </c>
    </row>
    <row r="56" spans="1:14" x14ac:dyDescent="0.35">
      <c r="A56" s="2">
        <v>43490</v>
      </c>
      <c r="B56" s="3">
        <v>20.634905232582</v>
      </c>
      <c r="C56" s="3">
        <v>14.769617869442801</v>
      </c>
      <c r="D56" s="3">
        <v>13.5128194772534</v>
      </c>
      <c r="E56" s="3">
        <v>11.883778961671</v>
      </c>
      <c r="F56" s="3">
        <v>11.876042687182</v>
      </c>
      <c r="G56" s="3">
        <v>15.470504412874</v>
      </c>
      <c r="H56" s="3">
        <v>11.895389779979499</v>
      </c>
      <c r="I56" s="3">
        <v>18.6337869979162</v>
      </c>
      <c r="J56" s="3">
        <v>15.480909018284001</v>
      </c>
      <c r="K56" s="3">
        <v>12.6846410356428</v>
      </c>
      <c r="L56" s="3">
        <v>14.045119654772201</v>
      </c>
      <c r="M56" s="3">
        <v>13.497610921581099</v>
      </c>
      <c r="N56" s="3">
        <v>9.8969749676626009</v>
      </c>
    </row>
    <row r="57" spans="1:14" x14ac:dyDescent="0.35">
      <c r="A57" s="2">
        <v>43522</v>
      </c>
      <c r="B57" s="3">
        <v>21.469510181039102</v>
      </c>
      <c r="C57" s="3">
        <v>15.2555252730345</v>
      </c>
      <c r="D57" s="3">
        <v>14.1446299465278</v>
      </c>
      <c r="E57" s="3">
        <v>12.133406909163799</v>
      </c>
      <c r="F57" s="3">
        <v>12.5148751191713</v>
      </c>
      <c r="G57" s="3">
        <v>16.3252933617288</v>
      </c>
      <c r="H57" s="3">
        <v>12.4937857714463</v>
      </c>
      <c r="I57" s="3">
        <v>19.712096716035301</v>
      </c>
      <c r="J57" s="3">
        <v>16.2721574431263</v>
      </c>
      <c r="K57" s="3">
        <v>13.4345093136836</v>
      </c>
      <c r="L57" s="3">
        <v>14.9182214402084</v>
      </c>
      <c r="M57" s="3">
        <v>14.85041033141</v>
      </c>
      <c r="N57" s="3">
        <v>10.4954957761803</v>
      </c>
    </row>
    <row r="58" spans="1:14" x14ac:dyDescent="0.35">
      <c r="A58" s="2">
        <v>43550</v>
      </c>
      <c r="B58" s="3">
        <v>21.7879793728154</v>
      </c>
      <c r="C58" s="3">
        <v>15.2223555871541</v>
      </c>
      <c r="D58" s="3">
        <v>14.1432288739607</v>
      </c>
      <c r="E58" s="3">
        <v>12.0938640049149</v>
      </c>
      <c r="F58" s="3">
        <v>12.6611893683424</v>
      </c>
      <c r="G58" s="3">
        <v>16.420566317708801</v>
      </c>
      <c r="H58" s="3">
        <v>12.480651065584899</v>
      </c>
      <c r="I58" s="3">
        <v>20.283614182246701</v>
      </c>
      <c r="J58" s="3">
        <v>16.3441513086333</v>
      </c>
      <c r="K58" s="3">
        <v>13.510497037987401</v>
      </c>
      <c r="L58" s="3">
        <v>15.026527119549201</v>
      </c>
      <c r="M58" s="3">
        <v>14.8957913820716</v>
      </c>
      <c r="N58" s="3">
        <v>10.7216680795177</v>
      </c>
    </row>
    <row r="59" spans="1:14" x14ac:dyDescent="0.35">
      <c r="A59" s="2">
        <v>43581</v>
      </c>
      <c r="B59" s="3">
        <v>22.656241883512799</v>
      </c>
      <c r="C59" s="3">
        <v>15.543007785613099</v>
      </c>
      <c r="D59" s="3">
        <v>13.9518569273026</v>
      </c>
      <c r="E59" s="3">
        <v>12.996511226302999</v>
      </c>
      <c r="F59" s="3">
        <v>12.7370376328623</v>
      </c>
      <c r="G59" s="3">
        <v>16.909582008761799</v>
      </c>
      <c r="H59" s="3">
        <v>12.661174008425199</v>
      </c>
      <c r="I59" s="3">
        <v>21.407128373124699</v>
      </c>
      <c r="J59" s="3">
        <v>16.902202174316798</v>
      </c>
      <c r="K59" s="3">
        <v>14.099702078520201</v>
      </c>
      <c r="L59" s="3">
        <v>15.681772093142101</v>
      </c>
      <c r="M59" s="3">
        <v>15.889131138921501</v>
      </c>
      <c r="N59" s="3">
        <v>10.864354512141601</v>
      </c>
    </row>
    <row r="60" spans="1:14" x14ac:dyDescent="0.35">
      <c r="A60" s="2">
        <v>43609</v>
      </c>
      <c r="B60" s="3">
        <v>23.346084943639099</v>
      </c>
      <c r="C60" s="3">
        <v>15.6744808786086</v>
      </c>
      <c r="D60" s="3">
        <v>13.482806202935199</v>
      </c>
      <c r="E60" s="3">
        <v>12.301885589372301</v>
      </c>
      <c r="F60" s="3">
        <v>12.306404162138801</v>
      </c>
      <c r="G60" s="3">
        <v>16.735455163495601</v>
      </c>
      <c r="H60" s="3">
        <v>12.2191402150941</v>
      </c>
      <c r="I60" s="3">
        <v>19.8598179647481</v>
      </c>
      <c r="J60" s="3">
        <v>16.135533515330099</v>
      </c>
      <c r="K60" s="3">
        <v>13.4359249598246</v>
      </c>
      <c r="L60" s="3">
        <v>14.998142057993499</v>
      </c>
      <c r="M60" s="3">
        <v>14.674033854925099</v>
      </c>
      <c r="N60" s="3">
        <v>10.1556415681396</v>
      </c>
    </row>
    <row r="61" spans="1:14" x14ac:dyDescent="0.35">
      <c r="A61" s="2">
        <v>43642</v>
      </c>
      <c r="B61" s="3">
        <v>23.4321512478807</v>
      </c>
      <c r="C61" s="3">
        <v>16.2498824228411</v>
      </c>
      <c r="D61" s="3">
        <v>13.6143518798428</v>
      </c>
      <c r="E61" s="3">
        <v>12.5522526495911</v>
      </c>
      <c r="F61" s="3">
        <v>12.5846595001696</v>
      </c>
      <c r="G61" s="3">
        <v>17.049284428599002</v>
      </c>
      <c r="H61" s="3">
        <v>12.5522227596503</v>
      </c>
      <c r="I61" s="3">
        <v>20.7011940365865</v>
      </c>
      <c r="J61" s="3">
        <v>16.5706857828689</v>
      </c>
      <c r="K61" s="3">
        <v>13.8011665517904</v>
      </c>
      <c r="L61" s="3">
        <v>15.300880310510401</v>
      </c>
      <c r="M61" s="3">
        <v>14.9305008379983</v>
      </c>
      <c r="N61" s="3">
        <v>10.3925922403876</v>
      </c>
    </row>
    <row r="62" spans="1:14" x14ac:dyDescent="0.35">
      <c r="A62" s="2">
        <v>43672</v>
      </c>
      <c r="B62" s="3">
        <v>24.455051715669502</v>
      </c>
      <c r="C62" s="3">
        <v>16.388720713714601</v>
      </c>
      <c r="D62" s="3">
        <v>13.741239514338</v>
      </c>
      <c r="E62" s="3">
        <v>13.0103525290126</v>
      </c>
      <c r="F62" s="3">
        <v>12.912706996372901</v>
      </c>
      <c r="G62" s="3">
        <v>17.099839459551902</v>
      </c>
      <c r="H62" s="3">
        <v>12.6421405434335</v>
      </c>
      <c r="I62" s="3">
        <v>21.531458446038599</v>
      </c>
      <c r="J62" s="3">
        <v>17.214526634445999</v>
      </c>
      <c r="K62" s="3">
        <v>14.210611540927999</v>
      </c>
      <c r="L62" s="3">
        <v>15.98423343854</v>
      </c>
      <c r="M62" s="3">
        <v>15.029821851869899</v>
      </c>
      <c r="N62" s="3">
        <v>10.758513118256801</v>
      </c>
    </row>
    <row r="63" spans="1:14" x14ac:dyDescent="0.35">
      <c r="A63" s="2">
        <v>43703</v>
      </c>
      <c r="B63" s="3">
        <v>25.352018832934998</v>
      </c>
      <c r="C63" s="3">
        <v>15.812925388802199</v>
      </c>
      <c r="D63" s="3">
        <v>13.3878472702804</v>
      </c>
      <c r="E63" s="3">
        <v>12.3152996597978</v>
      </c>
      <c r="F63" s="3">
        <v>12.257077868574401</v>
      </c>
      <c r="G63" s="3">
        <v>16.717720621762201</v>
      </c>
      <c r="H63" s="3">
        <v>11.832094367155699</v>
      </c>
      <c r="I63" s="3">
        <v>20.167295973246599</v>
      </c>
      <c r="J63" s="3">
        <v>16.309923408295901</v>
      </c>
      <c r="K63" s="3">
        <v>13.494434446186</v>
      </c>
      <c r="L63" s="3">
        <v>15.0330318017264</v>
      </c>
      <c r="M63" s="3">
        <v>13.4814675992757</v>
      </c>
      <c r="N63" s="3">
        <v>10.1808641763516</v>
      </c>
    </row>
    <row r="64" spans="1:14" x14ac:dyDescent="0.35">
      <c r="A64" s="2">
        <v>43734</v>
      </c>
      <c r="B64" s="3">
        <v>25.3107720819851</v>
      </c>
      <c r="C64" s="3">
        <v>16.610947107203</v>
      </c>
      <c r="D64" s="3">
        <v>14.012611176979499</v>
      </c>
      <c r="E64" s="3">
        <v>12.914279250851299</v>
      </c>
      <c r="F64" s="3">
        <v>13.4591900315068</v>
      </c>
      <c r="G64" s="3">
        <v>17.0577348682272</v>
      </c>
      <c r="H64" s="3">
        <v>12.363299336463101</v>
      </c>
      <c r="I64" s="3">
        <v>20.516016901645798</v>
      </c>
      <c r="J64" s="3">
        <v>16.811132414847499</v>
      </c>
      <c r="K64" s="3">
        <v>14.0621256954592</v>
      </c>
      <c r="L64" s="3">
        <v>16.2426657068727</v>
      </c>
      <c r="M64" s="3">
        <v>14.923985008635301</v>
      </c>
      <c r="N64" s="3">
        <v>10.7538874779469</v>
      </c>
    </row>
    <row r="65" spans="1:14" x14ac:dyDescent="0.35">
      <c r="A65" s="2">
        <v>43763</v>
      </c>
      <c r="B65" s="3">
        <v>24.760953623602799</v>
      </c>
      <c r="C65" s="3">
        <v>16.994813037770498</v>
      </c>
      <c r="D65" s="3">
        <v>13.865887541224801</v>
      </c>
      <c r="E65" s="3">
        <v>13.5369346580929</v>
      </c>
      <c r="F65" s="3">
        <v>13.714448807687599</v>
      </c>
      <c r="G65" s="3">
        <v>17.239469450315401</v>
      </c>
      <c r="H65" s="3">
        <v>12.6478347590967</v>
      </c>
      <c r="I65" s="3">
        <v>20.990452742507699</v>
      </c>
      <c r="J65" s="3">
        <v>17.099271053820701</v>
      </c>
      <c r="K65" s="3">
        <v>14.4277029342724</v>
      </c>
      <c r="L65" s="3">
        <v>16.268088788558501</v>
      </c>
      <c r="M65" s="3">
        <v>15.809437681871101</v>
      </c>
      <c r="N65" s="3">
        <v>11.0901514356213</v>
      </c>
    </row>
    <row r="66" spans="1:14" x14ac:dyDescent="0.35">
      <c r="A66" s="2">
        <v>43795</v>
      </c>
      <c r="B66" s="3">
        <v>25.247324434616601</v>
      </c>
      <c r="C66" s="3">
        <v>17.278661966656401</v>
      </c>
      <c r="D66" s="3">
        <v>14.379300142078501</v>
      </c>
      <c r="E66" s="3">
        <v>14.0881186614701</v>
      </c>
      <c r="F66" s="3">
        <v>14.243190002675799</v>
      </c>
      <c r="G66" s="3">
        <v>17.6129585715817</v>
      </c>
      <c r="H66" s="3">
        <v>12.990039711938399</v>
      </c>
      <c r="I66" s="3">
        <v>21.976040495007901</v>
      </c>
      <c r="J66" s="3">
        <v>17.718906119498801</v>
      </c>
      <c r="K66" s="3">
        <v>14.8302521770848</v>
      </c>
      <c r="L66" s="3">
        <v>16.7837496166444</v>
      </c>
      <c r="M66" s="3">
        <v>15.7013791936501</v>
      </c>
      <c r="N66" s="3">
        <v>11.299314255111501</v>
      </c>
    </row>
    <row r="67" spans="1:14" x14ac:dyDescent="0.35">
      <c r="A67" s="2">
        <v>43825</v>
      </c>
      <c r="B67" s="3">
        <v>26.251763222058699</v>
      </c>
      <c r="C67" s="3">
        <v>17.412781268095799</v>
      </c>
      <c r="D67" s="3">
        <v>14.527907018811501</v>
      </c>
      <c r="E67" s="3">
        <v>14.1766172997396</v>
      </c>
      <c r="F67" s="3">
        <v>14.630697393142899</v>
      </c>
      <c r="G67" s="3">
        <v>17.9268211649213</v>
      </c>
      <c r="H67" s="3">
        <v>13.535977693546201</v>
      </c>
      <c r="I67" s="3">
        <v>22.8914782976833</v>
      </c>
      <c r="J67" s="3">
        <v>18.232753628205</v>
      </c>
      <c r="K67" s="3">
        <v>15.020286269230001</v>
      </c>
      <c r="L67" s="3">
        <v>17.1403047845637</v>
      </c>
      <c r="M67" s="3">
        <v>16.319258018858601</v>
      </c>
      <c r="N67" s="3">
        <v>11.5912673630475</v>
      </c>
    </row>
    <row r="68" spans="1:14" x14ac:dyDescent="0.35">
      <c r="A68" s="2">
        <v>43854</v>
      </c>
      <c r="B68" s="3">
        <v>26.605994238861701</v>
      </c>
      <c r="C68" s="3">
        <v>18.151617219418799</v>
      </c>
      <c r="D68" s="3">
        <v>14.6847313883159</v>
      </c>
      <c r="E68" s="3">
        <v>14.4042959824331</v>
      </c>
      <c r="F68" s="3">
        <v>14.6010547118797</v>
      </c>
      <c r="G68" s="3">
        <v>18.165385291572601</v>
      </c>
      <c r="H68" s="3">
        <v>13.4719154253692</v>
      </c>
      <c r="I68" s="3">
        <v>23.5188576054374</v>
      </c>
      <c r="J68" s="3">
        <v>18.438398512993501</v>
      </c>
      <c r="K68" s="3">
        <v>15.0110666322888</v>
      </c>
      <c r="L68" s="3">
        <v>17.4273954223973</v>
      </c>
      <c r="M68" s="3">
        <v>16.470003013605702</v>
      </c>
      <c r="N68" s="3">
        <v>11.541709923878599</v>
      </c>
    </row>
    <row r="69" spans="1:14" x14ac:dyDescent="0.35">
      <c r="A69" s="2">
        <v>43887</v>
      </c>
      <c r="B69" s="3">
        <v>26.171101207398699</v>
      </c>
      <c r="C69" s="3">
        <v>17.2320419905816</v>
      </c>
      <c r="D69" s="3">
        <v>14.317490838619801</v>
      </c>
      <c r="E69" s="3">
        <v>13.5504034590726</v>
      </c>
      <c r="F69" s="3">
        <v>13.7236514863779</v>
      </c>
      <c r="G69" s="3">
        <v>17.530487033496399</v>
      </c>
      <c r="H69" s="3">
        <v>12.7004021955063</v>
      </c>
      <c r="I69" s="3">
        <v>22.380425925412801</v>
      </c>
      <c r="J69" s="3">
        <v>17.465321382115501</v>
      </c>
      <c r="K69" s="3">
        <v>14.338119552308701</v>
      </c>
      <c r="L69" s="3">
        <v>16.793098297203802</v>
      </c>
      <c r="M69" s="3">
        <v>16.048401764203401</v>
      </c>
      <c r="N69" s="3">
        <v>11.2192565887347</v>
      </c>
    </row>
    <row r="70" spans="1:14" x14ac:dyDescent="0.35">
      <c r="A70" s="2">
        <v>43916</v>
      </c>
      <c r="B70" s="3">
        <v>24.2631753830821</v>
      </c>
      <c r="C70" s="3">
        <v>13.923350820918801</v>
      </c>
      <c r="D70" s="3">
        <v>12.947647770502</v>
      </c>
      <c r="E70" s="3">
        <v>11.771230554436601</v>
      </c>
      <c r="F70" s="3">
        <v>12.1385021645807</v>
      </c>
      <c r="G70" s="3">
        <v>15.6620392518335</v>
      </c>
      <c r="H70" s="3">
        <v>11.736988512344899</v>
      </c>
      <c r="I70" s="3">
        <v>20.668535396287499</v>
      </c>
      <c r="J70" s="3">
        <v>15.5875919389755</v>
      </c>
      <c r="K70" s="3">
        <v>12.679730434885601</v>
      </c>
      <c r="L70" s="3">
        <v>14.0624606897082</v>
      </c>
      <c r="M70" s="3">
        <v>13.897511339482</v>
      </c>
      <c r="N70" s="3">
        <v>9.4534618414805696</v>
      </c>
    </row>
    <row r="71" spans="1:14" x14ac:dyDescent="0.35">
      <c r="A71" s="2">
        <v>43945</v>
      </c>
      <c r="B71" s="3">
        <v>28.4365506202878</v>
      </c>
      <c r="C71" s="3">
        <v>16.1564631300181</v>
      </c>
      <c r="D71" s="3">
        <v>15.758740817768</v>
      </c>
      <c r="E71" s="3">
        <v>14.005267690838901</v>
      </c>
      <c r="F71" s="3">
        <v>13.5480340560973</v>
      </c>
      <c r="G71" s="3">
        <v>18.115522310343199</v>
      </c>
      <c r="H71" s="3">
        <v>13.924059925681</v>
      </c>
      <c r="I71" s="3">
        <v>24.408036250621802</v>
      </c>
      <c r="J71" s="3">
        <v>19.569945942764001</v>
      </c>
      <c r="K71" s="3">
        <v>15.406295753329299</v>
      </c>
      <c r="L71" s="3">
        <v>16.5905504916133</v>
      </c>
      <c r="M71" s="3">
        <v>16.420151596549399</v>
      </c>
      <c r="N71" s="3">
        <v>12.0700922455772</v>
      </c>
    </row>
    <row r="72" spans="1:14" x14ac:dyDescent="0.35">
      <c r="A72" s="2">
        <v>43977</v>
      </c>
      <c r="B72" s="3">
        <v>32.0758411166698</v>
      </c>
      <c r="C72" s="3">
        <v>18.624879643419501</v>
      </c>
      <c r="D72" s="3">
        <v>18.525830783650498</v>
      </c>
      <c r="E72" s="3">
        <v>16.458248152108801</v>
      </c>
      <c r="F72" s="3">
        <v>15.631060205929</v>
      </c>
      <c r="G72" s="3">
        <v>18.9909327988134</v>
      </c>
      <c r="H72" s="3">
        <v>15.785916389154901</v>
      </c>
      <c r="I72" s="3">
        <v>26.914287395159299</v>
      </c>
      <c r="J72" s="3">
        <v>21.290123366650299</v>
      </c>
      <c r="K72" s="3">
        <v>17.192746776697501</v>
      </c>
      <c r="L72" s="3">
        <v>18.202801184345699</v>
      </c>
      <c r="M72" s="3">
        <v>18.206558878990101</v>
      </c>
      <c r="N72" s="3">
        <v>15.4203450136353</v>
      </c>
    </row>
    <row r="73" spans="1:14" x14ac:dyDescent="0.35">
      <c r="A73" s="2">
        <v>44008</v>
      </c>
      <c r="B73" s="3">
        <v>30.42766345727</v>
      </c>
      <c r="C73" s="3">
        <v>18.823478961166099</v>
      </c>
      <c r="D73" s="3">
        <v>17.364011557392601</v>
      </c>
      <c r="E73" s="3">
        <v>17.3644500058966</v>
      </c>
      <c r="F73" s="3">
        <v>17.850933855598299</v>
      </c>
      <c r="G73" s="3">
        <v>19.2339199768474</v>
      </c>
      <c r="H73" s="3">
        <v>15.8076456505569</v>
      </c>
      <c r="I73" s="3">
        <v>27.583090016166299</v>
      </c>
      <c r="J73" s="3">
        <v>21.1139260292987</v>
      </c>
      <c r="K73" s="3">
        <v>18.629253782420001</v>
      </c>
      <c r="L73" s="3">
        <v>19.400091377086401</v>
      </c>
      <c r="M73" s="3">
        <v>19.220469240516898</v>
      </c>
      <c r="N73" s="3">
        <v>17.1626935860264</v>
      </c>
    </row>
    <row r="74" spans="1:14" x14ac:dyDescent="0.35">
      <c r="A74" s="2">
        <v>44036</v>
      </c>
      <c r="B74" s="3">
        <v>32.058621937865603</v>
      </c>
      <c r="C74" s="3">
        <v>19.2925175236911</v>
      </c>
      <c r="D74" s="3">
        <v>17.337314081403001</v>
      </c>
      <c r="E74" s="3">
        <v>18.166246739063102</v>
      </c>
      <c r="F74" s="3">
        <v>17.9332579095515</v>
      </c>
      <c r="G74" s="3">
        <v>19.602183401478001</v>
      </c>
      <c r="H74" s="3">
        <v>15.669161445160601</v>
      </c>
      <c r="I74" s="3">
        <v>28.598689109442901</v>
      </c>
      <c r="J74" s="3">
        <v>22.002333252697699</v>
      </c>
      <c r="K74" s="3">
        <v>19.446012895059699</v>
      </c>
      <c r="L74" s="3">
        <v>19.9827477222649</v>
      </c>
      <c r="M74" s="3">
        <v>18.6877888154449</v>
      </c>
      <c r="N74" s="3">
        <v>17.491534708852601</v>
      </c>
    </row>
    <row r="75" spans="1:14" x14ac:dyDescent="0.35">
      <c r="A75" s="2">
        <v>44069</v>
      </c>
      <c r="B75" s="3">
        <v>33.40646300977</v>
      </c>
      <c r="C75" s="3">
        <v>19.653231356249801</v>
      </c>
      <c r="D75" s="3">
        <v>17.529749786265899</v>
      </c>
      <c r="E75" s="3">
        <v>18.176232712660799</v>
      </c>
      <c r="F75" s="3">
        <v>18.2138545291977</v>
      </c>
      <c r="G75" s="3">
        <v>19.680380269663299</v>
      </c>
      <c r="H75" s="3">
        <v>15.384132063163401</v>
      </c>
      <c r="I75" s="3">
        <v>31.2642206631043</v>
      </c>
      <c r="J75" s="3">
        <v>22.802703599399401</v>
      </c>
      <c r="K75" s="3">
        <v>19.7708046817277</v>
      </c>
      <c r="L75" s="3">
        <v>20.222230924368699</v>
      </c>
      <c r="M75" s="3">
        <v>18.4292964318944</v>
      </c>
      <c r="N75" s="3">
        <v>16.1933219701287</v>
      </c>
    </row>
    <row r="76" spans="1:14" x14ac:dyDescent="0.35">
      <c r="A76" s="2">
        <v>44099</v>
      </c>
      <c r="B76" s="3">
        <v>31.7262487749569</v>
      </c>
      <c r="C76" s="3">
        <v>18.471502179878001</v>
      </c>
      <c r="D76" s="3">
        <v>16.236707615585001</v>
      </c>
      <c r="E76" s="3">
        <v>16.5187691366732</v>
      </c>
      <c r="F76" s="3">
        <v>18.215985755961601</v>
      </c>
      <c r="G76" s="3">
        <v>18.8842584519426</v>
      </c>
      <c r="H76" s="3">
        <v>14.283440271017</v>
      </c>
      <c r="I76" s="3">
        <v>28.5903851037965</v>
      </c>
      <c r="J76" s="3">
        <v>21.1675885879487</v>
      </c>
      <c r="K76" s="3">
        <v>17.764964134160302</v>
      </c>
      <c r="L76" s="3">
        <v>18.926897434403099</v>
      </c>
      <c r="M76" s="3">
        <v>17.859413085237001</v>
      </c>
      <c r="N76" s="3">
        <v>14.606581570575701</v>
      </c>
    </row>
    <row r="77" spans="1:14" x14ac:dyDescent="0.35">
      <c r="A77" s="2">
        <v>44130</v>
      </c>
      <c r="B77" s="3">
        <v>33.786902312111501</v>
      </c>
      <c r="C77" s="3">
        <v>18.561973332500099</v>
      </c>
      <c r="D77" s="3">
        <v>15.7578232399929</v>
      </c>
      <c r="E77" s="3">
        <v>15.4212271874609</v>
      </c>
      <c r="F77" s="3">
        <v>17.635142312206</v>
      </c>
      <c r="G77" s="3">
        <v>18.3458765023484</v>
      </c>
      <c r="H77" s="3">
        <v>13.761099914776899</v>
      </c>
      <c r="I77" s="3">
        <v>28.954956664597901</v>
      </c>
      <c r="J77" s="3">
        <v>21.244529797847399</v>
      </c>
      <c r="K77" s="3">
        <v>17.527819576142001</v>
      </c>
      <c r="L77" s="3">
        <v>19.0581722991909</v>
      </c>
      <c r="M77" s="3">
        <v>16.6358232520993</v>
      </c>
      <c r="N77" s="3">
        <v>14.112002169921</v>
      </c>
    </row>
    <row r="78" spans="1:14" x14ac:dyDescent="0.35">
      <c r="A78" s="2">
        <v>44160</v>
      </c>
      <c r="B78" s="3">
        <v>32.222548276134198</v>
      </c>
      <c r="C78" s="3">
        <v>19.926624466014601</v>
      </c>
      <c r="D78" s="3">
        <v>16.269656588948301</v>
      </c>
      <c r="E78" s="3">
        <v>16.239101028737501</v>
      </c>
      <c r="F78" s="3">
        <v>18.683680256489701</v>
      </c>
      <c r="G78" s="3">
        <v>18.800177650056298</v>
      </c>
      <c r="H78" s="3">
        <v>14.763396748864301</v>
      </c>
      <c r="I78" s="3">
        <v>29.449286883396699</v>
      </c>
      <c r="J78" s="3">
        <v>21.892941898819402</v>
      </c>
      <c r="K78" s="3">
        <v>19.178131635067601</v>
      </c>
      <c r="L78" s="3">
        <v>20.4877145145154</v>
      </c>
      <c r="M78" s="3">
        <v>17.382682470501798</v>
      </c>
      <c r="N78" s="3">
        <v>15.3715733329571</v>
      </c>
    </row>
    <row r="79" spans="1:14" x14ac:dyDescent="0.35">
      <c r="A79" s="2">
        <v>44189</v>
      </c>
      <c r="B79" s="3">
        <v>34.369768229868399</v>
      </c>
      <c r="C79" s="3">
        <v>19.2405379037905</v>
      </c>
      <c r="D79" s="3">
        <v>16.022561482940901</v>
      </c>
      <c r="E79" s="3">
        <v>16.0013570519307</v>
      </c>
      <c r="F79" s="3">
        <v>18.1484885676693</v>
      </c>
      <c r="G79" s="3">
        <v>18.4028477199364</v>
      </c>
      <c r="H79" s="3">
        <v>14.554568069134801</v>
      </c>
      <c r="I79" s="3">
        <v>29.805806396252802</v>
      </c>
      <c r="J79" s="3">
        <v>22.230086934488899</v>
      </c>
      <c r="K79" s="3">
        <v>18.072849224535702</v>
      </c>
      <c r="L79" s="3">
        <v>20.681193040256499</v>
      </c>
      <c r="M79" s="3">
        <v>17.076698830784999</v>
      </c>
      <c r="N79" s="3">
        <v>14.8376441783332</v>
      </c>
    </row>
    <row r="80" spans="1:14" x14ac:dyDescent="0.35">
      <c r="A80" s="2">
        <v>44222</v>
      </c>
      <c r="B80" s="3">
        <v>34.0080428094114</v>
      </c>
      <c r="C80" s="3">
        <v>19.337231276032</v>
      </c>
      <c r="D80" s="3">
        <v>15.825633508292</v>
      </c>
      <c r="E80" s="3">
        <v>15.849249676012001</v>
      </c>
      <c r="F80" s="3">
        <v>18.547700675998801</v>
      </c>
      <c r="G80" s="3">
        <v>18.998920324981199</v>
      </c>
      <c r="H80" s="3">
        <v>14.287133308037699</v>
      </c>
      <c r="I80" s="3">
        <v>30.906969682115601</v>
      </c>
      <c r="J80" s="3">
        <v>22.3748592844242</v>
      </c>
      <c r="K80" s="3">
        <v>17.692791061837699</v>
      </c>
      <c r="L80" s="3">
        <v>21.4569957517737</v>
      </c>
      <c r="M80" s="3">
        <v>18.970416020118702</v>
      </c>
      <c r="N80" s="3">
        <v>13.535995086616801</v>
      </c>
    </row>
    <row r="81" spans="1:14" x14ac:dyDescent="0.35">
      <c r="A81" s="2">
        <v>44253</v>
      </c>
      <c r="B81" s="3">
        <v>31.507983403909002</v>
      </c>
      <c r="C81" s="3">
        <v>17.955050692596402</v>
      </c>
      <c r="D81" s="3">
        <v>15.117728459974501</v>
      </c>
      <c r="E81" s="3">
        <v>15.3083667940233</v>
      </c>
      <c r="F81" s="3">
        <v>17.643021478725199</v>
      </c>
      <c r="G81" s="3">
        <v>18.237486592664901</v>
      </c>
      <c r="H81" s="3">
        <v>13.7601498222767</v>
      </c>
      <c r="I81" s="3">
        <v>27.8476226514322</v>
      </c>
      <c r="J81" s="3">
        <v>21.385940533115299</v>
      </c>
      <c r="K81" s="3">
        <v>17.731265894421799</v>
      </c>
      <c r="L81" s="3">
        <v>21.416699370011202</v>
      </c>
      <c r="M81" s="3">
        <v>18.7197263433983</v>
      </c>
      <c r="N81" s="3">
        <v>13.701980133488</v>
      </c>
    </row>
    <row r="82" spans="1:14" x14ac:dyDescent="0.35">
      <c r="A82" s="2">
        <v>44281</v>
      </c>
      <c r="B82" s="3">
        <v>31.976178130951801</v>
      </c>
      <c r="C82" s="3">
        <v>17.736930570692</v>
      </c>
      <c r="D82" s="3">
        <v>15.370318025223799</v>
      </c>
      <c r="E82" s="3">
        <v>15.9046684397728</v>
      </c>
      <c r="F82" s="3">
        <v>17.814432164378101</v>
      </c>
      <c r="G82" s="3">
        <v>18.797294737943101</v>
      </c>
      <c r="H82" s="3">
        <v>13.636009786967699</v>
      </c>
      <c r="I82" s="3">
        <v>27.777401335377601</v>
      </c>
      <c r="J82" s="3">
        <v>21.952386933680501</v>
      </c>
      <c r="K82" s="3">
        <v>18.128003031858899</v>
      </c>
      <c r="L82" s="3">
        <v>22.289181552451101</v>
      </c>
      <c r="M82" s="3">
        <v>20.249308693453699</v>
      </c>
      <c r="N82" s="3">
        <v>13.929269466026801</v>
      </c>
    </row>
    <row r="83" spans="1:14" x14ac:dyDescent="0.35">
      <c r="A83" s="2">
        <v>44312</v>
      </c>
      <c r="B83" s="3">
        <v>32.222940023235303</v>
      </c>
      <c r="C83" s="3">
        <v>18.100630680030001</v>
      </c>
      <c r="D83" s="3">
        <v>15.5225765947251</v>
      </c>
      <c r="E83" s="3">
        <v>15.528819727357099</v>
      </c>
      <c r="F83" s="3">
        <v>16.919620217297499</v>
      </c>
      <c r="G83" s="3">
        <v>18.661759952239802</v>
      </c>
      <c r="H83" s="3">
        <v>13.472156475512101</v>
      </c>
      <c r="I83" s="3">
        <v>29.506842274044001</v>
      </c>
      <c r="J83" s="3">
        <v>22.2483108797061</v>
      </c>
      <c r="K83" s="3">
        <v>18.1976550587977</v>
      </c>
      <c r="L83" s="3">
        <v>22.384486030534099</v>
      </c>
      <c r="M83" s="3">
        <v>19.391311235754198</v>
      </c>
      <c r="N83" s="3">
        <v>13.745008459957701</v>
      </c>
    </row>
    <row r="84" spans="1:14" x14ac:dyDescent="0.35">
      <c r="A84" s="2">
        <v>44342</v>
      </c>
      <c r="B84" s="3">
        <v>31.856847686065102</v>
      </c>
      <c r="C84" s="3">
        <v>17.8428006572348</v>
      </c>
      <c r="D84" s="3">
        <v>15.4726357609625</v>
      </c>
      <c r="E84" s="3">
        <v>14.8065569626807</v>
      </c>
      <c r="F84" s="3">
        <v>16.3397186885297</v>
      </c>
      <c r="G84" s="3">
        <v>19.278817278884301</v>
      </c>
      <c r="H84" s="3">
        <v>13.184074270993101</v>
      </c>
      <c r="I84" s="3">
        <v>27.078570412584199</v>
      </c>
      <c r="J84" s="3">
        <v>21.261581741071598</v>
      </c>
      <c r="K84" s="3">
        <v>17.718836408256699</v>
      </c>
      <c r="L84" s="3">
        <v>21.373256782682901</v>
      </c>
      <c r="M84" s="3">
        <v>17.6567913243689</v>
      </c>
      <c r="N84" s="3">
        <v>13.251802251067801</v>
      </c>
    </row>
    <row r="85" spans="1:14" x14ac:dyDescent="0.35">
      <c r="A85" s="2">
        <v>44372</v>
      </c>
      <c r="B85" s="3">
        <v>33.6499530399348</v>
      </c>
      <c r="C85" s="3">
        <v>17.741509501684799</v>
      </c>
      <c r="D85" s="3">
        <v>15.691891792139501</v>
      </c>
      <c r="E85" s="3">
        <v>14.8550789378823</v>
      </c>
      <c r="F85" s="3">
        <v>16.422662138578701</v>
      </c>
      <c r="G85" s="3">
        <v>19.943239712284701</v>
      </c>
      <c r="H85" s="3">
        <v>13.0061946976712</v>
      </c>
      <c r="I85" s="3">
        <v>27.977357396028999</v>
      </c>
      <c r="J85" s="3">
        <v>21.334521232971401</v>
      </c>
      <c r="K85" s="3">
        <v>17.839858088702901</v>
      </c>
      <c r="L85" s="3">
        <v>21.383178000184</v>
      </c>
      <c r="M85" s="3">
        <v>18.6648337951173</v>
      </c>
      <c r="N85" s="3">
        <v>13.6286796464373</v>
      </c>
    </row>
    <row r="86" spans="1:14" x14ac:dyDescent="0.35">
      <c r="A86" s="2">
        <v>44403</v>
      </c>
      <c r="B86" s="3">
        <v>33.954712554533202</v>
      </c>
      <c r="C86" s="3">
        <v>16.829803943500799</v>
      </c>
      <c r="D86" s="3">
        <v>15.175062957742</v>
      </c>
      <c r="E86" s="3">
        <v>14.4782507544037</v>
      </c>
      <c r="F86" s="3">
        <v>15.8041979198645</v>
      </c>
      <c r="G86" s="3">
        <v>19.6421921322078</v>
      </c>
      <c r="H86" s="3">
        <v>12.366275740650901</v>
      </c>
      <c r="I86" s="3">
        <v>29.137610413972201</v>
      </c>
      <c r="J86" s="3">
        <v>21.4445839696081</v>
      </c>
      <c r="K86" s="3">
        <v>17.054646239237901</v>
      </c>
      <c r="L86" s="3">
        <v>21.433573657878402</v>
      </c>
      <c r="M86" s="3">
        <v>19.056545193942</v>
      </c>
      <c r="N86" s="3">
        <v>13.124693763721901</v>
      </c>
    </row>
    <row r="87" spans="1:14" x14ac:dyDescent="0.35">
      <c r="A87" s="2">
        <v>44434</v>
      </c>
      <c r="B87" s="3">
        <v>35.091112899075704</v>
      </c>
      <c r="C87" s="3">
        <v>17.184052338985101</v>
      </c>
      <c r="D87" s="3">
        <v>14.8379880148771</v>
      </c>
      <c r="E87" s="3">
        <v>14.1968588828686</v>
      </c>
      <c r="F87" s="3">
        <v>15.1800831341251</v>
      </c>
      <c r="G87" s="3">
        <v>19.854871273987499</v>
      </c>
      <c r="H87" s="3">
        <v>12.1586100627239</v>
      </c>
      <c r="I87" s="3">
        <v>28.140055036473701</v>
      </c>
      <c r="J87" s="3">
        <v>21.004900356857899</v>
      </c>
      <c r="K87" s="3">
        <v>16.293539915405098</v>
      </c>
      <c r="L87" s="3">
        <v>21.759151208071099</v>
      </c>
      <c r="M87" s="3">
        <v>18.494142159622101</v>
      </c>
      <c r="N87" s="3">
        <v>11.9573475436459</v>
      </c>
    </row>
    <row r="88" spans="1:14" x14ac:dyDescent="0.35">
      <c r="A88" s="2">
        <v>44463</v>
      </c>
      <c r="B88" s="3">
        <v>34.697678483326598</v>
      </c>
      <c r="C88" s="3">
        <v>17.021639844980601</v>
      </c>
      <c r="D88" s="3">
        <v>14.593714535481601</v>
      </c>
      <c r="E88" s="3">
        <v>13.805238587456699</v>
      </c>
      <c r="F88" s="3">
        <v>16.001629159862301</v>
      </c>
      <c r="G88" s="3">
        <v>18.745519261230601</v>
      </c>
      <c r="H88" s="3">
        <v>11.9079525100283</v>
      </c>
      <c r="I88" s="3">
        <v>28.009288056101699</v>
      </c>
      <c r="J88" s="3">
        <v>20.822333381495501</v>
      </c>
      <c r="K88" s="3">
        <v>15.981512396728499</v>
      </c>
      <c r="L88" s="3">
        <v>21.4406380088909</v>
      </c>
      <c r="M88" s="3">
        <v>18.237866080658399</v>
      </c>
      <c r="N88" s="3">
        <v>11.740586349524399</v>
      </c>
    </row>
    <row r="89" spans="1:14" x14ac:dyDescent="0.35">
      <c r="A89" s="2">
        <v>44495</v>
      </c>
      <c r="B89" s="3">
        <v>33.618056669951699</v>
      </c>
      <c r="C89" s="3">
        <v>17.6496028598593</v>
      </c>
      <c r="D89" s="3">
        <v>15.044702796810499</v>
      </c>
      <c r="E89" s="3">
        <v>13.8547592601836</v>
      </c>
      <c r="F89" s="3">
        <v>15.2680276799423</v>
      </c>
      <c r="G89" s="3">
        <v>18.935325844427801</v>
      </c>
      <c r="H89" s="3">
        <v>12.3073578484469</v>
      </c>
      <c r="I89" s="3">
        <v>28.451851838844899</v>
      </c>
      <c r="J89" s="3">
        <v>21.105695879351099</v>
      </c>
      <c r="K89" s="3">
        <v>15.6540780459645</v>
      </c>
      <c r="L89" s="3">
        <v>21.233496317003102</v>
      </c>
      <c r="M89" s="3">
        <v>18.586963101228601</v>
      </c>
      <c r="N89" s="3">
        <v>11.8853890700422</v>
      </c>
    </row>
    <row r="90" spans="1:14" x14ac:dyDescent="0.35">
      <c r="A90" s="2">
        <v>44526</v>
      </c>
      <c r="B90" s="3">
        <v>31.618648657824199</v>
      </c>
      <c r="C90" s="3">
        <v>16.911174781327301</v>
      </c>
      <c r="D90" s="3">
        <v>14.534128579926101</v>
      </c>
      <c r="E90" s="3">
        <v>12.984283613373799</v>
      </c>
      <c r="F90" s="3">
        <v>14.830425052577599</v>
      </c>
      <c r="G90" s="3">
        <v>18.689155144724001</v>
      </c>
      <c r="H90" s="3">
        <v>11.606123745836401</v>
      </c>
      <c r="I90" s="3">
        <v>28.855829041260801</v>
      </c>
      <c r="J90" s="3">
        <v>20.8352854061085</v>
      </c>
      <c r="K90" s="3">
        <v>15.1145108309173</v>
      </c>
      <c r="L90" s="3">
        <v>20.2241606212676</v>
      </c>
      <c r="M90" s="3">
        <v>17.8354785772976</v>
      </c>
      <c r="N90" s="3">
        <v>10.981136378192801</v>
      </c>
    </row>
    <row r="91" spans="1:14" x14ac:dyDescent="0.35">
      <c r="A91" s="2">
        <v>44553</v>
      </c>
      <c r="B91" s="3">
        <v>32.189344235294797</v>
      </c>
      <c r="C91" s="3">
        <v>17.403718771702302</v>
      </c>
      <c r="D91" s="3">
        <v>14.438343784062299</v>
      </c>
      <c r="E91" s="3">
        <v>13.3087133336742</v>
      </c>
      <c r="F91" s="3">
        <v>14.544734060278</v>
      </c>
      <c r="G91" s="3">
        <v>19.602727650428101</v>
      </c>
      <c r="H91" s="3">
        <v>12.1562975726288</v>
      </c>
      <c r="I91" s="3">
        <v>29.221219615568099</v>
      </c>
      <c r="J91" s="3">
        <v>21.232981016822102</v>
      </c>
      <c r="K91" s="3">
        <v>15.726654311137599</v>
      </c>
      <c r="L91" s="3">
        <v>20.3895057491555</v>
      </c>
      <c r="M91" s="3">
        <v>18.3021437850269</v>
      </c>
      <c r="N91" s="3">
        <v>10.9682717985864</v>
      </c>
    </row>
    <row r="92" spans="1:14" x14ac:dyDescent="0.35">
      <c r="A92" s="2">
        <v>44587</v>
      </c>
      <c r="B92" s="3">
        <v>30.2092304446819</v>
      </c>
      <c r="C92" s="3">
        <v>16.1501596683866</v>
      </c>
      <c r="D92" s="3">
        <v>13.7827347716057</v>
      </c>
      <c r="E92" s="3">
        <v>12.9298676118519</v>
      </c>
      <c r="F92" s="3">
        <v>13.608883618059901</v>
      </c>
      <c r="G92" s="3">
        <v>18.082591548932701</v>
      </c>
      <c r="H92" s="3">
        <v>12.276892074525501</v>
      </c>
      <c r="I92" s="3">
        <v>25.037237597772801</v>
      </c>
      <c r="J92" s="3">
        <v>19.2896692079328</v>
      </c>
      <c r="K92" s="3">
        <v>15.0291608891153</v>
      </c>
      <c r="L92" s="3">
        <v>18.5158629692862</v>
      </c>
      <c r="M92" s="3">
        <v>16.625285223405498</v>
      </c>
      <c r="N92" s="3">
        <v>10.7594492383259</v>
      </c>
    </row>
    <row r="93" spans="1:14" x14ac:dyDescent="0.35">
      <c r="A93" s="2">
        <v>44617</v>
      </c>
      <c r="B93" s="3">
        <v>28.908843392253299</v>
      </c>
      <c r="C93" s="3">
        <v>15.3303438279865</v>
      </c>
      <c r="D93" s="3">
        <v>13.920345181544301</v>
      </c>
      <c r="E93" s="3">
        <v>11.9246212459917</v>
      </c>
      <c r="F93" s="3">
        <v>13.2482600401162</v>
      </c>
      <c r="G93" s="3">
        <v>18.004263407887201</v>
      </c>
      <c r="H93" s="3">
        <v>12.0547836085592</v>
      </c>
      <c r="I93" s="3">
        <v>24.731466736257801</v>
      </c>
      <c r="J93" s="3">
        <v>19.159022278186601</v>
      </c>
      <c r="K93" s="3">
        <v>14.078124869194101</v>
      </c>
      <c r="L93" s="3">
        <v>17.470894222069099</v>
      </c>
      <c r="M93" s="3">
        <v>15.1580977838716</v>
      </c>
      <c r="N93" s="3">
        <v>9.9670891322372697</v>
      </c>
    </row>
    <row r="94" spans="1:14" x14ac:dyDescent="0.35">
      <c r="A94" s="2">
        <v>44645</v>
      </c>
      <c r="B94" s="3">
        <v>29.1736298449636</v>
      </c>
      <c r="C94" s="3">
        <v>16.207878886683702</v>
      </c>
      <c r="D94" s="3">
        <v>13.7049784168976</v>
      </c>
      <c r="E94" s="3">
        <v>11.540451202558</v>
      </c>
      <c r="F94" s="3">
        <v>13.5439132142007</v>
      </c>
      <c r="G94" s="3">
        <v>18.211573776821599</v>
      </c>
      <c r="H94" s="3">
        <v>11.5747501440389</v>
      </c>
      <c r="I94" s="3">
        <v>25.524710294589799</v>
      </c>
      <c r="J94" s="3">
        <v>19.5591761261418</v>
      </c>
      <c r="K94" s="3">
        <v>13.375572136952901</v>
      </c>
      <c r="L94" s="3">
        <v>18.201679442279602</v>
      </c>
      <c r="M94" s="3">
        <v>15.0101862994421</v>
      </c>
      <c r="N94" s="3">
        <v>9.5485122298851692</v>
      </c>
    </row>
    <row r="95" spans="1:14" x14ac:dyDescent="0.35">
      <c r="A95" s="2">
        <v>44677</v>
      </c>
      <c r="B95" s="3">
        <v>28.291535441388199</v>
      </c>
      <c r="C95" s="3">
        <v>14.880511763662801</v>
      </c>
      <c r="D95" s="3">
        <v>12.615852367221001</v>
      </c>
      <c r="E95" s="3">
        <v>11.001906295219401</v>
      </c>
      <c r="F95" s="3">
        <v>12.731636993433201</v>
      </c>
      <c r="G95" s="3">
        <v>17.639288226308199</v>
      </c>
      <c r="H95" s="3">
        <v>10.681363264754699</v>
      </c>
      <c r="I95" s="3">
        <v>22.307256646351799</v>
      </c>
      <c r="J95" s="3">
        <v>17.627122968765899</v>
      </c>
      <c r="K95" s="3">
        <v>12.7824497649015</v>
      </c>
      <c r="L95" s="3">
        <v>16.9000522358835</v>
      </c>
      <c r="M95" s="3">
        <v>14.372916216831801</v>
      </c>
      <c r="N95" s="3">
        <v>9.2141146380145802</v>
      </c>
    </row>
    <row r="96" spans="1:14" x14ac:dyDescent="0.35">
      <c r="A96" s="2">
        <v>44707</v>
      </c>
      <c r="B96" s="3">
        <v>26.726294262059501</v>
      </c>
      <c r="C96" s="3">
        <v>14.153728604738699</v>
      </c>
      <c r="D96" s="3">
        <v>12.3571865338204</v>
      </c>
      <c r="E96" s="3">
        <v>10.8359741692299</v>
      </c>
      <c r="F96" s="3">
        <v>12.6184368317164</v>
      </c>
      <c r="G96" s="3">
        <v>16.805223197403599</v>
      </c>
      <c r="H96" s="3">
        <v>10.5187766958202</v>
      </c>
      <c r="I96" s="3">
        <v>21.221106694159001</v>
      </c>
      <c r="J96" s="3">
        <v>17.060321958505501</v>
      </c>
      <c r="K96" s="3">
        <v>12.272314250766099</v>
      </c>
      <c r="L96" s="3">
        <v>16.937320103490801</v>
      </c>
      <c r="M96" s="3">
        <v>15.4688069650188</v>
      </c>
      <c r="N96" s="3">
        <v>9.0550595262468896</v>
      </c>
    </row>
    <row r="97" spans="1:14" x14ac:dyDescent="0.35">
      <c r="A97" s="2">
        <v>44736</v>
      </c>
      <c r="B97" s="3">
        <v>25.6400990166131</v>
      </c>
      <c r="C97" s="3">
        <v>12.6277219563076</v>
      </c>
      <c r="D97" s="3">
        <v>11.2960536865099</v>
      </c>
      <c r="E97" s="3">
        <v>9.9627304049494807</v>
      </c>
      <c r="F97" s="3">
        <v>12.335802856230799</v>
      </c>
      <c r="G97" s="3">
        <v>15.8558293765511</v>
      </c>
      <c r="H97" s="3">
        <v>9.8441023035720399</v>
      </c>
      <c r="I97" s="3">
        <v>20.812861497155399</v>
      </c>
      <c r="J97" s="3">
        <v>16.325437018196499</v>
      </c>
      <c r="K97" s="3">
        <v>11.5439469809487</v>
      </c>
      <c r="L97" s="3">
        <v>15.9417255966471</v>
      </c>
      <c r="M97" s="3">
        <v>14.123938323701701</v>
      </c>
      <c r="N97" s="3">
        <v>7.9965749667453796</v>
      </c>
    </row>
    <row r="98" spans="1:14" x14ac:dyDescent="0.35">
      <c r="A98" s="2">
        <v>44768</v>
      </c>
      <c r="B98" s="3">
        <v>25.5724944631989</v>
      </c>
      <c r="C98" s="3">
        <v>13.571789850401</v>
      </c>
      <c r="D98" s="3">
        <v>11.1695103702481</v>
      </c>
      <c r="E98" s="3">
        <v>10.000580514525</v>
      </c>
      <c r="F98" s="3">
        <v>12.748762728627</v>
      </c>
      <c r="G98" s="3">
        <v>16.468524288247799</v>
      </c>
      <c r="H98" s="3">
        <v>9.7866816656828899</v>
      </c>
      <c r="I98" s="3">
        <v>21.016974685631901</v>
      </c>
      <c r="J98" s="3">
        <v>16.430639616230199</v>
      </c>
      <c r="K98" s="3">
        <v>11.5241079637646</v>
      </c>
      <c r="L98" s="3">
        <v>17.378697556275402</v>
      </c>
      <c r="M98" s="3">
        <v>14.8328948212834</v>
      </c>
      <c r="N98" s="3">
        <v>7.5151239461345503</v>
      </c>
    </row>
    <row r="99" spans="1:14" x14ac:dyDescent="0.35">
      <c r="A99" s="2">
        <v>44799</v>
      </c>
      <c r="B99" s="3">
        <v>27.594040650586098</v>
      </c>
      <c r="C99" s="3">
        <v>14.231778232545301</v>
      </c>
      <c r="D99" s="3">
        <v>11.6703099684881</v>
      </c>
      <c r="E99" s="3">
        <v>9.6424788761400304</v>
      </c>
      <c r="F99" s="3">
        <v>12.970801012752499</v>
      </c>
      <c r="G99" s="3">
        <v>16.286018106137899</v>
      </c>
      <c r="H99" s="3">
        <v>9.5661027401077003</v>
      </c>
      <c r="I99" s="3">
        <v>22.462274170582798</v>
      </c>
      <c r="J99" s="3">
        <v>17.1003655336165</v>
      </c>
      <c r="K99" s="3">
        <v>11.2848215826281</v>
      </c>
      <c r="L99" s="3">
        <v>16.717259005105301</v>
      </c>
      <c r="M99" s="3">
        <v>14.216306427792199</v>
      </c>
      <c r="N99" s="3">
        <v>7.4297650302586504</v>
      </c>
    </row>
    <row r="100" spans="1:14" x14ac:dyDescent="0.35">
      <c r="A100" s="2">
        <v>44830</v>
      </c>
      <c r="B100" s="3">
        <v>24.968177218040399</v>
      </c>
      <c r="C100" s="3">
        <v>12.583889497398699</v>
      </c>
      <c r="D100" s="3">
        <v>10.7026656874423</v>
      </c>
      <c r="E100" s="3">
        <v>9.0876041756957093</v>
      </c>
      <c r="F100" s="3">
        <v>12.094044032123501</v>
      </c>
      <c r="G100" s="3">
        <v>14.6761772671403</v>
      </c>
      <c r="H100" s="3">
        <v>8.5291545356407497</v>
      </c>
      <c r="I100" s="3">
        <v>19.936521660309001</v>
      </c>
      <c r="J100" s="3">
        <v>15.4192501328869</v>
      </c>
      <c r="K100" s="3">
        <v>10.2132693281533</v>
      </c>
      <c r="L100" s="3">
        <v>14.560882188679001</v>
      </c>
      <c r="M100" s="3">
        <v>12.9034336993151</v>
      </c>
      <c r="N100" s="3">
        <v>7.3177935390617197</v>
      </c>
    </row>
    <row r="101" spans="1:14" x14ac:dyDescent="0.35">
      <c r="A101" s="2">
        <v>44860</v>
      </c>
      <c r="B101" s="3">
        <v>23.3041135685882</v>
      </c>
      <c r="C101" s="3">
        <v>13.3201337466437</v>
      </c>
      <c r="D101" s="3">
        <v>11.3883299458795</v>
      </c>
      <c r="E101" s="3">
        <v>9.8407253150173801</v>
      </c>
      <c r="F101" s="3">
        <v>12.4240743661334</v>
      </c>
      <c r="G101" s="3">
        <v>15.8604406480921</v>
      </c>
      <c r="H101" s="3">
        <v>8.9979648851241905</v>
      </c>
      <c r="I101" s="3">
        <v>20.706801921451699</v>
      </c>
      <c r="J101" s="3">
        <v>16.399604412750001</v>
      </c>
      <c r="K101" s="3">
        <v>11.236498143995</v>
      </c>
      <c r="L101" s="3">
        <v>15.2799125037191</v>
      </c>
      <c r="M101" s="3">
        <v>13.240437763171601</v>
      </c>
      <c r="N101" s="3">
        <v>7.7695592664614397</v>
      </c>
    </row>
    <row r="102" spans="1:14" x14ac:dyDescent="0.35">
      <c r="A102" s="2">
        <v>44890</v>
      </c>
      <c r="B102" s="3">
        <v>23.386775136221701</v>
      </c>
      <c r="C102" s="3">
        <v>14.6000012117347</v>
      </c>
      <c r="D102" s="3">
        <v>12.169371403558801</v>
      </c>
      <c r="E102" s="3">
        <v>10.8239952070708</v>
      </c>
      <c r="F102" s="3">
        <v>13.0892738410548</v>
      </c>
      <c r="G102" s="3">
        <v>16.960306208829302</v>
      </c>
      <c r="H102" s="3">
        <v>9.7768072113553295</v>
      </c>
      <c r="I102" s="3">
        <v>21.864669179187601</v>
      </c>
      <c r="J102" s="3">
        <v>17.405601542930299</v>
      </c>
      <c r="K102" s="3">
        <v>12.087463066713401</v>
      </c>
      <c r="L102" s="3">
        <v>16.568134862373402</v>
      </c>
      <c r="M102" s="3">
        <v>13.133370721590801</v>
      </c>
      <c r="N102" s="3">
        <v>8.2343516977561997</v>
      </c>
    </row>
    <row r="103" spans="1:14" x14ac:dyDescent="0.35">
      <c r="A103" s="2">
        <v>44918</v>
      </c>
      <c r="B103" s="3">
        <v>23.1998378509902</v>
      </c>
      <c r="C103" s="3">
        <v>14.222420333472201</v>
      </c>
      <c r="D103" s="3">
        <v>11.9828535896314</v>
      </c>
      <c r="E103" s="3">
        <v>10.4587758716492</v>
      </c>
      <c r="F103" s="3">
        <v>12.2728196267468</v>
      </c>
      <c r="G103" s="3">
        <v>16.2989917004946</v>
      </c>
      <c r="H103" s="3">
        <v>9.8507029477994195</v>
      </c>
      <c r="I103" s="3">
        <v>20.991039073766601</v>
      </c>
      <c r="J103" s="3">
        <v>16.6703125466722</v>
      </c>
      <c r="K103" s="3">
        <v>11.8622601847513</v>
      </c>
      <c r="L103" s="3">
        <v>15.5622993402517</v>
      </c>
      <c r="M103" s="3">
        <v>12.727957193615101</v>
      </c>
      <c r="N103" s="3">
        <v>7.6703230570845298</v>
      </c>
    </row>
    <row r="104" spans="1:14" x14ac:dyDescent="0.35">
      <c r="A104" s="2">
        <v>44952</v>
      </c>
      <c r="B104" s="3">
        <v>24.030694718334701</v>
      </c>
      <c r="C104" s="3">
        <v>14.9424238427143</v>
      </c>
      <c r="D104" s="3">
        <v>13.0230543531463</v>
      </c>
      <c r="E104" s="3">
        <v>11.500652022663299</v>
      </c>
      <c r="F104" s="3">
        <v>12.9037163201284</v>
      </c>
      <c r="G104" s="3">
        <v>17.329610376763998</v>
      </c>
      <c r="H104" s="3">
        <v>10.547654740273</v>
      </c>
      <c r="I104" s="3">
        <v>23.137727955947199</v>
      </c>
      <c r="J104" s="3">
        <v>17.850335053366202</v>
      </c>
      <c r="K104" s="3">
        <v>13.160811196733199</v>
      </c>
      <c r="L104" s="3">
        <v>17.112392165603499</v>
      </c>
      <c r="M104" s="3">
        <v>13.975558182131801</v>
      </c>
      <c r="N104" s="3">
        <v>8.3621778608336701</v>
      </c>
    </row>
    <row r="105" spans="1:14" x14ac:dyDescent="0.35">
      <c r="A105" s="2">
        <v>44981</v>
      </c>
      <c r="B105" s="3">
        <v>24.0020751445572</v>
      </c>
      <c r="C105" s="3">
        <v>14.564393495336301</v>
      </c>
      <c r="D105" s="3">
        <v>12.6799373618683</v>
      </c>
      <c r="E105" s="3">
        <v>11.383357974941701</v>
      </c>
      <c r="F105" s="3">
        <v>13.000576808075699</v>
      </c>
      <c r="G105" s="3">
        <v>17.156384055157499</v>
      </c>
      <c r="H105" s="3">
        <v>10.4384109019334</v>
      </c>
      <c r="I105" s="3">
        <v>22.984502706583601</v>
      </c>
      <c r="J105" s="3">
        <v>17.501510065557</v>
      </c>
      <c r="K105" s="3">
        <v>13.0485014845303</v>
      </c>
      <c r="L105" s="3">
        <v>16.376031383249298</v>
      </c>
      <c r="M105" s="3">
        <v>13.9315483681901</v>
      </c>
      <c r="N105" s="3">
        <v>8.1432362130865705</v>
      </c>
    </row>
    <row r="106" spans="1:14" x14ac:dyDescent="0.35">
      <c r="A106" s="2">
        <v>45009</v>
      </c>
      <c r="B106" s="3">
        <v>22.579426049822398</v>
      </c>
      <c r="C106" s="3">
        <v>13.8017319081492</v>
      </c>
      <c r="D106" s="3">
        <v>12.3334546442512</v>
      </c>
      <c r="E106" s="3">
        <v>10.9828117851744</v>
      </c>
      <c r="F106" s="3">
        <v>12.797301424553501</v>
      </c>
      <c r="G106" s="3">
        <v>16.492337194974301</v>
      </c>
      <c r="H106" s="3">
        <v>9.9037249337245896</v>
      </c>
      <c r="I106" s="3">
        <v>24.271149565630601</v>
      </c>
      <c r="J106" s="3">
        <v>17.4299953050262</v>
      </c>
      <c r="K106" s="3">
        <v>12.7335332484041</v>
      </c>
      <c r="L106" s="3">
        <v>15.9352999989253</v>
      </c>
      <c r="M106" s="3">
        <v>13.0127937950841</v>
      </c>
      <c r="N106" s="3">
        <v>8.1046199857616905</v>
      </c>
    </row>
    <row r="107" spans="1:14" x14ac:dyDescent="0.35">
      <c r="A107" s="2">
        <v>45042</v>
      </c>
      <c r="B107" s="3">
        <v>23.441194066793301</v>
      </c>
      <c r="C107" s="3">
        <v>14.5930196120808</v>
      </c>
      <c r="D107" s="3">
        <v>12.901192082885499</v>
      </c>
      <c r="E107" s="3">
        <v>11.363324103554801</v>
      </c>
      <c r="F107" s="3">
        <v>13.300838137761099</v>
      </c>
      <c r="G107" s="3">
        <v>17.4346881101789</v>
      </c>
      <c r="H107" s="3">
        <v>10.7704555191604</v>
      </c>
      <c r="I107" s="3">
        <v>24.022336902311601</v>
      </c>
      <c r="J107" s="3">
        <v>17.762190244103699</v>
      </c>
      <c r="K107" s="3">
        <v>13.679957011685399</v>
      </c>
      <c r="L107" s="3">
        <v>15.697794145762799</v>
      </c>
      <c r="M107" s="3">
        <v>13.7318207777463</v>
      </c>
      <c r="N107" s="3">
        <v>8.5527663126055096</v>
      </c>
    </row>
    <row r="108" spans="1:14" x14ac:dyDescent="0.35">
      <c r="A108" s="2">
        <v>45072</v>
      </c>
      <c r="B108" s="3">
        <v>23.4845394606897</v>
      </c>
      <c r="C108" s="3">
        <v>14.190273495057699</v>
      </c>
      <c r="D108" s="3">
        <v>12.843402686205399</v>
      </c>
      <c r="E108" s="3">
        <v>10.9150254299427</v>
      </c>
      <c r="F108" s="3">
        <v>14.0898732906333</v>
      </c>
      <c r="G108" s="3">
        <v>17.200557524222301</v>
      </c>
      <c r="H108" s="3">
        <v>10.236786674451</v>
      </c>
      <c r="I108" s="3">
        <v>25.788678910986899</v>
      </c>
      <c r="J108" s="3">
        <v>18.1577603715991</v>
      </c>
      <c r="K108" s="3">
        <v>13.138907797509001</v>
      </c>
      <c r="L108" s="3">
        <v>15.9889947034409</v>
      </c>
      <c r="M108" s="3">
        <v>13.539760546031999</v>
      </c>
      <c r="N108" s="3">
        <v>8.1243631272949592</v>
      </c>
    </row>
    <row r="109" spans="1:14" x14ac:dyDescent="0.35">
      <c r="A109" s="2">
        <v>45103</v>
      </c>
      <c r="B109" s="3">
        <v>20.4230488772188</v>
      </c>
      <c r="C109" s="3">
        <v>14.604438590853899</v>
      </c>
      <c r="D109" s="3">
        <v>12.6659509612489</v>
      </c>
      <c r="E109" s="3">
        <v>10.633095274346999</v>
      </c>
      <c r="F109" s="3">
        <v>14.7116548935784</v>
      </c>
      <c r="G109" s="3">
        <v>16.274450931692702</v>
      </c>
      <c r="H109" s="3">
        <v>10.189934729760999</v>
      </c>
      <c r="I109" s="3">
        <v>25.931041069875299</v>
      </c>
      <c r="J109" s="3">
        <v>18.5998429399556</v>
      </c>
      <c r="K109" s="3">
        <v>12.9283929475819</v>
      </c>
      <c r="L109" s="3">
        <v>15.3443416402952</v>
      </c>
      <c r="M109" s="3">
        <v>13.2552641399776</v>
      </c>
      <c r="N109" s="3">
        <v>8.50711071113221</v>
      </c>
    </row>
    <row r="110" spans="1:14" x14ac:dyDescent="0.35">
      <c r="A110" s="2">
        <v>45133</v>
      </c>
      <c r="B110" s="3">
        <v>20.919897364571501</v>
      </c>
      <c r="C110" s="3">
        <v>15.7264738892274</v>
      </c>
      <c r="D110" s="3">
        <v>13.51486807243</v>
      </c>
      <c r="E110" s="3">
        <v>10.806029333757801</v>
      </c>
      <c r="F110" s="3">
        <v>14.6445979072094</v>
      </c>
      <c r="G110" s="3">
        <v>16.7337654910826</v>
      </c>
      <c r="H110" s="3">
        <v>10.736740727403101</v>
      </c>
      <c r="I110" s="3">
        <v>25.699689849621802</v>
      </c>
      <c r="J110" s="3">
        <v>19.554924184706302</v>
      </c>
      <c r="K110" s="3">
        <v>13.1284972412356</v>
      </c>
      <c r="L110" s="3">
        <v>15.7782344874754</v>
      </c>
      <c r="M110" s="3">
        <v>13.292576639988001</v>
      </c>
      <c r="N110" s="3">
        <v>8.6832182117700594</v>
      </c>
    </row>
    <row r="111" spans="1:14" x14ac:dyDescent="0.35">
      <c r="A111" s="2">
        <v>45163</v>
      </c>
      <c r="B111" s="3">
        <v>20.048441417843001</v>
      </c>
      <c r="C111" s="3">
        <v>15.0249232458851</v>
      </c>
      <c r="D111" s="3">
        <v>12.830391170383599</v>
      </c>
      <c r="E111" s="3">
        <v>10.478087841038301</v>
      </c>
      <c r="F111" s="3">
        <v>14.164955043533499</v>
      </c>
      <c r="G111" s="3">
        <v>16.3471486394983</v>
      </c>
      <c r="H111" s="3">
        <v>10.1623173426287</v>
      </c>
      <c r="I111" s="3">
        <v>23.906910740885198</v>
      </c>
      <c r="J111" s="3">
        <v>18.465522353214499</v>
      </c>
      <c r="K111" s="3">
        <v>12.7628352522744</v>
      </c>
      <c r="L111" s="3">
        <v>14.5046796743713</v>
      </c>
      <c r="M111" s="3">
        <v>12.529576387620301</v>
      </c>
      <c r="N111" s="3">
        <v>8.2339323635501405</v>
      </c>
    </row>
    <row r="112" spans="1:14" x14ac:dyDescent="0.35">
      <c r="A112" s="2">
        <v>45195</v>
      </c>
      <c r="B112" s="3">
        <v>20.252095761237999</v>
      </c>
      <c r="C112" s="3">
        <v>14.8425030149593</v>
      </c>
      <c r="D112" s="3">
        <v>12.6052378274911</v>
      </c>
      <c r="E112" s="3">
        <v>10.2525564661847</v>
      </c>
      <c r="F112" s="3">
        <v>14.659158029475201</v>
      </c>
      <c r="G112" s="3">
        <v>16.183387971338401</v>
      </c>
      <c r="H112" s="3">
        <v>10.4406843068562</v>
      </c>
      <c r="I112" s="3">
        <v>22.910825506069799</v>
      </c>
      <c r="J112" s="3">
        <v>17.7830347950967</v>
      </c>
      <c r="K112" s="3">
        <v>12.4160230958428</v>
      </c>
      <c r="L112" s="3">
        <v>13.4921240740602</v>
      </c>
      <c r="M112" s="3">
        <v>12.7301149312992</v>
      </c>
      <c r="N112" s="3">
        <v>8.2270254932018698</v>
      </c>
    </row>
    <row r="113" spans="1:25" x14ac:dyDescent="0.35">
      <c r="A113" s="2">
        <v>45225</v>
      </c>
      <c r="B113" s="3">
        <v>19.233270749854601</v>
      </c>
      <c r="C113" s="3">
        <v>14.320312991668199</v>
      </c>
      <c r="D113" s="3">
        <v>12.1041723461367</v>
      </c>
      <c r="E113" s="3">
        <v>9.8030373425777899</v>
      </c>
      <c r="F113" s="3">
        <v>13.6348858095841</v>
      </c>
      <c r="G113" s="3">
        <v>15.3702801895767</v>
      </c>
      <c r="H113" s="3">
        <v>9.9955932041828195</v>
      </c>
      <c r="I113" s="3">
        <v>21.963148433368001</v>
      </c>
      <c r="J113" s="3">
        <v>17.154959900858898</v>
      </c>
      <c r="K113" s="3">
        <v>12.0457596597854</v>
      </c>
      <c r="L113" s="3">
        <v>13.196925279407999</v>
      </c>
      <c r="M113" s="3">
        <v>12.452334404420499</v>
      </c>
      <c r="N113" s="3">
        <v>7.86501379828856</v>
      </c>
    </row>
    <row r="114" spans="1:25" x14ac:dyDescent="0.35">
      <c r="A114" s="2">
        <v>45254</v>
      </c>
      <c r="B114" s="3">
        <v>20.260047351733299</v>
      </c>
      <c r="C114" s="3">
        <v>15.1644585758691</v>
      </c>
      <c r="D114" s="3">
        <v>12.7959623944895</v>
      </c>
      <c r="E114" s="3">
        <v>10.8236271189399</v>
      </c>
      <c r="F114" s="3">
        <v>14.4471916196338</v>
      </c>
      <c r="G114" s="3">
        <v>16.338840339759098</v>
      </c>
      <c r="H114" s="3">
        <v>10.5132548535159</v>
      </c>
      <c r="I114" s="3">
        <v>24.3928171715046</v>
      </c>
      <c r="J114" s="3">
        <v>18.7348407637839</v>
      </c>
      <c r="K114" s="3">
        <v>12.9332467332846</v>
      </c>
      <c r="L114" s="3">
        <v>14.7391213187849</v>
      </c>
      <c r="M114" s="3">
        <v>13.547384672792999</v>
      </c>
      <c r="N114" s="3">
        <v>8.3308466559734899</v>
      </c>
    </row>
    <row r="115" spans="1:25" x14ac:dyDescent="0.35">
      <c r="A115" s="2">
        <v>45286</v>
      </c>
      <c r="B115" s="3">
        <v>22.636423178875098</v>
      </c>
      <c r="C115" s="3">
        <v>16.2587335051808</v>
      </c>
      <c r="D115" s="3">
        <v>13.6072472348843</v>
      </c>
      <c r="E115" s="3">
        <v>11.1371248426215</v>
      </c>
      <c r="F115" s="3">
        <v>13.900747316618601</v>
      </c>
      <c r="G115" s="3">
        <v>16.782501196443999</v>
      </c>
      <c r="H115" s="3">
        <v>10.8851440388227</v>
      </c>
      <c r="I115" s="3">
        <v>25.215987646648799</v>
      </c>
      <c r="J115" s="3">
        <v>19.548585672081899</v>
      </c>
      <c r="K115" s="3">
        <v>13.450661145559501</v>
      </c>
      <c r="L115" s="3">
        <v>15.066878953424601</v>
      </c>
      <c r="M115" s="3">
        <v>15.6223358518721</v>
      </c>
      <c r="N115" s="3">
        <v>8.9019308882477901</v>
      </c>
    </row>
    <row r="116" spans="1:25" x14ac:dyDescent="0.35">
      <c r="A116" s="2">
        <v>45317</v>
      </c>
      <c r="B116" s="3">
        <v>22.456094414443101</v>
      </c>
      <c r="C116" s="3">
        <v>16.331415484391702</v>
      </c>
      <c r="D116" s="3">
        <v>13.880405274397701</v>
      </c>
      <c r="E116" s="3">
        <v>11.508106743445801</v>
      </c>
      <c r="F116" s="3">
        <v>14.7366073048346</v>
      </c>
      <c r="G116" s="3">
        <v>17.231631933871899</v>
      </c>
      <c r="H116" s="3">
        <v>11.0939412923279</v>
      </c>
      <c r="I116" s="3">
        <v>25.938914449839</v>
      </c>
      <c r="J116" s="3">
        <v>20.033324937752798</v>
      </c>
      <c r="K116" s="3">
        <v>13.730600731457001</v>
      </c>
      <c r="L116" s="3">
        <v>15.7669416123871</v>
      </c>
      <c r="M116" s="3">
        <v>15.4849573842263</v>
      </c>
      <c r="N116" s="3">
        <v>8.9529543342764306</v>
      </c>
    </row>
    <row r="117" spans="1:25" x14ac:dyDescent="0.35">
      <c r="A117" s="2">
        <v>45348</v>
      </c>
      <c r="B117" s="3">
        <v>22.357156413144299</v>
      </c>
      <c r="C117" s="3">
        <v>16.526701312230401</v>
      </c>
      <c r="D117" s="3">
        <v>14.1509916492644</v>
      </c>
      <c r="E117" s="3">
        <v>11.8625015133424</v>
      </c>
      <c r="F117" s="3">
        <v>15.5695819845137</v>
      </c>
      <c r="G117" s="3">
        <v>17.530078338910499</v>
      </c>
      <c r="H117" s="3">
        <v>11.226373025239401</v>
      </c>
      <c r="I117" s="3">
        <v>26.122720857649099</v>
      </c>
      <c r="J117" s="3">
        <v>20.405364978015701</v>
      </c>
      <c r="K117" s="3">
        <v>14.274590171365899</v>
      </c>
      <c r="L117" s="3">
        <v>16.3594896216871</v>
      </c>
      <c r="M117" s="3">
        <v>16.197742633438502</v>
      </c>
      <c r="N117" s="3">
        <v>9.2536741208194009</v>
      </c>
    </row>
    <row r="118" spans="1:25" x14ac:dyDescent="0.35">
      <c r="A118" s="2">
        <v>45377</v>
      </c>
      <c r="B118" s="3">
        <v>25.312095730148702</v>
      </c>
      <c r="C118" s="3">
        <v>16.6961680260025</v>
      </c>
      <c r="D118" s="3">
        <v>14.504011295308599</v>
      </c>
      <c r="E118" s="3">
        <v>12.3284279738597</v>
      </c>
      <c r="F118" s="3">
        <v>15.9510253035854</v>
      </c>
      <c r="G118" s="3">
        <v>17.5812258234564</v>
      </c>
      <c r="H118" s="3">
        <v>11.517534464744701</v>
      </c>
      <c r="I118" s="3">
        <v>26.1461694574826</v>
      </c>
      <c r="J118" s="3">
        <v>20.767062161605899</v>
      </c>
      <c r="K118" s="3">
        <v>14.6563854326517</v>
      </c>
      <c r="L118" s="3">
        <v>16.3461058139778</v>
      </c>
      <c r="M118" s="3">
        <v>16.7611925289402</v>
      </c>
      <c r="N118" s="3">
        <v>9.8164021481819805</v>
      </c>
    </row>
    <row r="119" spans="1:25" x14ac:dyDescent="0.35">
      <c r="A119" s="2">
        <v>45408</v>
      </c>
      <c r="B119" s="3">
        <v>24.892960116638299</v>
      </c>
      <c r="C119" s="3">
        <v>16.253116231343299</v>
      </c>
      <c r="D119" s="3">
        <v>14.2893043927013</v>
      </c>
      <c r="E119" s="3">
        <v>12.0385292642172</v>
      </c>
      <c r="F119" s="3">
        <v>15.185579232499601</v>
      </c>
      <c r="G119" s="3">
        <v>16.8194398088323</v>
      </c>
      <c r="H119" s="3">
        <v>11.5913262972797</v>
      </c>
      <c r="I119" s="3">
        <v>25.162104150182198</v>
      </c>
      <c r="J119" s="3">
        <v>20.104575109218398</v>
      </c>
      <c r="K119" s="3">
        <v>14.5275950540182</v>
      </c>
      <c r="L119" s="3">
        <v>15.7707094085458</v>
      </c>
      <c r="M119" s="3">
        <v>16.040953090152399</v>
      </c>
      <c r="N119" s="3">
        <v>9.5799727957121199</v>
      </c>
    </row>
    <row r="120" spans="1:25" x14ac:dyDescent="0.35">
      <c r="A120" s="2">
        <v>45436</v>
      </c>
      <c r="B120" s="3">
        <v>25.084590846215502</v>
      </c>
      <c r="C120" s="3">
        <v>16.627091933540601</v>
      </c>
      <c r="D120" s="3">
        <v>14.3954432092179</v>
      </c>
      <c r="E120" s="3">
        <v>12.019959582433099</v>
      </c>
      <c r="F120" s="3">
        <v>15.442021008911899</v>
      </c>
      <c r="G120" s="3">
        <v>17.201665248425801</v>
      </c>
      <c r="H120" s="3">
        <v>11.778585428804</v>
      </c>
      <c r="I120" s="3">
        <v>26.215360185475699</v>
      </c>
      <c r="J120" s="3">
        <v>20.6298571188767</v>
      </c>
      <c r="K120" s="3">
        <v>14.494762529830799</v>
      </c>
      <c r="L120" s="3">
        <v>16.386318729092299</v>
      </c>
      <c r="M120" s="3">
        <v>16.384060434419499</v>
      </c>
      <c r="N120" s="3">
        <v>9.7149570062342807</v>
      </c>
    </row>
    <row r="121" spans="1:25" x14ac:dyDescent="0.35">
      <c r="A121" s="2">
        <v>45469</v>
      </c>
      <c r="B121" s="3">
        <v>24.442992183077202</v>
      </c>
      <c r="C121" s="3">
        <v>16.899761593030298</v>
      </c>
      <c r="D121" s="3">
        <v>13.9034200470741</v>
      </c>
      <c r="E121" s="3">
        <v>11.682064943458601</v>
      </c>
      <c r="F121" s="3">
        <v>15.5557449570533</v>
      </c>
      <c r="G121" s="3">
        <v>17.154584183966801</v>
      </c>
      <c r="H121" s="3">
        <v>11.426770486239301</v>
      </c>
      <c r="I121" s="3">
        <v>27.075321456889</v>
      </c>
      <c r="J121" s="3">
        <v>21.085282257321701</v>
      </c>
      <c r="K121" s="3">
        <v>13.6081706896969</v>
      </c>
      <c r="L121" s="3">
        <v>16.206196474460601</v>
      </c>
      <c r="M121" s="3">
        <v>15.9192626069432</v>
      </c>
      <c r="N121" s="3">
        <v>9.4192753414006596</v>
      </c>
    </row>
    <row r="122" spans="1:25" x14ac:dyDescent="0.35">
      <c r="A122" s="2">
        <v>45497</v>
      </c>
      <c r="B122" s="3">
        <v>25.6878368884251</v>
      </c>
      <c r="C122" s="3">
        <v>16.9975756053481</v>
      </c>
      <c r="D122" s="3">
        <v>14.292072645105399</v>
      </c>
      <c r="E122" s="3">
        <v>11.799551952779799</v>
      </c>
      <c r="F122" s="3">
        <v>15.294486385434301</v>
      </c>
      <c r="G122" s="3">
        <v>17.321109014945701</v>
      </c>
      <c r="H122" s="3">
        <v>11.4870550217515</v>
      </c>
      <c r="I122" s="3">
        <v>25.7231507266766</v>
      </c>
      <c r="J122" s="3">
        <v>20.5995979863517</v>
      </c>
      <c r="K122" s="3">
        <v>13.463498720968399</v>
      </c>
      <c r="L122" s="3">
        <v>15.621808519952699</v>
      </c>
      <c r="M122" s="3">
        <v>16.101830273534901</v>
      </c>
      <c r="N122" s="3">
        <v>9.6169224794004595</v>
      </c>
    </row>
    <row r="124" spans="1:25" x14ac:dyDescent="0.35">
      <c r="A124" s="2" t="s">
        <v>91</v>
      </c>
      <c r="B124" s="3" cm="1">
        <f t="array" ref="B124">MIN(_xlfn._xlws.FILTER(B1:B122, ISNUMBER(B1:B122)))</f>
        <v>17.1408424546592</v>
      </c>
      <c r="C124" s="3" cm="1">
        <f t="array" ref="C124">MIN(_xlfn._xlws.FILTER(C1:C122, ISNUMBER(C1:C122)))</f>
        <v>12.583889497398699</v>
      </c>
      <c r="D124" s="3" cm="1">
        <f t="array" ref="D124">MIN(_xlfn._xlws.FILTER(D1:D122, ISNUMBER(D1:D122)))</f>
        <v>10.7026656874423</v>
      </c>
      <c r="E124" s="3" cm="1">
        <f t="array" ref="E124">MIN(_xlfn._xlws.FILTER(E1:E122, ISNUMBER(E1:E122)))</f>
        <v>9.0876041756957093</v>
      </c>
      <c r="F124" s="3" cm="1">
        <f t="array" ref="F124">MIN(_xlfn._xlws.FILTER(F1:F122, ISNUMBER(F1:F122)))</f>
        <v>10.701393026650299</v>
      </c>
      <c r="G124" s="3" cm="1">
        <f t="array" ref="G124">MIN(_xlfn._xlws.FILTER(G1:G122, ISNUMBER(G1:G122)))</f>
        <v>14.4681109251158</v>
      </c>
      <c r="H124" s="3" cm="1">
        <f t="array" ref="H124">MIN(_xlfn._xlws.FILTER(H1:H122, ISNUMBER(H1:H122)))</f>
        <v>8.5291545356407497</v>
      </c>
      <c r="I124" s="3" cm="1">
        <f t="array" ref="I124">MIN(_xlfn._xlws.FILTER(I1:I122, ISNUMBER(I1:I122)))</f>
        <v>16.966144896900101</v>
      </c>
      <c r="J124" s="3" cm="1">
        <f t="array" ref="J124">MIN(_xlfn._xlws.FILTER(J1:J122, ISNUMBER(J1:J122)))</f>
        <v>14.185949416563901</v>
      </c>
      <c r="K124" s="3" cm="1">
        <f t="array" ref="K124">MIN(_xlfn._xlws.FILTER(K1:K122, ISNUMBER(K1:K122)))</f>
        <v>10.2132693281533</v>
      </c>
      <c r="L124" s="3" cm="1">
        <f t="array" ref="L124">MIN(_xlfn._xlws.FILTER(L1:L122, ISNUMBER(L1:L122)))</f>
        <v>12.839078143988599</v>
      </c>
      <c r="M124" s="3" cm="1">
        <f t="array" ref="M124">MIN(_xlfn._xlws.FILTER(M1:M122, ISNUMBER(M1:M122)))</f>
        <v>12.452334404420499</v>
      </c>
      <c r="N124" s="3" cm="1">
        <f t="array" ref="N124">MIN(_xlfn._xlws.FILTER(N1:N122, ISNUMBER(N1:N122)))</f>
        <v>7.3177935390617197</v>
      </c>
    </row>
    <row r="125" spans="1:25" x14ac:dyDescent="0.35">
      <c r="A125" s="2" t="s">
        <v>92</v>
      </c>
      <c r="B125" s="3" cm="1">
        <f t="array" ref="B125">MAX(_xlfn._xlws.FILTER(B1:B122, ISNUMBER(B1:B122)))</f>
        <v>35.091112899075704</v>
      </c>
      <c r="C125" s="3" cm="1">
        <f t="array" ref="C125">MAX(_xlfn._xlws.FILTER(C1:C122, ISNUMBER(C1:C122)))</f>
        <v>19.926624466014601</v>
      </c>
      <c r="D125" s="3" cm="1">
        <f t="array" ref="D125">MAX(_xlfn._xlws.FILTER(D1:D122, ISNUMBER(D1:D122)))</f>
        <v>18.525830783650498</v>
      </c>
      <c r="E125" s="3" cm="1">
        <f t="array" ref="E125">MAX(_xlfn._xlws.FILTER(E1:E122, ISNUMBER(E1:E122)))</f>
        <v>18.176232712660799</v>
      </c>
      <c r="F125" s="3" cm="1">
        <f t="array" ref="F125">MAX(_xlfn._xlws.FILTER(F1:F122, ISNUMBER(F1:F122)))</f>
        <v>18.683680256489701</v>
      </c>
      <c r="G125" s="3" cm="1">
        <f t="array" ref="G125">MAX(_xlfn._xlws.FILTER(G1:G122, ISNUMBER(G1:G122)))</f>
        <v>19.943239712284701</v>
      </c>
      <c r="H125" s="3" cm="1">
        <f t="array" ref="H125">MAX(_xlfn._xlws.FILTER(H1:H122, ISNUMBER(H1:H122)))</f>
        <v>16.3784808011028</v>
      </c>
      <c r="I125" s="3" cm="1">
        <f t="array" ref="I125">MAX(_xlfn._xlws.FILTER(I1:I122, ISNUMBER(I1:I122)))</f>
        <v>31.2642206631043</v>
      </c>
      <c r="J125" s="3" cm="1">
        <f t="array" ref="J125">MAX(_xlfn._xlws.FILTER(J1:J122, ISNUMBER(J1:J122)))</f>
        <v>22.802703599399401</v>
      </c>
      <c r="K125" s="3" cm="1">
        <f t="array" ref="K125">MAX(_xlfn._xlws.FILTER(K1:K122, ISNUMBER(K1:K122)))</f>
        <v>19.7708046817277</v>
      </c>
      <c r="L125" s="3" cm="1">
        <f t="array" ref="L125">MAX(_xlfn._xlws.FILTER(L1:L122, ISNUMBER(L1:L122)))</f>
        <v>22.384486030534099</v>
      </c>
      <c r="M125" s="3" cm="1">
        <f t="array" ref="M125">MAX(_xlfn._xlws.FILTER(M1:M122, ISNUMBER(M1:M122)))</f>
        <v>20.249308693453699</v>
      </c>
      <c r="N125" s="3" cm="1">
        <f t="array" ref="N125">MAX(_xlfn._xlws.FILTER(N1:N122, ISNUMBER(N1:N122)))</f>
        <v>17.491534708852601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0.745</v>
      </c>
      <c r="C127" s="9" cm="1">
        <f t="array" ref="C127">_xlfn.PERCENTRANK.EXC(_xlfn._xlws.FILTER(C1:C122, ISNUMBER(C1:C122)),C122)</f>
        <v>0.81100000000000005</v>
      </c>
      <c r="D127" s="9" cm="1">
        <f t="array" ref="D127">_xlfn.PERCENTRANK.EXC(_xlfn._xlws.FILTER(D1:D122, ISNUMBER(D1:D122)),D122)</f>
        <v>0.41799999999999998</v>
      </c>
      <c r="E127" s="9" cm="1">
        <f t="array" ref="E127">_xlfn.PERCENTRANK.EXC(_xlfn._xlws.FILTER(E1:E122, ISNUMBER(E1:E122)),E122)</f>
        <v>0.245</v>
      </c>
      <c r="F127" s="9" cm="1">
        <f t="array" ref="F127">_xlfn.PERCENTRANK.EXC(_xlfn._xlws.FILTER(F1:F122, ISNUMBER(F1:F122)),F122)</f>
        <v>0.78600000000000003</v>
      </c>
      <c r="G127" s="9" cm="1">
        <f t="array" ref="G127">_xlfn.PERCENTRANK.EXC(_xlfn._xlws.FILTER(G1:G122, ISNUMBER(G1:G122)),G122)</f>
        <v>0.58099999999999996</v>
      </c>
      <c r="H127" s="9" cm="1">
        <f t="array" ref="H127">_xlfn.PERCENTRANK.EXC(_xlfn._xlws.FILTER(H1:H122, ISNUMBER(H1:H122)),H122)</f>
        <v>0.21299999999999999</v>
      </c>
      <c r="I127" s="9" cm="1">
        <f t="array" ref="I127">_xlfn.PERCENTRANK.EXC(_xlfn._xlws.FILTER(I1:I122, ISNUMBER(I1:I122)),I122)</f>
        <v>0.77</v>
      </c>
      <c r="J127" s="9" cm="1">
        <f t="array" ref="J127">_xlfn.PERCENTRANK.EXC(_xlfn._xlws.FILTER(J1:J122, ISNUMBER(J1:J122)),J122)</f>
        <v>0.80300000000000005</v>
      </c>
      <c r="K127" s="9" cm="1">
        <f t="array" ref="K127">_xlfn.PERCENTRANK.EXC(_xlfn._xlws.FILTER(K1:K122, ISNUMBER(K1:K122)),K122)</f>
        <v>0.254</v>
      </c>
      <c r="L127" s="9" cm="1">
        <f t="array" ref="L127">_xlfn.PERCENTRANK.EXC(_xlfn._xlws.FILTER(L1:L122, ISNUMBER(L1:L122)),L122)</f>
        <v>0.377</v>
      </c>
      <c r="M127" s="9" cm="1">
        <f t="array" ref="M127">_xlfn.PERCENTRANK.EXC(_xlfn._xlws.FILTER(M1:M122, ISNUMBER(M1:M122)),M122)</f>
        <v>0.59799999999999998</v>
      </c>
      <c r="N127" s="9" cm="1">
        <f t="array" ref="N127">_xlfn.PERCENTRANK.EXC(_xlfn._xlws.FILTER(N1:N122, ISNUMBER(N1:N122)),N122)</f>
        <v>0.245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41845</v>
      </c>
      <c r="B2" s="3" cm="1">
        <f t="array" ref="B2:B122">_xll.FDS(B1,"FMA_DIV_YLD(NTMA,-10AY,0,AM,""PORTAGG"",""MEANR"")")</f>
        <v>4.4107321208011001</v>
      </c>
      <c r="C2" s="3" cm="1">
        <f t="array" ref="C2:C122">_xll.FDS(C1,"FMA_DIV_YLD(NTMA,-10AY,0,AM,""PORTAGG"",""MEANR"")")</f>
        <v>4.6795347768007396</v>
      </c>
      <c r="D2" s="3" cm="1">
        <f t="array" ref="D2:D122">_xll.FDS(D1,"FMA_DIV_YLD(NTMA,-10AY,0,AM,""PORTAGG"",""MEANR"")")</f>
        <v>2.7380512078320698</v>
      </c>
      <c r="E2" s="3" cm="1">
        <f t="array" ref="E2:E122">_xll.FDS(E1,"FMA_DIV_YLD(NTMA,-10AY,0,AM,""PORTAGG"",""MEANR"")")</f>
        <v>3.1149565249843101</v>
      </c>
      <c r="F2" s="3" cm="1">
        <f t="array" ref="F2:F122">_xll.FDS(F1,"FMA_DIV_YLD(NTMA,-10AY,0,AM,""PORTAGG"",""MEANR"")")</f>
        <v>2.0553763103578899</v>
      </c>
      <c r="G2" s="3" cm="1">
        <f t="array" ref="G2:G122">_xll.FDS(G1,"FMA_DIV_YLD(NTMA,-10AY,0,AM,""PORTAGG"",""MEANR"")")</f>
        <v>3.3242205363200998</v>
      </c>
      <c r="H2" s="3" cm="1">
        <f t="array" ref="H2:H122">_xll.FDS(H1,"FMA_DIV_YLD(NTMA,-10AY,0,AM,""PORTAGG"",""MEANR"")")</f>
        <v>3.8678633023020401</v>
      </c>
      <c r="I2" s="3" cm="1">
        <f t="array" ref="I2:I122">_xll.FDS(I1,"FMA_DIV_YLD(NTMA,-10AY,0,AM,""PORTAGG"",""MEANR"")")</f>
        <v>1.2407185652436401</v>
      </c>
      <c r="J2" s="3" cm="1">
        <f t="array" ref="J2:J122">_xll.FDS(J1,"FMA_DIV_YLD(NTMA,-10AY,0,AM,""PORTAGG"",""MEANR"")")</f>
        <v>2.0961332512133799</v>
      </c>
      <c r="K2" s="3" cm="1">
        <f t="array" ref="K2:K122">_xll.FDS(K1,"FMA_DIV_YLD(NTMA,-10AY,0,AM,""PORTAGG"",""MEANR"")")</f>
        <v>3.5281412096676399</v>
      </c>
      <c r="L2" s="3" cm="1">
        <f t="array" ref="L2:L122">_xll.FDS(L1,"FMA_DIV_YLD(NTMA,-10AY,0,AM,""PORTAGG"",""MEANR"")")</f>
        <v>2.9168745092550799</v>
      </c>
      <c r="M2" s="3" cm="1">
        <f t="array" ref="M2:M122">_xll.FDS(M1,"FMA_DIV_YLD(NTMA,-10AY,0,AM,""PORTAGG"",""MEANR"")")</f>
        <v>4.1437758829497797</v>
      </c>
      <c r="N2" s="3" cm="1">
        <f t="array" ref="N2:N122">_xll.FDS(N1,"FMA_DIV_YLD(NTMA,-10AY,0,AM,""PORTAGG"",""MEANR"")")</f>
        <v>3.4353249584303498</v>
      </c>
    </row>
    <row r="3" spans="1:14" x14ac:dyDescent="0.35">
      <c r="A3" s="2">
        <v>41877</v>
      </c>
      <c r="B3" s="3">
        <v>4.5255943703694399</v>
      </c>
      <c r="C3" s="3">
        <v>4.6799189342748901</v>
      </c>
      <c r="D3" s="3">
        <v>2.7510735714821202</v>
      </c>
      <c r="E3" s="3">
        <v>3.1338606278797099</v>
      </c>
      <c r="F3" s="3">
        <v>2.06989887890576</v>
      </c>
      <c r="G3" s="3">
        <v>3.3144016682031601</v>
      </c>
      <c r="H3" s="3">
        <v>3.90747899797578</v>
      </c>
      <c r="I3" s="3">
        <v>1.2144476271045499</v>
      </c>
      <c r="J3" s="3">
        <v>2.08807636362266</v>
      </c>
      <c r="K3" s="3">
        <v>3.5205066921454402</v>
      </c>
      <c r="L3" s="3">
        <v>2.9804625490522101</v>
      </c>
      <c r="M3" s="3">
        <v>4.1787946624153296</v>
      </c>
      <c r="N3" s="3">
        <v>3.5430339534671398</v>
      </c>
    </row>
    <row r="4" spans="1:14" x14ac:dyDescent="0.35">
      <c r="A4" s="2">
        <v>41908</v>
      </c>
      <c r="B4" s="3">
        <v>4.5717291016015897</v>
      </c>
      <c r="C4" s="3">
        <v>5.0398027740074598</v>
      </c>
      <c r="D4" s="3">
        <v>2.8605059011202401</v>
      </c>
      <c r="E4" s="3">
        <v>3.1829353313770001</v>
      </c>
      <c r="F4" s="3">
        <v>2.0087800782741998</v>
      </c>
      <c r="G4" s="3">
        <v>3.3332329527283</v>
      </c>
      <c r="H4" s="3">
        <v>4.0172238355599301</v>
      </c>
      <c r="I4" s="3">
        <v>1.23977901612741</v>
      </c>
      <c r="J4" s="3">
        <v>2.12250204907716</v>
      </c>
      <c r="K4" s="3">
        <v>3.5756533349762298</v>
      </c>
      <c r="L4" s="3">
        <v>3.00692373312957</v>
      </c>
      <c r="M4" s="3">
        <v>4.2270126681448597</v>
      </c>
      <c r="N4" s="3">
        <v>3.6034078742135001</v>
      </c>
    </row>
    <row r="5" spans="1:14" x14ac:dyDescent="0.35">
      <c r="A5" s="2">
        <v>41936</v>
      </c>
      <c r="B5" s="3">
        <v>4.5406776514934197</v>
      </c>
      <c r="C5" s="3">
        <v>4.92883723179607</v>
      </c>
      <c r="D5" s="3">
        <v>2.9857413597134599</v>
      </c>
      <c r="E5" s="3">
        <v>3.3786267881668599</v>
      </c>
      <c r="F5" s="3">
        <v>2.1758272931018201</v>
      </c>
      <c r="G5" s="3">
        <v>3.43026940110766</v>
      </c>
      <c r="H5" s="3">
        <v>4.1850813878647397</v>
      </c>
      <c r="I5" s="3">
        <v>1.2564614864616801</v>
      </c>
      <c r="J5" s="3">
        <v>2.1559118513633599</v>
      </c>
      <c r="K5" s="3">
        <v>3.7855275121663601</v>
      </c>
      <c r="L5" s="3">
        <v>3.2219111290661901</v>
      </c>
      <c r="M5" s="3">
        <v>4.33889252011293</v>
      </c>
      <c r="N5" s="3">
        <v>3.9276401761380701</v>
      </c>
    </row>
    <row r="6" spans="1:14" x14ac:dyDescent="0.35">
      <c r="A6" s="2">
        <v>41969</v>
      </c>
      <c r="B6" s="3">
        <v>4.5235812604771803</v>
      </c>
      <c r="C6" s="3">
        <v>4.9942700283039896</v>
      </c>
      <c r="D6" s="3">
        <v>2.8897925904984199</v>
      </c>
      <c r="E6" s="3">
        <v>3.1425009238678498</v>
      </c>
      <c r="F6" s="3">
        <v>1.95034048233183</v>
      </c>
      <c r="G6" s="3">
        <v>3.2253816621081799</v>
      </c>
      <c r="H6" s="3">
        <v>4.0081127341594804</v>
      </c>
      <c r="I6" s="3">
        <v>1.19435301390254</v>
      </c>
      <c r="J6" s="3">
        <v>2.0638566230284199</v>
      </c>
      <c r="K6" s="3">
        <v>3.5752089023401399</v>
      </c>
      <c r="L6" s="3">
        <v>3.0620732297661202</v>
      </c>
      <c r="M6" s="3">
        <v>4.0807700565887801</v>
      </c>
      <c r="N6" s="3">
        <v>3.8745030744284401</v>
      </c>
    </row>
    <row r="7" spans="1:14" x14ac:dyDescent="0.35">
      <c r="A7" s="2">
        <v>41999</v>
      </c>
      <c r="B7" s="3">
        <v>4.4532055061177003</v>
      </c>
      <c r="C7" s="3">
        <v>4.9885167442505001</v>
      </c>
      <c r="D7" s="3">
        <v>2.9450481258539698</v>
      </c>
      <c r="E7" s="3">
        <v>3.1522328219522202</v>
      </c>
      <c r="F7" s="3">
        <v>1.9397517000776801</v>
      </c>
      <c r="G7" s="3">
        <v>3.2787376614970301</v>
      </c>
      <c r="H7" s="3">
        <v>4.1110020253932804</v>
      </c>
      <c r="I7" s="3">
        <v>1.2060491069155299</v>
      </c>
      <c r="J7" s="3">
        <v>2.0684374143626898</v>
      </c>
      <c r="K7" s="3">
        <v>3.6279729413225001</v>
      </c>
      <c r="L7" s="3">
        <v>3.0661349929476498</v>
      </c>
      <c r="M7" s="3">
        <v>4.0819351447352101</v>
      </c>
      <c r="N7" s="3">
        <v>4.0040158390313803</v>
      </c>
    </row>
    <row r="8" spans="1:14" x14ac:dyDescent="0.35">
      <c r="A8" s="2">
        <v>42030</v>
      </c>
      <c r="B8" s="3">
        <v>4.3388524237729502</v>
      </c>
      <c r="C8" s="3">
        <v>4.9172274034255903</v>
      </c>
      <c r="D8" s="3">
        <v>2.92543980355777</v>
      </c>
      <c r="E8" s="3">
        <v>2.9021230374839502</v>
      </c>
      <c r="F8" s="3">
        <v>2.01464283000427</v>
      </c>
      <c r="G8" s="3">
        <v>3.4042911211234101</v>
      </c>
      <c r="H8" s="3">
        <v>4.0032319288564899</v>
      </c>
      <c r="I8" s="3">
        <v>1.2001468511062801</v>
      </c>
      <c r="J8" s="3">
        <v>2.1181995534636102</v>
      </c>
      <c r="K8" s="3">
        <v>3.3213003914992898</v>
      </c>
      <c r="L8" s="3">
        <v>2.8825532607071702</v>
      </c>
      <c r="M8" s="3">
        <v>3.8728553640026302</v>
      </c>
      <c r="N8" s="3">
        <v>3.7771202945078901</v>
      </c>
    </row>
    <row r="9" spans="1:14" x14ac:dyDescent="0.35">
      <c r="A9" s="2">
        <v>42061</v>
      </c>
      <c r="B9" s="3">
        <v>4.2851104183429998</v>
      </c>
      <c r="C9" s="3">
        <v>4.5792577464723498</v>
      </c>
      <c r="D9" s="3">
        <v>2.8530103881871001</v>
      </c>
      <c r="E9" s="3">
        <v>2.7949338840901099</v>
      </c>
      <c r="F9" s="3">
        <v>1.88027747007832</v>
      </c>
      <c r="G9" s="3">
        <v>3.1497559242056901</v>
      </c>
      <c r="H9" s="3">
        <v>3.8926996122026898</v>
      </c>
      <c r="I9" s="3">
        <v>1.2072046306305899</v>
      </c>
      <c r="J9" s="3">
        <v>2.0948329545947901</v>
      </c>
      <c r="K9" s="3">
        <v>3.1498376572645101</v>
      </c>
      <c r="L9" s="3">
        <v>2.7117865943358601</v>
      </c>
      <c r="M9" s="3">
        <v>3.6037674215512201</v>
      </c>
      <c r="N9" s="3">
        <v>3.4430171018998399</v>
      </c>
    </row>
    <row r="10" spans="1:14" x14ac:dyDescent="0.35">
      <c r="A10" s="2">
        <v>42089</v>
      </c>
      <c r="B10" s="3">
        <v>4.4085547010672004</v>
      </c>
      <c r="C10" s="3">
        <v>4.5889904056964896</v>
      </c>
      <c r="D10" s="3">
        <v>2.9340833945186899</v>
      </c>
      <c r="E10" s="3">
        <v>2.70644377383781</v>
      </c>
      <c r="F10" s="3">
        <v>1.8440566170522501</v>
      </c>
      <c r="G10" s="3">
        <v>3.14328484590748</v>
      </c>
      <c r="H10" s="3">
        <v>3.9839247179648898</v>
      </c>
      <c r="I10" s="3">
        <v>1.27952510898137</v>
      </c>
      <c r="J10" s="3">
        <v>2.1999499711416699</v>
      </c>
      <c r="K10" s="3">
        <v>3.2116410881244302</v>
      </c>
      <c r="L10" s="3">
        <v>2.70432864717066</v>
      </c>
      <c r="M10" s="3">
        <v>3.6525218909792998</v>
      </c>
      <c r="N10" s="3">
        <v>3.1265538398182602</v>
      </c>
    </row>
    <row r="11" spans="1:14" x14ac:dyDescent="0.35">
      <c r="A11" s="2">
        <v>42118</v>
      </c>
      <c r="B11" s="3">
        <v>4.5078759024856998</v>
      </c>
      <c r="C11" s="3">
        <v>4.5697724934620796</v>
      </c>
      <c r="D11" s="3">
        <v>2.80313386356536</v>
      </c>
      <c r="E11" s="3">
        <v>2.7537567250790498</v>
      </c>
      <c r="F11" s="3">
        <v>1.8167802974582801</v>
      </c>
      <c r="G11" s="3">
        <v>3.0403635193383098</v>
      </c>
      <c r="H11" s="3">
        <v>3.8474753492880298</v>
      </c>
      <c r="I11" s="3">
        <v>1.2246669271653601</v>
      </c>
      <c r="J11" s="3">
        <v>2.13864911358653</v>
      </c>
      <c r="K11" s="3">
        <v>3.1071152188167699</v>
      </c>
      <c r="L11" s="3">
        <v>2.64387745414348</v>
      </c>
      <c r="M11" s="3">
        <v>3.6198930694175999</v>
      </c>
      <c r="N11" s="3">
        <v>3.12437675073717</v>
      </c>
    </row>
    <row r="12" spans="1:14" x14ac:dyDescent="0.35">
      <c r="A12" s="2">
        <v>42150</v>
      </c>
      <c r="B12" s="3">
        <v>4.4437849506206497</v>
      </c>
      <c r="C12" s="3">
        <v>4.7172214344192298</v>
      </c>
      <c r="D12" s="3">
        <v>2.8922577661975701</v>
      </c>
      <c r="E12" s="3">
        <v>2.87532358673357</v>
      </c>
      <c r="F12" s="3">
        <v>1.8385100082569701</v>
      </c>
      <c r="G12" s="3">
        <v>3.1107774422917198</v>
      </c>
      <c r="H12" s="3">
        <v>3.91911877825267</v>
      </c>
      <c r="I12" s="3">
        <v>1.2473872242900299</v>
      </c>
      <c r="J12" s="3">
        <v>2.16325670013173</v>
      </c>
      <c r="K12" s="3">
        <v>3.2530145262142298</v>
      </c>
      <c r="L12" s="3">
        <v>2.8096954174002402</v>
      </c>
      <c r="M12" s="3">
        <v>3.8054204817292199</v>
      </c>
      <c r="N12" s="3">
        <v>3.1928882409616199</v>
      </c>
    </row>
    <row r="13" spans="1:14" x14ac:dyDescent="0.35">
      <c r="A13" s="2">
        <v>42181</v>
      </c>
      <c r="B13" s="3">
        <v>4.6530036777984698</v>
      </c>
      <c r="C13" s="3">
        <v>4.8975504316982503</v>
      </c>
      <c r="D13" s="3">
        <v>2.94861272083552</v>
      </c>
      <c r="E13" s="3">
        <v>2.94388490543508</v>
      </c>
      <c r="F13" s="3">
        <v>1.8727507545402999</v>
      </c>
      <c r="G13" s="3">
        <v>3.2109754336471799</v>
      </c>
      <c r="H13" s="3">
        <v>4.05538028785399</v>
      </c>
      <c r="I13" s="3">
        <v>1.2507104426381801</v>
      </c>
      <c r="J13" s="3">
        <v>2.1730121241325699</v>
      </c>
      <c r="K13" s="3">
        <v>3.2772683404201799</v>
      </c>
      <c r="L13" s="3">
        <v>2.8315402024819698</v>
      </c>
      <c r="M13" s="3">
        <v>3.9033222059336801</v>
      </c>
      <c r="N13" s="3">
        <v>3.2064496620164902</v>
      </c>
    </row>
    <row r="14" spans="1:14" x14ac:dyDescent="0.35">
      <c r="A14" s="2">
        <v>42209</v>
      </c>
      <c r="B14" s="3">
        <v>4.5689241071020898</v>
      </c>
      <c r="C14" s="3">
        <v>4.9317213433924696</v>
      </c>
      <c r="D14" s="3">
        <v>3.13897464099986</v>
      </c>
      <c r="E14" s="3">
        <v>3.0025062452678801</v>
      </c>
      <c r="F14" s="3">
        <v>1.9066177493717</v>
      </c>
      <c r="G14" s="3">
        <v>3.1390114138714398</v>
      </c>
      <c r="H14" s="3">
        <v>4.2031750636891001</v>
      </c>
      <c r="I14" s="3">
        <v>1.24955086459274</v>
      </c>
      <c r="J14" s="3">
        <v>2.2076845393012601</v>
      </c>
      <c r="K14" s="3">
        <v>3.2845238661627301</v>
      </c>
      <c r="L14" s="3">
        <v>2.8658114187137498</v>
      </c>
      <c r="M14" s="3">
        <v>3.9478229982816599</v>
      </c>
      <c r="N14" s="3">
        <v>3.2081239972572502</v>
      </c>
    </row>
    <row r="15" spans="1:14" x14ac:dyDescent="0.35">
      <c r="A15" s="2">
        <v>42242</v>
      </c>
      <c r="B15" s="3">
        <v>5.0931383252908704</v>
      </c>
      <c r="C15" s="3">
        <v>5.3411056458972999</v>
      </c>
      <c r="D15" s="3">
        <v>3.2667974110451099</v>
      </c>
      <c r="E15" s="3">
        <v>3.4124901337331002</v>
      </c>
      <c r="F15" s="3">
        <v>2.1503679422188702</v>
      </c>
      <c r="G15" s="3">
        <v>3.39258978346562</v>
      </c>
      <c r="H15" s="3">
        <v>4.5834941833606297</v>
      </c>
      <c r="I15" s="3">
        <v>1.3794439885804901</v>
      </c>
      <c r="J15" s="3">
        <v>2.38649111889224</v>
      </c>
      <c r="K15" s="3">
        <v>3.71405800259901</v>
      </c>
      <c r="L15" s="3">
        <v>3.5158055296402102</v>
      </c>
      <c r="M15" s="3">
        <v>4.4170923172939096</v>
      </c>
      <c r="N15" s="3">
        <v>3.4444305160609998</v>
      </c>
    </row>
    <row r="16" spans="1:14" x14ac:dyDescent="0.35">
      <c r="A16" s="2">
        <v>42272</v>
      </c>
      <c r="B16" s="3">
        <v>5.15988508179072</v>
      </c>
      <c r="C16" s="3">
        <v>5.4941219962070704</v>
      </c>
      <c r="D16" s="3">
        <v>3.2926492875030098</v>
      </c>
      <c r="E16" s="3">
        <v>3.4739309104101199</v>
      </c>
      <c r="F16" s="3">
        <v>2.2050241677702802</v>
      </c>
      <c r="G16" s="3">
        <v>3.4657828700167701</v>
      </c>
      <c r="H16" s="3">
        <v>4.4633931686472703</v>
      </c>
      <c r="I16" s="3">
        <v>1.3845305230193099</v>
      </c>
      <c r="J16" s="3">
        <v>2.4104005699400002</v>
      </c>
      <c r="K16" s="3">
        <v>3.74803408456056</v>
      </c>
      <c r="L16" s="3">
        <v>3.5571813864659401</v>
      </c>
      <c r="M16" s="3">
        <v>4.5650044750766696</v>
      </c>
      <c r="N16" s="3">
        <v>3.52094113730961</v>
      </c>
    </row>
    <row r="17" spans="1:14" x14ac:dyDescent="0.35">
      <c r="A17" s="2">
        <v>42303</v>
      </c>
      <c r="B17" s="3">
        <v>4.9366279163445599</v>
      </c>
      <c r="C17" s="3">
        <v>5.1056470392640199</v>
      </c>
      <c r="D17" s="3">
        <v>3.2003874352968298</v>
      </c>
      <c r="E17" s="3">
        <v>3.1025047723241301</v>
      </c>
      <c r="F17" s="3">
        <v>2.0496521768705098</v>
      </c>
      <c r="G17" s="3">
        <v>3.2726898685383499</v>
      </c>
      <c r="H17" s="3">
        <v>4.2209456451443899</v>
      </c>
      <c r="I17" s="3">
        <v>1.2760471158746201</v>
      </c>
      <c r="J17" s="3">
        <v>2.2572668038692099</v>
      </c>
      <c r="K17" s="3">
        <v>3.4307019931940999</v>
      </c>
      <c r="L17" s="3">
        <v>3.2665927472921301</v>
      </c>
      <c r="M17" s="3">
        <v>4.1960836734873599</v>
      </c>
      <c r="N17" s="3">
        <v>3.5345402252490201</v>
      </c>
    </row>
    <row r="18" spans="1:14" x14ac:dyDescent="0.35">
      <c r="A18" s="2">
        <v>42333</v>
      </c>
      <c r="B18" s="3">
        <v>4.86933773611063</v>
      </c>
      <c r="C18" s="3">
        <v>5.25734935744293</v>
      </c>
      <c r="D18" s="3">
        <v>3.3016408416570502</v>
      </c>
      <c r="E18" s="3">
        <v>2.9099531297416799</v>
      </c>
      <c r="F18" s="3">
        <v>2.0155192273067701</v>
      </c>
      <c r="G18" s="3">
        <v>3.25972106716265</v>
      </c>
      <c r="H18" s="3">
        <v>4.2163028978634802</v>
      </c>
      <c r="I18" s="3">
        <v>1.27817328153055</v>
      </c>
      <c r="J18" s="3">
        <v>2.2705633776132599</v>
      </c>
      <c r="K18" s="3">
        <v>3.44029668736178</v>
      </c>
      <c r="L18" s="3">
        <v>3.1322037044987501</v>
      </c>
      <c r="M18" s="3">
        <v>4.1845081376640403</v>
      </c>
      <c r="N18" s="3">
        <v>3.59915037845784</v>
      </c>
    </row>
    <row r="19" spans="1:14" x14ac:dyDescent="0.35">
      <c r="A19" s="2">
        <v>42362</v>
      </c>
      <c r="B19" s="3">
        <v>4.8055790656828998</v>
      </c>
      <c r="C19" s="3">
        <v>5.1980798271140802</v>
      </c>
      <c r="D19" s="3">
        <v>3.3091978952929102</v>
      </c>
      <c r="E19" s="3">
        <v>3.04073095866105</v>
      </c>
      <c r="F19" s="3">
        <v>2.1209822242942602</v>
      </c>
      <c r="G19" s="3">
        <v>3.28940463021131</v>
      </c>
      <c r="H19" s="3">
        <v>4.2818182194840899</v>
      </c>
      <c r="I19" s="3">
        <v>1.2880671474126399</v>
      </c>
      <c r="J19" s="3">
        <v>2.2936027257130398</v>
      </c>
      <c r="K19" s="3">
        <v>3.5841253066521199</v>
      </c>
      <c r="L19" s="3">
        <v>3.2779092314832998</v>
      </c>
      <c r="M19" s="3">
        <v>4.3162416701649402</v>
      </c>
      <c r="N19" s="3">
        <v>3.8273669802505301</v>
      </c>
    </row>
    <row r="20" spans="1:14" x14ac:dyDescent="0.35">
      <c r="A20" s="2">
        <v>42395</v>
      </c>
      <c r="B20" s="3">
        <v>4.8859313712557997</v>
      </c>
      <c r="C20" s="3">
        <v>5.1843096507277497</v>
      </c>
      <c r="D20" s="3">
        <v>3.55599283599514</v>
      </c>
      <c r="E20" s="3">
        <v>3.3354155331612101</v>
      </c>
      <c r="F20" s="3">
        <v>2.3956474699733299</v>
      </c>
      <c r="G20" s="3">
        <v>3.50592985768614</v>
      </c>
      <c r="H20" s="3">
        <v>4.5398475574463797</v>
      </c>
      <c r="I20" s="3">
        <v>1.3740783011903099</v>
      </c>
      <c r="J20" s="3">
        <v>2.4989798858198502</v>
      </c>
      <c r="K20" s="3">
        <v>3.8424363752111099</v>
      </c>
      <c r="L20" s="3">
        <v>3.2824610692480598</v>
      </c>
      <c r="M20" s="3">
        <v>4.4624511928160597</v>
      </c>
      <c r="N20" s="3">
        <v>4.3726496132858896</v>
      </c>
    </row>
    <row r="21" spans="1:14" x14ac:dyDescent="0.35">
      <c r="A21" s="2">
        <v>42426</v>
      </c>
      <c r="B21" s="3">
        <v>4.8511650912255204</v>
      </c>
      <c r="C21" s="3">
        <v>5.0519028286952503</v>
      </c>
      <c r="D21" s="3">
        <v>3.3657106028669701</v>
      </c>
      <c r="E21" s="3">
        <v>3.4575395448675801</v>
      </c>
      <c r="F21" s="3">
        <v>2.46253262238801</v>
      </c>
      <c r="G21" s="3">
        <v>3.5391464882419701</v>
      </c>
      <c r="H21" s="3">
        <v>4.5058056586483302</v>
      </c>
      <c r="I21" s="3">
        <v>1.4038081507573701</v>
      </c>
      <c r="J21" s="3">
        <v>2.4518202590146898</v>
      </c>
      <c r="K21" s="3">
        <v>3.8481231472021902</v>
      </c>
      <c r="L21" s="3">
        <v>3.38990219841549</v>
      </c>
      <c r="M21" s="3">
        <v>4.3841795952021601</v>
      </c>
      <c r="N21" s="3">
        <v>4.5390371446940296</v>
      </c>
    </row>
    <row r="22" spans="1:14" x14ac:dyDescent="0.35">
      <c r="A22" s="2">
        <v>42453</v>
      </c>
      <c r="B22" s="3">
        <v>4.6105656303603197</v>
      </c>
      <c r="C22" s="3">
        <v>4.8293214045906101</v>
      </c>
      <c r="D22" s="3">
        <v>3.1778264405907701</v>
      </c>
      <c r="E22" s="3">
        <v>3.3297448407724102</v>
      </c>
      <c r="F22" s="3">
        <v>2.38870174554736</v>
      </c>
      <c r="G22" s="3">
        <v>3.5668438562328202</v>
      </c>
      <c r="H22" s="3">
        <v>4.4368924295249297</v>
      </c>
      <c r="I22" s="3">
        <v>1.3556680856727199</v>
      </c>
      <c r="J22" s="3">
        <v>2.4751977345461702</v>
      </c>
      <c r="K22" s="3">
        <v>3.8225216634958299</v>
      </c>
      <c r="L22" s="3">
        <v>3.3183560123189002</v>
      </c>
      <c r="M22" s="3">
        <v>4.4540715353803799</v>
      </c>
      <c r="N22" s="3">
        <v>4.3563789181144097</v>
      </c>
    </row>
    <row r="23" spans="1:14" x14ac:dyDescent="0.35">
      <c r="A23" s="2">
        <v>42486</v>
      </c>
      <c r="B23" s="3">
        <v>4.5890295259202896</v>
      </c>
      <c r="C23" s="3">
        <v>4.6848693559952999</v>
      </c>
      <c r="D23" s="3">
        <v>3.0751233541029599</v>
      </c>
      <c r="E23" s="3">
        <v>3.2128588762638302</v>
      </c>
      <c r="F23" s="3">
        <v>2.2984981373376598</v>
      </c>
      <c r="G23" s="3">
        <v>3.4741776975327299</v>
      </c>
      <c r="H23" s="3">
        <v>4.2429099886862298</v>
      </c>
      <c r="I23" s="3">
        <v>1.3549630243575399</v>
      </c>
      <c r="J23" s="3">
        <v>2.2917987413403398</v>
      </c>
      <c r="K23" s="3">
        <v>3.6554488995377699</v>
      </c>
      <c r="L23" s="3">
        <v>3.2999282779902601</v>
      </c>
      <c r="M23" s="3">
        <v>4.2652485434364298</v>
      </c>
      <c r="N23" s="3">
        <v>4.3085776100341899</v>
      </c>
    </row>
    <row r="24" spans="1:14" x14ac:dyDescent="0.35">
      <c r="A24" s="2">
        <v>42516</v>
      </c>
      <c r="B24" s="3">
        <v>4.4724685227680396</v>
      </c>
      <c r="C24" s="3">
        <v>4.5496327043776903</v>
      </c>
      <c r="D24" s="3">
        <v>3.0402962102518201</v>
      </c>
      <c r="E24" s="3">
        <v>3.2731864529505401</v>
      </c>
      <c r="F24" s="3">
        <v>2.38182301393008</v>
      </c>
      <c r="G24" s="3">
        <v>3.4468581538207599</v>
      </c>
      <c r="H24" s="3">
        <v>4.25937871832119</v>
      </c>
      <c r="I24" s="3">
        <v>1.3518843287479201</v>
      </c>
      <c r="J24" s="3">
        <v>2.27884801023415</v>
      </c>
      <c r="K24" s="3">
        <v>3.6754962409795602</v>
      </c>
      <c r="L24" s="3">
        <v>3.2772636115417701</v>
      </c>
      <c r="M24" s="3">
        <v>4.3477049436339996</v>
      </c>
      <c r="N24" s="3">
        <v>4.4465937914706801</v>
      </c>
    </row>
    <row r="25" spans="1:14" x14ac:dyDescent="0.35">
      <c r="A25" s="2">
        <v>42545</v>
      </c>
      <c r="B25" s="3">
        <v>4.5809857289441798</v>
      </c>
      <c r="C25" s="3">
        <v>4.7879643409258597</v>
      </c>
      <c r="D25" s="3">
        <v>3.1067822890147898</v>
      </c>
      <c r="E25" s="3">
        <v>3.53145977171113</v>
      </c>
      <c r="F25" s="3">
        <v>2.6222156334086701</v>
      </c>
      <c r="G25" s="3">
        <v>3.6478873158559999</v>
      </c>
      <c r="H25" s="3">
        <v>4.4494444189867997</v>
      </c>
      <c r="I25" s="3">
        <v>1.4042178306461099</v>
      </c>
      <c r="J25" s="3">
        <v>2.34855169798375</v>
      </c>
      <c r="K25" s="3">
        <v>4.0272965496035802</v>
      </c>
      <c r="L25" s="3">
        <v>3.40947757350974</v>
      </c>
      <c r="M25" s="3">
        <v>4.3929320734054302</v>
      </c>
      <c r="N25" s="3">
        <v>5.2041129563691602</v>
      </c>
    </row>
    <row r="26" spans="1:14" x14ac:dyDescent="0.35">
      <c r="A26" s="2">
        <v>42577</v>
      </c>
      <c r="B26" s="3">
        <v>4.1480973522064799</v>
      </c>
      <c r="C26" s="3">
        <v>4.4257906529365796</v>
      </c>
      <c r="D26" s="3">
        <v>2.9976401171863398</v>
      </c>
      <c r="E26" s="3">
        <v>3.2989488538663099</v>
      </c>
      <c r="F26" s="3">
        <v>2.4093176444792199</v>
      </c>
      <c r="G26" s="3">
        <v>3.4827422422514398</v>
      </c>
      <c r="H26" s="3">
        <v>4.1352898687088597</v>
      </c>
      <c r="I26" s="3">
        <v>1.3063438084428101</v>
      </c>
      <c r="J26" s="3">
        <v>2.2161959433367899</v>
      </c>
      <c r="K26" s="3">
        <v>3.7658681274278099</v>
      </c>
      <c r="L26" s="3">
        <v>3.1799788673489</v>
      </c>
      <c r="M26" s="3">
        <v>4.3193463867980899</v>
      </c>
      <c r="N26" s="3">
        <v>4.7831474370386102</v>
      </c>
    </row>
    <row r="27" spans="1:14" x14ac:dyDescent="0.35">
      <c r="A27" s="2">
        <v>42608</v>
      </c>
      <c r="B27" s="3">
        <v>4.2146173586719797</v>
      </c>
      <c r="C27" s="3">
        <v>4.4539298539888996</v>
      </c>
      <c r="D27" s="3">
        <v>2.9589098286000399</v>
      </c>
      <c r="E27" s="3">
        <v>3.18279060008877</v>
      </c>
      <c r="F27" s="3">
        <v>2.4441813919170099</v>
      </c>
      <c r="G27" s="3">
        <v>3.4623313584425901</v>
      </c>
      <c r="H27" s="3">
        <v>4.0800272810693796</v>
      </c>
      <c r="I27" s="3">
        <v>1.28464100681007</v>
      </c>
      <c r="J27" s="3">
        <v>2.2217396841002501</v>
      </c>
      <c r="K27" s="3">
        <v>3.73095252396423</v>
      </c>
      <c r="L27" s="3">
        <v>3.13844750914302</v>
      </c>
      <c r="M27" s="3">
        <v>4.2431077758399596</v>
      </c>
      <c r="N27" s="3">
        <v>4.7270365598606299</v>
      </c>
    </row>
    <row r="28" spans="1:14" x14ac:dyDescent="0.35">
      <c r="A28" s="2">
        <v>42639</v>
      </c>
      <c r="B28" s="3">
        <v>4.3664741976125203</v>
      </c>
      <c r="C28" s="3">
        <v>4.5443339005176897</v>
      </c>
      <c r="D28" s="3">
        <v>2.9598080828381099</v>
      </c>
      <c r="E28" s="3">
        <v>3.2397976096204499</v>
      </c>
      <c r="F28" s="3">
        <v>2.3842979188268698</v>
      </c>
      <c r="G28" s="3">
        <v>3.4839300364932599</v>
      </c>
      <c r="H28" s="3">
        <v>4.2088146346682</v>
      </c>
      <c r="I28" s="3">
        <v>1.2741141743262501</v>
      </c>
      <c r="J28" s="3">
        <v>2.24243071594619</v>
      </c>
      <c r="K28" s="3">
        <v>3.74619870516648</v>
      </c>
      <c r="L28" s="3">
        <v>3.1690704195207302</v>
      </c>
      <c r="M28" s="3">
        <v>4.2518685062691803</v>
      </c>
      <c r="N28" s="3">
        <v>5.0330177424765496</v>
      </c>
    </row>
    <row r="29" spans="1:14" x14ac:dyDescent="0.35">
      <c r="A29" s="2">
        <v>42669</v>
      </c>
      <c r="B29" s="3">
        <v>4.6026474259274197</v>
      </c>
      <c r="C29" s="3">
        <v>4.6090954287196801</v>
      </c>
      <c r="D29" s="3">
        <v>2.9224896965728102</v>
      </c>
      <c r="E29" s="3">
        <v>3.1355196163880601</v>
      </c>
      <c r="F29" s="3">
        <v>2.31672592931581</v>
      </c>
      <c r="G29" s="3">
        <v>3.61492639258518</v>
      </c>
      <c r="H29" s="3">
        <v>4.3277682136622397</v>
      </c>
      <c r="I29" s="3">
        <v>1.26246338993433</v>
      </c>
      <c r="J29" s="3">
        <v>2.2581364493447702</v>
      </c>
      <c r="K29" s="3">
        <v>3.7286136537617098</v>
      </c>
      <c r="L29" s="3">
        <v>3.1026069556750202</v>
      </c>
      <c r="M29" s="3">
        <v>4.0940140346799598</v>
      </c>
      <c r="N29" s="3">
        <v>4.72452723776982</v>
      </c>
    </row>
    <row r="30" spans="1:14" x14ac:dyDescent="0.35">
      <c r="A30" s="2">
        <v>42699</v>
      </c>
      <c r="B30" s="3">
        <v>4.6011069962060196</v>
      </c>
      <c r="C30" s="3">
        <v>4.51534005831292</v>
      </c>
      <c r="D30" s="3">
        <v>2.8668375364302201</v>
      </c>
      <c r="E30" s="3">
        <v>3.1680996836222799</v>
      </c>
      <c r="F30" s="3">
        <v>2.1935654753281399</v>
      </c>
      <c r="G30" s="3">
        <v>3.6558548715542498</v>
      </c>
      <c r="H30" s="3">
        <v>4.3846701453005101</v>
      </c>
      <c r="I30" s="3">
        <v>1.2790800132756199</v>
      </c>
      <c r="J30" s="3">
        <v>2.1986197492527402</v>
      </c>
      <c r="K30" s="3">
        <v>3.6932901265548899</v>
      </c>
      <c r="L30" s="3">
        <v>3.1067661406874998</v>
      </c>
      <c r="M30" s="3">
        <v>4.0071362266679396</v>
      </c>
      <c r="N30" s="3">
        <v>4.8780491954770797</v>
      </c>
    </row>
    <row r="31" spans="1:14" x14ac:dyDescent="0.35">
      <c r="A31" s="2">
        <v>42727</v>
      </c>
      <c r="B31" s="3">
        <v>4.6234163628462097</v>
      </c>
      <c r="C31" s="3">
        <v>4.5521015852438902</v>
      </c>
      <c r="D31" s="3">
        <v>2.8279942057862799</v>
      </c>
      <c r="E31" s="3">
        <v>2.9775400117845998</v>
      </c>
      <c r="F31" s="3">
        <v>2.08698233178538</v>
      </c>
      <c r="G31" s="3">
        <v>3.5618394533184001</v>
      </c>
      <c r="H31" s="3">
        <v>4.3271118851949799</v>
      </c>
      <c r="I31" s="3">
        <v>1.28091086044344</v>
      </c>
      <c r="J31" s="3">
        <v>2.1627780225858499</v>
      </c>
      <c r="K31" s="3">
        <v>3.4865564133811602</v>
      </c>
      <c r="L31" s="3">
        <v>2.95868088927089</v>
      </c>
      <c r="M31" s="3">
        <v>3.8854000350412798</v>
      </c>
      <c r="N31" s="3">
        <v>4.2693992104535203</v>
      </c>
    </row>
    <row r="32" spans="1:14" x14ac:dyDescent="0.35">
      <c r="A32" s="2">
        <v>42761</v>
      </c>
      <c r="B32" s="3">
        <v>4.5123192631157396</v>
      </c>
      <c r="C32" s="3">
        <v>4.5528158610582299</v>
      </c>
      <c r="D32" s="3">
        <v>2.7907204383813098</v>
      </c>
      <c r="E32" s="3">
        <v>2.8969111061635702</v>
      </c>
      <c r="F32" s="3">
        <v>2.10752330220105</v>
      </c>
      <c r="G32" s="3">
        <v>3.45443531551784</v>
      </c>
      <c r="H32" s="3">
        <v>4.2813123260859003</v>
      </c>
      <c r="I32" s="3">
        <v>1.23650819538513</v>
      </c>
      <c r="J32" s="3">
        <v>2.1487314200134899</v>
      </c>
      <c r="K32" s="3">
        <v>3.4573757861116201</v>
      </c>
      <c r="L32" s="3">
        <v>2.9499784143988101</v>
      </c>
      <c r="M32" s="3">
        <v>3.7008648197215601</v>
      </c>
      <c r="N32" s="3">
        <v>4.3467386503560297</v>
      </c>
    </row>
    <row r="33" spans="1:14" x14ac:dyDescent="0.35">
      <c r="A33" s="2">
        <v>42790</v>
      </c>
      <c r="B33" s="3">
        <v>4.6118893427372303</v>
      </c>
      <c r="C33" s="3">
        <v>4.5452852996761797</v>
      </c>
      <c r="D33" s="3">
        <v>2.8544607764930001</v>
      </c>
      <c r="E33" s="3">
        <v>2.95468406543913</v>
      </c>
      <c r="F33" s="3">
        <v>2.1371748452157</v>
      </c>
      <c r="G33" s="3">
        <v>3.3906688582340201</v>
      </c>
      <c r="H33" s="3">
        <v>4.2936116850427304</v>
      </c>
      <c r="I33" s="3">
        <v>1.2195150562264101</v>
      </c>
      <c r="J33" s="3">
        <v>2.10350917587829</v>
      </c>
      <c r="K33" s="3">
        <v>3.5185315771692101</v>
      </c>
      <c r="L33" s="3">
        <v>2.8655625523416601</v>
      </c>
      <c r="M33" s="3">
        <v>3.64532815663437</v>
      </c>
      <c r="N33" s="3">
        <v>4.3897876103869704</v>
      </c>
    </row>
    <row r="34" spans="1:14" x14ac:dyDescent="0.35">
      <c r="A34" s="2">
        <v>42818</v>
      </c>
      <c r="B34" s="3">
        <v>4.6622055359929497</v>
      </c>
      <c r="C34" s="3">
        <v>4.5995029428226202</v>
      </c>
      <c r="D34" s="3">
        <v>2.9334051544673501</v>
      </c>
      <c r="E34" s="3">
        <v>2.95699670271991</v>
      </c>
      <c r="F34" s="3">
        <v>2.1724761456508399</v>
      </c>
      <c r="G34" s="3">
        <v>3.3499527370495801</v>
      </c>
      <c r="H34" s="3">
        <v>4.3212345070639504</v>
      </c>
      <c r="I34" s="3">
        <v>1.2199573877993899</v>
      </c>
      <c r="J34" s="3">
        <v>2.1280027651220399</v>
      </c>
      <c r="K34" s="3">
        <v>3.4102015664823302</v>
      </c>
      <c r="L34" s="3">
        <v>2.7827272555802498</v>
      </c>
      <c r="M34" s="3">
        <v>3.6540459869121</v>
      </c>
      <c r="N34" s="3">
        <v>3.9678905618056701</v>
      </c>
    </row>
    <row r="35" spans="1:14" x14ac:dyDescent="0.35">
      <c r="A35" s="2">
        <v>42851</v>
      </c>
      <c r="B35" s="3">
        <v>4.5019984987420099</v>
      </c>
      <c r="C35" s="3">
        <v>4.4931408027006503</v>
      </c>
      <c r="D35" s="3">
        <v>2.9145481238008402</v>
      </c>
      <c r="E35" s="3">
        <v>2.8808015810990502</v>
      </c>
      <c r="F35" s="3">
        <v>2.19561012356092</v>
      </c>
      <c r="G35" s="3">
        <v>3.3380317020367798</v>
      </c>
      <c r="H35" s="3">
        <v>4.3289350463737</v>
      </c>
      <c r="I35" s="3">
        <v>1.1966775528970199</v>
      </c>
      <c r="J35" s="3">
        <v>2.10645200139674</v>
      </c>
      <c r="K35" s="3">
        <v>3.2452278345091901</v>
      </c>
      <c r="L35" s="3">
        <v>2.7278684053308599</v>
      </c>
      <c r="M35" s="3">
        <v>3.54741869595835</v>
      </c>
      <c r="N35" s="3">
        <v>3.8689814697369802</v>
      </c>
    </row>
    <row r="36" spans="1:14" x14ac:dyDescent="0.35">
      <c r="A36" s="2">
        <v>42881</v>
      </c>
      <c r="B36" s="3">
        <v>4.4432215904413299</v>
      </c>
      <c r="C36" s="3">
        <v>4.6383672605413002</v>
      </c>
      <c r="D36" s="3">
        <v>2.9246009333677798</v>
      </c>
      <c r="E36" s="3">
        <v>2.9355644890377302</v>
      </c>
      <c r="F36" s="3">
        <v>2.19172837721417</v>
      </c>
      <c r="G36" s="3">
        <v>3.2881782297773201</v>
      </c>
      <c r="H36" s="3">
        <v>4.22907210147073</v>
      </c>
      <c r="I36" s="3">
        <v>1.15696651354697</v>
      </c>
      <c r="J36" s="3">
        <v>2.0939789692741</v>
      </c>
      <c r="K36" s="3">
        <v>3.2319818074374602</v>
      </c>
      <c r="L36" s="3">
        <v>2.7259085439847701</v>
      </c>
      <c r="M36" s="3">
        <v>3.3724479854966001</v>
      </c>
      <c r="N36" s="3">
        <v>3.8357499841452198</v>
      </c>
    </row>
    <row r="37" spans="1:14" x14ac:dyDescent="0.35">
      <c r="A37" s="2">
        <v>42912</v>
      </c>
      <c r="B37" s="3">
        <v>4.3556807401860897</v>
      </c>
      <c r="C37" s="3">
        <v>4.6477666303516303</v>
      </c>
      <c r="D37" s="3">
        <v>3.02276031669517</v>
      </c>
      <c r="E37" s="3">
        <v>2.9297654580636698</v>
      </c>
      <c r="F37" s="3">
        <v>2.1676749180259902</v>
      </c>
      <c r="G37" s="3">
        <v>3.2259928423046902</v>
      </c>
      <c r="H37" s="3">
        <v>4.30779880808982</v>
      </c>
      <c r="I37" s="3">
        <v>1.1701169359393799</v>
      </c>
      <c r="J37" s="3">
        <v>2.0866169047951399</v>
      </c>
      <c r="K37" s="3">
        <v>3.2749584831691099</v>
      </c>
      <c r="L37" s="3">
        <v>2.7377402062553</v>
      </c>
      <c r="M37" s="3">
        <v>3.5163851550927401</v>
      </c>
      <c r="N37" s="3">
        <v>3.7907618437425299</v>
      </c>
    </row>
    <row r="38" spans="1:14" x14ac:dyDescent="0.35">
      <c r="A38" s="2">
        <v>42942</v>
      </c>
      <c r="B38" s="3">
        <v>4.3844695010484296</v>
      </c>
      <c r="C38" s="3">
        <v>4.5433465456038</v>
      </c>
      <c r="D38" s="3">
        <v>3.0428481266101199</v>
      </c>
      <c r="E38" s="3">
        <v>3.0474137864700999</v>
      </c>
      <c r="F38" s="3">
        <v>2.1711354398201501</v>
      </c>
      <c r="G38" s="3">
        <v>3.2878621291033299</v>
      </c>
      <c r="H38" s="3">
        <v>4.2489680466406403</v>
      </c>
      <c r="I38" s="3">
        <v>1.1586880372694299</v>
      </c>
      <c r="J38" s="3">
        <v>2.0776011423598599</v>
      </c>
      <c r="K38" s="3">
        <v>3.34064656614134</v>
      </c>
      <c r="L38" s="3">
        <v>2.7467327470352099</v>
      </c>
      <c r="M38" s="3">
        <v>3.6674501959788</v>
      </c>
      <c r="N38" s="3">
        <v>3.7398401109756998</v>
      </c>
    </row>
    <row r="39" spans="1:14" x14ac:dyDescent="0.35">
      <c r="A39" s="2">
        <v>42972</v>
      </c>
      <c r="B39" s="3">
        <v>4.2679825055044196</v>
      </c>
      <c r="C39" s="3">
        <v>4.5558183801353502</v>
      </c>
      <c r="D39" s="3">
        <v>3.0783111968330599</v>
      </c>
      <c r="E39" s="3">
        <v>3.1232249655800799</v>
      </c>
      <c r="F39" s="3">
        <v>2.22814089173754</v>
      </c>
      <c r="G39" s="3">
        <v>3.3219813852260902</v>
      </c>
      <c r="H39" s="3">
        <v>4.3508745577946</v>
      </c>
      <c r="I39" s="3">
        <v>1.1919619236579799</v>
      </c>
      <c r="J39" s="3">
        <v>2.1197948657494301</v>
      </c>
      <c r="K39" s="3">
        <v>3.4176085703535999</v>
      </c>
      <c r="L39" s="3">
        <v>2.83224646980785</v>
      </c>
      <c r="M39" s="3">
        <v>3.7914809550911301</v>
      </c>
      <c r="N39" s="3">
        <v>3.77414331734819</v>
      </c>
    </row>
    <row r="40" spans="1:14" x14ac:dyDescent="0.35">
      <c r="A40" s="2">
        <v>43004</v>
      </c>
      <c r="B40" s="3">
        <v>4.4082244024440103</v>
      </c>
      <c r="C40" s="3">
        <v>4.6207116084902102</v>
      </c>
      <c r="D40" s="3">
        <v>3.01688303817981</v>
      </c>
      <c r="E40" s="3">
        <v>3.03859811626215</v>
      </c>
      <c r="F40" s="3">
        <v>2.1540535474720302</v>
      </c>
      <c r="G40" s="3">
        <v>3.2875894084611001</v>
      </c>
      <c r="H40" s="3">
        <v>4.3475098475085696</v>
      </c>
      <c r="I40" s="3">
        <v>1.18162459286465</v>
      </c>
      <c r="J40" s="3">
        <v>2.0785438989217901</v>
      </c>
      <c r="K40" s="3">
        <v>3.3251154079513898</v>
      </c>
      <c r="L40" s="3">
        <v>2.8335888047127602</v>
      </c>
      <c r="M40" s="3">
        <v>3.6193830390369901</v>
      </c>
      <c r="N40" s="3">
        <v>3.7021961357423301</v>
      </c>
    </row>
    <row r="41" spans="1:14" x14ac:dyDescent="0.35">
      <c r="A41" s="2">
        <v>43034</v>
      </c>
      <c r="B41" s="3">
        <v>4.3606914176065397</v>
      </c>
      <c r="C41" s="3">
        <v>4.4897714926632801</v>
      </c>
      <c r="D41" s="3">
        <v>2.9370928948401902</v>
      </c>
      <c r="E41" s="3">
        <v>2.9237396600494998</v>
      </c>
      <c r="F41" s="3">
        <v>2.0743854188441602</v>
      </c>
      <c r="G41" s="3">
        <v>3.2660087154273301</v>
      </c>
      <c r="H41" s="3">
        <v>4.3098056975971897</v>
      </c>
      <c r="I41" s="3">
        <v>1.15651631760104</v>
      </c>
      <c r="J41" s="3">
        <v>2.0395579612500798</v>
      </c>
      <c r="K41" s="3">
        <v>3.2558081123046598</v>
      </c>
      <c r="L41" s="3">
        <v>2.7533028581734702</v>
      </c>
      <c r="M41" s="3">
        <v>3.54560797651826</v>
      </c>
      <c r="N41" s="3">
        <v>3.7798097339365899</v>
      </c>
    </row>
    <row r="42" spans="1:14" x14ac:dyDescent="0.35">
      <c r="A42" s="2">
        <v>43063</v>
      </c>
      <c r="B42" s="3">
        <v>4.3771913991576401</v>
      </c>
      <c r="C42" s="3">
        <v>4.4716548814939499</v>
      </c>
      <c r="D42" s="3">
        <v>2.9125482914480099</v>
      </c>
      <c r="E42" s="3">
        <v>2.9371988832956002</v>
      </c>
      <c r="F42" s="3">
        <v>2.0817534995806399</v>
      </c>
      <c r="G42" s="3">
        <v>3.2211955101341201</v>
      </c>
      <c r="H42" s="3">
        <v>4.35809868852321</v>
      </c>
      <c r="I42" s="3">
        <v>1.0951437334152101</v>
      </c>
      <c r="J42" s="3">
        <v>2.0034286892347701</v>
      </c>
      <c r="K42" s="3">
        <v>3.2970435569781502</v>
      </c>
      <c r="L42" s="3">
        <v>2.8178485522627099</v>
      </c>
      <c r="M42" s="3">
        <v>3.6480463889722001</v>
      </c>
      <c r="N42" s="3">
        <v>3.87367895250157</v>
      </c>
    </row>
    <row r="43" spans="1:14" x14ac:dyDescent="0.35">
      <c r="A43" s="2">
        <v>43095</v>
      </c>
      <c r="B43" s="3">
        <v>4.2097916130713804</v>
      </c>
      <c r="C43" s="3">
        <v>4.4589219943426297</v>
      </c>
      <c r="D43" s="3">
        <v>2.9118763806989398</v>
      </c>
      <c r="E43" s="3">
        <v>2.91841026941816</v>
      </c>
      <c r="F43" s="3">
        <v>2.0462924658652599</v>
      </c>
      <c r="G43" s="3">
        <v>3.2282326446881502</v>
      </c>
      <c r="H43" s="3">
        <v>4.2629658250853604</v>
      </c>
      <c r="I43" s="3">
        <v>1.0941131897351</v>
      </c>
      <c r="J43" s="3">
        <v>1.9557051418945499</v>
      </c>
      <c r="K43" s="3">
        <v>3.2919104284303602</v>
      </c>
      <c r="L43" s="3">
        <v>2.8364442884611298</v>
      </c>
      <c r="M43" s="3">
        <v>3.7045036039222499</v>
      </c>
      <c r="N43" s="3">
        <v>3.9154467832712698</v>
      </c>
    </row>
    <row r="44" spans="1:14" x14ac:dyDescent="0.35">
      <c r="A44" s="2">
        <v>43126</v>
      </c>
      <c r="B44" s="3">
        <v>4.2642733946398499</v>
      </c>
      <c r="C44" s="3">
        <v>4.5034632422417999</v>
      </c>
      <c r="D44" s="3">
        <v>2.9194201489514602</v>
      </c>
      <c r="E44" s="3">
        <v>2.8920811335680798</v>
      </c>
      <c r="F44" s="3">
        <v>2.00458359395599</v>
      </c>
      <c r="G44" s="3">
        <v>3.1411242150804202</v>
      </c>
      <c r="H44" s="3">
        <v>4.1654052541655</v>
      </c>
      <c r="I44" s="3">
        <v>1.0180863141968299</v>
      </c>
      <c r="J44" s="3">
        <v>1.84898557050246</v>
      </c>
      <c r="K44" s="3">
        <v>3.2009986521513798</v>
      </c>
      <c r="L44" s="3">
        <v>2.7766580226076498</v>
      </c>
      <c r="M44" s="3">
        <v>3.6910008867578599</v>
      </c>
      <c r="N44" s="3">
        <v>3.7154869278040001</v>
      </c>
    </row>
    <row r="45" spans="1:14" x14ac:dyDescent="0.35">
      <c r="A45" s="2">
        <v>43157</v>
      </c>
      <c r="B45" s="3">
        <v>4.2487825384476396</v>
      </c>
      <c r="C45" s="3">
        <v>4.5715311744375597</v>
      </c>
      <c r="D45" s="3">
        <v>3.0680083895431198</v>
      </c>
      <c r="E45" s="3">
        <v>3.10871249255392</v>
      </c>
      <c r="F45" s="3">
        <v>2.1745788063315898</v>
      </c>
      <c r="G45" s="3">
        <v>3.3448750333109101</v>
      </c>
      <c r="H45" s="3">
        <v>4.5564180303686701</v>
      </c>
      <c r="I45" s="3">
        <v>1.0436597453137999</v>
      </c>
      <c r="J45" s="3">
        <v>1.9359141731373599</v>
      </c>
      <c r="K45" s="3">
        <v>3.3598527131785798</v>
      </c>
      <c r="L45" s="3">
        <v>2.91167550522532</v>
      </c>
      <c r="M45" s="3">
        <v>3.8275490164144399</v>
      </c>
      <c r="N45" s="3">
        <v>3.9507426488350998</v>
      </c>
    </row>
    <row r="46" spans="1:14" x14ac:dyDescent="0.35">
      <c r="A46" s="2">
        <v>43185</v>
      </c>
      <c r="B46" s="3">
        <v>4.2562048827440604</v>
      </c>
      <c r="C46" s="3">
        <v>4.82144958310161</v>
      </c>
      <c r="D46" s="3">
        <v>3.20298956508271</v>
      </c>
      <c r="E46" s="3">
        <v>3.3175113649783001</v>
      </c>
      <c r="F46" s="3">
        <v>2.3258034419315199</v>
      </c>
      <c r="G46" s="3">
        <v>3.5743782470570098</v>
      </c>
      <c r="H46" s="3">
        <v>4.6428970914057901</v>
      </c>
      <c r="I46" s="3">
        <v>1.0921555411917101</v>
      </c>
      <c r="J46" s="3">
        <v>2.0414293288670202</v>
      </c>
      <c r="K46" s="3">
        <v>3.52341317668342</v>
      </c>
      <c r="L46" s="3">
        <v>3.0390395644099799</v>
      </c>
      <c r="M46" s="3">
        <v>4.1404431844448997</v>
      </c>
      <c r="N46" s="3">
        <v>4.1913838635459104</v>
      </c>
    </row>
    <row r="47" spans="1:14" x14ac:dyDescent="0.35">
      <c r="A47" s="2">
        <v>43216</v>
      </c>
      <c r="B47" s="3">
        <v>4.3608918001802301</v>
      </c>
      <c r="C47" s="3">
        <v>4.7770387339389204</v>
      </c>
      <c r="D47" s="3">
        <v>3.1459663363059902</v>
      </c>
      <c r="E47" s="3">
        <v>3.1803470326264698</v>
      </c>
      <c r="F47" s="3">
        <v>2.20799352920818</v>
      </c>
      <c r="G47" s="3">
        <v>3.4781142355664199</v>
      </c>
      <c r="H47" s="3">
        <v>4.3726851036150798</v>
      </c>
      <c r="I47" s="3">
        <v>1.12133756252465</v>
      </c>
      <c r="J47" s="3">
        <v>2.0571541301918401</v>
      </c>
      <c r="K47" s="3">
        <v>3.33682416494876</v>
      </c>
      <c r="L47" s="3">
        <v>2.9478284327264599</v>
      </c>
      <c r="M47" s="3">
        <v>4.0110453614807602</v>
      </c>
      <c r="N47" s="3">
        <v>3.8791721143653102</v>
      </c>
    </row>
    <row r="48" spans="1:14" x14ac:dyDescent="0.35">
      <c r="A48" s="2">
        <v>43245</v>
      </c>
      <c r="B48" s="3">
        <v>4.21781842953627</v>
      </c>
      <c r="C48" s="3">
        <v>4.67852969101817</v>
      </c>
      <c r="D48" s="3">
        <v>3.0784555797297002</v>
      </c>
      <c r="E48" s="3">
        <v>3.1247405987394701</v>
      </c>
      <c r="F48" s="3">
        <v>2.2427239131794199</v>
      </c>
      <c r="G48" s="3">
        <v>3.49187449598824</v>
      </c>
      <c r="H48" s="3">
        <v>4.3076784458672499</v>
      </c>
      <c r="I48" s="3">
        <v>1.08412595675409</v>
      </c>
      <c r="J48" s="3">
        <v>2.0331625396047199</v>
      </c>
      <c r="K48" s="3">
        <v>3.3072336356364</v>
      </c>
      <c r="L48" s="3">
        <v>2.8808652309889902</v>
      </c>
      <c r="M48" s="3">
        <v>4.0376519831124904</v>
      </c>
      <c r="N48" s="3">
        <v>4.2663193425616397</v>
      </c>
    </row>
    <row r="49" spans="1:14" x14ac:dyDescent="0.35">
      <c r="A49" s="2">
        <v>43277</v>
      </c>
      <c r="B49" s="3">
        <v>4.0315299768517097</v>
      </c>
      <c r="C49" s="3">
        <v>4.63358587801675</v>
      </c>
      <c r="D49" s="3">
        <v>3.0686870380600402</v>
      </c>
      <c r="E49" s="3">
        <v>3.2850088496640102</v>
      </c>
      <c r="F49" s="3">
        <v>2.2990417847420299</v>
      </c>
      <c r="G49" s="3">
        <v>3.6140580214145701</v>
      </c>
      <c r="H49" s="3">
        <v>4.4558657818676801</v>
      </c>
      <c r="I49" s="3">
        <v>1.06959485939532</v>
      </c>
      <c r="J49" s="3">
        <v>2.04812440716882</v>
      </c>
      <c r="K49" s="3">
        <v>3.4852835512924401</v>
      </c>
      <c r="L49" s="3">
        <v>2.9564673580355199</v>
      </c>
      <c r="M49" s="3">
        <v>4.20913336980938</v>
      </c>
      <c r="N49" s="3">
        <v>4.5251843733657697</v>
      </c>
    </row>
    <row r="50" spans="1:14" x14ac:dyDescent="0.35">
      <c r="A50" s="2">
        <v>43307</v>
      </c>
      <c r="B50" s="3">
        <v>4.0948565806911503</v>
      </c>
      <c r="C50" s="3">
        <v>4.6146787787918697</v>
      </c>
      <c r="D50" s="3">
        <v>3.05647595423302</v>
      </c>
      <c r="E50" s="3">
        <v>3.1493767484825899</v>
      </c>
      <c r="F50" s="3">
        <v>2.2639327390330002</v>
      </c>
      <c r="G50" s="3">
        <v>3.3714468926818602</v>
      </c>
      <c r="H50" s="3">
        <v>4.4150175884579896</v>
      </c>
      <c r="I50" s="3">
        <v>1.07634298601968</v>
      </c>
      <c r="J50" s="3">
        <v>1.98628992406594</v>
      </c>
      <c r="K50" s="3">
        <v>3.3856425999364199</v>
      </c>
      <c r="L50" s="3">
        <v>2.8652890431232501</v>
      </c>
      <c r="M50" s="3">
        <v>4.1043166939779496</v>
      </c>
      <c r="N50" s="3">
        <v>4.4015831409495698</v>
      </c>
    </row>
    <row r="51" spans="1:14" x14ac:dyDescent="0.35">
      <c r="A51" s="2">
        <v>43336</v>
      </c>
      <c r="B51" s="3">
        <v>3.9412961792129799</v>
      </c>
      <c r="C51" s="3">
        <v>4.6612493754019404</v>
      </c>
      <c r="D51" s="3">
        <v>3.0971989835670102</v>
      </c>
      <c r="E51" s="3">
        <v>3.25061553280513</v>
      </c>
      <c r="F51" s="3">
        <v>2.3456480208763999</v>
      </c>
      <c r="G51" s="3">
        <v>3.4099128104952299</v>
      </c>
      <c r="H51" s="3">
        <v>4.5103684089981302</v>
      </c>
      <c r="I51" s="3">
        <v>1.07046360060406</v>
      </c>
      <c r="J51" s="3">
        <v>1.9743077803487501</v>
      </c>
      <c r="K51" s="3">
        <v>3.4355445386996601</v>
      </c>
      <c r="L51" s="3">
        <v>2.91037542204666</v>
      </c>
      <c r="M51" s="3">
        <v>4.0531823424364397</v>
      </c>
      <c r="N51" s="3">
        <v>4.6412408705167403</v>
      </c>
    </row>
    <row r="52" spans="1:14" x14ac:dyDescent="0.35">
      <c r="A52" s="2">
        <v>43369</v>
      </c>
      <c r="B52" s="3">
        <v>3.9642433115536</v>
      </c>
      <c r="C52" s="3">
        <v>4.7460790257884096</v>
      </c>
      <c r="D52" s="3">
        <v>3.1536674793447399</v>
      </c>
      <c r="E52" s="3">
        <v>3.28808568155485</v>
      </c>
      <c r="F52" s="3">
        <v>2.2165327981222598</v>
      </c>
      <c r="G52" s="3">
        <v>3.39696146301802</v>
      </c>
      <c r="H52" s="3">
        <v>4.4941825870512302</v>
      </c>
      <c r="I52" s="3">
        <v>1.06996466080328</v>
      </c>
      <c r="J52" s="3">
        <v>1.9607522897251699</v>
      </c>
      <c r="K52" s="3">
        <v>3.4112180823681699</v>
      </c>
      <c r="L52" s="3">
        <v>3.0045855732518301</v>
      </c>
      <c r="M52" s="3">
        <v>4.0351660122268802</v>
      </c>
      <c r="N52" s="3">
        <v>4.5036997194856996</v>
      </c>
    </row>
    <row r="53" spans="1:14" x14ac:dyDescent="0.35">
      <c r="A53" s="2">
        <v>43399</v>
      </c>
      <c r="B53" s="3">
        <v>4.3860737930646199</v>
      </c>
      <c r="C53" s="3">
        <v>5.2097459136575202</v>
      </c>
      <c r="D53" s="3">
        <v>3.45289813058303</v>
      </c>
      <c r="E53" s="3">
        <v>3.6315685407922</v>
      </c>
      <c r="F53" s="3">
        <v>2.5297122309419899</v>
      </c>
      <c r="G53" s="3">
        <v>3.6281172865429001</v>
      </c>
      <c r="H53" s="3">
        <v>4.95942358424014</v>
      </c>
      <c r="I53" s="3">
        <v>1.2006494946614801</v>
      </c>
      <c r="J53" s="3">
        <v>2.1645228401685199</v>
      </c>
      <c r="K53" s="3">
        <v>3.79993301081582</v>
      </c>
      <c r="L53" s="3">
        <v>3.26781195888478</v>
      </c>
      <c r="M53" s="3">
        <v>4.5075208652277601</v>
      </c>
      <c r="N53" s="3">
        <v>5.1551153124638898</v>
      </c>
    </row>
    <row r="54" spans="1:14" x14ac:dyDescent="0.35">
      <c r="A54" s="2">
        <v>43430</v>
      </c>
      <c r="B54" s="3">
        <v>4.3185564351518497</v>
      </c>
      <c r="C54" s="3">
        <v>5.3005692740178496</v>
      </c>
      <c r="D54" s="3">
        <v>3.4308670271054602</v>
      </c>
      <c r="E54" s="3">
        <v>3.64646535055252</v>
      </c>
      <c r="F54" s="3">
        <v>2.5113766262914501</v>
      </c>
      <c r="G54" s="3">
        <v>3.5501362073687002</v>
      </c>
      <c r="H54" s="3">
        <v>4.9268687738137302</v>
      </c>
      <c r="I54" s="3">
        <v>1.23691906231634</v>
      </c>
      <c r="J54" s="3">
        <v>2.1484894606190799</v>
      </c>
      <c r="K54" s="3">
        <v>3.7992134542974001</v>
      </c>
      <c r="L54" s="3">
        <v>3.2378245640781098</v>
      </c>
      <c r="M54" s="3">
        <v>4.5124928776182403</v>
      </c>
      <c r="N54" s="3">
        <v>5.0934659775580702</v>
      </c>
    </row>
    <row r="55" spans="1:14" x14ac:dyDescent="0.35">
      <c r="A55" s="2">
        <v>43460</v>
      </c>
      <c r="B55" s="3">
        <v>4.2151660741196002</v>
      </c>
      <c r="C55" s="3">
        <v>5.5043797097098999</v>
      </c>
      <c r="D55" s="3">
        <v>3.7478545456039001</v>
      </c>
      <c r="E55" s="3">
        <v>3.9368391355912098</v>
      </c>
      <c r="F55" s="3">
        <v>2.8615490011830702</v>
      </c>
      <c r="G55" s="3">
        <v>3.7139608720830002</v>
      </c>
      <c r="H55" s="3">
        <v>5.3632917739789399</v>
      </c>
      <c r="I55" s="3">
        <v>1.3326895505176499</v>
      </c>
      <c r="J55" s="3">
        <v>2.3540520949416099</v>
      </c>
      <c r="K55" s="3">
        <v>4.0942726461910697</v>
      </c>
      <c r="L55" s="3">
        <v>3.5251083609717502</v>
      </c>
      <c r="M55" s="3">
        <v>4.7752183730328897</v>
      </c>
      <c r="N55" s="3">
        <v>5.4172323798357098</v>
      </c>
    </row>
    <row r="56" spans="1:14" x14ac:dyDescent="0.35">
      <c r="A56" s="2">
        <v>43490</v>
      </c>
      <c r="B56" s="3">
        <v>4.0422000709048396</v>
      </c>
      <c r="C56" s="3">
        <v>5.0811575641348297</v>
      </c>
      <c r="D56" s="3">
        <v>3.3616518774292401</v>
      </c>
      <c r="E56" s="3">
        <v>3.6735671514594301</v>
      </c>
      <c r="F56" s="3">
        <v>2.6322841690557399</v>
      </c>
      <c r="G56" s="3">
        <v>3.4883139183887502</v>
      </c>
      <c r="H56" s="3">
        <v>5.1781797540085304</v>
      </c>
      <c r="I56" s="3">
        <v>1.2385091259910199</v>
      </c>
      <c r="J56" s="3">
        <v>2.1899100356641501</v>
      </c>
      <c r="K56" s="3">
        <v>3.8417315356205899</v>
      </c>
      <c r="L56" s="3">
        <v>3.2833214080870499</v>
      </c>
      <c r="M56" s="3">
        <v>4.4045256580055296</v>
      </c>
      <c r="N56" s="3">
        <v>5.0674420678767103</v>
      </c>
    </row>
    <row r="57" spans="1:14" x14ac:dyDescent="0.35">
      <c r="A57" s="2">
        <v>43522</v>
      </c>
      <c r="B57" s="3">
        <v>3.9600769367302502</v>
      </c>
      <c r="C57" s="3">
        <v>4.9523546364195203</v>
      </c>
      <c r="D57" s="3">
        <v>3.2575227205409201</v>
      </c>
      <c r="E57" s="3">
        <v>3.6095795003782798</v>
      </c>
      <c r="F57" s="3">
        <v>2.55041300699766</v>
      </c>
      <c r="G57" s="3">
        <v>3.3099634932777202</v>
      </c>
      <c r="H57" s="3">
        <v>4.9289095099660001</v>
      </c>
      <c r="I57" s="3">
        <v>1.17330199269244</v>
      </c>
      <c r="J57" s="3">
        <v>2.10020867731386</v>
      </c>
      <c r="K57" s="3">
        <v>3.6511187083529202</v>
      </c>
      <c r="L57" s="3">
        <v>3.1081148444273499</v>
      </c>
      <c r="M57" s="3">
        <v>4.1388833482647298</v>
      </c>
      <c r="N57" s="3">
        <v>4.8630469508661802</v>
      </c>
    </row>
    <row r="58" spans="1:14" x14ac:dyDescent="0.35">
      <c r="A58" s="2">
        <v>43550</v>
      </c>
      <c r="B58" s="3">
        <v>3.8676347028047102</v>
      </c>
      <c r="C58" s="3">
        <v>4.9769635472273404</v>
      </c>
      <c r="D58" s="3">
        <v>3.2731921162244801</v>
      </c>
      <c r="E58" s="3">
        <v>3.6260640829413102</v>
      </c>
      <c r="F58" s="3">
        <v>2.56041204045798</v>
      </c>
      <c r="G58" s="3">
        <v>3.3497593602336</v>
      </c>
      <c r="H58" s="3">
        <v>4.9340139600129804</v>
      </c>
      <c r="I58" s="3">
        <v>1.14252172186741</v>
      </c>
      <c r="J58" s="3">
        <v>2.09608223123925</v>
      </c>
      <c r="K58" s="3">
        <v>3.6306513677181802</v>
      </c>
      <c r="L58" s="3">
        <v>3.0955204310504798</v>
      </c>
      <c r="M58" s="3">
        <v>4.1502581173438404</v>
      </c>
      <c r="N58" s="3">
        <v>4.70646710602007</v>
      </c>
    </row>
    <row r="59" spans="1:14" x14ac:dyDescent="0.35">
      <c r="A59" s="2">
        <v>43581</v>
      </c>
      <c r="B59" s="3">
        <v>3.6946858763509698</v>
      </c>
      <c r="C59" s="3">
        <v>4.8241955723794296</v>
      </c>
      <c r="D59" s="3">
        <v>3.17756322093136</v>
      </c>
      <c r="E59" s="3">
        <v>3.3910146121107099</v>
      </c>
      <c r="F59" s="3">
        <v>2.5640880388891101</v>
      </c>
      <c r="G59" s="3">
        <v>3.2574867296927201</v>
      </c>
      <c r="H59" s="3">
        <v>4.8512743048979399</v>
      </c>
      <c r="I59" s="3">
        <v>1.08623572906665</v>
      </c>
      <c r="J59" s="3">
        <v>2.0276678188305901</v>
      </c>
      <c r="K59" s="3">
        <v>3.4785846522685602</v>
      </c>
      <c r="L59" s="3">
        <v>2.9731074703266001</v>
      </c>
      <c r="M59" s="3">
        <v>3.9630835872824099</v>
      </c>
      <c r="N59" s="3">
        <v>4.6484628029274404</v>
      </c>
    </row>
    <row r="60" spans="1:14" x14ac:dyDescent="0.35">
      <c r="A60" s="2">
        <v>43609</v>
      </c>
      <c r="B60" s="3">
        <v>3.6666451640195299</v>
      </c>
      <c r="C60" s="3">
        <v>4.7983965029072602</v>
      </c>
      <c r="D60" s="3">
        <v>3.3424537769329699</v>
      </c>
      <c r="E60" s="3">
        <v>3.5962988092082999</v>
      </c>
      <c r="F60" s="3">
        <v>2.69499000610706</v>
      </c>
      <c r="G60" s="3">
        <v>3.2846983871066202</v>
      </c>
      <c r="H60" s="3">
        <v>4.9283810063294302</v>
      </c>
      <c r="I60" s="3">
        <v>1.16801979339755</v>
      </c>
      <c r="J60" s="3">
        <v>2.11801994786456</v>
      </c>
      <c r="K60" s="3">
        <v>3.65358853813825</v>
      </c>
      <c r="L60" s="3">
        <v>3.1098546512917999</v>
      </c>
      <c r="M60" s="3">
        <v>4.2887993002306501</v>
      </c>
      <c r="N60" s="3">
        <v>4.9736343492652599</v>
      </c>
    </row>
    <row r="61" spans="1:14" x14ac:dyDescent="0.35">
      <c r="A61" s="2">
        <v>43642</v>
      </c>
      <c r="B61" s="3">
        <v>3.60244355869682</v>
      </c>
      <c r="C61" s="3">
        <v>4.5896779983225402</v>
      </c>
      <c r="D61" s="3">
        <v>3.3326963191600298</v>
      </c>
      <c r="E61" s="3">
        <v>3.5344931496414</v>
      </c>
      <c r="F61" s="3">
        <v>2.7113241202302798</v>
      </c>
      <c r="G61" s="3">
        <v>3.23459763316656</v>
      </c>
      <c r="H61" s="3">
        <v>4.7968441458275102</v>
      </c>
      <c r="I61" s="3">
        <v>1.1200778782657701</v>
      </c>
      <c r="J61" s="3">
        <v>2.0675564981869901</v>
      </c>
      <c r="K61" s="3">
        <v>3.55253386051566</v>
      </c>
      <c r="L61" s="3">
        <v>3.04285246314164</v>
      </c>
      <c r="M61" s="3">
        <v>4.1689761981108404</v>
      </c>
      <c r="N61" s="3">
        <v>4.8862823514550202</v>
      </c>
    </row>
    <row r="62" spans="1:14" x14ac:dyDescent="0.35">
      <c r="A62" s="2">
        <v>43672</v>
      </c>
      <c r="B62" s="3">
        <v>3.4178013896589801</v>
      </c>
      <c r="C62" s="3">
        <v>4.5301883556159002</v>
      </c>
      <c r="D62" s="3">
        <v>3.3183365863833898</v>
      </c>
      <c r="E62" s="3">
        <v>3.4077204018306899</v>
      </c>
      <c r="F62" s="3">
        <v>2.6569840972415899</v>
      </c>
      <c r="G62" s="3">
        <v>3.2191532941858698</v>
      </c>
      <c r="H62" s="3">
        <v>4.7953903319433104</v>
      </c>
      <c r="I62" s="3">
        <v>1.07165789970463</v>
      </c>
      <c r="J62" s="3">
        <v>2.0017979579782499</v>
      </c>
      <c r="K62" s="3">
        <v>3.49586977148978</v>
      </c>
      <c r="L62" s="3">
        <v>2.88271115152012</v>
      </c>
      <c r="M62" s="3">
        <v>4.0238467455594904</v>
      </c>
      <c r="N62" s="3">
        <v>4.72456656508602</v>
      </c>
    </row>
    <row r="63" spans="1:14" x14ac:dyDescent="0.35">
      <c r="A63" s="2">
        <v>43703</v>
      </c>
      <c r="B63" s="3">
        <v>3.4692523118893202</v>
      </c>
      <c r="C63" s="3">
        <v>4.71183314147875</v>
      </c>
      <c r="D63" s="3">
        <v>3.4539083208181198</v>
      </c>
      <c r="E63" s="3">
        <v>3.6063058999048501</v>
      </c>
      <c r="F63" s="3">
        <v>2.8211154124839002</v>
      </c>
      <c r="G63" s="3">
        <v>3.28780535562105</v>
      </c>
      <c r="H63" s="3">
        <v>5.1413451491626798</v>
      </c>
      <c r="I63" s="3">
        <v>1.13431937320122</v>
      </c>
      <c r="J63" s="3">
        <v>2.1132180734311001</v>
      </c>
      <c r="K63" s="3">
        <v>3.68360882907356</v>
      </c>
      <c r="L63" s="3">
        <v>3.04358070875108</v>
      </c>
      <c r="M63" s="3">
        <v>4.3155723034532398</v>
      </c>
      <c r="N63" s="3">
        <v>5.0262086515249198</v>
      </c>
    </row>
    <row r="64" spans="1:14" x14ac:dyDescent="0.35">
      <c r="A64" s="2">
        <v>43734</v>
      </c>
      <c r="B64" s="3">
        <v>3.3773003869714802</v>
      </c>
      <c r="C64" s="3">
        <v>4.4552105099873698</v>
      </c>
      <c r="D64" s="3">
        <v>3.3118439649358602</v>
      </c>
      <c r="E64" s="3">
        <v>3.4319448941993</v>
      </c>
      <c r="F64" s="3">
        <v>2.5683690190305701</v>
      </c>
      <c r="G64" s="3">
        <v>3.2151362675368498</v>
      </c>
      <c r="H64" s="3">
        <v>4.9214172149936104</v>
      </c>
      <c r="I64" s="3">
        <v>1.1100106095118401</v>
      </c>
      <c r="J64" s="3">
        <v>2.04954305990525</v>
      </c>
      <c r="K64" s="3">
        <v>3.51996307255189</v>
      </c>
      <c r="L64" s="3">
        <v>2.7435725715733499</v>
      </c>
      <c r="M64" s="3">
        <v>3.9352457560369398</v>
      </c>
      <c r="N64" s="3">
        <v>4.7626415495430097</v>
      </c>
    </row>
    <row r="65" spans="1:14" x14ac:dyDescent="0.35">
      <c r="A65" s="2">
        <v>43763</v>
      </c>
      <c r="B65" s="3">
        <v>3.3848204009677598</v>
      </c>
      <c r="C65" s="3">
        <v>4.3624535612240498</v>
      </c>
      <c r="D65" s="3">
        <v>3.3696647631174201</v>
      </c>
      <c r="E65" s="3">
        <v>3.2740862452611701</v>
      </c>
      <c r="F65" s="3">
        <v>2.5405221632792001</v>
      </c>
      <c r="G65" s="3">
        <v>3.1715560567542198</v>
      </c>
      <c r="H65" s="3">
        <v>4.8237362858180903</v>
      </c>
      <c r="I65" s="3">
        <v>1.08877503990224</v>
      </c>
      <c r="J65" s="3">
        <v>2.0342495634831299</v>
      </c>
      <c r="K65" s="3">
        <v>3.4595144035910801</v>
      </c>
      <c r="L65" s="3">
        <v>2.7306798803697498</v>
      </c>
      <c r="M65" s="3">
        <v>3.7067610896716898</v>
      </c>
      <c r="N65" s="3">
        <v>4.6520091869842197</v>
      </c>
    </row>
    <row r="66" spans="1:14" x14ac:dyDescent="0.35">
      <c r="A66" s="2">
        <v>43795</v>
      </c>
      <c r="B66" s="3">
        <v>3.2916267938483101</v>
      </c>
      <c r="C66" s="3">
        <v>4.3152084911432604</v>
      </c>
      <c r="D66" s="3">
        <v>3.2503728779171399</v>
      </c>
      <c r="E66" s="3">
        <v>3.1048637542600601</v>
      </c>
      <c r="F66" s="3">
        <v>2.4627611715543001</v>
      </c>
      <c r="G66" s="3">
        <v>3.0952315965652</v>
      </c>
      <c r="H66" s="3">
        <v>4.75765614121255</v>
      </c>
      <c r="I66" s="3">
        <v>1.07330150852713</v>
      </c>
      <c r="J66" s="3">
        <v>1.9751981012764901</v>
      </c>
      <c r="K66" s="3">
        <v>3.36285398954141</v>
      </c>
      <c r="L66" s="3">
        <v>2.6450657729512401</v>
      </c>
      <c r="M66" s="3">
        <v>3.6758894477489998</v>
      </c>
      <c r="N66" s="3">
        <v>4.5495615410066899</v>
      </c>
    </row>
    <row r="67" spans="1:14" x14ac:dyDescent="0.35">
      <c r="A67" s="2">
        <v>43825</v>
      </c>
      <c r="B67" s="3">
        <v>3.1227007896547501</v>
      </c>
      <c r="C67" s="3">
        <v>4.2503752891857802</v>
      </c>
      <c r="D67" s="3">
        <v>3.2390587234594199</v>
      </c>
      <c r="E67" s="3">
        <v>3.0825504155223999</v>
      </c>
      <c r="F67" s="3">
        <v>2.4263398901493298</v>
      </c>
      <c r="G67" s="3">
        <v>3.0281059078462702</v>
      </c>
      <c r="H67" s="3">
        <v>4.5535195530041497</v>
      </c>
      <c r="I67" s="3">
        <v>1.04123911669352</v>
      </c>
      <c r="J67" s="3">
        <v>1.9260240866823899</v>
      </c>
      <c r="K67" s="3">
        <v>3.3266694903570002</v>
      </c>
      <c r="L67" s="3">
        <v>2.5786096195354702</v>
      </c>
      <c r="M67" s="3">
        <v>3.5742973153575601</v>
      </c>
      <c r="N67" s="3">
        <v>4.4175016409087799</v>
      </c>
    </row>
    <row r="68" spans="1:14" x14ac:dyDescent="0.35">
      <c r="A68" s="2">
        <v>43854</v>
      </c>
      <c r="B68" s="3">
        <v>3.0593327240458801</v>
      </c>
      <c r="C68" s="3">
        <v>4.1175754465472698</v>
      </c>
      <c r="D68" s="3">
        <v>3.22182127526332</v>
      </c>
      <c r="E68" s="3">
        <v>3.0257991379436602</v>
      </c>
      <c r="F68" s="3">
        <v>2.43358320695538</v>
      </c>
      <c r="G68" s="3">
        <v>2.9706982354459401</v>
      </c>
      <c r="H68" s="3">
        <v>4.5773490909911896</v>
      </c>
      <c r="I68" s="3">
        <v>1.00604396884889</v>
      </c>
      <c r="J68" s="3">
        <v>1.9072377265457401</v>
      </c>
      <c r="K68" s="3">
        <v>3.3237941314502999</v>
      </c>
      <c r="L68" s="3">
        <v>2.5909488187060998</v>
      </c>
      <c r="M68" s="3">
        <v>3.53881178958419</v>
      </c>
      <c r="N68" s="3">
        <v>4.4699264665822902</v>
      </c>
    </row>
    <row r="69" spans="1:14" x14ac:dyDescent="0.35">
      <c r="A69" s="2">
        <v>43887</v>
      </c>
      <c r="B69" s="3">
        <v>3.1221520826493401</v>
      </c>
      <c r="C69" s="3">
        <v>4.3120301938486199</v>
      </c>
      <c r="D69" s="3">
        <v>3.3840189130576599</v>
      </c>
      <c r="E69" s="3">
        <v>3.2145945119070198</v>
      </c>
      <c r="F69" s="3">
        <v>2.6009059629615598</v>
      </c>
      <c r="G69" s="3">
        <v>3.0966085791884699</v>
      </c>
      <c r="H69" s="3">
        <v>4.9577159854973196</v>
      </c>
      <c r="I69" s="3">
        <v>1.04233033287056</v>
      </c>
      <c r="J69" s="3">
        <v>2.0331321985054802</v>
      </c>
      <c r="K69" s="3">
        <v>3.49369368767894</v>
      </c>
      <c r="L69" s="3">
        <v>2.6815047641065499</v>
      </c>
      <c r="M69" s="3">
        <v>3.5948519940593102</v>
      </c>
      <c r="N69" s="3">
        <v>4.7096909630073096</v>
      </c>
    </row>
    <row r="70" spans="1:14" x14ac:dyDescent="0.35">
      <c r="A70" s="2">
        <v>43916</v>
      </c>
      <c r="B70" s="3">
        <v>3.45381737100907</v>
      </c>
      <c r="C70" s="3">
        <v>5.3333540165062798</v>
      </c>
      <c r="D70" s="3">
        <v>4.3199987805064497</v>
      </c>
      <c r="E70" s="3">
        <v>3.9262764395873999</v>
      </c>
      <c r="F70" s="3">
        <v>2.9933948289571801</v>
      </c>
      <c r="G70" s="3">
        <v>3.5379096414867202</v>
      </c>
      <c r="H70" s="3">
        <v>6.1271682780426699</v>
      </c>
      <c r="I70" s="3">
        <v>1.1766467241604399</v>
      </c>
      <c r="J70" s="3">
        <v>2.3994353703451599</v>
      </c>
      <c r="K70" s="3">
        <v>4.2362337372563399</v>
      </c>
      <c r="L70" s="3">
        <v>3.2864824741952399</v>
      </c>
      <c r="M70" s="3">
        <v>4.2220842321528904</v>
      </c>
      <c r="N70" s="3">
        <v>6.1546242476927198</v>
      </c>
    </row>
    <row r="71" spans="1:14" x14ac:dyDescent="0.35">
      <c r="A71" s="2">
        <v>43945</v>
      </c>
      <c r="B71" s="3">
        <v>2.7555061790647501</v>
      </c>
      <c r="C71" s="3">
        <v>4.3272870830776</v>
      </c>
      <c r="D71" s="3">
        <v>3.9801514378621601</v>
      </c>
      <c r="E71" s="3">
        <v>3.5389693969375999</v>
      </c>
      <c r="F71" s="3">
        <v>2.8856687389139299</v>
      </c>
      <c r="G71" s="3">
        <v>3.3234133753525601</v>
      </c>
      <c r="H71" s="3">
        <v>5.4803853491474301</v>
      </c>
      <c r="I71" s="3">
        <v>1.04975676174843</v>
      </c>
      <c r="J71" s="3">
        <v>2.1614828741384602</v>
      </c>
      <c r="K71" s="3">
        <v>3.7747281337106302</v>
      </c>
      <c r="L71" s="3">
        <v>2.81163483164238</v>
      </c>
      <c r="M71" s="3">
        <v>3.4370045667925901</v>
      </c>
      <c r="N71" s="3">
        <v>5.6713163513900797</v>
      </c>
    </row>
    <row r="72" spans="1:14" x14ac:dyDescent="0.35">
      <c r="A72" s="2">
        <v>43977</v>
      </c>
      <c r="B72" s="3">
        <v>2.4939296724250402</v>
      </c>
      <c r="C72" s="3">
        <v>3.5701689532432201</v>
      </c>
      <c r="D72" s="3">
        <v>3.6539981667057102</v>
      </c>
      <c r="E72" s="3">
        <v>3.1403751857125801</v>
      </c>
      <c r="F72" s="3">
        <v>2.6439394094239899</v>
      </c>
      <c r="G72" s="3">
        <v>3.168726955945</v>
      </c>
      <c r="H72" s="3">
        <v>4.2628929744266602</v>
      </c>
      <c r="I72" s="3">
        <v>0.96686673374411303</v>
      </c>
      <c r="J72" s="3">
        <v>2.0198946199307</v>
      </c>
      <c r="K72" s="3">
        <v>3.3966801113260101</v>
      </c>
      <c r="L72" s="3">
        <v>2.4990797457499498</v>
      </c>
      <c r="M72" s="3">
        <v>3.2110098330818801</v>
      </c>
      <c r="N72" s="3">
        <v>4.7709605782966502</v>
      </c>
    </row>
    <row r="73" spans="1:14" x14ac:dyDescent="0.35">
      <c r="A73" s="2">
        <v>44008</v>
      </c>
      <c r="B73" s="3">
        <v>2.5645785273520199</v>
      </c>
      <c r="C73" s="3">
        <v>3.4848758835211502</v>
      </c>
      <c r="D73" s="3">
        <v>3.6279989937272901</v>
      </c>
      <c r="E73" s="3">
        <v>2.9699923231035399</v>
      </c>
      <c r="F73" s="3">
        <v>2.4785365005050202</v>
      </c>
      <c r="G73" s="3">
        <v>3.0998295707782502</v>
      </c>
      <c r="H73" s="3">
        <v>4.1714750782309498</v>
      </c>
      <c r="I73" s="3">
        <v>0.92141473541921304</v>
      </c>
      <c r="J73" s="3">
        <v>1.99332583830898</v>
      </c>
      <c r="K73" s="3">
        <v>3.18345497155422</v>
      </c>
      <c r="L73" s="3">
        <v>2.39351188293154</v>
      </c>
      <c r="M73" s="3">
        <v>3.0707531081897401</v>
      </c>
      <c r="N73" s="3">
        <v>4.4130319974047998</v>
      </c>
    </row>
    <row r="74" spans="1:14" x14ac:dyDescent="0.35">
      <c r="A74" s="2">
        <v>44036</v>
      </c>
      <c r="B74" s="3">
        <v>2.4323687920444699</v>
      </c>
      <c r="C74" s="3">
        <v>3.43954607348783</v>
      </c>
      <c r="D74" s="3">
        <v>3.4541272383773398</v>
      </c>
      <c r="E74" s="3">
        <v>2.8268796580332101</v>
      </c>
      <c r="F74" s="3">
        <v>2.48195731179137</v>
      </c>
      <c r="G74" s="3">
        <v>2.9635864162694299</v>
      </c>
      <c r="H74" s="3">
        <v>4.0733786240374696</v>
      </c>
      <c r="I74" s="3">
        <v>0.86793167660728998</v>
      </c>
      <c r="J74" s="3">
        <v>1.84743344440664</v>
      </c>
      <c r="K74" s="3">
        <v>3.1236346430305799</v>
      </c>
      <c r="L74" s="3">
        <v>2.3377938059022001</v>
      </c>
      <c r="M74" s="3">
        <v>2.9872733127406201</v>
      </c>
      <c r="N74" s="3">
        <v>4.2833412854367996</v>
      </c>
    </row>
    <row r="75" spans="1:14" x14ac:dyDescent="0.35">
      <c r="A75" s="2">
        <v>44069</v>
      </c>
      <c r="B75" s="3">
        <v>2.2876520242681302</v>
      </c>
      <c r="C75" s="3">
        <v>3.38854806551611</v>
      </c>
      <c r="D75" s="3">
        <v>3.2926666236625701</v>
      </c>
      <c r="E75" s="3">
        <v>2.75742243622325</v>
      </c>
      <c r="F75" s="3">
        <v>2.3730294237395202</v>
      </c>
      <c r="G75" s="3">
        <v>2.91436749156582</v>
      </c>
      <c r="H75" s="3">
        <v>4.0189607512880201</v>
      </c>
      <c r="I75" s="3">
        <v>0.76108300272682206</v>
      </c>
      <c r="J75" s="3">
        <v>1.7141095833583999</v>
      </c>
      <c r="K75" s="3">
        <v>3.0813531269994399</v>
      </c>
      <c r="L75" s="3">
        <v>2.2788367561298299</v>
      </c>
      <c r="M75" s="3">
        <v>2.9594952730041402</v>
      </c>
      <c r="N75" s="3">
        <v>3.9381155504395</v>
      </c>
    </row>
    <row r="76" spans="1:14" x14ac:dyDescent="0.35">
      <c r="A76" s="2">
        <v>44099</v>
      </c>
      <c r="B76" s="3">
        <v>2.4310414979994901</v>
      </c>
      <c r="C76" s="3">
        <v>3.6016447286325199</v>
      </c>
      <c r="D76" s="3">
        <v>3.45705584137625</v>
      </c>
      <c r="E76" s="3">
        <v>2.9543745167733402</v>
      </c>
      <c r="F76" s="3">
        <v>2.3805925068410501</v>
      </c>
      <c r="G76" s="3">
        <v>2.9873299500778798</v>
      </c>
      <c r="H76" s="3">
        <v>4.2616385242247503</v>
      </c>
      <c r="I76" s="3">
        <v>0.81968585414669104</v>
      </c>
      <c r="J76" s="3">
        <v>1.80702703023418</v>
      </c>
      <c r="K76" s="3">
        <v>3.3464852634136899</v>
      </c>
      <c r="L76" s="3">
        <v>2.3990983246564301</v>
      </c>
      <c r="M76" s="3">
        <v>3.0681418054877199</v>
      </c>
      <c r="N76" s="3">
        <v>4.2625264102260401</v>
      </c>
    </row>
    <row r="77" spans="1:14" x14ac:dyDescent="0.35">
      <c r="A77" s="2">
        <v>44130</v>
      </c>
      <c r="B77" s="3">
        <v>2.3549173085054602</v>
      </c>
      <c r="C77" s="3">
        <v>3.6084443811098201</v>
      </c>
      <c r="D77" s="3">
        <v>3.4733968525023902</v>
      </c>
      <c r="E77" s="3">
        <v>3.0309070891290899</v>
      </c>
      <c r="F77" s="3">
        <v>2.4017982636489199</v>
      </c>
      <c r="G77" s="3">
        <v>3.01873374457805</v>
      </c>
      <c r="H77" s="3">
        <v>4.3857968410542503</v>
      </c>
      <c r="I77" s="3">
        <v>0.80696487762213298</v>
      </c>
      <c r="J77" s="3">
        <v>1.76094773520779</v>
      </c>
      <c r="K77" s="3">
        <v>3.2822656009898501</v>
      </c>
      <c r="L77" s="3">
        <v>2.3535303326156001</v>
      </c>
      <c r="M77" s="3">
        <v>3.2050427286824701</v>
      </c>
      <c r="N77" s="3">
        <v>4.2791609275545204</v>
      </c>
    </row>
    <row r="78" spans="1:14" x14ac:dyDescent="0.35">
      <c r="A78" s="2">
        <v>44160</v>
      </c>
      <c r="B78" s="3">
        <v>2.4366786814494898</v>
      </c>
      <c r="C78" s="3">
        <v>3.3935321439377701</v>
      </c>
      <c r="D78" s="3">
        <v>3.1838839384856299</v>
      </c>
      <c r="E78" s="3">
        <v>2.8184475999763499</v>
      </c>
      <c r="F78" s="3">
        <v>2.19012104551833</v>
      </c>
      <c r="G78" s="3">
        <v>2.8955961432052701</v>
      </c>
      <c r="H78" s="3">
        <v>3.9584126744346602</v>
      </c>
      <c r="I78" s="3">
        <v>0.76286578042675901</v>
      </c>
      <c r="J78" s="3">
        <v>1.6527445488103001</v>
      </c>
      <c r="K78" s="3">
        <v>2.88903755720776</v>
      </c>
      <c r="L78" s="3">
        <v>2.17412153340356</v>
      </c>
      <c r="M78" s="3">
        <v>2.9992745965235201</v>
      </c>
      <c r="N78" s="3">
        <v>3.8627819578871598</v>
      </c>
    </row>
    <row r="79" spans="1:14" x14ac:dyDescent="0.35">
      <c r="A79" s="2">
        <v>44189</v>
      </c>
      <c r="B79" s="3">
        <v>2.3981791453064401</v>
      </c>
      <c r="C79" s="3">
        <v>3.54441628630354</v>
      </c>
      <c r="D79" s="3">
        <v>3.1012833068221202</v>
      </c>
      <c r="E79" s="3">
        <v>2.7403738149908099</v>
      </c>
      <c r="F79" s="3">
        <v>2.1765297357633799</v>
      </c>
      <c r="G79" s="3">
        <v>2.8989386327382398</v>
      </c>
      <c r="H79" s="3">
        <v>3.9216259125594699</v>
      </c>
      <c r="I79" s="3">
        <v>0.77307255274901598</v>
      </c>
      <c r="J79" s="3">
        <v>1.59893301440088</v>
      </c>
      <c r="K79" s="3">
        <v>2.9441017577814801</v>
      </c>
      <c r="L79" s="3">
        <v>2.0111524500768501</v>
      </c>
      <c r="M79" s="3">
        <v>3.1131626665844001</v>
      </c>
      <c r="N79" s="3">
        <v>3.94607956638372</v>
      </c>
    </row>
    <row r="80" spans="1:14" x14ac:dyDescent="0.35">
      <c r="A80" s="2">
        <v>44222</v>
      </c>
      <c r="B80" s="3">
        <v>2.4273082950085101</v>
      </c>
      <c r="C80" s="3">
        <v>3.5132508110393599</v>
      </c>
      <c r="D80" s="3">
        <v>3.0732844776970101</v>
      </c>
      <c r="E80" s="3">
        <v>2.7304862107885999</v>
      </c>
      <c r="F80" s="3">
        <v>2.0990530451146299</v>
      </c>
      <c r="G80" s="3">
        <v>2.7938497429065201</v>
      </c>
      <c r="H80" s="3">
        <v>3.92535669553153</v>
      </c>
      <c r="I80" s="3">
        <v>0.735110796133571</v>
      </c>
      <c r="J80" s="3">
        <v>1.54752381772792</v>
      </c>
      <c r="K80" s="3">
        <v>2.96294610296574</v>
      </c>
      <c r="L80" s="3">
        <v>1.96447274498546</v>
      </c>
      <c r="M80" s="3">
        <v>2.9782352956524298</v>
      </c>
      <c r="N80" s="3">
        <v>4.0946141184188702</v>
      </c>
    </row>
    <row r="81" spans="1:14" x14ac:dyDescent="0.35">
      <c r="A81" s="2">
        <v>44253</v>
      </c>
      <c r="B81" s="3">
        <v>2.6390537501451301</v>
      </c>
      <c r="C81" s="3">
        <v>3.9257667749489502</v>
      </c>
      <c r="D81" s="3">
        <v>2.9804457227924002</v>
      </c>
      <c r="E81" s="3">
        <v>2.84200926461744</v>
      </c>
      <c r="F81" s="3">
        <v>2.12331496657383</v>
      </c>
      <c r="G81" s="3">
        <v>2.91272826287135</v>
      </c>
      <c r="H81" s="3">
        <v>4.0681165208980596</v>
      </c>
      <c r="I81" s="3">
        <v>0.77474230238657105</v>
      </c>
      <c r="J81" s="3">
        <v>1.5792533944545699</v>
      </c>
      <c r="K81" s="3">
        <v>2.8800627848553599</v>
      </c>
      <c r="L81" s="3">
        <v>2.0089015450111498</v>
      </c>
      <c r="M81" s="3">
        <v>2.9905458544824999</v>
      </c>
      <c r="N81" s="3">
        <v>4.1215827209711202</v>
      </c>
    </row>
    <row r="82" spans="1:14" x14ac:dyDescent="0.35">
      <c r="A82" s="2">
        <v>44281</v>
      </c>
      <c r="B82" s="3">
        <v>2.6045267438390001</v>
      </c>
      <c r="C82" s="3">
        <v>3.9597550527423202</v>
      </c>
      <c r="D82" s="3">
        <v>2.8488607074519101</v>
      </c>
      <c r="E82" s="3">
        <v>2.75160039071943</v>
      </c>
      <c r="F82" s="3">
        <v>2.0406660248738602</v>
      </c>
      <c r="G82" s="3">
        <v>2.7973695367118201</v>
      </c>
      <c r="H82" s="3">
        <v>4.0328769982836299</v>
      </c>
      <c r="I82" s="3">
        <v>0.77339599453027796</v>
      </c>
      <c r="J82" s="3">
        <v>1.52023547310847</v>
      </c>
      <c r="K82" s="3">
        <v>2.78257739142418</v>
      </c>
      <c r="L82" s="3">
        <v>1.9646446099352901</v>
      </c>
      <c r="M82" s="3">
        <v>2.7595488793940302</v>
      </c>
      <c r="N82" s="3">
        <v>4.03481708851624</v>
      </c>
    </row>
    <row r="83" spans="1:14" x14ac:dyDescent="0.35">
      <c r="A83" s="2">
        <v>44312</v>
      </c>
      <c r="B83" s="3">
        <v>2.5799841894812499</v>
      </c>
      <c r="C83" s="3">
        <v>3.9018292883901098</v>
      </c>
      <c r="D83" s="3">
        <v>2.7599529782136201</v>
      </c>
      <c r="E83" s="3">
        <v>2.7270438707844198</v>
      </c>
      <c r="F83" s="3">
        <v>2.12714485740055</v>
      </c>
      <c r="G83" s="3">
        <v>2.7367518530066</v>
      </c>
      <c r="H83" s="3">
        <v>3.9523693155827</v>
      </c>
      <c r="I83" s="3">
        <v>0.71974668763265304</v>
      </c>
      <c r="J83" s="3">
        <v>1.4559183241724301</v>
      </c>
      <c r="K83" s="3">
        <v>2.69238928592757</v>
      </c>
      <c r="L83" s="3">
        <v>1.9089542502928101</v>
      </c>
      <c r="M83" s="3">
        <v>2.7508243233546299</v>
      </c>
      <c r="N83" s="3">
        <v>4.1201676759288999</v>
      </c>
    </row>
    <row r="84" spans="1:14" x14ac:dyDescent="0.35">
      <c r="A84" s="2">
        <v>44342</v>
      </c>
      <c r="B84" s="3">
        <v>2.7183642159981898</v>
      </c>
      <c r="C84" s="3">
        <v>3.92161149152939</v>
      </c>
      <c r="D84" s="3">
        <v>2.67370458704369</v>
      </c>
      <c r="E84" s="3">
        <v>2.8304349784606</v>
      </c>
      <c r="F84" s="3">
        <v>2.1783371329079699</v>
      </c>
      <c r="G84" s="3">
        <v>2.7189431275647902</v>
      </c>
      <c r="H84" s="3">
        <v>3.9140215731135801</v>
      </c>
      <c r="I84" s="3">
        <v>0.73892851473158605</v>
      </c>
      <c r="J84" s="3">
        <v>1.4598958895388701</v>
      </c>
      <c r="K84" s="3">
        <v>2.7059575161610199</v>
      </c>
      <c r="L84" s="3">
        <v>1.9786325138846399</v>
      </c>
      <c r="M84" s="3">
        <v>2.87940823111331</v>
      </c>
      <c r="N84" s="3">
        <v>4.1967167177553</v>
      </c>
    </row>
    <row r="85" spans="1:14" x14ac:dyDescent="0.35">
      <c r="A85" s="2">
        <v>44372</v>
      </c>
      <c r="B85" s="3">
        <v>2.6682214160024098</v>
      </c>
      <c r="C85" s="3">
        <v>3.9565163338856002</v>
      </c>
      <c r="D85" s="3">
        <v>2.69773013206501</v>
      </c>
      <c r="E85" s="3">
        <v>2.7908697764217401</v>
      </c>
      <c r="F85" s="3">
        <v>2.1696208501803702</v>
      </c>
      <c r="G85" s="3">
        <v>2.6122531505003002</v>
      </c>
      <c r="H85" s="3">
        <v>3.9188385298230499</v>
      </c>
      <c r="I85" s="3">
        <v>0.71386133880677904</v>
      </c>
      <c r="J85" s="3">
        <v>1.4452597648477601</v>
      </c>
      <c r="K85" s="3">
        <v>2.6549983498375198</v>
      </c>
      <c r="L85" s="3">
        <v>1.99093713507646</v>
      </c>
      <c r="M85" s="3">
        <v>2.6904766294629301</v>
      </c>
      <c r="N85" s="3">
        <v>4.0821199208117802</v>
      </c>
    </row>
    <row r="86" spans="1:14" x14ac:dyDescent="0.35">
      <c r="A86" s="2">
        <v>44403</v>
      </c>
      <c r="B86" s="3">
        <v>2.6384486879031401</v>
      </c>
      <c r="C86" s="3">
        <v>4.1439585757067698</v>
      </c>
      <c r="D86" s="3">
        <v>2.7209303316469402</v>
      </c>
      <c r="E86" s="3">
        <v>2.81217457589063</v>
      </c>
      <c r="F86" s="3">
        <v>2.2416104775901098</v>
      </c>
      <c r="G86" s="3">
        <v>2.6130736978636899</v>
      </c>
      <c r="H86" s="3">
        <v>4.09593071298361</v>
      </c>
      <c r="I86" s="3">
        <v>0.694105588888003</v>
      </c>
      <c r="J86" s="3">
        <v>1.41682611665282</v>
      </c>
      <c r="K86" s="3">
        <v>2.7011626744859001</v>
      </c>
      <c r="L86" s="3">
        <v>1.9634591439110101</v>
      </c>
      <c r="M86" s="3">
        <v>2.7005225869926202</v>
      </c>
      <c r="N86" s="3">
        <v>4.2174265384675103</v>
      </c>
    </row>
    <row r="87" spans="1:14" x14ac:dyDescent="0.35">
      <c r="A87" s="2">
        <v>44434</v>
      </c>
      <c r="B87" s="3">
        <v>2.5844297330997099</v>
      </c>
      <c r="C87" s="3">
        <v>4.0736307459359304</v>
      </c>
      <c r="D87" s="3">
        <v>2.7433245947698901</v>
      </c>
      <c r="E87" s="3">
        <v>2.8574284122054299</v>
      </c>
      <c r="F87" s="3">
        <v>2.2776543055481202</v>
      </c>
      <c r="G87" s="3">
        <v>2.5663267497892299</v>
      </c>
      <c r="H87" s="3">
        <v>4.2025968334438897</v>
      </c>
      <c r="I87" s="3">
        <v>0.69204647471353398</v>
      </c>
      <c r="J87" s="3">
        <v>1.4130704518971</v>
      </c>
      <c r="K87" s="3">
        <v>2.7635949522241998</v>
      </c>
      <c r="L87" s="3">
        <v>1.84735197727911</v>
      </c>
      <c r="M87" s="3">
        <v>2.7240323715499901</v>
      </c>
      <c r="N87" s="3">
        <v>4.4094310199512599</v>
      </c>
    </row>
    <row r="88" spans="1:14" x14ac:dyDescent="0.35">
      <c r="A88" s="2">
        <v>44463</v>
      </c>
      <c r="B88" s="3">
        <v>2.60075462963125</v>
      </c>
      <c r="C88" s="3">
        <v>4.0718840241118999</v>
      </c>
      <c r="D88" s="3">
        <v>2.7891620817368898</v>
      </c>
      <c r="E88" s="3">
        <v>2.92595419658561</v>
      </c>
      <c r="F88" s="3">
        <v>2.1387801755734301</v>
      </c>
      <c r="G88" s="3">
        <v>2.7009360211539502</v>
      </c>
      <c r="H88" s="3">
        <v>4.1987192194152101</v>
      </c>
      <c r="I88" s="3">
        <v>0.69508171643568195</v>
      </c>
      <c r="J88" s="3">
        <v>1.42194199513425</v>
      </c>
      <c r="K88" s="3">
        <v>2.8058942695494502</v>
      </c>
      <c r="L88" s="3">
        <v>1.8761680925190101</v>
      </c>
      <c r="M88" s="3">
        <v>2.81797272195957</v>
      </c>
      <c r="N88" s="3">
        <v>4.4933372843997601</v>
      </c>
    </row>
    <row r="89" spans="1:14" x14ac:dyDescent="0.35">
      <c r="A89" s="2">
        <v>44495</v>
      </c>
      <c r="B89" s="3">
        <v>2.6723449141934701</v>
      </c>
      <c r="C89" s="3">
        <v>3.9299995506548502</v>
      </c>
      <c r="D89" s="3">
        <v>2.6917348490117101</v>
      </c>
      <c r="E89" s="3">
        <v>2.93009147344987</v>
      </c>
      <c r="F89" s="3">
        <v>2.22415418826332</v>
      </c>
      <c r="G89" s="3">
        <v>2.6546270740058699</v>
      </c>
      <c r="H89" s="3">
        <v>4.0019333815187599</v>
      </c>
      <c r="I89" s="3">
        <v>0.69008255025549503</v>
      </c>
      <c r="J89" s="3">
        <v>1.3984889257475099</v>
      </c>
      <c r="K89" s="3">
        <v>2.81584854991682</v>
      </c>
      <c r="L89" s="3">
        <v>1.90360398093176</v>
      </c>
      <c r="M89" s="3">
        <v>2.9859004710651198</v>
      </c>
      <c r="N89" s="3">
        <v>4.3377151753782002</v>
      </c>
    </row>
    <row r="90" spans="1:14" x14ac:dyDescent="0.35">
      <c r="A90" s="2">
        <v>44526</v>
      </c>
      <c r="B90" s="3">
        <v>2.7688991674964298</v>
      </c>
      <c r="C90" s="3">
        <v>4.0686939432585003</v>
      </c>
      <c r="D90" s="3">
        <v>2.7701077037464001</v>
      </c>
      <c r="E90" s="3">
        <v>3.1229511994271899</v>
      </c>
      <c r="F90" s="3">
        <v>2.2933435040116001</v>
      </c>
      <c r="G90" s="3">
        <v>2.6629902999122002</v>
      </c>
      <c r="H90" s="3">
        <v>4.1799411303868697</v>
      </c>
      <c r="I90" s="3">
        <v>0.67563053284405505</v>
      </c>
      <c r="J90" s="3">
        <v>1.4007973186523299</v>
      </c>
      <c r="K90" s="3">
        <v>2.8832240437637702</v>
      </c>
      <c r="L90" s="3">
        <v>1.96408127467891</v>
      </c>
      <c r="M90" s="3">
        <v>3.11929356956791</v>
      </c>
      <c r="N90" s="3">
        <v>4.6191803458661997</v>
      </c>
    </row>
    <row r="91" spans="1:14" x14ac:dyDescent="0.35">
      <c r="A91" s="2">
        <v>44553</v>
      </c>
      <c r="B91" s="3">
        <v>2.7802623716913</v>
      </c>
      <c r="C91" s="3">
        <v>3.8974943176328298</v>
      </c>
      <c r="D91" s="3">
        <v>2.7816516857915601</v>
      </c>
      <c r="E91" s="3">
        <v>3.0534282127999699</v>
      </c>
      <c r="F91" s="3">
        <v>2.3106987473060099</v>
      </c>
      <c r="G91" s="3">
        <v>2.55192618966122</v>
      </c>
      <c r="H91" s="3">
        <v>3.9358455557220799</v>
      </c>
      <c r="I91" s="3">
        <v>0.66754038046426201</v>
      </c>
      <c r="J91" s="3">
        <v>1.3645418896299</v>
      </c>
      <c r="K91" s="3">
        <v>2.75627438758187</v>
      </c>
      <c r="L91" s="3">
        <v>1.9449869482822899</v>
      </c>
      <c r="M91" s="3">
        <v>2.8802276456526399</v>
      </c>
      <c r="N91" s="3">
        <v>4.6342987350119502</v>
      </c>
    </row>
    <row r="92" spans="1:14" x14ac:dyDescent="0.35">
      <c r="A92" s="2">
        <v>44587</v>
      </c>
      <c r="B92" s="3">
        <v>2.9831375125909401</v>
      </c>
      <c r="C92" s="3">
        <v>4.1665898146345004</v>
      </c>
      <c r="D92" s="3">
        <v>2.89834666439745</v>
      </c>
      <c r="E92" s="3">
        <v>3.1723338933066398</v>
      </c>
      <c r="F92" s="3">
        <v>2.4651134232893002</v>
      </c>
      <c r="G92" s="3">
        <v>2.7438802339110002</v>
      </c>
      <c r="H92" s="3">
        <v>3.87879200863649</v>
      </c>
      <c r="I92" s="3">
        <v>0.77434556808310495</v>
      </c>
      <c r="J92" s="3">
        <v>1.5007182494970299</v>
      </c>
      <c r="K92" s="3">
        <v>2.8424453075269098</v>
      </c>
      <c r="L92" s="3">
        <v>2.20076732090702</v>
      </c>
      <c r="M92" s="3">
        <v>2.88305961903857</v>
      </c>
      <c r="N92" s="3">
        <v>4.8004925465747901</v>
      </c>
    </row>
    <row r="93" spans="1:14" x14ac:dyDescent="0.35">
      <c r="A93" s="2">
        <v>44617</v>
      </c>
      <c r="B93" s="3">
        <v>3.0666375587183401</v>
      </c>
      <c r="C93" s="3">
        <v>4.4331394640526103</v>
      </c>
      <c r="D93" s="3">
        <v>2.8736095338395198</v>
      </c>
      <c r="E93" s="3">
        <v>3.4457317013149402</v>
      </c>
      <c r="F93" s="3">
        <v>2.5402369571307002</v>
      </c>
      <c r="G93" s="3">
        <v>2.81237262410996</v>
      </c>
      <c r="H93" s="3">
        <v>3.89168417547618</v>
      </c>
      <c r="I93" s="3">
        <v>0.78947374015496097</v>
      </c>
      <c r="J93" s="3">
        <v>1.5068513795642999</v>
      </c>
      <c r="K93" s="3">
        <v>3.04247609049815</v>
      </c>
      <c r="L93" s="3">
        <v>2.3314306420042099</v>
      </c>
      <c r="M93" s="3">
        <v>3.1393760667145498</v>
      </c>
      <c r="N93" s="3">
        <v>4.9994054116056299</v>
      </c>
    </row>
    <row r="94" spans="1:14" x14ac:dyDescent="0.35">
      <c r="A94" s="2">
        <v>44645</v>
      </c>
      <c r="B94" s="3">
        <v>3.0647757746714799</v>
      </c>
      <c r="C94" s="3">
        <v>4.1964248498207199</v>
      </c>
      <c r="D94" s="3">
        <v>2.7737518664304202</v>
      </c>
      <c r="E94" s="3">
        <v>3.5598235181707998</v>
      </c>
      <c r="F94" s="3">
        <v>2.46445997902654</v>
      </c>
      <c r="G94" s="3">
        <v>2.7987486175399798</v>
      </c>
      <c r="H94" s="3">
        <v>3.93638914548609</v>
      </c>
      <c r="I94" s="3">
        <v>0.76219474515456997</v>
      </c>
      <c r="J94" s="3">
        <v>1.44960695676391</v>
      </c>
      <c r="K94" s="3">
        <v>3.14379706974217</v>
      </c>
      <c r="L94" s="3">
        <v>2.25249176939939</v>
      </c>
      <c r="M94" s="3">
        <v>3.1538314018606801</v>
      </c>
      <c r="N94" s="3">
        <v>5.1730319872177599</v>
      </c>
    </row>
    <row r="95" spans="1:14" x14ac:dyDescent="0.35">
      <c r="A95" s="2">
        <v>44677</v>
      </c>
      <c r="B95" s="3">
        <v>3.1605499386856901</v>
      </c>
      <c r="C95" s="3">
        <v>4.5229689110275704</v>
      </c>
      <c r="D95" s="3">
        <v>3.0708716100805602</v>
      </c>
      <c r="E95" s="3">
        <v>3.7383776967300801</v>
      </c>
      <c r="F95" s="3">
        <v>2.6231434885880001</v>
      </c>
      <c r="G95" s="3">
        <v>2.8897374397854301</v>
      </c>
      <c r="H95" s="3">
        <v>4.1246789548139002</v>
      </c>
      <c r="I95" s="3">
        <v>0.87005150299202705</v>
      </c>
      <c r="J95" s="3">
        <v>1.58305254532638</v>
      </c>
      <c r="K95" s="3">
        <v>3.20992671881001</v>
      </c>
      <c r="L95" s="3">
        <v>2.4392350423742801</v>
      </c>
      <c r="M95" s="3">
        <v>3.30718515559612</v>
      </c>
      <c r="N95" s="3">
        <v>5.25894470474352</v>
      </c>
    </row>
    <row r="96" spans="1:14" x14ac:dyDescent="0.35">
      <c r="A96" s="2">
        <v>44707</v>
      </c>
      <c r="B96" s="3">
        <v>3.26085420216276</v>
      </c>
      <c r="C96" s="3">
        <v>4.6868555057821899</v>
      </c>
      <c r="D96" s="3">
        <v>3.13783721760967</v>
      </c>
      <c r="E96" s="3">
        <v>3.7952085846427499</v>
      </c>
      <c r="F96" s="3">
        <v>2.6427608796683799</v>
      </c>
      <c r="G96" s="3">
        <v>2.9999931062057699</v>
      </c>
      <c r="H96" s="3">
        <v>4.0498088760969697</v>
      </c>
      <c r="I96" s="3">
        <v>0.92751000984325005</v>
      </c>
      <c r="J96" s="3">
        <v>1.6345971493318701</v>
      </c>
      <c r="K96" s="3">
        <v>3.2399939349600202</v>
      </c>
      <c r="L96" s="3">
        <v>2.5800536166213499</v>
      </c>
      <c r="M96" s="3">
        <v>3.4655347357870201</v>
      </c>
      <c r="N96" s="3">
        <v>5.1071763434998099</v>
      </c>
    </row>
    <row r="97" spans="1:14" x14ac:dyDescent="0.35">
      <c r="A97" s="2">
        <v>44736</v>
      </c>
      <c r="B97" s="3">
        <v>3.3971376626047798</v>
      </c>
      <c r="C97" s="3">
        <v>5.2408766792300199</v>
      </c>
      <c r="D97" s="3">
        <v>3.39757239003678</v>
      </c>
      <c r="E97" s="3">
        <v>4.1052352649671802</v>
      </c>
      <c r="F97" s="3">
        <v>2.7012467916179199</v>
      </c>
      <c r="G97" s="3">
        <v>3.1630307170990202</v>
      </c>
      <c r="H97" s="3">
        <v>4.2857094114648504</v>
      </c>
      <c r="I97" s="3">
        <v>0.94721785259712199</v>
      </c>
      <c r="J97" s="3">
        <v>1.7146626756123899</v>
      </c>
      <c r="K97" s="3">
        <v>3.4496112054320598</v>
      </c>
      <c r="L97" s="3">
        <v>3.43271506605597</v>
      </c>
      <c r="M97" s="3">
        <v>3.6400726174823901</v>
      </c>
      <c r="N97" s="3">
        <v>5.7398722720028603</v>
      </c>
    </row>
    <row r="98" spans="1:14" x14ac:dyDescent="0.35">
      <c r="A98" s="2">
        <v>44768</v>
      </c>
      <c r="B98" s="3">
        <v>3.3503171721090799</v>
      </c>
      <c r="C98" s="3">
        <v>4.9560560321959102</v>
      </c>
      <c r="D98" s="3">
        <v>3.4243158636765001</v>
      </c>
      <c r="E98" s="3">
        <v>4.1394527421382596</v>
      </c>
      <c r="F98" s="3">
        <v>2.6098110843092601</v>
      </c>
      <c r="G98" s="3">
        <v>3.0962263916843198</v>
      </c>
      <c r="H98" s="3">
        <v>4.2396887089755504</v>
      </c>
      <c r="I98" s="3">
        <v>0.95670998375099703</v>
      </c>
      <c r="J98" s="3">
        <v>1.7172374687820999</v>
      </c>
      <c r="K98" s="3">
        <v>3.3864549335520899</v>
      </c>
      <c r="L98" s="3">
        <v>3.1755326149815102</v>
      </c>
      <c r="M98" s="3">
        <v>3.5960269146957402</v>
      </c>
      <c r="N98" s="3">
        <v>6.0535787006023796</v>
      </c>
    </row>
    <row r="99" spans="1:14" x14ac:dyDescent="0.35">
      <c r="A99" s="2">
        <v>44799</v>
      </c>
      <c r="B99" s="3">
        <v>3.197992672027</v>
      </c>
      <c r="C99" s="3">
        <v>4.65888943864414</v>
      </c>
      <c r="D99" s="3">
        <v>3.3526875884296801</v>
      </c>
      <c r="E99" s="3">
        <v>4.1832950857592897</v>
      </c>
      <c r="F99" s="3">
        <v>2.5778764552400402</v>
      </c>
      <c r="G99" s="3">
        <v>3.17405100149736</v>
      </c>
      <c r="H99" s="3">
        <v>4.3030342365340699</v>
      </c>
      <c r="I99" s="3">
        <v>0.92101469581942197</v>
      </c>
      <c r="J99" s="3">
        <v>1.6809567896377799</v>
      </c>
      <c r="K99" s="3">
        <v>3.4291777642148098</v>
      </c>
      <c r="L99" s="3">
        <v>3.6537786840608701</v>
      </c>
      <c r="M99" s="3">
        <v>3.6390317942352799</v>
      </c>
      <c r="N99" s="3">
        <v>5.8092080616023001</v>
      </c>
    </row>
    <row r="100" spans="1:14" x14ac:dyDescent="0.35">
      <c r="A100" s="2">
        <v>44830</v>
      </c>
      <c r="B100" s="3">
        <v>3.3152010162722898</v>
      </c>
      <c r="C100" s="3">
        <v>5.2408927394340497</v>
      </c>
      <c r="D100" s="3">
        <v>3.6528308818063802</v>
      </c>
      <c r="E100" s="3">
        <v>4.4420278876042198</v>
      </c>
      <c r="F100" s="3">
        <v>2.7633634889709802</v>
      </c>
      <c r="G100" s="3">
        <v>3.4926981150077099</v>
      </c>
      <c r="H100" s="3">
        <v>4.7786651992657401</v>
      </c>
      <c r="I100" s="3">
        <v>1.0405169127905201</v>
      </c>
      <c r="J100" s="3">
        <v>1.87271564066925</v>
      </c>
      <c r="K100" s="3">
        <v>3.7771199824558699</v>
      </c>
      <c r="L100" s="3">
        <v>3.0802899632418499</v>
      </c>
      <c r="M100" s="3">
        <v>3.83590349689148</v>
      </c>
      <c r="N100" s="3">
        <v>5.9059318388079696</v>
      </c>
    </row>
    <row r="101" spans="1:14" x14ac:dyDescent="0.35">
      <c r="A101" s="2">
        <v>44860</v>
      </c>
      <c r="B101" s="3">
        <v>3.4538888611820302</v>
      </c>
      <c r="C101" s="3">
        <v>4.9823947418264796</v>
      </c>
      <c r="D101" s="3">
        <v>3.4793502896363901</v>
      </c>
      <c r="E101" s="3">
        <v>4.1198011626912399</v>
      </c>
      <c r="F101" s="3">
        <v>2.6886844062359301</v>
      </c>
      <c r="G101" s="3">
        <v>3.2568001327073302</v>
      </c>
      <c r="H101" s="3">
        <v>4.5133662526476002</v>
      </c>
      <c r="I101" s="3">
        <v>1.0352997636099801</v>
      </c>
      <c r="J101" s="3">
        <v>1.8007947711549599</v>
      </c>
      <c r="K101" s="3">
        <v>3.4708683019331099</v>
      </c>
      <c r="L101" s="3">
        <v>2.9053696967790201</v>
      </c>
      <c r="M101" s="3">
        <v>3.72886094707945</v>
      </c>
      <c r="N101" s="3">
        <v>5.8145842717971501</v>
      </c>
    </row>
    <row r="102" spans="1:14" x14ac:dyDescent="0.35">
      <c r="A102" s="2">
        <v>44890</v>
      </c>
      <c r="B102" s="3">
        <v>3.3537449321339401</v>
      </c>
      <c r="C102" s="3">
        <v>4.4900983136888302</v>
      </c>
      <c r="D102" s="3">
        <v>3.2832754788164702</v>
      </c>
      <c r="E102" s="3">
        <v>3.72220864372385</v>
      </c>
      <c r="F102" s="3">
        <v>2.5629152241264301</v>
      </c>
      <c r="G102" s="3">
        <v>3.0964002846402998</v>
      </c>
      <c r="H102" s="3">
        <v>4.2577422294998</v>
      </c>
      <c r="I102" s="3">
        <v>1.00914204784912</v>
      </c>
      <c r="J102" s="3">
        <v>1.72163326053855</v>
      </c>
      <c r="K102" s="3">
        <v>3.2672313750729098</v>
      </c>
      <c r="L102" s="3">
        <v>2.6536036426127398</v>
      </c>
      <c r="M102" s="3">
        <v>3.5614594512085902</v>
      </c>
      <c r="N102" s="3">
        <v>5.4363335847015</v>
      </c>
    </row>
    <row r="103" spans="1:14" x14ac:dyDescent="0.35">
      <c r="A103" s="2">
        <v>44918</v>
      </c>
      <c r="B103" s="3">
        <v>3.4516857004455601</v>
      </c>
      <c r="C103" s="3">
        <v>4.5329738250517702</v>
      </c>
      <c r="D103" s="3">
        <v>3.4479324479020899</v>
      </c>
      <c r="E103" s="3">
        <v>3.8545087925995301</v>
      </c>
      <c r="F103" s="3">
        <v>2.7426132225500499</v>
      </c>
      <c r="G103" s="3">
        <v>3.2226049639291401</v>
      </c>
      <c r="H103" s="3">
        <v>4.2604254999790001</v>
      </c>
      <c r="I103" s="3">
        <v>1.03296610809872</v>
      </c>
      <c r="J103" s="3">
        <v>1.8057890606798299</v>
      </c>
      <c r="K103" s="3">
        <v>3.3678358453055499</v>
      </c>
      <c r="L103" s="3">
        <v>2.7791725748076002</v>
      </c>
      <c r="M103" s="3">
        <v>3.7385346560995099</v>
      </c>
      <c r="N103" s="3">
        <v>5.8802974859582999</v>
      </c>
    </row>
    <row r="104" spans="1:14" x14ac:dyDescent="0.35">
      <c r="A104" s="2">
        <v>44952</v>
      </c>
      <c r="B104" s="3">
        <v>3.3154963381776099</v>
      </c>
      <c r="C104" s="3">
        <v>4.2558652222236901</v>
      </c>
      <c r="D104" s="3">
        <v>3.2857021582963801</v>
      </c>
      <c r="E104" s="3">
        <v>3.5154509833751</v>
      </c>
      <c r="F104" s="3">
        <v>2.6246964341938601</v>
      </c>
      <c r="G104" s="3">
        <v>3.0576584728510299</v>
      </c>
      <c r="H104" s="3">
        <v>4.1022616926388498</v>
      </c>
      <c r="I104" s="3">
        <v>0.952512303971773</v>
      </c>
      <c r="J104" s="3">
        <v>1.71847564727171</v>
      </c>
      <c r="K104" s="3">
        <v>3.1030079158489698</v>
      </c>
      <c r="L104" s="3">
        <v>2.5280974456776399</v>
      </c>
      <c r="M104" s="3">
        <v>3.5628348861359398</v>
      </c>
      <c r="N104" s="3">
        <v>5.4755979306135902</v>
      </c>
    </row>
    <row r="105" spans="1:14" x14ac:dyDescent="0.35">
      <c r="A105" s="2">
        <v>44981</v>
      </c>
      <c r="B105" s="3">
        <v>3.3609436323500601</v>
      </c>
      <c r="C105" s="3">
        <v>4.4637232545301604</v>
      </c>
      <c r="D105" s="3">
        <v>3.3877915318996501</v>
      </c>
      <c r="E105" s="3">
        <v>3.5429268615415599</v>
      </c>
      <c r="F105" s="3">
        <v>2.63115589671219</v>
      </c>
      <c r="G105" s="3">
        <v>3.1138086734612398</v>
      </c>
      <c r="H105" s="3">
        <v>4.1418339766698002</v>
      </c>
      <c r="I105" s="3">
        <v>0.96662221759224798</v>
      </c>
      <c r="J105" s="3">
        <v>1.7706587223618599</v>
      </c>
      <c r="K105" s="3">
        <v>3.1895954261844199</v>
      </c>
      <c r="L105" s="3">
        <v>2.6610028393050902</v>
      </c>
      <c r="M105" s="3">
        <v>3.5914094714567999</v>
      </c>
      <c r="N105" s="3">
        <v>5.6366937061749702</v>
      </c>
    </row>
    <row r="106" spans="1:14" x14ac:dyDescent="0.35">
      <c r="A106" s="2">
        <v>45009</v>
      </c>
      <c r="B106" s="3">
        <v>3.4859567823408599</v>
      </c>
      <c r="C106" s="3">
        <v>4.6894661973296596</v>
      </c>
      <c r="D106" s="3">
        <v>3.4638104872081898</v>
      </c>
      <c r="E106" s="3">
        <v>3.6744204160730201</v>
      </c>
      <c r="F106" s="3">
        <v>2.6833129506975002</v>
      </c>
      <c r="G106" s="3">
        <v>3.2841061177056199</v>
      </c>
      <c r="H106" s="3">
        <v>4.3894643004115004</v>
      </c>
      <c r="I106" s="3">
        <v>0.91108959654632904</v>
      </c>
      <c r="J106" s="3">
        <v>1.7722858492689799</v>
      </c>
      <c r="K106" s="3">
        <v>3.2970832254775799</v>
      </c>
      <c r="L106" s="3">
        <v>2.7461393667336398</v>
      </c>
      <c r="M106" s="3">
        <v>3.8584073242366301</v>
      </c>
      <c r="N106" s="3">
        <v>5.6662084640814498</v>
      </c>
    </row>
    <row r="107" spans="1:14" x14ac:dyDescent="0.35">
      <c r="A107" s="2">
        <v>45042</v>
      </c>
      <c r="B107" s="3">
        <v>3.4038643658368</v>
      </c>
      <c r="C107" s="3">
        <v>4.4215613605686501</v>
      </c>
      <c r="D107" s="3">
        <v>3.2763321048176901</v>
      </c>
      <c r="E107" s="3">
        <v>3.5224926281876399</v>
      </c>
      <c r="F107" s="3">
        <v>2.5979138049198398</v>
      </c>
      <c r="G107" s="3">
        <v>3.08921745322901</v>
      </c>
      <c r="H107" s="3">
        <v>4.1249835558567396</v>
      </c>
      <c r="I107" s="3">
        <v>0.91207098866758995</v>
      </c>
      <c r="J107" s="3">
        <v>1.7463377271485601</v>
      </c>
      <c r="K107" s="3">
        <v>3.1260182482033598</v>
      </c>
      <c r="L107" s="3">
        <v>2.71617151233928</v>
      </c>
      <c r="M107" s="3">
        <v>3.6735284949269902</v>
      </c>
      <c r="N107" s="3">
        <v>5.4288056849417199</v>
      </c>
    </row>
    <row r="108" spans="1:14" x14ac:dyDescent="0.35">
      <c r="A108" s="2">
        <v>45072</v>
      </c>
      <c r="B108" s="3">
        <v>3.5087028149199599</v>
      </c>
      <c r="C108" s="3">
        <v>4.5278203584845302</v>
      </c>
      <c r="D108" s="3">
        <v>3.3340590258903</v>
      </c>
      <c r="E108" s="3">
        <v>3.6067568275783302</v>
      </c>
      <c r="F108" s="3">
        <v>2.4696449967418102</v>
      </c>
      <c r="G108" s="3">
        <v>3.1178004669048498</v>
      </c>
      <c r="H108" s="3">
        <v>4.3880113819292097</v>
      </c>
      <c r="I108" s="3">
        <v>0.80368323504749195</v>
      </c>
      <c r="J108" s="3">
        <v>1.6852915497943799</v>
      </c>
      <c r="K108" s="3">
        <v>3.2505286694032201</v>
      </c>
      <c r="L108" s="3">
        <v>2.6311542916461299</v>
      </c>
      <c r="M108" s="3">
        <v>3.7538112899030698</v>
      </c>
      <c r="N108" s="3">
        <v>5.6871674038461304</v>
      </c>
    </row>
    <row r="109" spans="1:14" x14ac:dyDescent="0.35">
      <c r="A109" s="2">
        <v>45103</v>
      </c>
      <c r="B109" s="3">
        <v>3.5130225253510101</v>
      </c>
      <c r="C109" s="3">
        <v>4.3746518505748702</v>
      </c>
      <c r="D109" s="3">
        <v>3.34677146876128</v>
      </c>
      <c r="E109" s="3">
        <v>3.6924647320100199</v>
      </c>
      <c r="F109" s="3">
        <v>2.3590092334032802</v>
      </c>
      <c r="G109" s="3">
        <v>3.2098932088761098</v>
      </c>
      <c r="H109" s="3">
        <v>4.4359315117410798</v>
      </c>
      <c r="I109" s="3">
        <v>0.78790412313244096</v>
      </c>
      <c r="J109" s="3">
        <v>1.6407634495157</v>
      </c>
      <c r="K109" s="3">
        <v>3.3191663992220102</v>
      </c>
      <c r="L109" s="3">
        <v>2.7862637419128702</v>
      </c>
      <c r="M109" s="3">
        <v>3.8223602308179898</v>
      </c>
      <c r="N109" s="3">
        <v>5.4802815173924699</v>
      </c>
    </row>
    <row r="110" spans="1:14" x14ac:dyDescent="0.35">
      <c r="A110" s="2">
        <v>45133</v>
      </c>
      <c r="B110" s="3">
        <v>3.4272157566694199</v>
      </c>
      <c r="C110" s="3">
        <v>4.0714057710912597</v>
      </c>
      <c r="D110" s="3">
        <v>3.1526587819092202</v>
      </c>
      <c r="E110" s="3">
        <v>3.65727786606146</v>
      </c>
      <c r="F110" s="3">
        <v>2.36097423591313</v>
      </c>
      <c r="G110" s="3">
        <v>3.16253050623944</v>
      </c>
      <c r="H110" s="3">
        <v>4.2477158611235399</v>
      </c>
      <c r="I110" s="3">
        <v>0.86979932800208903</v>
      </c>
      <c r="J110" s="3">
        <v>1.5647391896582801</v>
      </c>
      <c r="K110" s="3">
        <v>3.2861165974417501</v>
      </c>
      <c r="L110" s="3">
        <v>2.70843323950576</v>
      </c>
      <c r="M110" s="3">
        <v>3.7990268738014601</v>
      </c>
      <c r="N110" s="3">
        <v>5.2827880143099799</v>
      </c>
    </row>
    <row r="111" spans="1:14" x14ac:dyDescent="0.35">
      <c r="A111" s="2">
        <v>45163</v>
      </c>
      <c r="B111" s="3">
        <v>3.5041681210338198</v>
      </c>
      <c r="C111" s="3">
        <v>4.2819429318522104</v>
      </c>
      <c r="D111" s="3">
        <v>3.5821630238628099</v>
      </c>
      <c r="E111" s="3">
        <v>3.7765659823544699</v>
      </c>
      <c r="F111" s="3">
        <v>2.4213772449322302</v>
      </c>
      <c r="G111" s="3">
        <v>3.2800799936152401</v>
      </c>
      <c r="H111" s="3">
        <v>4.5765749629448296</v>
      </c>
      <c r="I111" s="3">
        <v>0.90523254995912505</v>
      </c>
      <c r="J111" s="3">
        <v>1.63012655781549</v>
      </c>
      <c r="K111" s="3">
        <v>3.3716677640469199</v>
      </c>
      <c r="L111" s="3">
        <v>2.9180333500029301</v>
      </c>
      <c r="M111" s="3">
        <v>4.0147722712500604</v>
      </c>
      <c r="N111" s="3">
        <v>5.5802718706895797</v>
      </c>
    </row>
    <row r="112" spans="1:14" x14ac:dyDescent="0.35">
      <c r="A112" s="2">
        <v>45195</v>
      </c>
      <c r="B112" s="3">
        <v>3.4303649753989598</v>
      </c>
      <c r="C112" s="3">
        <v>4.3186288534181196</v>
      </c>
      <c r="D112" s="3">
        <v>3.6289081992728098</v>
      </c>
      <c r="E112" s="3">
        <v>3.8768765001275698</v>
      </c>
      <c r="F112" s="3">
        <v>2.3397150222541399</v>
      </c>
      <c r="G112" s="3">
        <v>3.3564191492222801</v>
      </c>
      <c r="H112" s="3">
        <v>4.4511510531331302</v>
      </c>
      <c r="I112" s="3">
        <v>0.94471798820637498</v>
      </c>
      <c r="J112" s="3">
        <v>1.69213901067207</v>
      </c>
      <c r="K112" s="3">
        <v>3.4545900085469201</v>
      </c>
      <c r="L112" s="3">
        <v>3.0768424808244701</v>
      </c>
      <c r="M112" s="3">
        <v>4.0506991158335097</v>
      </c>
      <c r="N112" s="3">
        <v>5.5457933343056203</v>
      </c>
    </row>
    <row r="113" spans="1:25" x14ac:dyDescent="0.35">
      <c r="A113" s="2">
        <v>45225</v>
      </c>
      <c r="B113" s="3">
        <v>3.5847977873205901</v>
      </c>
      <c r="C113" s="3">
        <v>4.4962962810256002</v>
      </c>
      <c r="D113" s="3">
        <v>3.7768135414555801</v>
      </c>
      <c r="E113" s="3">
        <v>4.0678022579745603</v>
      </c>
      <c r="F113" s="3">
        <v>2.5080315821763302</v>
      </c>
      <c r="G113" s="3">
        <v>3.5435807657909</v>
      </c>
      <c r="H113" s="3">
        <v>4.6290144514045197</v>
      </c>
      <c r="I113" s="3">
        <v>0.99258173862294696</v>
      </c>
      <c r="J113" s="3">
        <v>1.75616397748663</v>
      </c>
      <c r="K113" s="3">
        <v>3.5462712596494601</v>
      </c>
      <c r="L113" s="3">
        <v>3.1091414963479602</v>
      </c>
      <c r="M113" s="3">
        <v>4.0015814180722504</v>
      </c>
      <c r="N113" s="3">
        <v>5.7649086614444096</v>
      </c>
    </row>
    <row r="114" spans="1:25" x14ac:dyDescent="0.35">
      <c r="A114" s="2">
        <v>45254</v>
      </c>
      <c r="B114" s="3">
        <v>3.3925263111541</v>
      </c>
      <c r="C114" s="3">
        <v>4.3328434148529604</v>
      </c>
      <c r="D114" s="3">
        <v>3.50740763831605</v>
      </c>
      <c r="E114" s="3">
        <v>3.69162837087607</v>
      </c>
      <c r="F114" s="3">
        <v>2.3646423557079399</v>
      </c>
      <c r="G114" s="3">
        <v>3.36985494678818</v>
      </c>
      <c r="H114" s="3">
        <v>4.4267781508531696</v>
      </c>
      <c r="I114" s="3">
        <v>0.888143539153321</v>
      </c>
      <c r="J114" s="3">
        <v>1.6004385263213201</v>
      </c>
      <c r="K114" s="3">
        <v>3.34195215126601</v>
      </c>
      <c r="L114" s="3">
        <v>2.78999470612131</v>
      </c>
      <c r="M114" s="3">
        <v>3.64445345093218</v>
      </c>
      <c r="N114" s="3">
        <v>5.5295683808525</v>
      </c>
    </row>
    <row r="115" spans="1:25" x14ac:dyDescent="0.35">
      <c r="A115" s="2">
        <v>45286</v>
      </c>
      <c r="B115" s="3">
        <v>3.01165185393927</v>
      </c>
      <c r="C115" s="3">
        <v>4.0228599065715596</v>
      </c>
      <c r="D115" s="3">
        <v>3.3750564227686999</v>
      </c>
      <c r="E115" s="3">
        <v>3.56141284707157</v>
      </c>
      <c r="F115" s="3">
        <v>2.4516792381991399</v>
      </c>
      <c r="G115" s="3">
        <v>3.28729510397641</v>
      </c>
      <c r="H115" s="3">
        <v>4.29722789446385</v>
      </c>
      <c r="I115" s="3">
        <v>0.915094086618498</v>
      </c>
      <c r="J115" s="3">
        <v>1.54105342265236</v>
      </c>
      <c r="K115" s="3">
        <v>3.21779218185989</v>
      </c>
      <c r="L115" s="3">
        <v>2.6898232892857399</v>
      </c>
      <c r="M115" s="3">
        <v>2.9393254755135199</v>
      </c>
      <c r="N115" s="3">
        <v>5.4741099967539997</v>
      </c>
    </row>
    <row r="116" spans="1:25" x14ac:dyDescent="0.35">
      <c r="A116" s="2">
        <v>45317</v>
      </c>
      <c r="B116" s="3">
        <v>2.9787144083377699</v>
      </c>
      <c r="C116" s="3">
        <v>4.0274930005740499</v>
      </c>
      <c r="D116" s="3">
        <v>3.3269854026054002</v>
      </c>
      <c r="E116" s="3">
        <v>3.5319013538997499</v>
      </c>
      <c r="F116" s="3">
        <v>2.31286332524635</v>
      </c>
      <c r="G116" s="3">
        <v>3.2711620458416002</v>
      </c>
      <c r="H116" s="3">
        <v>4.3009361524683998</v>
      </c>
      <c r="I116" s="3">
        <v>0.88666420491915998</v>
      </c>
      <c r="J116" s="3">
        <v>1.51239972368776</v>
      </c>
      <c r="K116" s="3">
        <v>3.1763185505698601</v>
      </c>
      <c r="L116" s="3">
        <v>2.5808821373572099</v>
      </c>
      <c r="M116" s="3">
        <v>3.3385364617012701</v>
      </c>
      <c r="N116" s="3">
        <v>5.4340689076770303</v>
      </c>
    </row>
    <row r="117" spans="1:25" x14ac:dyDescent="0.35">
      <c r="A117" s="2">
        <v>45348</v>
      </c>
      <c r="B117" s="3">
        <v>2.90303939257493</v>
      </c>
      <c r="C117" s="3">
        <v>3.9923987331664699</v>
      </c>
      <c r="D117" s="3">
        <v>3.2566591797952</v>
      </c>
      <c r="E117" s="3">
        <v>3.4584338747616501</v>
      </c>
      <c r="F117" s="3">
        <v>2.1903865924343902</v>
      </c>
      <c r="G117" s="3">
        <v>3.2809792997106602</v>
      </c>
      <c r="H117" s="3">
        <v>4.19011403703536</v>
      </c>
      <c r="I117" s="3">
        <v>0.88783454929811401</v>
      </c>
      <c r="J117" s="3">
        <v>1.47936771984764</v>
      </c>
      <c r="K117" s="3">
        <v>3.1224176461366699</v>
      </c>
      <c r="L117" s="3">
        <v>2.4770464873303499</v>
      </c>
      <c r="M117" s="3">
        <v>3.3152989300412399</v>
      </c>
      <c r="N117" s="3">
        <v>5.3123510737437796</v>
      </c>
    </row>
    <row r="118" spans="1:25" x14ac:dyDescent="0.35">
      <c r="A118" s="2">
        <v>45377</v>
      </c>
      <c r="B118" s="3">
        <v>2.7403916776735699</v>
      </c>
      <c r="C118" s="3">
        <v>3.94072496762751</v>
      </c>
      <c r="D118" s="3">
        <v>3.1444607163589602</v>
      </c>
      <c r="E118" s="3">
        <v>3.2636744070949599</v>
      </c>
      <c r="F118" s="3">
        <v>2.1381857869643599</v>
      </c>
      <c r="G118" s="3">
        <v>3.2821038746698399</v>
      </c>
      <c r="H118" s="3">
        <v>4.0296547277758599</v>
      </c>
      <c r="I118" s="3">
        <v>0.88494957475410596</v>
      </c>
      <c r="J118" s="3">
        <v>1.4418951956695201</v>
      </c>
      <c r="K118" s="3">
        <v>3.0584696425357598</v>
      </c>
      <c r="L118" s="3">
        <v>2.5310725658863298</v>
      </c>
      <c r="M118" s="3">
        <v>3.1673836537387601</v>
      </c>
      <c r="N118" s="3">
        <v>5.0829729559917904</v>
      </c>
    </row>
    <row r="119" spans="1:25" x14ac:dyDescent="0.35">
      <c r="A119" s="2">
        <v>45408</v>
      </c>
      <c r="B119" s="3">
        <v>2.7905077278711099</v>
      </c>
      <c r="C119" s="3">
        <v>4.0448391759703402</v>
      </c>
      <c r="D119" s="3">
        <v>3.10622974434161</v>
      </c>
      <c r="E119" s="3">
        <v>3.3415047198053802</v>
      </c>
      <c r="F119" s="3">
        <v>2.2479188379695798</v>
      </c>
      <c r="G119" s="3">
        <v>3.38198003229751</v>
      </c>
      <c r="H119" s="3">
        <v>3.9394980734419298</v>
      </c>
      <c r="I119" s="3">
        <v>0.91945208754336505</v>
      </c>
      <c r="J119" s="3">
        <v>1.4843825705667399</v>
      </c>
      <c r="K119" s="3">
        <v>3.1155072943507398</v>
      </c>
      <c r="L119" s="3">
        <v>2.57084156661884</v>
      </c>
      <c r="M119" s="3">
        <v>3.27893195417718</v>
      </c>
      <c r="N119" s="3">
        <v>5.2422620894574203</v>
      </c>
    </row>
    <row r="120" spans="1:25" x14ac:dyDescent="0.35">
      <c r="A120" s="2">
        <v>45436</v>
      </c>
      <c r="B120" s="3">
        <v>2.7266674207221002</v>
      </c>
      <c r="C120" s="3">
        <v>3.9800955783763201</v>
      </c>
      <c r="D120" s="3">
        <v>3.1225362218471302</v>
      </c>
      <c r="E120" s="3">
        <v>3.3367296746702801</v>
      </c>
      <c r="F120" s="3">
        <v>2.2294875080230701</v>
      </c>
      <c r="G120" s="3">
        <v>3.2293066872738101</v>
      </c>
      <c r="H120" s="3">
        <v>3.8515848956293799</v>
      </c>
      <c r="I120" s="3">
        <v>0.88307185843908798</v>
      </c>
      <c r="J120" s="3">
        <v>1.44298240953818</v>
      </c>
      <c r="K120" s="3">
        <v>3.11425001178787</v>
      </c>
      <c r="L120" s="3">
        <v>2.4672941454797201</v>
      </c>
      <c r="M120" s="3">
        <v>3.16297344774642</v>
      </c>
      <c r="N120" s="3">
        <v>5.2452921154141396</v>
      </c>
    </row>
    <row r="121" spans="1:25" x14ac:dyDescent="0.35">
      <c r="A121" s="2">
        <v>45469</v>
      </c>
      <c r="B121" s="3">
        <v>2.7209611062300101</v>
      </c>
      <c r="C121" s="3">
        <v>3.9200329695197702</v>
      </c>
      <c r="D121" s="3">
        <v>3.35543129041648</v>
      </c>
      <c r="E121" s="3">
        <v>3.42555657614996</v>
      </c>
      <c r="F121" s="3">
        <v>2.2399885007848299</v>
      </c>
      <c r="G121" s="3">
        <v>3.22623202006623</v>
      </c>
      <c r="H121" s="3">
        <v>3.9489102418916802</v>
      </c>
      <c r="I121" s="3">
        <v>0.84066975007197497</v>
      </c>
      <c r="J121" s="3">
        <v>1.4025981419604301</v>
      </c>
      <c r="K121" s="3">
        <v>3.3398966450576402</v>
      </c>
      <c r="L121" s="3">
        <v>2.5079011215201201</v>
      </c>
      <c r="M121" s="3">
        <v>3.2450984599326498</v>
      </c>
      <c r="N121" s="3">
        <v>5.42455622071836</v>
      </c>
    </row>
    <row r="122" spans="1:25" x14ac:dyDescent="0.35">
      <c r="A122" s="2">
        <v>45497</v>
      </c>
      <c r="B122" s="3">
        <v>2.59222477722833</v>
      </c>
      <c r="C122" s="3">
        <v>3.89065391077111</v>
      </c>
      <c r="D122" s="3">
        <v>3.24479528926428</v>
      </c>
      <c r="E122" s="3">
        <v>3.4105396053647699</v>
      </c>
      <c r="F122" s="3">
        <v>2.2764159294693802</v>
      </c>
      <c r="G122" s="3">
        <v>3.1847034762264599</v>
      </c>
      <c r="H122" s="3">
        <v>3.9238094083436899</v>
      </c>
      <c r="I122" s="3">
        <v>0.86631309001064905</v>
      </c>
      <c r="J122" s="3">
        <v>1.4319290324554601</v>
      </c>
      <c r="K122" s="3">
        <v>3.3850460032137901</v>
      </c>
      <c r="L122" s="3">
        <v>2.5828744997912998</v>
      </c>
      <c r="M122" s="3">
        <v>3.2354503218411601</v>
      </c>
      <c r="N122" s="3">
        <v>5.3168758273224901</v>
      </c>
    </row>
    <row r="125" spans="1:25" x14ac:dyDescent="0.35">
      <c r="A125" s="2" t="s">
        <v>91</v>
      </c>
      <c r="B125" s="3" cm="1">
        <f t="array" ref="B125">MIN(_xlfn._xlws.FILTER(B1:B122, ISNUMBER(B1:B122)))</f>
        <v>2.2876520242681302</v>
      </c>
      <c r="C125" s="3" cm="1">
        <f t="array" ref="C125">MIN(_xlfn._xlws.FILTER(C1:C122, ISNUMBER(C1:C122)))</f>
        <v>3.38854806551611</v>
      </c>
      <c r="D125" s="3" cm="1">
        <f t="array" ref="D125">MIN(_xlfn._xlws.FILTER(D1:D122, ISNUMBER(D1:D122)))</f>
        <v>2.67370458704369</v>
      </c>
      <c r="E125" s="3" cm="1">
        <f t="array" ref="E125">MIN(_xlfn._xlws.FILTER(E1:E122, ISNUMBER(E1:E122)))</f>
        <v>2.70644377383781</v>
      </c>
      <c r="F125" s="3" cm="1">
        <f t="array" ref="F125">MIN(_xlfn._xlws.FILTER(F1:F122, ISNUMBER(F1:F122)))</f>
        <v>1.8167802974582801</v>
      </c>
      <c r="G125" s="3" cm="1">
        <f t="array" ref="G125">MIN(_xlfn._xlws.FILTER(G1:G122, ISNUMBER(G1:G122)))</f>
        <v>2.55192618966122</v>
      </c>
      <c r="H125" s="3" cm="1">
        <f t="array" ref="H125">MIN(_xlfn._xlws.FILTER(H1:H122, ISNUMBER(H1:H122)))</f>
        <v>3.8474753492880298</v>
      </c>
      <c r="I125" s="3" cm="1">
        <f t="array" ref="I125">MIN(_xlfn._xlws.FILTER(I1:I122, ISNUMBER(I1:I122)))</f>
        <v>0.66754038046426201</v>
      </c>
      <c r="J125" s="3" cm="1">
        <f t="array" ref="J125">MIN(_xlfn._xlws.FILTER(J1:J122, ISNUMBER(J1:J122)))</f>
        <v>1.3645418896299</v>
      </c>
      <c r="K125" s="3" cm="1">
        <f t="array" ref="K125">MIN(_xlfn._xlws.FILTER(K1:K122, ISNUMBER(K1:K122)))</f>
        <v>2.6549983498375198</v>
      </c>
      <c r="L125" s="3" cm="1">
        <f t="array" ref="L125">MIN(_xlfn._xlws.FILTER(L1:L122, ISNUMBER(L1:L122)))</f>
        <v>1.84735197727911</v>
      </c>
      <c r="M125" s="3" cm="1">
        <f t="array" ref="M125">MIN(_xlfn._xlws.FILTER(M1:M122, ISNUMBER(M1:M122)))</f>
        <v>2.6904766294629301</v>
      </c>
      <c r="N125" s="3" cm="1">
        <f t="array" ref="N125">MIN(_xlfn._xlws.FILTER(N1:N122, ISNUMBER(N1:N122)))</f>
        <v>3.12437675073717</v>
      </c>
    </row>
    <row r="126" spans="1:25" x14ac:dyDescent="0.35">
      <c r="A126" s="2" t="s">
        <v>92</v>
      </c>
      <c r="B126" s="3" cm="1">
        <f t="array" ref="B126">MAX(_xlfn._xlws.FILTER(B1:B122, ISNUMBER(B1:B122)))</f>
        <v>5.15988508179072</v>
      </c>
      <c r="C126" s="3" cm="1">
        <f t="array" ref="C126">MAX(_xlfn._xlws.FILTER(C1:C122, ISNUMBER(C1:C122)))</f>
        <v>5.5043797097098999</v>
      </c>
      <c r="D126" s="3" cm="1">
        <f t="array" ref="D126">MAX(_xlfn._xlws.FILTER(D1:D122, ISNUMBER(D1:D122)))</f>
        <v>4.3199987805064497</v>
      </c>
      <c r="E126" s="3" cm="1">
        <f t="array" ref="E126">MAX(_xlfn._xlws.FILTER(E1:E122, ISNUMBER(E1:E122)))</f>
        <v>4.4420278876042198</v>
      </c>
      <c r="F126" s="3" cm="1">
        <f t="array" ref="F126">MAX(_xlfn._xlws.FILTER(F1:F122, ISNUMBER(F1:F122)))</f>
        <v>2.9933948289571801</v>
      </c>
      <c r="G126" s="3" cm="1">
        <f t="array" ref="G126">MAX(_xlfn._xlws.FILTER(G1:G122, ISNUMBER(G1:G122)))</f>
        <v>3.7139608720830002</v>
      </c>
      <c r="H126" s="3" cm="1">
        <f t="array" ref="H126">MAX(_xlfn._xlws.FILTER(H1:H122, ISNUMBER(H1:H122)))</f>
        <v>6.1271682780426699</v>
      </c>
      <c r="I126" s="3" cm="1">
        <f t="array" ref="I126">MAX(_xlfn._xlws.FILTER(I1:I122, ISNUMBER(I1:I122)))</f>
        <v>1.4042178306461099</v>
      </c>
      <c r="J126" s="3" cm="1">
        <f t="array" ref="J126">MAX(_xlfn._xlws.FILTER(J1:J122, ISNUMBER(J1:J122)))</f>
        <v>2.4989798858198502</v>
      </c>
      <c r="K126" s="3" cm="1">
        <f t="array" ref="K126">MAX(_xlfn._xlws.FILTER(K1:K122, ISNUMBER(K1:K122)))</f>
        <v>4.2362337372563399</v>
      </c>
      <c r="L126" s="3" cm="1">
        <f t="array" ref="L126">MAX(_xlfn._xlws.FILTER(L1:L122, ISNUMBER(L1:L122)))</f>
        <v>3.6537786840608701</v>
      </c>
      <c r="M126" s="3" cm="1">
        <f t="array" ref="M126">MAX(_xlfn._xlws.FILTER(M1:M122, ISNUMBER(M1:M122)))</f>
        <v>4.7752183730328897</v>
      </c>
      <c r="N126" s="3" cm="1">
        <f t="array" ref="N126">MAX(_xlfn._xlws.FILTER(N1:N122, ISNUMBER(N1:N122)))</f>
        <v>6.1546242476927198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9.8000000000000004E-2</v>
      </c>
      <c r="C128" s="9" cm="1">
        <f t="array" ref="C128">_xlfn.PERCENTRANK.EXC(_xlfn._xlws.FILTER(C1:C122, ISNUMBER(C1:C122)),C122)</f>
        <v>8.1000000000000003E-2</v>
      </c>
      <c r="D128" s="9" cm="1">
        <f t="array" ref="D128">_xlfn.PERCENTRANK.EXC(_xlfn._xlws.FILTER(D1:D122, ISNUMBER(D1:D122)),D122)</f>
        <v>0.59</v>
      </c>
      <c r="E128" s="9" cm="1">
        <f t="array" ref="E128">_xlfn.PERCENTRANK.EXC(_xlfn._xlws.FILTER(E1:E122, ISNUMBER(E1:E122)),E122)</f>
        <v>0.64700000000000002</v>
      </c>
      <c r="F128" s="9" cm="1">
        <f t="array" ref="F128">_xlfn.PERCENTRANK.EXC(_xlfn._xlws.FILTER(F1:F122, ISNUMBER(F1:F122)),F122)</f>
        <v>0.45</v>
      </c>
      <c r="G128" s="9" cm="1">
        <f t="array" ref="G128">_xlfn.PERCENTRANK.EXC(_xlfn._xlws.FILTER(G1:G122, ISNUMBER(G1:G122)),G122)</f>
        <v>0.377</v>
      </c>
      <c r="H128" s="9" cm="1">
        <f t="array" ref="H128">_xlfn.PERCENTRANK.EXC(_xlfn._xlws.FILTER(H1:H122, ISNUMBER(H1:H122)),H122)</f>
        <v>9.8000000000000004E-2</v>
      </c>
      <c r="I128" s="9" cm="1">
        <f t="array" ref="I128">_xlfn.PERCENTRANK.EXC(_xlfn._xlws.FILTER(I1:I122, ISNUMBER(I1:I122)),I122)</f>
        <v>0.19600000000000001</v>
      </c>
      <c r="J128" s="9" cm="1">
        <f t="array" ref="J128">_xlfn.PERCENTRANK.EXC(_xlfn._xlws.FILTER(J1:J122, ISNUMBER(J1:J122)),J122)</f>
        <v>6.5000000000000002E-2</v>
      </c>
      <c r="K128" s="9" cm="1">
        <f t="array" ref="K128">_xlfn.PERCENTRANK.EXC(_xlfn._xlws.FILTER(K1:K122, ISNUMBER(K1:K122)),K122)</f>
        <v>0.53200000000000003</v>
      </c>
      <c r="L128" s="9" cm="1">
        <f t="array" ref="L128">_xlfn.PERCENTRANK.EXC(_xlfn._xlws.FILTER(L1:L122, ISNUMBER(L1:L122)),L122)</f>
        <v>0.27800000000000002</v>
      </c>
      <c r="M128" s="9" cm="1">
        <f t="array" ref="M128">_xlfn.PERCENTRANK.EXC(_xlfn._xlws.FILTER(M1:M122, ISNUMBER(M1:M122)),M122)</f>
        <v>0.221</v>
      </c>
      <c r="N128" s="9" cm="1">
        <f t="array" ref="N128">_xlfn.PERCENTRANK.EXC(_xlfn._xlws.FILTER(N1:N122, ISNUMBER(N1:N122)),N122)</f>
        <v>0.80300000000000005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41845</v>
      </c>
      <c r="B2" s="24" cm="1">
        <f t="array" ref="B2:B122">_xll.FDS(B1,"FG_TOTAL_RETURNC(-10AY,0,AM)")/100</f>
        <v>-1.0473669000000001E-2</v>
      </c>
      <c r="C2" s="24" cm="1">
        <f t="array" ref="C2:C122">_xll.FDS(C1,"FG_TOTAL_RETURNC(-10AY,0,AM)")/100</f>
        <v>1.5891074999999998E-2</v>
      </c>
      <c r="D2" s="24" cm="1">
        <f t="array" ref="D2:D122">_xll.FDS(D1,"FG_TOTAL_RETURNC(-10AY,0,AM)")/100</f>
        <v>2.479601E-2</v>
      </c>
      <c r="E2" s="24" cm="1">
        <f t="array" ref="E2:E122">_xll.FDS(E1,"FG_TOTAL_RETURNC(-10AY,0,AM)")/100</f>
        <v>-3.05565E-2</v>
      </c>
      <c r="F2" s="24" cm="1">
        <f t="array" ref="F2:F122">_xll.FDS(F1,"FG_TOTAL_RETURNC(-10AY,0,AM)")/100</f>
        <v>9.9916459999999999E-3</v>
      </c>
      <c r="G2" s="24" cm="1">
        <f t="array" ref="G2:G122">_xll.FDS(G1,"FG_TOTAL_RETURNC(-10AY,0,AM)")/100</f>
        <v>-9.3676450000000008E-3</v>
      </c>
      <c r="H2" s="24" cm="1">
        <f t="array" ref="H2:H122">_xll.FDS(H1,"FG_TOTAL_RETURNC(-10AY,0,AM)")/100</f>
        <v>2.8859377000000001E-3</v>
      </c>
      <c r="I2" s="24" cm="1">
        <f t="array" ref="I2:I122">_xll.FDS(I1,"FG_TOTAL_RETURNC(-10AY,0,AM)")/100</f>
        <v>3.6425948E-2</v>
      </c>
      <c r="J2" s="24" cm="1">
        <f t="array" ref="J2:J122">_xll.FDS(J1,"FG_TOTAL_RETURNC(-10AY,0,AM)")/100</f>
        <v>1.166594E-2</v>
      </c>
      <c r="K2" s="24" cm="1">
        <f t="array" ref="K2:K122">_xll.FDS(K1,"FG_TOTAL_RETURNC(-10AY,0,AM)")/100</f>
        <v>-4.0068507000000003E-2</v>
      </c>
      <c r="L2" s="24" cm="1">
        <f t="array" ref="L2:L122">_xll.FDS(L1,"FG_TOTAL_RETURNC(-10AY,0,AM)")/100</f>
        <v>-3.7007867999999999E-2</v>
      </c>
      <c r="M2" s="24" cm="1">
        <f t="array" ref="M2:M122">_xll.FDS(M1,"FG_TOTAL_RETURNC(-10AY,0,AM)")/100</f>
        <v>9.4151497000000001E-3</v>
      </c>
      <c r="N2" s="24" cm="1">
        <f t="array" ref="N2:N122">_xll.FDS(N1,"FG_TOTAL_RETURNC(-10AY,0,AM)")/100</f>
        <v>-2.7507245999999999E-2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41877</v>
      </c>
      <c r="B3" s="24">
        <v>-2.6220858E-2</v>
      </c>
      <c r="C3" s="24">
        <v>6.3314440000000003E-3</v>
      </c>
      <c r="D3" s="24">
        <v>-1.2251139E-3</v>
      </c>
      <c r="E3" s="24">
        <v>-2.7869939999999999E-2</v>
      </c>
      <c r="F3" s="24">
        <v>-1.8961309999999999E-2</v>
      </c>
      <c r="G3" s="24">
        <v>-6.7966579999999997E-3</v>
      </c>
      <c r="H3" s="24">
        <v>-2.0623505E-2</v>
      </c>
      <c r="I3" s="24">
        <v>2.8530120000000003E-2</v>
      </c>
      <c r="J3" s="24">
        <v>1.3200521E-2</v>
      </c>
      <c r="K3" s="24">
        <v>-1.3556957000000001E-2</v>
      </c>
      <c r="L3" s="24">
        <v>4.9060583000000001E-3</v>
      </c>
      <c r="M3" s="24">
        <v>-2.8547286999999998E-2</v>
      </c>
      <c r="N3" s="24">
        <v>-5.0677594999999999E-2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41908</v>
      </c>
      <c r="B4" s="24">
        <v>-3.9525628E-2</v>
      </c>
      <c r="C4" s="24">
        <v>-0.10436714</v>
      </c>
      <c r="D4" s="24">
        <v>-4.9678029999999998E-2</v>
      </c>
      <c r="E4" s="24">
        <v>-4.2320786000000006E-2</v>
      </c>
      <c r="F4" s="24">
        <v>8.4030629999999997E-4</v>
      </c>
      <c r="G4" s="24">
        <v>-2.8265417000000001E-2</v>
      </c>
      <c r="H4" s="24">
        <v>-3.9177240000000002E-2</v>
      </c>
      <c r="I4" s="24">
        <v>-4.8749446999999998E-3</v>
      </c>
      <c r="J4" s="24">
        <v>-7.5072050000000003E-3</v>
      </c>
      <c r="K4" s="24">
        <v>-3.2549740000000001E-2</v>
      </c>
      <c r="L4" s="24">
        <v>-1.4239252000000001E-2</v>
      </c>
      <c r="M4" s="24">
        <v>-4.1896940000000001E-2</v>
      </c>
      <c r="N4" s="24">
        <v>-1.9242703999999999E-2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41936</v>
      </c>
      <c r="B5" s="24">
        <v>1.8762826999999999E-2</v>
      </c>
      <c r="C5" s="24">
        <v>2.8925538000000001E-2</v>
      </c>
      <c r="D5" s="24">
        <v>-3.7754118000000003E-2</v>
      </c>
      <c r="E5" s="24">
        <v>-5.3813275999999993E-2</v>
      </c>
      <c r="F5" s="24">
        <v>-5.4575976999999998E-2</v>
      </c>
      <c r="G5" s="24">
        <v>-3.0924678000000001E-2</v>
      </c>
      <c r="H5" s="24">
        <v>-4.6381354000000007E-2</v>
      </c>
      <c r="I5" s="24">
        <v>-1.6196965999999999E-3</v>
      </c>
      <c r="J5" s="24">
        <v>-7.4279903999999999E-3</v>
      </c>
      <c r="K5" s="24">
        <v>-5.5327060000000004E-2</v>
      </c>
      <c r="L5" s="24">
        <v>-4.4985533000000001E-2</v>
      </c>
      <c r="M5" s="24">
        <v>-2.0649850000000001E-2</v>
      </c>
      <c r="N5" s="24">
        <v>-6.0126543000000005E-2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41969</v>
      </c>
      <c r="B6" s="24">
        <v>2.2481918E-2</v>
      </c>
      <c r="C6" s="24">
        <v>-3.0120491999999999E-2</v>
      </c>
      <c r="D6" s="24">
        <v>3.7558675E-2</v>
      </c>
      <c r="E6" s="24">
        <v>8.8512309999999997E-2</v>
      </c>
      <c r="F6" s="24">
        <v>3.5523891000000002E-2</v>
      </c>
      <c r="G6" s="24">
        <v>4.8973202999999993E-2</v>
      </c>
      <c r="H6" s="24">
        <v>3.4740805999999999E-2</v>
      </c>
      <c r="I6" s="24">
        <v>6.9965479999999997E-2</v>
      </c>
      <c r="J6" s="24">
        <v>5.7068706000000004E-2</v>
      </c>
      <c r="K6" s="24">
        <v>4.6695710000000001E-2</v>
      </c>
      <c r="L6" s="24">
        <v>6.9144370000000011E-2</v>
      </c>
      <c r="M6" s="24">
        <v>5.0232530000000004E-2</v>
      </c>
      <c r="N6" s="24">
        <v>8.7541340000000002E-3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41999</v>
      </c>
      <c r="B7" s="24">
        <v>5.458236E-3</v>
      </c>
      <c r="C7" s="24">
        <v>-5.1302136999999998E-2</v>
      </c>
      <c r="D7" s="24">
        <v>-5.3690790000000002E-2</v>
      </c>
      <c r="E7" s="24">
        <v>-2.491349E-2</v>
      </c>
      <c r="F7" s="24">
        <v>-2.7419925000000001E-3</v>
      </c>
      <c r="G7" s="24">
        <v>-2.4397611999999999E-2</v>
      </c>
      <c r="H7" s="24">
        <v>-3.0301212999999997E-2</v>
      </c>
      <c r="I7" s="24">
        <v>-8.5777043999999997E-4</v>
      </c>
      <c r="J7" s="24">
        <v>9.3694924999999998E-3</v>
      </c>
      <c r="K7" s="24">
        <v>-3.0785800000000002E-2</v>
      </c>
      <c r="L7" s="24">
        <v>-9.9635123999999992E-3</v>
      </c>
      <c r="M7" s="24">
        <v>-4.4406889999999997E-2</v>
      </c>
      <c r="N7" s="24">
        <v>-5.4892120000000003E-2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42030</v>
      </c>
      <c r="B8" s="24">
        <v>-8.985102E-3</v>
      </c>
      <c r="C8" s="24">
        <v>-4.9571989999999998E-3</v>
      </c>
      <c r="D8" s="24">
        <v>-5.8517932999999994E-2</v>
      </c>
      <c r="E8" s="24">
        <v>9.2264414000000003E-3</v>
      </c>
      <c r="F8" s="24">
        <v>2.5951861999999998E-3</v>
      </c>
      <c r="G8" s="24">
        <v>-1.8523335E-3</v>
      </c>
      <c r="H8" s="24">
        <v>3.2590627999999999E-3</v>
      </c>
      <c r="I8" s="24">
        <v>-8.5681677000000005E-3</v>
      </c>
      <c r="J8" s="24">
        <v>-1.4344692000000001E-2</v>
      </c>
      <c r="K8" s="24">
        <v>0</v>
      </c>
      <c r="L8" s="24">
        <v>-6.5546629999999996E-3</v>
      </c>
      <c r="M8" s="24">
        <v>-9.3376639999999996E-4</v>
      </c>
      <c r="N8" s="24">
        <v>-8.5349080000000008E-3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42061</v>
      </c>
      <c r="B9" s="24">
        <v>3.8110733000000001E-2</v>
      </c>
      <c r="C9" s="24">
        <v>6.5217375999999994E-2</v>
      </c>
      <c r="D9" s="24">
        <v>2.8319239999999999E-2</v>
      </c>
      <c r="E9" s="24">
        <v>4.0084359999999999E-2</v>
      </c>
      <c r="F9" s="24">
        <v>6.9887756999999995E-2</v>
      </c>
      <c r="G9" s="24">
        <v>3.3405423000000004E-2</v>
      </c>
      <c r="H9" s="24">
        <v>3.5192251000000001E-2</v>
      </c>
      <c r="I9" s="24">
        <v>4.5515656000000002E-2</v>
      </c>
      <c r="J9" s="24">
        <v>2.8863550000000002E-2</v>
      </c>
      <c r="K9" s="24">
        <v>3.7780404000000004E-2</v>
      </c>
      <c r="L9" s="24">
        <v>5.6082487E-2</v>
      </c>
      <c r="M9" s="24">
        <v>6.8535804999999991E-2</v>
      </c>
      <c r="N9" s="24">
        <v>6.1693069999999996E-2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42089</v>
      </c>
      <c r="B10" s="24">
        <v>-1.2269615999999999E-3</v>
      </c>
      <c r="C10" s="24">
        <v>3.8264989999999997E-3</v>
      </c>
      <c r="D10" s="24">
        <v>-1.7525017E-2</v>
      </c>
      <c r="E10" s="24">
        <v>1.4536858E-2</v>
      </c>
      <c r="F10" s="24">
        <v>2.2580743E-2</v>
      </c>
      <c r="G10" s="24">
        <v>2.0952225000000001E-3</v>
      </c>
      <c r="H10" s="24">
        <v>-3.8703024000000003E-2</v>
      </c>
      <c r="I10" s="24">
        <v>-3.2510816999999997E-2</v>
      </c>
      <c r="J10" s="24">
        <v>-2.4609386999999996E-2</v>
      </c>
      <c r="K10" s="24">
        <v>-8.722067E-3</v>
      </c>
      <c r="L10" s="24">
        <v>-1.093328E-2</v>
      </c>
      <c r="M10" s="24">
        <v>-1.6326487000000001E-2</v>
      </c>
      <c r="N10" s="24">
        <v>4.0540695000000002E-3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42118</v>
      </c>
      <c r="B11" s="24">
        <v>-9.9017024000000002E-3</v>
      </c>
      <c r="C11" s="24">
        <v>1.3553618999999999E-2</v>
      </c>
      <c r="D11" s="24">
        <v>6.5890073999999993E-2</v>
      </c>
      <c r="E11" s="24">
        <v>-7.3308945000000007E-3</v>
      </c>
      <c r="F11" s="24">
        <v>4.9684525E-2</v>
      </c>
      <c r="G11" s="24">
        <v>3.9725304000000003E-2</v>
      </c>
      <c r="H11" s="24">
        <v>5.0598499999999998E-2</v>
      </c>
      <c r="I11" s="24">
        <v>5.1760197000000001E-2</v>
      </c>
      <c r="J11" s="24">
        <v>3.1080483999999999E-2</v>
      </c>
      <c r="K11" s="24">
        <v>3.9020658E-2</v>
      </c>
      <c r="L11" s="24">
        <v>4.2242410000000001E-2</v>
      </c>
      <c r="M11" s="24">
        <v>2.0450472999999997E-2</v>
      </c>
      <c r="N11" s="24">
        <v>2.1534323999999997E-2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42150</v>
      </c>
      <c r="B12" s="24">
        <v>-4.1864157000000006E-2</v>
      </c>
      <c r="C12" s="24">
        <v>-4.8892616999999999E-2</v>
      </c>
      <c r="D12" s="24">
        <v>-4.7131179999999995E-2</v>
      </c>
      <c r="E12" s="24">
        <v>-1.477009E-2</v>
      </c>
      <c r="F12" s="24">
        <v>-1.5026330999999999E-2</v>
      </c>
      <c r="G12" s="24">
        <v>3.1598806000000001E-3</v>
      </c>
      <c r="H12" s="24">
        <v>2.5893450000000003E-3</v>
      </c>
      <c r="I12" s="24">
        <v>-1.2122333000000001E-2</v>
      </c>
      <c r="J12" s="24">
        <v>-4.4881104999999998E-3</v>
      </c>
      <c r="K12" s="24">
        <v>-6.9956183000000009E-3</v>
      </c>
      <c r="L12" s="24">
        <v>-1.5150905000000001E-3</v>
      </c>
      <c r="M12" s="24">
        <v>-8.7133049999999993E-3</v>
      </c>
      <c r="N12" s="24">
        <v>9.2226267000000001E-3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42181</v>
      </c>
      <c r="B13" s="24">
        <v>-6.8184494999999998E-2</v>
      </c>
      <c r="C13" s="24">
        <v>-3.5168051999999998E-2</v>
      </c>
      <c r="D13" s="24">
        <v>-5.665481E-3</v>
      </c>
      <c r="E13" s="24">
        <v>1.5274763E-2</v>
      </c>
      <c r="F13" s="24">
        <v>2.7453899999999999E-3</v>
      </c>
      <c r="G13" s="24">
        <v>-8.0757140000000012E-3</v>
      </c>
      <c r="H13" s="24">
        <v>-5.968213E-3</v>
      </c>
      <c r="I13" s="24">
        <v>2.9553175E-3</v>
      </c>
      <c r="J13" s="24">
        <v>6.8926810000000008E-4</v>
      </c>
      <c r="K13" s="24">
        <v>2.2574306000000002E-2</v>
      </c>
      <c r="L13" s="24">
        <v>2.8284073E-2</v>
      </c>
      <c r="M13" s="24">
        <v>4.2470694000000002E-3</v>
      </c>
      <c r="N13" s="24">
        <v>4.8172710000000001E-2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42209</v>
      </c>
      <c r="B14" s="24">
        <v>-1.7393827000000001E-2</v>
      </c>
      <c r="C14" s="24">
        <v>-5.6903067000000002E-2</v>
      </c>
      <c r="D14" s="24">
        <v>-9.0810000000000002E-2</v>
      </c>
      <c r="E14" s="24">
        <v>-3.5507022999999999E-2</v>
      </c>
      <c r="F14" s="24">
        <v>-2.5229335000000002E-2</v>
      </c>
      <c r="G14" s="24">
        <v>-3.5472512E-3</v>
      </c>
      <c r="H14" s="24">
        <v>-4.6031712999999995E-2</v>
      </c>
      <c r="I14" s="24">
        <v>1.6747475000000001E-2</v>
      </c>
      <c r="J14" s="24">
        <v>-8.6741449999999994E-3</v>
      </c>
      <c r="K14" s="24">
        <v>-2.2492646999999998E-2</v>
      </c>
      <c r="L14" s="24">
        <v>-2.1649957000000001E-2</v>
      </c>
      <c r="M14" s="24">
        <v>-3.563881E-2</v>
      </c>
      <c r="N14" s="24">
        <v>-2.7249634000000002E-2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42242</v>
      </c>
      <c r="B15" s="24">
        <v>-6.3261747000000007E-2</v>
      </c>
      <c r="C15" s="24">
        <v>-6.6271009999999991E-2</v>
      </c>
      <c r="D15" s="24">
        <v>-7.3112250000000004E-2</v>
      </c>
      <c r="E15" s="24">
        <v>-6.2654915000000005E-2</v>
      </c>
      <c r="F15" s="24">
        <v>-5.6470632999999999E-2</v>
      </c>
      <c r="G15" s="24">
        <v>-4.9836874000000003E-2</v>
      </c>
      <c r="H15" s="24">
        <v>-6.8219719999999998E-2</v>
      </c>
      <c r="I15" s="24">
        <v>-7.2637259999999995E-2</v>
      </c>
      <c r="J15" s="24">
        <v>-6.5096139999999997E-2</v>
      </c>
      <c r="K15" s="24">
        <v>-5.6205214999999996E-2</v>
      </c>
      <c r="L15" s="24">
        <v>-6.8103789999999997E-2</v>
      </c>
      <c r="M15" s="24">
        <v>-6.6395282999999999E-2</v>
      </c>
      <c r="N15" s="24">
        <v>-3.3224760999999998E-2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42272</v>
      </c>
      <c r="B16" s="24">
        <v>3.7143229999999998E-3</v>
      </c>
      <c r="C16" s="24">
        <v>-4.7139825999999996E-2</v>
      </c>
      <c r="D16" s="24">
        <v>-5.1724314999999996E-3</v>
      </c>
      <c r="E16" s="24">
        <v>-6.7220506999999999E-2</v>
      </c>
      <c r="F16" s="24">
        <v>-3.4912705000000002E-2</v>
      </c>
      <c r="G16" s="24">
        <v>-6.0568150000000001E-2</v>
      </c>
      <c r="H16" s="24">
        <v>-2.0238100999999998E-2</v>
      </c>
      <c r="I16" s="24">
        <v>1.3978481000000002E-3</v>
      </c>
      <c r="J16" s="24">
        <v>-3.0356645999999998E-3</v>
      </c>
      <c r="K16" s="24">
        <v>-3.9168655999999996E-2</v>
      </c>
      <c r="L16" s="24">
        <v>-4.6059370000000002E-2</v>
      </c>
      <c r="M16" s="24">
        <v>-3.8577675999999998E-2</v>
      </c>
      <c r="N16" s="24">
        <v>-4.3800591999999999E-2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42303</v>
      </c>
      <c r="B17" s="24">
        <v>0.1243862</v>
      </c>
      <c r="C17" s="24">
        <v>9.6720330000000007E-2</v>
      </c>
      <c r="D17" s="24">
        <v>4.6793699999999994E-2</v>
      </c>
      <c r="E17" s="24">
        <v>0.10121452</v>
      </c>
      <c r="F17" s="24">
        <v>7.6658130000000005E-2</v>
      </c>
      <c r="G17" s="24">
        <v>6.0152890000000001E-2</v>
      </c>
      <c r="H17" s="24">
        <v>7.0474030000000007E-2</v>
      </c>
      <c r="I17" s="24">
        <v>9.6482750000000006E-2</v>
      </c>
      <c r="J17" s="24">
        <v>7.3373080000000007E-2</v>
      </c>
      <c r="K17" s="24">
        <v>8.2778690000000002E-2</v>
      </c>
      <c r="L17" s="24">
        <v>7.9399110000000009E-2</v>
      </c>
      <c r="M17" s="24">
        <v>5.7222605000000003E-2</v>
      </c>
      <c r="N17" s="24">
        <v>5.8491945000000004E-2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42333</v>
      </c>
      <c r="B18" s="24">
        <v>-2.2783457999999999E-2</v>
      </c>
      <c r="C18" s="24">
        <v>-2.8890014000000002E-2</v>
      </c>
      <c r="D18" s="24">
        <v>-3.8079500000000002E-2</v>
      </c>
      <c r="E18" s="24">
        <v>-1.1397123E-2</v>
      </c>
      <c r="F18" s="24">
        <v>3.2000542E-3</v>
      </c>
      <c r="G18" s="24">
        <v>-3.2915354000000001E-2</v>
      </c>
      <c r="H18" s="24">
        <v>-2.5539220000000001E-2</v>
      </c>
      <c r="I18" s="24">
        <v>1.151979E-2</v>
      </c>
      <c r="J18" s="24">
        <v>1.1207819000000001E-2</v>
      </c>
      <c r="K18" s="24">
        <v>-4.1874766000000001E-2</v>
      </c>
      <c r="L18" s="24">
        <v>-1.7892598999999999E-2</v>
      </c>
      <c r="M18" s="24">
        <v>-2.1782159999999998E-2</v>
      </c>
      <c r="N18" s="24">
        <v>-5.3928136999999994E-2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42362</v>
      </c>
      <c r="B19" s="24">
        <v>6.5209984999999998E-2</v>
      </c>
      <c r="C19" s="24">
        <v>4.8568250000000004E-3</v>
      </c>
      <c r="D19" s="24">
        <v>-4.1371764999999998E-2</v>
      </c>
      <c r="E19" s="24">
        <v>-3.7187933999999999E-3</v>
      </c>
      <c r="F19" s="24">
        <v>-2.6456713999999999E-2</v>
      </c>
      <c r="G19" s="24">
        <v>1.8800616000000003E-2</v>
      </c>
      <c r="H19" s="24">
        <v>-2.6367307000000003E-2</v>
      </c>
      <c r="I19" s="24">
        <v>-1.0591984E-2</v>
      </c>
      <c r="J19" s="24">
        <v>-1.1437953000000001E-2</v>
      </c>
      <c r="K19" s="24">
        <v>-1.0278285E-2</v>
      </c>
      <c r="L19" s="24">
        <v>-1.4217496000000001E-2</v>
      </c>
      <c r="M19" s="24">
        <v>3.9266348000000003E-3</v>
      </c>
      <c r="N19" s="24">
        <v>-5.4485200000000001E-3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42395</v>
      </c>
      <c r="B20" s="24">
        <v>-5.8586416000000002E-2</v>
      </c>
      <c r="C20" s="24">
        <v>-7.7415824000000008E-2</v>
      </c>
      <c r="D20" s="24">
        <v>-8.8716980000000001E-2</v>
      </c>
      <c r="E20" s="24">
        <v>-8.8092570000000009E-2</v>
      </c>
      <c r="F20" s="24">
        <v>-7.5907589999999997E-2</v>
      </c>
      <c r="G20" s="24">
        <v>-7.4132977000000003E-2</v>
      </c>
      <c r="H20" s="24">
        <v>-8.7248269999999989E-2</v>
      </c>
      <c r="I20" s="24">
        <v>-8.3843999999999988E-2</v>
      </c>
      <c r="J20" s="24">
        <v>-7.5262546999999999E-2</v>
      </c>
      <c r="K20" s="24">
        <v>-6.5638064999999995E-2</v>
      </c>
      <c r="L20" s="24">
        <v>-5.1652909999999996E-2</v>
      </c>
      <c r="M20" s="24">
        <v>-6.6599370000000005E-2</v>
      </c>
      <c r="N20" s="24">
        <v>-0.13058907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42426</v>
      </c>
      <c r="B21" s="24">
        <v>4.1107655E-2</v>
      </c>
      <c r="C21" s="24">
        <v>1.1572838000000001E-3</v>
      </c>
      <c r="D21" s="24">
        <v>7.9880119999999999E-2</v>
      </c>
      <c r="E21" s="24">
        <v>-3.1928003000000003E-2</v>
      </c>
      <c r="F21" s="24">
        <v>-1.2499928E-2</v>
      </c>
      <c r="G21" s="24">
        <v>-1.9243956E-2</v>
      </c>
      <c r="H21" s="24">
        <v>-3.342271E-3</v>
      </c>
      <c r="I21" s="24">
        <v>2.7145146999999997E-3</v>
      </c>
      <c r="J21" s="24">
        <v>2.5705575999999997E-2</v>
      </c>
      <c r="K21" s="24">
        <v>-9.5735190000000008E-3</v>
      </c>
      <c r="L21" s="24">
        <v>-9.5860959999999988E-3</v>
      </c>
      <c r="M21" s="24">
        <v>-7.2072150000000003E-3</v>
      </c>
      <c r="N21" s="24">
        <v>-7.5918380000000008E-2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42453</v>
      </c>
      <c r="B22" s="24">
        <v>7.896888299999999E-2</v>
      </c>
      <c r="C22" s="24">
        <v>0.11156071000000001</v>
      </c>
      <c r="D22" s="24">
        <v>6.7498920000000004E-2</v>
      </c>
      <c r="E22" s="24">
        <v>6.4270616000000003E-2</v>
      </c>
      <c r="F22" s="24">
        <v>2.622056E-2</v>
      </c>
      <c r="G22" s="24">
        <v>2.1723865999999998E-2</v>
      </c>
      <c r="H22" s="24">
        <v>3.2193184E-2</v>
      </c>
      <c r="I22" s="24">
        <v>4.0099381999999996E-2</v>
      </c>
      <c r="J22" s="24">
        <v>4.6511769999999994E-2</v>
      </c>
      <c r="K22" s="24">
        <v>4.0861130000000002E-2</v>
      </c>
      <c r="L22" s="24">
        <v>6.4232349999999994E-2</v>
      </c>
      <c r="M22" s="24">
        <v>3.7023663999999998E-2</v>
      </c>
      <c r="N22" s="24">
        <v>6.8904640000000003E-2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42486</v>
      </c>
      <c r="B23" s="24">
        <v>4.9046992999999997E-2</v>
      </c>
      <c r="C23" s="24">
        <v>5.5642246999999999E-2</v>
      </c>
      <c r="D23" s="24">
        <v>8.5318330000000012E-2</v>
      </c>
      <c r="E23" s="24">
        <v>4.9662350000000001E-2</v>
      </c>
      <c r="F23" s="24">
        <v>6.4317106999999998E-2</v>
      </c>
      <c r="G23" s="24">
        <v>4.9725650000000003E-2</v>
      </c>
      <c r="H23" s="24">
        <v>6.2378169999999997E-2</v>
      </c>
      <c r="I23" s="24">
        <v>1.1094451E-2</v>
      </c>
      <c r="J23" s="24">
        <v>2.8550625E-2</v>
      </c>
      <c r="K23" s="24">
        <v>5.1920651999999998E-2</v>
      </c>
      <c r="L23" s="24">
        <v>2.2323249999999999E-2</v>
      </c>
      <c r="M23" s="24">
        <v>6.6853284999999998E-2</v>
      </c>
      <c r="N23" s="24">
        <v>4.0495872000000002E-2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42516</v>
      </c>
      <c r="B24" s="24">
        <v>2.4225711999999997E-3</v>
      </c>
      <c r="C24" s="24">
        <v>-3.6453186999999998E-2</v>
      </c>
      <c r="D24" s="24">
        <v>-1.3228238000000002E-2</v>
      </c>
      <c r="E24" s="24">
        <v>-1.2869060000000002E-2</v>
      </c>
      <c r="F24" s="24">
        <v>-2.8973520000000003E-2</v>
      </c>
      <c r="G24" s="24">
        <v>5.8804749999999996E-3</v>
      </c>
      <c r="H24" s="24">
        <v>7.3393582999999995E-3</v>
      </c>
      <c r="I24" s="24">
        <v>1.023519E-2</v>
      </c>
      <c r="J24" s="24">
        <v>2.0141602000000002E-3</v>
      </c>
      <c r="K24" s="24">
        <v>-2.8089880000000001E-3</v>
      </c>
      <c r="L24" s="24">
        <v>1.1322259999999999E-2</v>
      </c>
      <c r="M24" s="24">
        <v>-2.2637725000000001E-2</v>
      </c>
      <c r="N24" s="24">
        <v>-2.2239863999999998E-2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42545</v>
      </c>
      <c r="B25" s="24">
        <v>2.1076082999999999E-2</v>
      </c>
      <c r="C25" s="24">
        <v>-1.9005299E-2</v>
      </c>
      <c r="D25" s="24">
        <v>-1.6046345E-2</v>
      </c>
      <c r="E25" s="24">
        <v>-7.7423390000000009E-2</v>
      </c>
      <c r="F25" s="24">
        <v>-2.5576769999999999E-2</v>
      </c>
      <c r="G25" s="24">
        <v>-5.6068659999999999E-2</v>
      </c>
      <c r="H25" s="24">
        <v>-9.3531790000000004E-2</v>
      </c>
      <c r="I25" s="24">
        <v>-4.5539139999999999E-2</v>
      </c>
      <c r="J25" s="24">
        <v>-2.4597584999999998E-2</v>
      </c>
      <c r="K25" s="24">
        <v>-9.5990069999999997E-2</v>
      </c>
      <c r="L25" s="24">
        <v>-9.5870130000000012E-2</v>
      </c>
      <c r="M25" s="24">
        <v>-9.581083E-2</v>
      </c>
      <c r="N25" s="24">
        <v>-0.13526486999999998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42577</v>
      </c>
      <c r="B26" s="24">
        <v>8.4369420000000001E-2</v>
      </c>
      <c r="C26" s="24">
        <v>8.6152190000000003E-2</v>
      </c>
      <c r="D26" s="24">
        <v>3.3968448999999998E-2</v>
      </c>
      <c r="E26" s="24">
        <v>6.7262649999999993E-2</v>
      </c>
      <c r="F26" s="24">
        <v>4.3209910000000004E-2</v>
      </c>
      <c r="G26" s="24">
        <v>5.2984834000000001E-2</v>
      </c>
      <c r="H26" s="24">
        <v>6.3143489999999997E-2</v>
      </c>
      <c r="I26" s="24">
        <v>9.1092110000000004E-2</v>
      </c>
      <c r="J26" s="24">
        <v>6.7050576000000001E-2</v>
      </c>
      <c r="K26" s="24">
        <v>6.7123294E-2</v>
      </c>
      <c r="L26" s="24">
        <v>7.0435166000000007E-2</v>
      </c>
      <c r="M26" s="24">
        <v>6.9857120000000009E-2</v>
      </c>
      <c r="N26" s="24">
        <v>5.5072427E-2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42608</v>
      </c>
      <c r="B27" s="24">
        <v>3.293538E-2</v>
      </c>
      <c r="C27" s="24">
        <v>5.8394670000000001E-3</v>
      </c>
      <c r="D27" s="24">
        <v>2.5641083999999998E-2</v>
      </c>
      <c r="E27" s="24">
        <v>4.3079375999999996E-2</v>
      </c>
      <c r="F27" s="24">
        <v>3.2967089999999998E-2</v>
      </c>
      <c r="G27" s="24">
        <v>1.3082861999999999E-2</v>
      </c>
      <c r="H27" s="24">
        <v>1.9367336999999998E-2</v>
      </c>
      <c r="I27" s="24">
        <v>2.627647E-2</v>
      </c>
      <c r="J27" s="24">
        <v>2.4913550000000002E-3</v>
      </c>
      <c r="K27" s="24">
        <v>2.1394968E-2</v>
      </c>
      <c r="L27" s="24">
        <v>3.3109784000000003E-2</v>
      </c>
      <c r="M27" s="24">
        <v>3.2828330000000003E-2</v>
      </c>
      <c r="N27" s="24">
        <v>2.4725199E-2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42639</v>
      </c>
      <c r="B28" s="24">
        <v>-1.8831610999999998E-2</v>
      </c>
      <c r="C28" s="24">
        <v>-7.2568655000000001E-3</v>
      </c>
      <c r="D28" s="24">
        <v>-1.5625E-2</v>
      </c>
      <c r="E28" s="24">
        <v>-5.353689E-3</v>
      </c>
      <c r="F28" s="24">
        <v>2.5368214E-2</v>
      </c>
      <c r="G28" s="24">
        <v>1.2251616E-2</v>
      </c>
      <c r="H28" s="24">
        <v>-9.4996689999999988E-3</v>
      </c>
      <c r="I28" s="24">
        <v>7.3128939999999995E-3</v>
      </c>
      <c r="J28" s="24">
        <v>-9.0364219999999988E-3</v>
      </c>
      <c r="K28" s="24">
        <v>2.9325485000000003E-3</v>
      </c>
      <c r="L28" s="24">
        <v>1.0142326000000001E-3</v>
      </c>
      <c r="M28" s="24">
        <v>3.4928322E-3</v>
      </c>
      <c r="N28" s="24">
        <v>-2.6809573000000003E-2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42669</v>
      </c>
      <c r="B29" s="24">
        <v>-7.0228934000000007E-2</v>
      </c>
      <c r="C29" s="24">
        <v>4.3859481999999998E-3</v>
      </c>
      <c r="D29" s="24">
        <v>1.0714173E-2</v>
      </c>
      <c r="E29" s="24">
        <v>-8.0738664000000009E-3</v>
      </c>
      <c r="F29" s="24">
        <v>3.9904117999999995E-3</v>
      </c>
      <c r="G29" s="24">
        <v>-5.0376177000000001E-2</v>
      </c>
      <c r="H29" s="24">
        <v>-3.9002597E-2</v>
      </c>
      <c r="I29" s="24">
        <v>8.8630914999999998E-3</v>
      </c>
      <c r="J29" s="24">
        <v>-2.3338199000000003E-3</v>
      </c>
      <c r="K29" s="24">
        <v>-4.5948624999999996E-3</v>
      </c>
      <c r="L29" s="24">
        <v>-1.1955439999999999E-2</v>
      </c>
      <c r="M29" s="24">
        <v>-2.4364710000000001E-2</v>
      </c>
      <c r="N29" s="24">
        <v>3.4894465999999999E-2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42699</v>
      </c>
      <c r="B30" s="24">
        <v>-9.6176266999999996E-3</v>
      </c>
      <c r="C30" s="24">
        <v>1.0674357000000001E-2</v>
      </c>
      <c r="D30" s="24">
        <v>1.6097307000000002E-2</v>
      </c>
      <c r="E30" s="24">
        <v>-3.2170534000000001E-2</v>
      </c>
      <c r="F30" s="24">
        <v>-1.6494393E-2</v>
      </c>
      <c r="G30" s="24">
        <v>-1.8257022000000001E-2</v>
      </c>
      <c r="H30" s="24">
        <v>7.6514479999999999E-3</v>
      </c>
      <c r="I30" s="24">
        <v>3.5479070000000003E-3</v>
      </c>
      <c r="J30" s="24">
        <v>3.6399363999999997E-2</v>
      </c>
      <c r="K30" s="24">
        <v>-1.9303380999999998E-2</v>
      </c>
      <c r="L30" s="24">
        <v>-2.7891636000000001E-2</v>
      </c>
      <c r="M30" s="24">
        <v>-1.3200164E-2</v>
      </c>
      <c r="N30" s="24">
        <v>-5.5456933999999999E-2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42727</v>
      </c>
      <c r="B31" s="24">
        <v>-3.2593608000000003E-2</v>
      </c>
      <c r="C31" s="24">
        <v>-1.170826E-2</v>
      </c>
      <c r="D31" s="24">
        <v>1.7406702E-2</v>
      </c>
      <c r="E31" s="24">
        <v>5.4026484000000007E-2</v>
      </c>
      <c r="F31" s="24">
        <v>1.7248273000000001E-2</v>
      </c>
      <c r="G31" s="24">
        <v>2.6956081E-2</v>
      </c>
      <c r="H31" s="24">
        <v>1.7864108E-2</v>
      </c>
      <c r="I31" s="24">
        <v>1.4787197E-2</v>
      </c>
      <c r="J31" s="24">
        <v>2.4931670000000003E-2</v>
      </c>
      <c r="K31" s="24">
        <v>4.9114465999999996E-2</v>
      </c>
      <c r="L31" s="24">
        <v>2.9125930000000001E-2</v>
      </c>
      <c r="M31" s="24">
        <v>3.0544399999999999E-2</v>
      </c>
      <c r="N31" s="24">
        <v>0.14480208999999999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42761</v>
      </c>
      <c r="B32" s="24">
        <v>9.6757889999999999E-2</v>
      </c>
      <c r="C32" s="24">
        <v>6.4339160000000006E-2</v>
      </c>
      <c r="D32" s="24">
        <v>5.3701520000000003E-2</v>
      </c>
      <c r="E32" s="24">
        <v>5.5872320000000003E-2</v>
      </c>
      <c r="F32" s="24">
        <v>2.9943824000000001E-2</v>
      </c>
      <c r="G32" s="24">
        <v>4.9914480000000004E-2</v>
      </c>
      <c r="H32" s="24">
        <v>4.0118337000000004E-2</v>
      </c>
      <c r="I32" s="24">
        <v>4.4592380000000001E-2</v>
      </c>
      <c r="J32" s="24">
        <v>1.6038298999999999E-2</v>
      </c>
      <c r="K32" s="24">
        <v>3.0699968000000001E-2</v>
      </c>
      <c r="L32" s="24">
        <v>2.9069780999999999E-2</v>
      </c>
      <c r="M32" s="24">
        <v>6.736839E-2</v>
      </c>
      <c r="N32" s="24">
        <v>1.2008309E-2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42790</v>
      </c>
      <c r="B33" s="24">
        <v>-2.0323335999999997E-2</v>
      </c>
      <c r="C33" s="24">
        <v>3.467667E-2</v>
      </c>
      <c r="D33" s="24">
        <v>-9.1008544000000004E-3</v>
      </c>
      <c r="E33" s="24">
        <v>-1.079917E-2</v>
      </c>
      <c r="F33" s="24">
        <v>5.2683352999999995E-3</v>
      </c>
      <c r="G33" s="24">
        <v>8.4663629999999993E-3</v>
      </c>
      <c r="H33" s="24">
        <v>1.1065483000000001E-2</v>
      </c>
      <c r="I33" s="24">
        <v>3.7432313000000002E-2</v>
      </c>
      <c r="J33" s="24">
        <v>3.2311559000000004E-2</v>
      </c>
      <c r="K33" s="24">
        <v>-1.2708485E-2</v>
      </c>
      <c r="L33" s="24">
        <v>2.4616600000000002E-2</v>
      </c>
      <c r="M33" s="24">
        <v>1.6436577E-3</v>
      </c>
      <c r="N33" s="24">
        <v>-5.0736484999999998E-2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42818</v>
      </c>
      <c r="B34" s="24">
        <v>-2.3102282999999998E-2</v>
      </c>
      <c r="C34" s="24">
        <v>4.0761232000000001E-3</v>
      </c>
      <c r="D34" s="24">
        <v>-2.5348961E-2</v>
      </c>
      <c r="E34" s="24">
        <v>3.8937449999999998E-2</v>
      </c>
      <c r="F34" s="24">
        <v>6.7934989999999997E-3</v>
      </c>
      <c r="G34" s="24">
        <v>3.5518289000000001E-2</v>
      </c>
      <c r="H34" s="24">
        <v>1.5322089000000001E-2</v>
      </c>
      <c r="I34" s="24">
        <v>4.9282312E-3</v>
      </c>
      <c r="J34" s="24">
        <v>-7.8596469999999991E-3</v>
      </c>
      <c r="K34" s="24">
        <v>5.7522179999999999E-2</v>
      </c>
      <c r="L34" s="24">
        <v>5.7896851999999999E-2</v>
      </c>
      <c r="M34" s="24">
        <v>3.6429285999999998E-2</v>
      </c>
      <c r="N34" s="24">
        <v>0.10387934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42851</v>
      </c>
      <c r="B35" s="24">
        <v>2.0028948999999997E-2</v>
      </c>
      <c r="C35" s="24">
        <v>1.0825396000000001E-2</v>
      </c>
      <c r="D35" s="24">
        <v>-1.5077591E-3</v>
      </c>
      <c r="E35" s="24">
        <v>4.1331053000000006E-2</v>
      </c>
      <c r="F35" s="24">
        <v>3.8558245000000001E-3</v>
      </c>
      <c r="G35" s="24">
        <v>3.4611820000000001E-2</v>
      </c>
      <c r="H35" s="24">
        <v>1.9402385000000001E-2</v>
      </c>
      <c r="I35" s="24">
        <v>3.2993913E-2</v>
      </c>
      <c r="J35" s="24">
        <v>1.9413351999999998E-2</v>
      </c>
      <c r="K35" s="24">
        <v>6.5043690000000001E-2</v>
      </c>
      <c r="L35" s="24">
        <v>4.5606850000000004E-2</v>
      </c>
      <c r="M35" s="24">
        <v>5.0981639999999995E-2</v>
      </c>
      <c r="N35" s="24">
        <v>4.0999529999999999E-2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42881</v>
      </c>
      <c r="B36" s="24">
        <v>4.8024535000000007E-2</v>
      </c>
      <c r="C36" s="24">
        <v>-3.3020972999999995E-2</v>
      </c>
      <c r="D36" s="24">
        <v>-4.1525364000000002E-3</v>
      </c>
      <c r="E36" s="24">
        <v>3.5654305999999997E-2</v>
      </c>
      <c r="F36" s="24">
        <v>2.1317482000000002E-2</v>
      </c>
      <c r="G36" s="24">
        <v>5.1235676000000001E-2</v>
      </c>
      <c r="H36" s="24">
        <v>4.1691900000000004E-2</v>
      </c>
      <c r="I36" s="24">
        <v>4.6539187000000003E-2</v>
      </c>
      <c r="J36" s="24">
        <v>1.3884305999999999E-2</v>
      </c>
      <c r="K36" s="24">
        <v>4.8928619999999999E-2</v>
      </c>
      <c r="L36" s="24">
        <v>4.8958540000000002E-2</v>
      </c>
      <c r="M36" s="24">
        <v>2.7116655999999999E-2</v>
      </c>
      <c r="N36" s="24">
        <v>6.301582E-2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42912</v>
      </c>
      <c r="B37" s="24">
        <v>5.6847215E-2</v>
      </c>
      <c r="C37" s="24">
        <v>8.3104370000000004E-3</v>
      </c>
      <c r="D37" s="24">
        <v>1.0158538999999999E-2</v>
      </c>
      <c r="E37" s="24">
        <v>1.2521744E-2</v>
      </c>
      <c r="F37" s="24">
        <v>2.0068169E-2</v>
      </c>
      <c r="G37" s="24">
        <v>9.3750954000000001E-3</v>
      </c>
      <c r="H37" s="24">
        <v>-1.7008007000000002E-2</v>
      </c>
      <c r="I37" s="24">
        <v>-1.8051266999999998E-3</v>
      </c>
      <c r="J37" s="24">
        <v>1.1444688000000001E-2</v>
      </c>
      <c r="K37" s="24">
        <v>3.4343004000000001E-3</v>
      </c>
      <c r="L37" s="24">
        <v>-2.1715164000000002E-3</v>
      </c>
      <c r="M37" s="24">
        <v>4.4114589999999995E-3</v>
      </c>
      <c r="N37" s="24">
        <v>-4.7931670000000001E-3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42942</v>
      </c>
      <c r="B38" s="24">
        <v>3.9817214000000004E-2</v>
      </c>
      <c r="C38" s="24">
        <v>7.0159079999999999E-2</v>
      </c>
      <c r="D38" s="24">
        <v>5.8645487000000003E-2</v>
      </c>
      <c r="E38" s="24">
        <v>7.8482629999999994E-3</v>
      </c>
      <c r="F38" s="24">
        <v>6.3079596000000003E-3</v>
      </c>
      <c r="G38" s="24">
        <v>7.5427293999999999E-3</v>
      </c>
      <c r="H38" s="24">
        <v>3.0165910000000001E-2</v>
      </c>
      <c r="I38" s="24">
        <v>3.0516386E-2</v>
      </c>
      <c r="J38" s="24">
        <v>1.7016768000000002E-2</v>
      </c>
      <c r="K38" s="24">
        <v>2.4508119000000002E-2</v>
      </c>
      <c r="L38" s="24">
        <v>5.3546785999999999E-2</v>
      </c>
      <c r="M38" s="24">
        <v>2.2998810000000001E-2</v>
      </c>
      <c r="N38" s="24">
        <v>6.7508936000000005E-2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42972</v>
      </c>
      <c r="B39" s="24">
        <v>-1.7158389E-2</v>
      </c>
      <c r="C39" s="24">
        <v>-7.8670379999999998E-3</v>
      </c>
      <c r="D39" s="24">
        <v>-9.2923639999999991E-3</v>
      </c>
      <c r="E39" s="24">
        <v>8.7605714999999997E-3</v>
      </c>
      <c r="F39" s="24">
        <v>2.2124051999999998E-3</v>
      </c>
      <c r="G39" s="24">
        <v>-1.1229454999999999E-2</v>
      </c>
      <c r="H39" s="24">
        <v>-1.6691088999999999E-2</v>
      </c>
      <c r="I39" s="24">
        <v>-2.0017922E-2</v>
      </c>
      <c r="J39" s="24">
        <v>-1.1599242999999999E-2</v>
      </c>
      <c r="K39" s="24">
        <v>2.3584366E-3</v>
      </c>
      <c r="L39" s="24">
        <v>2.124548E-3</v>
      </c>
      <c r="M39" s="24">
        <v>4.9633979999999999E-3</v>
      </c>
      <c r="N39" s="24">
        <v>2.6039957999999998E-2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43004</v>
      </c>
      <c r="B40" s="24">
        <v>-2.1290778999999999E-3</v>
      </c>
      <c r="C40" s="24">
        <v>-1.0132194000000001E-2</v>
      </c>
      <c r="D40" s="24">
        <v>3.9321780000000001E-2</v>
      </c>
      <c r="E40" s="24">
        <v>2.1872044E-2</v>
      </c>
      <c r="F40" s="24">
        <v>2.1891117000000002E-2</v>
      </c>
      <c r="G40" s="24">
        <v>1.1065841E-2</v>
      </c>
      <c r="H40" s="24">
        <v>2.8290510000000001E-2</v>
      </c>
      <c r="I40" s="24">
        <v>1.0665298E-2</v>
      </c>
      <c r="J40" s="24">
        <v>2.35281E-2</v>
      </c>
      <c r="K40" s="24">
        <v>2.4537802000000001E-2</v>
      </c>
      <c r="L40" s="24">
        <v>4.240036E-3</v>
      </c>
      <c r="M40" s="24">
        <v>2.5566578E-2</v>
      </c>
      <c r="N40" s="24">
        <v>2.2412657999999998E-2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43034</v>
      </c>
      <c r="B41" s="24">
        <v>-3.3710241000000002E-2</v>
      </c>
      <c r="C41" s="24">
        <v>9.7908973999999999E-3</v>
      </c>
      <c r="D41" s="24">
        <v>-5.5536030000000007E-3</v>
      </c>
      <c r="E41" s="24">
        <v>2.8958082E-2</v>
      </c>
      <c r="F41" s="24">
        <v>4.3744325999999993E-2</v>
      </c>
      <c r="G41" s="24">
        <v>-1.2384771999999999E-2</v>
      </c>
      <c r="H41" s="24">
        <v>3.4753084E-3</v>
      </c>
      <c r="I41" s="24">
        <v>2.6472091999999999E-2</v>
      </c>
      <c r="J41" s="24">
        <v>2.6256561000000001E-2</v>
      </c>
      <c r="K41" s="24">
        <v>2.2637844000000001E-2</v>
      </c>
      <c r="L41" s="24">
        <v>2.435851E-2</v>
      </c>
      <c r="M41" s="24">
        <v>2.8328895999999997E-3</v>
      </c>
      <c r="N41" s="24">
        <v>-2.2565721999999997E-3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43063</v>
      </c>
      <c r="B42" s="24">
        <v>7.5072050000000003E-3</v>
      </c>
      <c r="C42" s="24">
        <v>1.0577320999999999E-2</v>
      </c>
      <c r="D42" s="24">
        <v>2.6527047000000002E-2</v>
      </c>
      <c r="E42" s="24">
        <v>1.9271969999999999E-2</v>
      </c>
      <c r="F42" s="24">
        <v>3.5701990000000003E-2</v>
      </c>
      <c r="G42" s="24">
        <v>2.6829958000000001E-2</v>
      </c>
      <c r="H42" s="24">
        <v>8.9465380000000004E-3</v>
      </c>
      <c r="I42" s="24">
        <v>6.3282489999999997E-2</v>
      </c>
      <c r="J42" s="24">
        <v>1.8543124000000001E-2</v>
      </c>
      <c r="K42" s="24">
        <v>1.0587096000000001E-2</v>
      </c>
      <c r="L42" s="24">
        <v>6.9752930000000005E-3</v>
      </c>
      <c r="M42" s="24">
        <v>-1.6666650999999998E-2</v>
      </c>
      <c r="N42" s="24">
        <v>6.4619780000000002E-3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43095</v>
      </c>
      <c r="B43" s="24">
        <v>5.8074355000000001E-2</v>
      </c>
      <c r="C43" s="24">
        <v>2.6410222000000001E-2</v>
      </c>
      <c r="D43" s="24">
        <v>7.6417919999999997E-3</v>
      </c>
      <c r="E43" s="24">
        <v>-4.0952562999999999E-3</v>
      </c>
      <c r="F43" s="24">
        <v>6.5327880000000003E-3</v>
      </c>
      <c r="G43" s="24">
        <v>-1.7039776000000002E-3</v>
      </c>
      <c r="H43" s="24">
        <v>2.9387355E-2</v>
      </c>
      <c r="I43" s="24">
        <v>3.743887E-3</v>
      </c>
      <c r="J43" s="24">
        <v>3.1436443000000001E-2</v>
      </c>
      <c r="K43" s="24">
        <v>-5.8761834999999998E-3</v>
      </c>
      <c r="L43" s="24">
        <v>2.1762848E-3</v>
      </c>
      <c r="M43" s="24">
        <v>-1.4652907999999999E-2</v>
      </c>
      <c r="N43" s="24">
        <v>-6.103575E-3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43126</v>
      </c>
      <c r="B44" s="24">
        <v>3.4409999999999996E-2</v>
      </c>
      <c r="C44" s="24">
        <v>4.9630045999999997E-2</v>
      </c>
      <c r="D44" s="24">
        <v>3.6226869000000002E-2</v>
      </c>
      <c r="E44" s="24">
        <v>7.3716043999999994E-2</v>
      </c>
      <c r="F44" s="24">
        <v>7.7115180000000005E-2</v>
      </c>
      <c r="G44" s="24">
        <v>7.3684215999999997E-2</v>
      </c>
      <c r="H44" s="24">
        <v>7.2480200000000009E-2</v>
      </c>
      <c r="I44" s="24">
        <v>9.2064859999999998E-2</v>
      </c>
      <c r="J44" s="24">
        <v>7.2569966E-2</v>
      </c>
      <c r="K44" s="24">
        <v>8.0397239999999995E-2</v>
      </c>
      <c r="L44" s="24">
        <v>7.5513479999999994E-2</v>
      </c>
      <c r="M44" s="24">
        <v>7.5088263000000002E-2</v>
      </c>
      <c r="N44" s="24">
        <v>0.11854494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43157</v>
      </c>
      <c r="B45" s="24">
        <v>6.5306425000000003E-3</v>
      </c>
      <c r="C45" s="24">
        <v>-2.6545048000000002E-2</v>
      </c>
      <c r="D45" s="24">
        <v>-5.6728180000000003E-2</v>
      </c>
      <c r="E45" s="24">
        <v>-6.3590407000000002E-2</v>
      </c>
      <c r="F45" s="24">
        <v>-3.4173489000000001E-2</v>
      </c>
      <c r="G45" s="24">
        <v>-5.0079583999999996E-2</v>
      </c>
      <c r="H45" s="24">
        <v>-5.6758223000000003E-2</v>
      </c>
      <c r="I45" s="24">
        <v>-3.1006931999999999E-3</v>
      </c>
      <c r="J45" s="24">
        <v>-3.0288219999999998E-2</v>
      </c>
      <c r="K45" s="24">
        <v>-3.9727270000000002E-2</v>
      </c>
      <c r="L45" s="24">
        <v>-4.1715679999999998E-2</v>
      </c>
      <c r="M45" s="24">
        <v>-4.2727947000000002E-2</v>
      </c>
      <c r="N45" s="24">
        <v>-5.5458784000000004E-2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43185</v>
      </c>
      <c r="B46" s="24">
        <v>1.4801264000000001E-2</v>
      </c>
      <c r="C46" s="24">
        <v>-5.1555156999999997E-2</v>
      </c>
      <c r="D46" s="24">
        <v>-4.2657375000000004E-2</v>
      </c>
      <c r="E46" s="24">
        <v>-3.9963899999999997E-2</v>
      </c>
      <c r="F46" s="24">
        <v>-5.3634285999999996E-2</v>
      </c>
      <c r="G46" s="24">
        <v>-4.6861943999999996E-2</v>
      </c>
      <c r="H46" s="24">
        <v>-3.1066357999999999E-2</v>
      </c>
      <c r="I46" s="24">
        <v>-3.3614576E-2</v>
      </c>
      <c r="J46" s="24">
        <v>-4.2207955999999998E-2</v>
      </c>
      <c r="K46" s="24">
        <v>-3.1799912E-2</v>
      </c>
      <c r="L46" s="24">
        <v>-2.0846070000000001E-2</v>
      </c>
      <c r="M46" s="24">
        <v>-4.4062970000000007E-2</v>
      </c>
      <c r="N46" s="24">
        <v>-1.567781E-2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43216</v>
      </c>
      <c r="B47" s="24">
        <v>-5.1348629999999999E-2</v>
      </c>
      <c r="C47" s="24">
        <v>-4.4924020000000002E-4</v>
      </c>
      <c r="D47" s="24">
        <v>2.5931358000000002E-2</v>
      </c>
      <c r="E47" s="24">
        <v>1.7840385E-2</v>
      </c>
      <c r="F47" s="24">
        <v>3.1128407E-2</v>
      </c>
      <c r="G47" s="24">
        <v>-5.8519840000000002E-4</v>
      </c>
      <c r="H47" s="24">
        <v>5.0548789999999996E-2</v>
      </c>
      <c r="I47" s="24">
        <v>-1.4659286000000001E-2</v>
      </c>
      <c r="J47" s="24">
        <v>4.5264959999999996E-3</v>
      </c>
      <c r="K47" s="24">
        <v>3.9540768000000004E-2</v>
      </c>
      <c r="L47" s="24">
        <v>9.7056629999999998E-3</v>
      </c>
      <c r="M47" s="24">
        <v>-1.1972784999999999E-3</v>
      </c>
      <c r="N47" s="24">
        <v>5.9650182999999996E-2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43245</v>
      </c>
      <c r="B48" s="24">
        <v>9.8989009999999999E-3</v>
      </c>
      <c r="C48" s="24">
        <v>1.5730381000000002E-2</v>
      </c>
      <c r="D48" s="24">
        <v>2.3851871E-2</v>
      </c>
      <c r="E48" s="24">
        <v>-9.8400710000000006E-3</v>
      </c>
      <c r="F48" s="24">
        <v>-1.3453662E-2</v>
      </c>
      <c r="G48" s="24">
        <v>-4.6852229999999996E-3</v>
      </c>
      <c r="H48" s="24">
        <v>-4.3992399999999996E-3</v>
      </c>
      <c r="I48" s="24">
        <v>4.7718999999999998E-2</v>
      </c>
      <c r="J48" s="24">
        <v>2.1929264E-2</v>
      </c>
      <c r="K48" s="24">
        <v>-1.0122657E-2</v>
      </c>
      <c r="L48" s="24">
        <v>-1.0542631E-2</v>
      </c>
      <c r="M48" s="24">
        <v>-2.9963255E-4</v>
      </c>
      <c r="N48" s="24">
        <v>-9.7848469999999993E-2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43277</v>
      </c>
      <c r="B49" s="24">
        <v>4.4400929999999998E-2</v>
      </c>
      <c r="C49" s="24">
        <v>1.0085463999999999E-2</v>
      </c>
      <c r="D49" s="24">
        <v>-1.203692E-2</v>
      </c>
      <c r="E49" s="24">
        <v>-4.6146209999999993E-2</v>
      </c>
      <c r="F49" s="24">
        <v>-2.0829558000000001E-2</v>
      </c>
      <c r="G49" s="24">
        <v>-2.5287866999999999E-2</v>
      </c>
      <c r="H49" s="24">
        <v>-2.5127350999999999E-2</v>
      </c>
      <c r="I49" s="24">
        <v>1.6019821E-2</v>
      </c>
      <c r="J49" s="24">
        <v>2.4645329000000001E-3</v>
      </c>
      <c r="K49" s="24">
        <v>-3.7319898999999997E-2</v>
      </c>
      <c r="L49" s="24">
        <v>-2.8960705E-2</v>
      </c>
      <c r="M49" s="24">
        <v>-4.7521170000000001E-2</v>
      </c>
      <c r="N49" s="24">
        <v>-3.7468016E-2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43307</v>
      </c>
      <c r="B50" s="24">
        <v>-2.4974585000000001E-2</v>
      </c>
      <c r="C50" s="24">
        <v>1.4292121E-2</v>
      </c>
      <c r="D50" s="24">
        <v>3.3345103000000001E-2</v>
      </c>
      <c r="E50" s="24">
        <v>4.0013313000000002E-2</v>
      </c>
      <c r="F50" s="24">
        <v>1.4207482E-2</v>
      </c>
      <c r="G50" s="24">
        <v>6.4975142E-2</v>
      </c>
      <c r="H50" s="24">
        <v>6.6704750000000004E-3</v>
      </c>
      <c r="I50" s="24">
        <v>4.6376467000000005E-2</v>
      </c>
      <c r="J50" s="24">
        <v>4.322529E-2</v>
      </c>
      <c r="K50" s="24">
        <v>3.0890583999999999E-2</v>
      </c>
      <c r="L50" s="24">
        <v>3.7389277999999998E-2</v>
      </c>
      <c r="M50" s="24">
        <v>5.6324123999999996E-2</v>
      </c>
      <c r="N50" s="24">
        <v>2.0586133000000003E-2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43336</v>
      </c>
      <c r="B51" s="24">
        <v>1.8117428000000001E-2</v>
      </c>
      <c r="C51" s="24">
        <v>-8.366287E-3</v>
      </c>
      <c r="D51" s="24">
        <v>-4.8060417000000003E-3</v>
      </c>
      <c r="E51" s="24">
        <v>-2.6290475999999997E-2</v>
      </c>
      <c r="F51" s="24">
        <v>-2.7679323999999998E-2</v>
      </c>
      <c r="G51" s="24">
        <v>3.4863949999999998E-3</v>
      </c>
      <c r="H51" s="24">
        <v>-2.5352836E-2</v>
      </c>
      <c r="I51" s="24">
        <v>1.349616E-2</v>
      </c>
      <c r="J51" s="24">
        <v>1.4717340000000001E-2</v>
      </c>
      <c r="K51" s="24">
        <v>-4.7816634000000004E-3</v>
      </c>
      <c r="L51" s="24">
        <v>-1.8337011E-2</v>
      </c>
      <c r="M51" s="24">
        <v>-1.3408184E-2</v>
      </c>
      <c r="N51" s="24">
        <v>-5.0256369999999995E-2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43369</v>
      </c>
      <c r="B52" s="24">
        <v>4.0907859999999999E-3</v>
      </c>
      <c r="C52" s="24">
        <v>-1.3321518999999999E-2</v>
      </c>
      <c r="D52" s="24">
        <v>-1.0003388E-2</v>
      </c>
      <c r="E52" s="24">
        <v>-3.2925606000000002E-4</v>
      </c>
      <c r="F52" s="24">
        <v>5.0338387000000005E-2</v>
      </c>
      <c r="G52" s="24">
        <v>1.5344500000000001E-2</v>
      </c>
      <c r="H52" s="24">
        <v>1.7440081E-2</v>
      </c>
      <c r="I52" s="24">
        <v>1.1620163999999999E-2</v>
      </c>
      <c r="J52" s="24">
        <v>1.2810110999999999E-2</v>
      </c>
      <c r="K52" s="24">
        <v>2.0179390000000002E-2</v>
      </c>
      <c r="L52" s="24">
        <v>-1.4814793999999999E-2</v>
      </c>
      <c r="M52" s="24">
        <v>4.4563889999999995E-2</v>
      </c>
      <c r="N52" s="24">
        <v>5.3275704E-2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43399</v>
      </c>
      <c r="B53" s="24">
        <v>-0.10470563000000001</v>
      </c>
      <c r="C53" s="24">
        <v>-0.101710205</v>
      </c>
      <c r="D53" s="24">
        <v>-8.501744E-2</v>
      </c>
      <c r="E53" s="24">
        <v>-0.11791831</v>
      </c>
      <c r="F53" s="24">
        <v>-0.10808128</v>
      </c>
      <c r="G53" s="24">
        <v>-8.0125509999999997E-2</v>
      </c>
      <c r="H53" s="24">
        <v>-9.3550204999999997E-2</v>
      </c>
      <c r="I53" s="24">
        <v>-9.5566270000000009E-2</v>
      </c>
      <c r="J53" s="24">
        <v>-8.4690274999999995E-2</v>
      </c>
      <c r="K53" s="24">
        <v>-0.11930930999999999</v>
      </c>
      <c r="L53" s="24">
        <v>-0.104609375</v>
      </c>
      <c r="M53" s="24">
        <v>-0.13434189999999999</v>
      </c>
      <c r="N53" s="24">
        <v>-0.14798360999999999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43430</v>
      </c>
      <c r="B54" s="24">
        <v>6.6894174000000001E-2</v>
      </c>
      <c r="C54" s="24">
        <v>4.2585135000000003E-2</v>
      </c>
      <c r="D54" s="24">
        <v>3.8081408000000001E-3</v>
      </c>
      <c r="E54" s="24">
        <v>1.0455489E-2</v>
      </c>
      <c r="F54" s="24">
        <v>1.5564203E-2</v>
      </c>
      <c r="G54" s="24">
        <v>2.1698713000000001E-2</v>
      </c>
      <c r="H54" s="24">
        <v>1.8910289E-2</v>
      </c>
      <c r="I54" s="24">
        <v>-2.2620916000000001E-2</v>
      </c>
      <c r="J54" s="24">
        <v>8.1785920000000002E-3</v>
      </c>
      <c r="K54" s="24">
        <v>-2.1390318999999999E-3</v>
      </c>
      <c r="L54" s="24">
        <v>3.4319162E-2</v>
      </c>
      <c r="M54" s="24">
        <v>1.0485767999999999E-2</v>
      </c>
      <c r="N54" s="24">
        <v>2.0056128999999999E-2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43460</v>
      </c>
      <c r="B55" s="24">
        <v>-2.4213195000000001E-3</v>
      </c>
      <c r="C55" s="24">
        <v>-4.9244880000000005E-2</v>
      </c>
      <c r="D55" s="24">
        <v>-8.1227889999999997E-2</v>
      </c>
      <c r="E55" s="24">
        <v>-7.2062016000000007E-2</v>
      </c>
      <c r="F55" s="24">
        <v>-7.9763230000000004E-2</v>
      </c>
      <c r="G55" s="24">
        <v>-5.3398013000000001E-2</v>
      </c>
      <c r="H55" s="24">
        <v>-5.9142229999999997E-2</v>
      </c>
      <c r="I55" s="24">
        <v>-6.1287459999999995E-2</v>
      </c>
      <c r="J55" s="24">
        <v>-7.4212670000000008E-2</v>
      </c>
      <c r="K55" s="24">
        <v>-5.7493210000000003E-2</v>
      </c>
      <c r="L55" s="24">
        <v>-7.4278297000000007E-2</v>
      </c>
      <c r="M55" s="24">
        <v>-5.3049326000000001E-2</v>
      </c>
      <c r="N55" s="24">
        <v>-4.8553886000000004E-2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43490</v>
      </c>
      <c r="B56" s="24">
        <v>6.7029356999999998E-2</v>
      </c>
      <c r="C56" s="24">
        <v>7.7690362999999998E-2</v>
      </c>
      <c r="D56" s="24">
        <v>0.11754835</v>
      </c>
      <c r="E56" s="24">
        <v>7.3277593000000002E-2</v>
      </c>
      <c r="F56" s="24">
        <v>7.7322600000000005E-2</v>
      </c>
      <c r="G56" s="24">
        <v>5.9294819999999998E-2</v>
      </c>
      <c r="H56" s="24">
        <v>5.5688380000000003E-2</v>
      </c>
      <c r="I56" s="24">
        <v>8.3234900000000001E-2</v>
      </c>
      <c r="J56" s="24">
        <v>7.961654700000001E-2</v>
      </c>
      <c r="K56" s="24">
        <v>5.1409006E-2</v>
      </c>
      <c r="L56" s="24">
        <v>7.586205E-2</v>
      </c>
      <c r="M56" s="24">
        <v>7.7119827000000002E-2</v>
      </c>
      <c r="N56" s="24">
        <v>8.7065699999999996E-2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43522</v>
      </c>
      <c r="B57" s="24">
        <v>2.4474860000000001E-2</v>
      </c>
      <c r="C57" s="24">
        <v>4.2376995000000001E-2</v>
      </c>
      <c r="D57" s="24">
        <v>4.9211144000000005E-2</v>
      </c>
      <c r="E57" s="24">
        <v>1.3729095E-2</v>
      </c>
      <c r="F57" s="24">
        <v>2.3368000000000003E-2</v>
      </c>
      <c r="G57" s="24">
        <v>5.3252696999999995E-2</v>
      </c>
      <c r="H57" s="24">
        <v>6.0194134999999996E-2</v>
      </c>
      <c r="I57" s="24">
        <v>5.1771164000000001E-2</v>
      </c>
      <c r="J57" s="24">
        <v>5.0944447999999996E-2</v>
      </c>
      <c r="K57" s="24">
        <v>6.1209680000000002E-2</v>
      </c>
      <c r="L57" s="24">
        <v>6.1253549999999997E-2</v>
      </c>
      <c r="M57" s="24">
        <v>2.3413658E-2</v>
      </c>
      <c r="N57" s="24">
        <v>3.6195636000000003E-2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43550</v>
      </c>
      <c r="B58" s="24">
        <v>2.5482774E-2</v>
      </c>
      <c r="C58" s="24">
        <v>1.4019012E-3</v>
      </c>
      <c r="D58" s="24">
        <v>-1.1099159999999999E-2</v>
      </c>
      <c r="E58" s="24">
        <v>-1.5373349000000001E-2</v>
      </c>
      <c r="F58" s="24">
        <v>-4.8930644999999997E-3</v>
      </c>
      <c r="G58" s="24">
        <v>7.4690579999999998E-3</v>
      </c>
      <c r="H58" s="24">
        <v>9.1576576000000007E-3</v>
      </c>
      <c r="I58" s="24">
        <v>3.2673001E-2</v>
      </c>
      <c r="J58" s="24">
        <v>1.0855913E-2</v>
      </c>
      <c r="K58" s="24">
        <v>-3.4123660000000001E-4</v>
      </c>
      <c r="L58" s="24">
        <v>-3.691256E-3</v>
      </c>
      <c r="M58" s="24">
        <v>8.2890989999999994E-3</v>
      </c>
      <c r="N58" s="24">
        <v>2.7499079999999999E-2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43581</v>
      </c>
      <c r="B59" s="24">
        <v>9.3185899999999999E-3</v>
      </c>
      <c r="C59" s="24">
        <v>2.3331761000000003E-2</v>
      </c>
      <c r="D59" s="24">
        <v>3.0412674000000001E-2</v>
      </c>
      <c r="E59" s="24">
        <v>6.0966610000000004E-2</v>
      </c>
      <c r="F59" s="24">
        <v>8.9237689999999998E-3</v>
      </c>
      <c r="G59" s="24">
        <v>2.9084682000000001E-2</v>
      </c>
      <c r="H59" s="24">
        <v>1.3914108000000001E-2</v>
      </c>
      <c r="I59" s="24">
        <v>6.4786314999999997E-2</v>
      </c>
      <c r="J59" s="24">
        <v>4.3717980000000004E-2</v>
      </c>
      <c r="K59" s="24">
        <v>4.2676686999999998E-2</v>
      </c>
      <c r="L59" s="24">
        <v>4.7827599999999998E-2</v>
      </c>
      <c r="M59" s="24">
        <v>6.2479496000000002E-2</v>
      </c>
      <c r="N59" s="24">
        <v>1.0126591000000001E-2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43609</v>
      </c>
      <c r="B60" s="24">
        <v>2.1157264999999998E-3</v>
      </c>
      <c r="C60" s="24">
        <v>4.5599936999999998E-3</v>
      </c>
      <c r="D60" s="24">
        <v>-2.2136330000000003E-2</v>
      </c>
      <c r="E60" s="24">
        <v>-2.9432356E-2</v>
      </c>
      <c r="F60" s="24">
        <v>-2.9783428000000001E-2</v>
      </c>
      <c r="G60" s="24">
        <v>1.3577223000000001E-2</v>
      </c>
      <c r="H60" s="24">
        <v>-3.3412874000000002E-2</v>
      </c>
      <c r="I60" s="24">
        <v>-6.5512657000000002E-2</v>
      </c>
      <c r="J60" s="24">
        <v>-3.6229193E-2</v>
      </c>
      <c r="K60" s="24">
        <v>-2.946961E-2</v>
      </c>
      <c r="L60" s="24">
        <v>-2.7643859999999999E-2</v>
      </c>
      <c r="M60" s="24">
        <v>-6.5304874999999998E-2</v>
      </c>
      <c r="N60" s="24">
        <v>-3.4371673999999998E-2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43642</v>
      </c>
      <c r="B61" s="24">
        <v>2.4081229999999999E-2</v>
      </c>
      <c r="C61" s="24">
        <v>3.9419413E-2</v>
      </c>
      <c r="D61" s="24">
        <v>3.2291769999999997E-2</v>
      </c>
      <c r="E61" s="24">
        <v>2.592349E-2</v>
      </c>
      <c r="F61" s="24">
        <v>1.6401051999999999E-2</v>
      </c>
      <c r="G61" s="24">
        <v>4.0358067000000004E-2</v>
      </c>
      <c r="H61" s="24">
        <v>1.7748593999999999E-2</v>
      </c>
      <c r="I61" s="24">
        <v>4.5129894999999996E-2</v>
      </c>
      <c r="J61" s="24">
        <v>3.2196282999999999E-2</v>
      </c>
      <c r="K61" s="24">
        <v>5.1072480000000003E-2</v>
      </c>
      <c r="L61" s="24">
        <v>3.3077478E-2</v>
      </c>
      <c r="M61" s="24">
        <v>4.9443602999999996E-2</v>
      </c>
      <c r="N61" s="24">
        <v>4.8228145E-2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43672</v>
      </c>
      <c r="B62" s="24">
        <v>4.2998433000000003E-2</v>
      </c>
      <c r="C62" s="24">
        <v>1.0695219000000001E-2</v>
      </c>
      <c r="D62" s="24">
        <v>8.0786942999999996E-3</v>
      </c>
      <c r="E62" s="24">
        <v>-4.3383837000000001E-3</v>
      </c>
      <c r="F62" s="24">
        <v>1.2375354999999999E-2</v>
      </c>
      <c r="G62" s="24">
        <v>0</v>
      </c>
      <c r="H62" s="24">
        <v>-3.4214853999999999E-3</v>
      </c>
      <c r="I62" s="24">
        <v>5.1133037000000006E-2</v>
      </c>
      <c r="J62" s="24">
        <v>3.9728760000000002E-2</v>
      </c>
      <c r="K62" s="24">
        <v>9.8681450000000009E-4</v>
      </c>
      <c r="L62" s="24">
        <v>3.4098387000000001E-2</v>
      </c>
      <c r="M62" s="24">
        <v>-2.311945E-2</v>
      </c>
      <c r="N62" s="24">
        <v>1.5007257000000001E-2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43703</v>
      </c>
      <c r="B63" s="24">
        <v>-6.9500209999999993E-2</v>
      </c>
      <c r="C63" s="24">
        <v>-6.4373970000000003E-2</v>
      </c>
      <c r="D63" s="24">
        <v>-3.5540104000000003E-2</v>
      </c>
      <c r="E63" s="24">
        <v>-5.8823585999999997E-2</v>
      </c>
      <c r="F63" s="24">
        <v>-2.2806047999999999E-2</v>
      </c>
      <c r="G63" s="24">
        <v>-5.6315064000000007E-3</v>
      </c>
      <c r="H63" s="24">
        <v>-6.8976282999999999E-2</v>
      </c>
      <c r="I63" s="24">
        <v>-5.3612529999999999E-2</v>
      </c>
      <c r="J63" s="24">
        <v>-4.6389220000000002E-2</v>
      </c>
      <c r="K63" s="24">
        <v>-4.5678615999999998E-2</v>
      </c>
      <c r="L63" s="24">
        <v>-5.1363350000000002E-2</v>
      </c>
      <c r="M63" s="24">
        <v>-7.5666665999999994E-2</v>
      </c>
      <c r="N63" s="24">
        <v>-5.3371786999999997E-2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43734</v>
      </c>
      <c r="B64" s="24">
        <v>1.803577E-2</v>
      </c>
      <c r="C64" s="24">
        <v>4.9952984000000006E-2</v>
      </c>
      <c r="D64" s="24">
        <v>4.6242713999999997E-2</v>
      </c>
      <c r="E64" s="24">
        <v>3.1635760999999998E-2</v>
      </c>
      <c r="F64" s="24">
        <v>6.9828153000000004E-2</v>
      </c>
      <c r="G64" s="24">
        <v>1.5911459999999999E-2</v>
      </c>
      <c r="H64" s="24">
        <v>5.2631617000000006E-2</v>
      </c>
      <c r="I64" s="24">
        <v>2.6738881999999999E-2</v>
      </c>
      <c r="J64" s="24">
        <v>3.6033629999999997E-2</v>
      </c>
      <c r="K64" s="24">
        <v>3.1336070000000001E-2</v>
      </c>
      <c r="L64" s="24">
        <v>4.8128365999999999E-2</v>
      </c>
      <c r="M64" s="24">
        <v>6.0223579999999999E-2</v>
      </c>
      <c r="N64" s="24">
        <v>4.7619103999999995E-2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43763</v>
      </c>
      <c r="B65" s="24">
        <v>6.9323780000000003E-3</v>
      </c>
      <c r="C65" s="24">
        <v>1.8851041999999998E-2</v>
      </c>
      <c r="D65" s="24">
        <v>-1.7265080999999999E-3</v>
      </c>
      <c r="E65" s="24">
        <v>6.2453269999999998E-2</v>
      </c>
      <c r="F65" s="24">
        <v>1.378715E-2</v>
      </c>
      <c r="G65" s="24">
        <v>9.2912910000000001E-3</v>
      </c>
      <c r="H65" s="24">
        <v>3.3757925000000001E-2</v>
      </c>
      <c r="I65" s="24">
        <v>3.3055186E-2</v>
      </c>
      <c r="J65" s="24">
        <v>1.5488267E-2</v>
      </c>
      <c r="K65" s="24">
        <v>3.2387256999999996E-2</v>
      </c>
      <c r="L65" s="24">
        <v>1.7538189999999999E-2</v>
      </c>
      <c r="M65" s="24">
        <v>7.1768760000000001E-2</v>
      </c>
      <c r="N65" s="24">
        <v>3.7454605000000002E-2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43795</v>
      </c>
      <c r="B66" s="24">
        <v>3.9873720000000001E-2</v>
      </c>
      <c r="C66" s="24">
        <v>-4.4053792999999998E-4</v>
      </c>
      <c r="D66" s="24">
        <v>2.4559020000000001E-2</v>
      </c>
      <c r="E66" s="24">
        <v>2.2879242999999997E-2</v>
      </c>
      <c r="F66" s="24">
        <v>3.0814290000000001E-2</v>
      </c>
      <c r="G66" s="24">
        <v>2.6828050000000003E-2</v>
      </c>
      <c r="H66" s="24">
        <v>1.5711665E-2</v>
      </c>
      <c r="I66" s="24">
        <v>4.5849559999999998E-2</v>
      </c>
      <c r="J66" s="24">
        <v>4.1379213000000005E-2</v>
      </c>
      <c r="K66" s="24">
        <v>3.1694650000000005E-2</v>
      </c>
      <c r="L66" s="24">
        <v>2.5383949999999999E-2</v>
      </c>
      <c r="M66" s="24">
        <v>1.2059689E-2</v>
      </c>
      <c r="N66" s="24">
        <v>2.8741717000000003E-2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43825</v>
      </c>
      <c r="B67" s="24">
        <v>9.0713390000000005E-2</v>
      </c>
      <c r="C67" s="24">
        <v>2.4487614999999997E-2</v>
      </c>
      <c r="D67" s="24">
        <v>2.0190716000000001E-2</v>
      </c>
      <c r="E67" s="24">
        <v>1.2044071999999999E-2</v>
      </c>
      <c r="F67" s="24">
        <v>8.6649655999999995E-3</v>
      </c>
      <c r="G67" s="24">
        <v>3.7909865000000001E-2</v>
      </c>
      <c r="H67" s="24">
        <v>4.4974804E-2</v>
      </c>
      <c r="I67" s="24">
        <v>4.7123549999999993E-2</v>
      </c>
      <c r="J67" s="24">
        <v>3.3242582999999999E-2</v>
      </c>
      <c r="K67" s="24">
        <v>2.4434089999999999E-2</v>
      </c>
      <c r="L67" s="24">
        <v>3.6023736000000001E-2</v>
      </c>
      <c r="M67" s="24">
        <v>5.6033850000000003E-2</v>
      </c>
      <c r="N67" s="24">
        <v>1.8284201999999999E-2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43854</v>
      </c>
      <c r="B68" s="24">
        <v>9.9879502999999994E-3</v>
      </c>
      <c r="C68" s="24">
        <v>2.0184278E-2</v>
      </c>
      <c r="D68" s="24">
        <v>1.9785403999999999E-2</v>
      </c>
      <c r="E68" s="24">
        <v>7.4803830000000002E-3</v>
      </c>
      <c r="F68" s="24">
        <v>-2.6805400000000004E-3</v>
      </c>
      <c r="G68" s="24">
        <v>1.9743323E-2</v>
      </c>
      <c r="H68" s="24">
        <v>-5.9067009999999994E-3</v>
      </c>
      <c r="I68" s="24">
        <v>4.1676399999999995E-2</v>
      </c>
      <c r="J68" s="24">
        <v>1.8052815999999999E-2</v>
      </c>
      <c r="K68" s="24">
        <v>-1.1039555000000001E-2</v>
      </c>
      <c r="L68" s="24">
        <v>-1.7771720999999999E-3</v>
      </c>
      <c r="M68" s="24">
        <v>-9.0197920000000004E-3</v>
      </c>
      <c r="N68" s="24">
        <v>-1.0444701000000001E-2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43887</v>
      </c>
      <c r="B69" s="24">
        <v>-6.2063159999999999E-2</v>
      </c>
      <c r="C69" s="24">
        <v>-8.8602120000000006E-2</v>
      </c>
      <c r="D69" s="24">
        <v>-4.6366334000000002E-2</v>
      </c>
      <c r="E69" s="24">
        <v>-8.2686419999999997E-2</v>
      </c>
      <c r="F69" s="24">
        <v>-7.7775899999999995E-2</v>
      </c>
      <c r="G69" s="24">
        <v>-4.9854812999999998E-2</v>
      </c>
      <c r="H69" s="24">
        <v>-9.0017849999999996E-2</v>
      </c>
      <c r="I69" s="24">
        <v>-2.7929962000000003E-2</v>
      </c>
      <c r="J69" s="24">
        <v>-5.2529096999999997E-2</v>
      </c>
      <c r="K69" s="24">
        <v>-7.0387599999999995E-2</v>
      </c>
      <c r="L69" s="24">
        <v>-5.8457017E-2</v>
      </c>
      <c r="M69" s="24">
        <v>-4.5813084000000004E-2</v>
      </c>
      <c r="N69" s="24">
        <v>-5.2093983000000003E-2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43916</v>
      </c>
      <c r="B70" s="24">
        <v>-0.15760767000000001</v>
      </c>
      <c r="C70" s="24">
        <v>-0.26002829999999999</v>
      </c>
      <c r="D70" s="24">
        <v>-0.24896550000000001</v>
      </c>
      <c r="E70" s="24">
        <v>-0.19131720000000002</v>
      </c>
      <c r="F70" s="24">
        <v>-8.4881600000000001E-2</v>
      </c>
      <c r="G70" s="24">
        <v>-0.10061121000000001</v>
      </c>
      <c r="H70" s="24">
        <v>-0.20796602</v>
      </c>
      <c r="I70" s="24">
        <v>-0.11165786000000001</v>
      </c>
      <c r="J70" s="24">
        <v>-0.15632545</v>
      </c>
      <c r="K70" s="24">
        <v>-0.17811876000000001</v>
      </c>
      <c r="L70" s="24">
        <v>-0.16010088</v>
      </c>
      <c r="M70" s="24">
        <v>-0.18855327999999999</v>
      </c>
      <c r="N70" s="24">
        <v>-0.2241379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43945</v>
      </c>
      <c r="B71" s="24">
        <v>4.8292993999999999E-2</v>
      </c>
      <c r="C71" s="24">
        <v>4.6556115000000002E-2</v>
      </c>
      <c r="D71" s="24">
        <v>7.4839234000000004E-2</v>
      </c>
      <c r="E71" s="24">
        <v>2.411282E-2</v>
      </c>
      <c r="F71" s="24">
        <v>1.2937902999999999E-2</v>
      </c>
      <c r="G71" s="24">
        <v>4.6162485999999996E-2</v>
      </c>
      <c r="H71" s="24">
        <v>9.0683699999999992E-3</v>
      </c>
      <c r="I71" s="24">
        <v>0.11433040999999999</v>
      </c>
      <c r="J71" s="24">
        <v>8.3346000000000003E-2</v>
      </c>
      <c r="K71" s="24">
        <v>-4.2613626000000002E-2</v>
      </c>
      <c r="L71" s="24">
        <v>4.3151975000000002E-2</v>
      </c>
      <c r="M71" s="24">
        <v>3.0956030000000002E-2</v>
      </c>
      <c r="N71" s="24">
        <v>-6.8518519999999999E-2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43977</v>
      </c>
      <c r="B72" s="24">
        <v>5.6241630000000001E-2</v>
      </c>
      <c r="C72" s="24">
        <v>0.10664224999999999</v>
      </c>
      <c r="D72" s="24">
        <v>7.5608729999999999E-2</v>
      </c>
      <c r="E72" s="24">
        <v>0.11683691</v>
      </c>
      <c r="F72" s="24">
        <v>7.0151329999999998E-2</v>
      </c>
      <c r="G72" s="24">
        <v>2.3010373000000001E-2</v>
      </c>
      <c r="H72" s="24">
        <v>4.2075157000000002E-2</v>
      </c>
      <c r="I72" s="24">
        <v>7.1081160000000004E-2</v>
      </c>
      <c r="J72" s="24">
        <v>5.6931733999999998E-2</v>
      </c>
      <c r="K72" s="24">
        <v>5.8499335999999999E-2</v>
      </c>
      <c r="L72" s="24">
        <v>7.5539590000000004E-2</v>
      </c>
      <c r="M72" s="24">
        <v>9.5781089999999999E-2</v>
      </c>
      <c r="N72" s="24">
        <v>7.2564599999999993E-2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44008</v>
      </c>
      <c r="B73" s="24">
        <v>5.0735593000000002E-2</v>
      </c>
      <c r="C73" s="24">
        <v>5.0030827999999999E-2</v>
      </c>
      <c r="D73" s="24">
        <v>8.4609985000000006E-3</v>
      </c>
      <c r="E73" s="24">
        <v>6.7903279999999996E-2</v>
      </c>
      <c r="F73" s="24">
        <v>2.6711702E-2</v>
      </c>
      <c r="G73" s="24">
        <v>4.1270255999999998E-2</v>
      </c>
      <c r="H73" s="24">
        <v>1.3964295E-2</v>
      </c>
      <c r="I73" s="24">
        <v>5.0615788000000002E-2</v>
      </c>
      <c r="J73" s="24">
        <v>7.6842310000000006E-3</v>
      </c>
      <c r="K73" s="24">
        <v>8.6749919999999994E-2</v>
      </c>
      <c r="L73" s="24">
        <v>8.9110490000000001E-2</v>
      </c>
      <c r="M73" s="24">
        <v>7.3082330000000001E-2</v>
      </c>
      <c r="N73" s="24">
        <v>0.10691940000000001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44036</v>
      </c>
      <c r="B74" s="24">
        <v>8.9822650000000004E-2</v>
      </c>
      <c r="C74" s="24">
        <v>6.5992474999999995E-2</v>
      </c>
      <c r="D74" s="24">
        <v>7.2394609999999998E-2</v>
      </c>
      <c r="E74" s="24">
        <v>9.3338375000000001E-2</v>
      </c>
      <c r="F74" s="24">
        <v>6.489992E-3</v>
      </c>
      <c r="G74" s="24">
        <v>5.6559920000000007E-2</v>
      </c>
      <c r="H74" s="24">
        <v>3.1004786000000003E-2</v>
      </c>
      <c r="I74" s="24">
        <v>6.3858150000000002E-2</v>
      </c>
      <c r="J74" s="24">
        <v>6.9421769999999994E-2</v>
      </c>
      <c r="K74" s="24">
        <v>6.0089110000000001E-2</v>
      </c>
      <c r="L74" s="24">
        <v>6.3021300000000002E-2</v>
      </c>
      <c r="M74" s="24">
        <v>0.114137535</v>
      </c>
      <c r="N74" s="24">
        <v>8.5025425000000002E-2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44069</v>
      </c>
      <c r="B75" s="24">
        <v>4.1638135999999999E-2</v>
      </c>
      <c r="C75" s="24">
        <v>4.0439366999999997E-2</v>
      </c>
      <c r="D75" s="24">
        <v>7.5667739999999997E-2</v>
      </c>
      <c r="E75" s="24">
        <v>5.0258159999999996E-2</v>
      </c>
      <c r="F75" s="24">
        <v>4.4778824000000002E-2</v>
      </c>
      <c r="G75" s="24">
        <v>3.1288147000000002E-2</v>
      </c>
      <c r="H75" s="24">
        <v>2.5504349999999999E-2</v>
      </c>
      <c r="I75" s="24">
        <v>0.14243233</v>
      </c>
      <c r="J75" s="24">
        <v>8.3177570000000006E-2</v>
      </c>
      <c r="K75" s="24">
        <v>3.9888024000000001E-2</v>
      </c>
      <c r="L75" s="24">
        <v>5.0276040000000001E-2</v>
      </c>
      <c r="M75" s="24">
        <v>5.0058246000000001E-2</v>
      </c>
      <c r="N75" s="24">
        <v>2.0272969999999998E-2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44099</v>
      </c>
      <c r="B76" s="24">
        <v>-5.1324249999999995E-2</v>
      </c>
      <c r="C76" s="24">
        <v>-4.6065329999999995E-2</v>
      </c>
      <c r="D76" s="24">
        <v>-6.1724186E-2</v>
      </c>
      <c r="E76" s="24">
        <v>-6.3913526999999998E-2</v>
      </c>
      <c r="F76" s="24">
        <v>7.3717829999999998E-3</v>
      </c>
      <c r="G76" s="24">
        <v>-2.8442680000000001E-2</v>
      </c>
      <c r="H76" s="24">
        <v>-6.3845633999999998E-2</v>
      </c>
      <c r="I76" s="24">
        <v>-6.8522634999999998E-2</v>
      </c>
      <c r="J76" s="24">
        <v>-5.0374210000000003E-2</v>
      </c>
      <c r="K76" s="24">
        <v>-7.4697136999999997E-2</v>
      </c>
      <c r="L76" s="24">
        <v>-5.3680123999999996E-2</v>
      </c>
      <c r="M76" s="24">
        <v>-5.2383659999999999E-2</v>
      </c>
      <c r="N76" s="24">
        <v>-7.9098166999999997E-2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44130</v>
      </c>
      <c r="B77" s="24">
        <v>6.3095209999999999E-2</v>
      </c>
      <c r="C77" s="24">
        <v>3.4708260999999997E-2</v>
      </c>
      <c r="D77" s="24">
        <v>1.3965487E-2</v>
      </c>
      <c r="E77" s="24">
        <v>-1.6806722E-2</v>
      </c>
      <c r="F77" s="24">
        <v>-5.1051380000000004E-4</v>
      </c>
      <c r="G77" s="24">
        <v>-9.7584723999999997E-4</v>
      </c>
      <c r="H77" s="24">
        <v>6.344199E-3</v>
      </c>
      <c r="I77" s="24">
        <v>3.2810450000000005E-2</v>
      </c>
      <c r="J77" s="24">
        <v>3.2427787999999999E-2</v>
      </c>
      <c r="K77" s="24">
        <v>3.0181765999999999E-2</v>
      </c>
      <c r="L77" s="24">
        <v>3.3041000000000001E-2</v>
      </c>
      <c r="M77" s="24">
        <v>3.9485334999999996E-2</v>
      </c>
      <c r="N77" s="24">
        <v>1.6597509E-2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44160</v>
      </c>
      <c r="B78" s="24">
        <v>7.6356172999999999E-2</v>
      </c>
      <c r="C78" s="24">
        <v>0.13903748999999999</v>
      </c>
      <c r="D78" s="24">
        <v>0.10184849</v>
      </c>
      <c r="E78" s="24">
        <v>8.9031330000000006E-2</v>
      </c>
      <c r="F78" s="24">
        <v>0.11169767</v>
      </c>
      <c r="G78" s="24">
        <v>4.7130704000000002E-2</v>
      </c>
      <c r="H78" s="24">
        <v>0.14144993</v>
      </c>
      <c r="I78" s="24">
        <v>5.6369660000000002E-2</v>
      </c>
      <c r="J78" s="24">
        <v>6.8564177000000004E-2</v>
      </c>
      <c r="K78" s="24">
        <v>0.16166602999999999</v>
      </c>
      <c r="L78" s="24">
        <v>0.10104728</v>
      </c>
      <c r="M78" s="24">
        <v>0.12324130999999999</v>
      </c>
      <c r="N78" s="24">
        <v>0.18693875999999998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44189</v>
      </c>
      <c r="B79" s="24">
        <v>2.9942989999999999E-2</v>
      </c>
      <c r="C79" s="24">
        <v>3.0437707999999997E-2</v>
      </c>
      <c r="D79" s="24">
        <v>3.44975E-2</v>
      </c>
      <c r="E79" s="24">
        <v>5.4321289999999994E-2</v>
      </c>
      <c r="F79" s="24">
        <v>1.2067913999999999E-2</v>
      </c>
      <c r="G79" s="24">
        <v>2.0355582000000001E-2</v>
      </c>
      <c r="H79" s="24">
        <v>2.7518034E-2</v>
      </c>
      <c r="I79" s="24">
        <v>4.6720980000000002E-2</v>
      </c>
      <c r="J79" s="24">
        <v>2.1836399999999999E-2</v>
      </c>
      <c r="K79" s="24">
        <v>1.5027045999999999E-2</v>
      </c>
      <c r="L79" s="24">
        <v>6.8520426999999995E-2</v>
      </c>
      <c r="M79" s="24">
        <v>5.7173969999999999E-3</v>
      </c>
      <c r="N79" s="24">
        <v>2.1781564000000003E-2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44222</v>
      </c>
      <c r="B80" s="24">
        <v>4.3756484999999998E-2</v>
      </c>
      <c r="C80" s="24">
        <v>4.4277309999999993E-2</v>
      </c>
      <c r="D80" s="24">
        <v>1.8029690000000001E-2</v>
      </c>
      <c r="E80" s="24">
        <v>2.1356820000000002E-2</v>
      </c>
      <c r="F80" s="24">
        <v>5.6213856E-2</v>
      </c>
      <c r="G80" s="24">
        <v>4.7107340000000004E-2</v>
      </c>
      <c r="H80" s="24">
        <v>3.9755343999999998E-2</v>
      </c>
      <c r="I80" s="24">
        <v>6.1474323000000004E-2</v>
      </c>
      <c r="J80" s="24">
        <v>4.008138E-2</v>
      </c>
      <c r="K80" s="24">
        <v>3.9108991999999999E-3</v>
      </c>
      <c r="L80" s="24">
        <v>5.5274010000000005E-2</v>
      </c>
      <c r="M80" s="24">
        <v>6.0476780000000001E-2</v>
      </c>
      <c r="N80" s="24">
        <v>-9.5011590000000003E-3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44253</v>
      </c>
      <c r="B81" s="24">
        <v>-0.10837012</v>
      </c>
      <c r="C81" s="24">
        <v>-1.9599973999999999E-2</v>
      </c>
      <c r="D81" s="24">
        <v>1.7393947E-2</v>
      </c>
      <c r="E81" s="24">
        <v>-1.5682697000000002E-2</v>
      </c>
      <c r="F81" s="24">
        <v>-1.8699586000000001E-2</v>
      </c>
      <c r="G81" s="24">
        <v>-5.5907430000000001E-2</v>
      </c>
      <c r="H81" s="24">
        <v>-7.5163245000000002E-3</v>
      </c>
      <c r="I81" s="24">
        <v>-4.3975710000000001E-2</v>
      </c>
      <c r="J81" s="24">
        <v>-8.9372396000000007E-3</v>
      </c>
      <c r="K81" s="24">
        <v>1.4983534999999999E-2</v>
      </c>
      <c r="L81" s="24">
        <v>6.8618060000000007E-3</v>
      </c>
      <c r="M81" s="24">
        <v>-5.6790709999999999E-3</v>
      </c>
      <c r="N81" s="24">
        <v>2.5008560000000003E-2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44281</v>
      </c>
      <c r="B82" s="24">
        <v>-1.039499E-2</v>
      </c>
      <c r="C82" s="24">
        <v>2.2031784000000002E-2</v>
      </c>
      <c r="D82" s="24">
        <v>6.0615540000000002E-2</v>
      </c>
      <c r="E82" s="24">
        <v>3.7488341000000001E-2</v>
      </c>
      <c r="F82" s="24">
        <v>2.7704477000000002E-2</v>
      </c>
      <c r="G82" s="24">
        <v>3.5854696999999998E-2</v>
      </c>
      <c r="H82" s="24">
        <v>3.9183378000000005E-2</v>
      </c>
      <c r="I82" s="24">
        <v>7.1669817E-3</v>
      </c>
      <c r="J82" s="24">
        <v>4.4481992999999997E-2</v>
      </c>
      <c r="K82" s="24">
        <v>2.8638960000000001E-2</v>
      </c>
      <c r="L82" s="24">
        <v>5.2703260000000002E-2</v>
      </c>
      <c r="M82" s="24">
        <v>7.5202226999999996E-2</v>
      </c>
      <c r="N82" s="24">
        <v>5.0802110000000004E-2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44312</v>
      </c>
      <c r="B83" s="24">
        <v>4.9935340000000002E-2</v>
      </c>
      <c r="C83" s="24">
        <v>5.3093790000000002E-2</v>
      </c>
      <c r="D83" s="24">
        <v>3.7221549999999999E-2</v>
      </c>
      <c r="E83" s="24">
        <v>5.9921740000000001E-2</v>
      </c>
      <c r="F83" s="24">
        <v>-1.8114448000000002E-2</v>
      </c>
      <c r="G83" s="24">
        <v>4.488611E-2</v>
      </c>
      <c r="H83" s="24">
        <v>3.4220576000000003E-2</v>
      </c>
      <c r="I83" s="24">
        <v>8.1107619999999991E-2</v>
      </c>
      <c r="J83" s="24">
        <v>5.4623959999999999E-2</v>
      </c>
      <c r="K83" s="24">
        <v>6.8312286999999999E-2</v>
      </c>
      <c r="L83" s="24">
        <v>5.9128164999999996E-2</v>
      </c>
      <c r="M83" s="24">
        <v>5.4227589999999999E-2</v>
      </c>
      <c r="N83" s="24">
        <v>2.7989745E-2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44342</v>
      </c>
      <c r="B84" s="24">
        <v>-3.7555814E-2</v>
      </c>
      <c r="C84" s="24">
        <v>7.9605579999999995E-3</v>
      </c>
      <c r="D84" s="24">
        <v>6.0469030000000007E-2</v>
      </c>
      <c r="E84" s="24">
        <v>1.4204502000000001E-2</v>
      </c>
      <c r="F84" s="24">
        <v>-9.0063213999999996E-3</v>
      </c>
      <c r="G84" s="24">
        <v>3.9324641E-2</v>
      </c>
      <c r="H84" s="24">
        <v>3.2169104000000004E-2</v>
      </c>
      <c r="I84" s="24">
        <v>-2.1953583000000002E-2</v>
      </c>
      <c r="J84" s="24">
        <v>3.4961700000000003E-3</v>
      </c>
      <c r="K84" s="24">
        <v>3.6270737999999997E-2</v>
      </c>
      <c r="L84" s="24">
        <v>4.6862364E-3</v>
      </c>
      <c r="M84" s="24">
        <v>5.2487850000000006E-3</v>
      </c>
      <c r="N84" s="24">
        <v>2.2586584E-2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44372</v>
      </c>
      <c r="B85" s="24">
        <v>-4.0208696999999996E-3</v>
      </c>
      <c r="C85" s="24">
        <v>5.1676034999999995E-3</v>
      </c>
      <c r="D85" s="24">
        <v>1.0712862E-2</v>
      </c>
      <c r="E85" s="24">
        <v>-2.3801326999999999E-3</v>
      </c>
      <c r="F85" s="24">
        <v>1.0293365000000001E-2</v>
      </c>
      <c r="G85" s="24">
        <v>3.2895207000000003E-2</v>
      </c>
      <c r="H85" s="24">
        <v>3.3141375000000002E-3</v>
      </c>
      <c r="I85" s="24">
        <v>4.7085404000000004E-2</v>
      </c>
      <c r="J85" s="24">
        <v>2.1367788000000002E-2</v>
      </c>
      <c r="K85" s="24">
        <v>1.3005495000000001E-2</v>
      </c>
      <c r="L85" s="24">
        <v>-3.9929151999999997E-3</v>
      </c>
      <c r="M85" s="24">
        <v>5.1208735000000003E-3</v>
      </c>
      <c r="N85" s="24">
        <v>1.2498975000000001E-2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44403</v>
      </c>
      <c r="B86" s="24">
        <v>-5.3467750000000007E-3</v>
      </c>
      <c r="C86" s="24">
        <v>-1.6691983000000001E-2</v>
      </c>
      <c r="D86" s="24">
        <v>-2.0689725999999999E-2</v>
      </c>
      <c r="E86" s="24">
        <v>-1.2564182E-2</v>
      </c>
      <c r="F86" s="24">
        <v>-1.1546373E-2</v>
      </c>
      <c r="G86" s="24">
        <v>4.6634673999999994E-3</v>
      </c>
      <c r="H86" s="24">
        <v>-1.865232E-2</v>
      </c>
      <c r="I86" s="24">
        <v>5.4455400000000001E-2</v>
      </c>
      <c r="J86" s="24">
        <v>3.3777952E-2</v>
      </c>
      <c r="K86" s="24">
        <v>-1.7080724000000002E-2</v>
      </c>
      <c r="L86" s="24">
        <v>1.3937234999999999E-2</v>
      </c>
      <c r="M86" s="24">
        <v>3.5296560000000005E-2</v>
      </c>
      <c r="N86" s="24">
        <v>-2.1476209999999999E-2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44434</v>
      </c>
      <c r="B87" s="24">
        <v>1.2054085999999999E-2</v>
      </c>
      <c r="C87" s="24">
        <v>-1.1188328000000001E-2</v>
      </c>
      <c r="D87" s="24">
        <v>4.0628909999999999E-3</v>
      </c>
      <c r="E87" s="24">
        <v>2.8917789999999997E-3</v>
      </c>
      <c r="F87" s="24">
        <v>4.4369697999999998E-4</v>
      </c>
      <c r="G87" s="24">
        <v>2.0585298999999998E-2</v>
      </c>
      <c r="H87" s="24">
        <v>8.8902709999999999E-3</v>
      </c>
      <c r="I87" s="24">
        <v>1.0665177999999999E-2</v>
      </c>
      <c r="J87" s="24">
        <v>1.1881589999999999E-2</v>
      </c>
      <c r="K87" s="24">
        <v>5.2659509999999996E-3</v>
      </c>
      <c r="L87" s="24">
        <v>4.5077800000000001E-2</v>
      </c>
      <c r="M87" s="24">
        <v>-2.3208022000000002E-2</v>
      </c>
      <c r="N87" s="24">
        <v>6.4915420000000003E-3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44463</v>
      </c>
      <c r="B88" s="24">
        <v>2.1406649999999999E-2</v>
      </c>
      <c r="C88" s="24">
        <v>-1.1704981000000001E-2</v>
      </c>
      <c r="D88" s="24">
        <v>-4.5858621999999996E-3</v>
      </c>
      <c r="E88" s="24">
        <v>-2.0472883999999997E-2</v>
      </c>
      <c r="F88" s="24">
        <v>7.3898909999999998E-2</v>
      </c>
      <c r="G88" s="24">
        <v>-4.7854424E-2</v>
      </c>
      <c r="H88" s="24">
        <v>-1.0331212999999999E-2</v>
      </c>
      <c r="I88" s="24">
        <v>3.5779475999999999E-3</v>
      </c>
      <c r="J88" s="24">
        <v>-2.0475388000000001E-3</v>
      </c>
      <c r="K88" s="24">
        <v>6.0241219999999998E-3</v>
      </c>
      <c r="L88" s="24">
        <v>1.2185692999999999E-2</v>
      </c>
      <c r="M88" s="24">
        <v>-1.9344032000000001E-2</v>
      </c>
      <c r="N88" s="24">
        <v>-1.5357137000000002E-3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44495</v>
      </c>
      <c r="B89" s="24">
        <v>6.1455965000000003E-3</v>
      </c>
      <c r="C89" s="24">
        <v>5.2112103E-2</v>
      </c>
      <c r="D89" s="24">
        <v>6.5582633000000001E-2</v>
      </c>
      <c r="E89" s="24">
        <v>5.8877468000000002E-4</v>
      </c>
      <c r="F89" s="24">
        <v>-5.7803509999999995E-2</v>
      </c>
      <c r="G89" s="24">
        <v>2.6791215E-2</v>
      </c>
      <c r="H89" s="24">
        <v>4.2984365999999996E-2</v>
      </c>
      <c r="I89" s="24">
        <v>1.5509129E-2</v>
      </c>
      <c r="J89" s="24">
        <v>2.7145147000000001E-2</v>
      </c>
      <c r="K89" s="24">
        <v>1.1455297E-2</v>
      </c>
      <c r="L89" s="24">
        <v>-4.0130614999999998E-3</v>
      </c>
      <c r="M89" s="24">
        <v>3.5377382999999998E-2</v>
      </c>
      <c r="N89" s="24">
        <v>3.3835769000000002E-2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44526</v>
      </c>
      <c r="B90" s="24">
        <v>-9.1589630000000005E-2</v>
      </c>
      <c r="C90" s="24">
        <v>-7.8424034000000004E-2</v>
      </c>
      <c r="D90" s="24">
        <v>-2.8738557999999997E-2</v>
      </c>
      <c r="E90" s="24">
        <v>-5.9429290000000003E-2</v>
      </c>
      <c r="F90" s="24">
        <v>-2.1910607999999998E-2</v>
      </c>
      <c r="G90" s="24">
        <v>-2.2248626E-3</v>
      </c>
      <c r="H90" s="24">
        <v>-5.5637302E-2</v>
      </c>
      <c r="I90" s="24">
        <v>3.1863332000000001E-2</v>
      </c>
      <c r="J90" s="24">
        <v>6.6014530000000002E-3</v>
      </c>
      <c r="K90" s="24">
        <v>-2.9343604999999998E-2</v>
      </c>
      <c r="L90" s="24">
        <v>-5.2187203999999994E-2</v>
      </c>
      <c r="M90" s="24">
        <v>-7.7034592999999998E-2</v>
      </c>
      <c r="N90" s="24">
        <v>-5.8911084999999995E-2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44553</v>
      </c>
      <c r="B91" s="24">
        <v>2.8234959E-2</v>
      </c>
      <c r="C91" s="24">
        <v>4.5835853000000003E-2</v>
      </c>
      <c r="D91" s="24">
        <v>6.5783259999999998E-3</v>
      </c>
      <c r="E91" s="24">
        <v>2.8969526000000002E-2</v>
      </c>
      <c r="F91" s="24">
        <v>1.9935965999999999E-2</v>
      </c>
      <c r="G91" s="24">
        <v>5.6355120000000002E-2</v>
      </c>
      <c r="H91" s="24">
        <v>5.3793790000000001E-2</v>
      </c>
      <c r="I91" s="24">
        <v>1.5931367999999998E-2</v>
      </c>
      <c r="J91" s="24">
        <v>2.8988003999999998E-2</v>
      </c>
      <c r="K91" s="24">
        <v>5.0282597999999998E-2</v>
      </c>
      <c r="L91" s="24">
        <v>1.0834217E-2</v>
      </c>
      <c r="M91" s="24">
        <v>5.4131627000000002E-2</v>
      </c>
      <c r="N91" s="24">
        <v>4.1494966000000001E-2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44587</v>
      </c>
      <c r="B92" s="24">
        <v>-8.6738170000000003E-2</v>
      </c>
      <c r="C92" s="24">
        <v>-7.2734174999999998E-2</v>
      </c>
      <c r="D92" s="24">
        <v>-1.6337276000000001E-2</v>
      </c>
      <c r="E92" s="24">
        <v>-3.0170620000000002E-2</v>
      </c>
      <c r="F92" s="24">
        <v>-5.9198855999999994E-2</v>
      </c>
      <c r="G92" s="24">
        <v>-7.2538853E-2</v>
      </c>
      <c r="H92" s="24">
        <v>1.7629147000000001E-2</v>
      </c>
      <c r="I92" s="24">
        <v>-0.13189059</v>
      </c>
      <c r="J92" s="24">
        <v>-7.9090540000000001E-2</v>
      </c>
      <c r="K92" s="24">
        <v>-3.1136512999999998E-2</v>
      </c>
      <c r="L92" s="24">
        <v>-9.005022E-2</v>
      </c>
      <c r="M92" s="24">
        <v>-8.8922979999999999E-2</v>
      </c>
      <c r="N92" s="24">
        <v>-1.8780768E-2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44617</v>
      </c>
      <c r="B93" s="24">
        <v>1.7429471000000002E-2</v>
      </c>
      <c r="C93" s="24">
        <v>5.3959965999999998E-2</v>
      </c>
      <c r="D93" s="24">
        <v>2.1966220000000002E-2</v>
      </c>
      <c r="E93" s="24">
        <v>-4.9004079999999998E-2</v>
      </c>
      <c r="F93" s="24">
        <v>2.2078753000000003E-3</v>
      </c>
      <c r="G93" s="24">
        <v>-8.276701E-4</v>
      </c>
      <c r="H93" s="24">
        <v>2.2102832999999999E-2</v>
      </c>
      <c r="I93" s="24">
        <v>3.4825801999999999E-3</v>
      </c>
      <c r="J93" s="24">
        <v>1.0083556E-2</v>
      </c>
      <c r="K93" s="24">
        <v>-1.8211067000000001E-2</v>
      </c>
      <c r="L93" s="24">
        <v>-3.4459949000000004E-2</v>
      </c>
      <c r="M93" s="24">
        <v>-6.3132523999999995E-2</v>
      </c>
      <c r="N93" s="24">
        <v>-1.5688717000000001E-2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44645</v>
      </c>
      <c r="B94" s="24">
        <v>1.9604205999999999E-2</v>
      </c>
      <c r="C94" s="24">
        <v>9.4137079999999998E-2</v>
      </c>
      <c r="D94" s="24">
        <v>6.3958050000000002E-2</v>
      </c>
      <c r="E94" s="24">
        <v>-5.8843079999999999E-2</v>
      </c>
      <c r="F94" s="24">
        <v>-1.2745857000000001E-2</v>
      </c>
      <c r="G94" s="24">
        <v>1.0768294000000001E-2</v>
      </c>
      <c r="H94" s="24">
        <v>-1.0520160000000001E-2</v>
      </c>
      <c r="I94" s="24">
        <v>4.0562152999999997E-2</v>
      </c>
      <c r="J94" s="24">
        <v>3.7306905000000001E-2</v>
      </c>
      <c r="K94" s="24">
        <v>-4.8281489999999996E-2</v>
      </c>
      <c r="L94" s="24">
        <v>-2.5623380000000001E-2</v>
      </c>
      <c r="M94" s="24">
        <v>-7.7170130000000006E-4</v>
      </c>
      <c r="N94" s="24">
        <v>-7.4593543999999998E-2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44677</v>
      </c>
      <c r="B95" s="24">
        <v>-9.0386389999999997E-2</v>
      </c>
      <c r="C95" s="24">
        <v>-7.9245270000000007E-2</v>
      </c>
      <c r="D95" s="24">
        <v>-8.8199079999999999E-2</v>
      </c>
      <c r="E95" s="24">
        <v>-8.7248329999999999E-2</v>
      </c>
      <c r="F95" s="24">
        <v>-0.10663055999999999</v>
      </c>
      <c r="G95" s="24">
        <v>-5.388242E-2</v>
      </c>
      <c r="H95" s="24">
        <v>-6.2315407000000003E-2</v>
      </c>
      <c r="I95" s="24">
        <v>-0.11746204</v>
      </c>
      <c r="J95" s="24">
        <v>-8.082795000000001E-2</v>
      </c>
      <c r="K95" s="24">
        <v>-5.5316744000000001E-2</v>
      </c>
      <c r="L95" s="24">
        <v>-0.10213661</v>
      </c>
      <c r="M95" s="24">
        <v>-9.0604779999999996E-2</v>
      </c>
      <c r="N95" s="24">
        <v>-6.3382682999999995E-2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44707</v>
      </c>
      <c r="B96" s="24">
        <v>-6.0450372999999995E-2</v>
      </c>
      <c r="C96" s="24">
        <v>1.2295246000000001E-3</v>
      </c>
      <c r="D96" s="24">
        <v>5.4037569999999997E-4</v>
      </c>
      <c r="E96" s="24">
        <v>4.3730616999999999E-2</v>
      </c>
      <c r="F96" s="24">
        <v>3.4611940000000001E-2</v>
      </c>
      <c r="G96" s="24">
        <v>-2.2087514000000003E-2</v>
      </c>
      <c r="H96" s="24">
        <v>4.0944814999999996E-2</v>
      </c>
      <c r="I96" s="24">
        <v>-5.6158247000000001E-2</v>
      </c>
      <c r="J96" s="24">
        <v>-2.5931299000000001E-2</v>
      </c>
      <c r="K96" s="24">
        <v>3.0036450000000003E-2</v>
      </c>
      <c r="L96" s="24">
        <v>6.2761307000000002E-3</v>
      </c>
      <c r="M96" s="24">
        <v>1.3869165999999999E-2</v>
      </c>
      <c r="N96" s="24">
        <v>6.1419606000000002E-2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44736</v>
      </c>
      <c r="B97" s="24">
        <v>-3.5492300000000004E-2</v>
      </c>
      <c r="C97" s="24">
        <v>-8.685416E-2</v>
      </c>
      <c r="D97" s="24">
        <v>-7.6885579999999995E-2</v>
      </c>
      <c r="E97" s="24">
        <v>-8.5282800000000006E-2</v>
      </c>
      <c r="F97" s="24">
        <v>-6.4918813999999991E-2</v>
      </c>
      <c r="G97" s="24">
        <v>-5.4613532999999999E-2</v>
      </c>
      <c r="H97" s="24">
        <v>-6.3910303000000002E-2</v>
      </c>
      <c r="I97" s="24">
        <v>-1.3921797E-2</v>
      </c>
      <c r="J97" s="24">
        <v>-3.3428192000000002E-2</v>
      </c>
      <c r="K97" s="24">
        <v>-5.6320189999999999E-2</v>
      </c>
      <c r="L97" s="24">
        <v>-5.8520079999999995E-2</v>
      </c>
      <c r="M97" s="24">
        <v>-8.8254340000000001E-2</v>
      </c>
      <c r="N97" s="24">
        <v>-0.10144586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44768</v>
      </c>
      <c r="B98" s="24">
        <v>2.205491E-3</v>
      </c>
      <c r="C98" s="24">
        <v>6.0156584000000003E-3</v>
      </c>
      <c r="D98" s="24">
        <v>-4.7155619999999995E-3</v>
      </c>
      <c r="E98" s="24">
        <v>-6.3518643E-2</v>
      </c>
      <c r="F98" s="24">
        <v>7.2625874999999998E-3</v>
      </c>
      <c r="G98" s="24">
        <v>1.0277270999999999E-2</v>
      </c>
      <c r="H98" s="24">
        <v>-1.6458212999999999E-2</v>
      </c>
      <c r="I98" s="24">
        <v>-8.1461670000000002E-4</v>
      </c>
      <c r="J98" s="24">
        <v>2.0766258000000002E-3</v>
      </c>
      <c r="K98" s="24">
        <v>-3.1491039999999998E-2</v>
      </c>
      <c r="L98" s="24">
        <v>7.2708130000000001E-3</v>
      </c>
      <c r="M98" s="24">
        <v>-3.4656524999999998E-3</v>
      </c>
      <c r="N98" s="24">
        <v>-9.0620039999999999E-2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44799</v>
      </c>
      <c r="B99" s="24">
        <v>1.9586325000000002E-2</v>
      </c>
      <c r="C99" s="24">
        <v>3.2198787E-2</v>
      </c>
      <c r="D99" s="24">
        <v>3.5238385000000004E-2</v>
      </c>
      <c r="E99" s="24">
        <v>-3.4805893999999997E-2</v>
      </c>
      <c r="F99" s="24">
        <v>6.4706799999999995E-3</v>
      </c>
      <c r="G99" s="24">
        <v>-2.3420930000000003E-2</v>
      </c>
      <c r="H99" s="24">
        <v>-4.0160418E-3</v>
      </c>
      <c r="I99" s="24">
        <v>4.4399977E-2</v>
      </c>
      <c r="J99" s="24">
        <v>3.6890149999999997E-2</v>
      </c>
      <c r="K99" s="24">
        <v>-5.640328E-3</v>
      </c>
      <c r="L99" s="24">
        <v>-2.7484774999999999E-2</v>
      </c>
      <c r="M99" s="24">
        <v>-3.9203285999999997E-2</v>
      </c>
      <c r="N99" s="24">
        <v>1.8356681E-2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44830</v>
      </c>
      <c r="B100" s="24">
        <v>-8.4178739999999988E-2</v>
      </c>
      <c r="C100" s="24">
        <v>-0.11809264999999999</v>
      </c>
      <c r="D100" s="24">
        <v>-0.12099541</v>
      </c>
      <c r="E100" s="24">
        <v>-8.5991619999999991E-2</v>
      </c>
      <c r="F100" s="24">
        <v>-9.5701690000000006E-2</v>
      </c>
      <c r="G100" s="24">
        <v>-0.10440886000000001</v>
      </c>
      <c r="H100" s="24">
        <v>-0.13373654999999998</v>
      </c>
      <c r="I100" s="24">
        <v>-0.10597574</v>
      </c>
      <c r="J100" s="24">
        <v>-9.7435469999999996E-2</v>
      </c>
      <c r="K100" s="24">
        <v>-0.11177837</v>
      </c>
      <c r="L100" s="24">
        <v>-0.12617749</v>
      </c>
      <c r="M100" s="24">
        <v>-0.12339586000000001</v>
      </c>
      <c r="N100" s="24">
        <v>-6.6094399999999998E-2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44860</v>
      </c>
      <c r="B101" s="24">
        <v>4.9493313000000001E-3</v>
      </c>
      <c r="C101" s="24">
        <v>5.457306E-2</v>
      </c>
      <c r="D101" s="24">
        <v>6.8987965999999998E-2</v>
      </c>
      <c r="E101" s="24">
        <v>0.12190187</v>
      </c>
      <c r="F101" s="24">
        <v>2.3359776000000002E-2</v>
      </c>
      <c r="G101" s="24">
        <v>7.2761655000000008E-2</v>
      </c>
      <c r="H101" s="24">
        <v>8.9216470000000006E-2</v>
      </c>
      <c r="I101" s="24">
        <v>1.2975216000000001E-2</v>
      </c>
      <c r="J101" s="24">
        <v>4.8612475000000002E-2</v>
      </c>
      <c r="K101" s="24">
        <v>0.13373399</v>
      </c>
      <c r="L101" s="24">
        <v>8.3959465000000011E-2</v>
      </c>
      <c r="M101" s="24">
        <v>0.12199699000000001</v>
      </c>
      <c r="N101" s="24">
        <v>0.10340071000000001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44890</v>
      </c>
      <c r="B102" s="24">
        <v>0.10365856000000001</v>
      </c>
      <c r="C102" s="24">
        <v>0.11499763</v>
      </c>
      <c r="D102" s="24">
        <v>7.5494766000000005E-2</v>
      </c>
      <c r="E102" s="24">
        <v>0.13886380000000001</v>
      </c>
      <c r="F102" s="24">
        <v>0.11075818999999999</v>
      </c>
      <c r="G102" s="24">
        <v>8.4467890000000004E-2</v>
      </c>
      <c r="H102" s="24">
        <v>0.10897434</v>
      </c>
      <c r="I102" s="24">
        <v>3.2346368E-2</v>
      </c>
      <c r="J102" s="24">
        <v>5.3164719999999999E-2</v>
      </c>
      <c r="K102" s="24">
        <v>0.10768723500000001</v>
      </c>
      <c r="L102" s="24">
        <v>0.16214583999999999</v>
      </c>
      <c r="M102" s="24">
        <v>0.13282037000000002</v>
      </c>
      <c r="N102" s="24">
        <v>0.15326952999999999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44918</v>
      </c>
      <c r="B103" s="24">
        <v>3.5809754999999999E-2</v>
      </c>
      <c r="C103" s="24">
        <v>-2.2963881000000002E-2</v>
      </c>
      <c r="D103" s="24">
        <v>-5.6646879999999997E-2</v>
      </c>
      <c r="E103" s="24">
        <v>-2.065283E-2</v>
      </c>
      <c r="F103" s="24">
        <v>-1.9089936999999998E-2</v>
      </c>
      <c r="G103" s="24">
        <v>-2.4412929999999999E-2</v>
      </c>
      <c r="H103" s="24">
        <v>4.2068957999999998E-3</v>
      </c>
      <c r="I103" s="24">
        <v>-6.5908375000000005E-2</v>
      </c>
      <c r="J103" s="24">
        <v>-4.3845295999999999E-2</v>
      </c>
      <c r="K103" s="24">
        <v>-6.3001513E-3</v>
      </c>
      <c r="L103" s="24">
        <v>-2.0145654999999998E-2</v>
      </c>
      <c r="M103" s="24">
        <v>-3.8242280000000003E-2</v>
      </c>
      <c r="N103" s="24">
        <v>-1.0623097E-2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44952</v>
      </c>
      <c r="B104" s="24">
        <v>8.2869530000000011E-2</v>
      </c>
      <c r="C104" s="24">
        <v>0.12096774999999999</v>
      </c>
      <c r="D104" s="24">
        <v>8.4322689999999992E-2</v>
      </c>
      <c r="E104" s="24">
        <v>0.13263248999999999</v>
      </c>
      <c r="F104" s="24">
        <v>7.1024299999999999E-2</v>
      </c>
      <c r="G104" s="24">
        <v>7.6024889999999998E-2</v>
      </c>
      <c r="H104" s="24">
        <v>6.2642097000000008E-2</v>
      </c>
      <c r="I104" s="24">
        <v>9.7172370000000008E-2</v>
      </c>
      <c r="J104" s="24">
        <v>5.7036877E-2</v>
      </c>
      <c r="K104" s="24">
        <v>0.11722064</v>
      </c>
      <c r="L104" s="24">
        <v>0.13715052999999999</v>
      </c>
      <c r="M104" s="24">
        <v>9.9444029999999989E-2</v>
      </c>
      <c r="N104" s="24">
        <v>0.10892927000000001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44981</v>
      </c>
      <c r="B105" s="24">
        <v>-7.9954267000000009E-2</v>
      </c>
      <c r="C105" s="24">
        <v>-8.3932880000000001E-2</v>
      </c>
      <c r="D105" s="24">
        <v>-4.2672689999999999E-2</v>
      </c>
      <c r="E105" s="24">
        <v>-3.4630477E-2</v>
      </c>
      <c r="F105" s="24">
        <v>-5.1824092999999995E-2</v>
      </c>
      <c r="G105" s="24">
        <v>-3.1450748000000001E-2</v>
      </c>
      <c r="H105" s="24">
        <v>-1.4966428E-2</v>
      </c>
      <c r="I105" s="24">
        <v>-5.0793886E-3</v>
      </c>
      <c r="J105" s="24">
        <v>-2.0679414E-2</v>
      </c>
      <c r="K105" s="24">
        <v>-1.9740403E-2</v>
      </c>
      <c r="L105" s="24">
        <v>-5.2693186000000003E-2</v>
      </c>
      <c r="M105" s="24">
        <v>-1.9662856999999999E-2</v>
      </c>
      <c r="N105" s="24">
        <v>-1.0023415000000001E-2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45009</v>
      </c>
      <c r="B106" s="24">
        <v>-2.4830103E-3</v>
      </c>
      <c r="C106" s="24">
        <v>-3.9267004000000001E-2</v>
      </c>
      <c r="D106" s="24">
        <v>-4.3401775000000004E-2</v>
      </c>
      <c r="E106" s="24">
        <v>2.588749E-3</v>
      </c>
      <c r="F106" s="24">
        <v>2.7148604E-2</v>
      </c>
      <c r="G106" s="24">
        <v>-5.9455632999999997E-3</v>
      </c>
      <c r="H106" s="24">
        <v>-3.5348833000000003E-2</v>
      </c>
      <c r="I106" s="24">
        <v>6.6883087000000008E-2</v>
      </c>
      <c r="J106" s="24">
        <v>2.2666454E-3</v>
      </c>
      <c r="K106" s="24">
        <v>-4.1379929999999995E-3</v>
      </c>
      <c r="L106" s="24">
        <v>7.4160100000000004E-4</v>
      </c>
      <c r="M106" s="24">
        <v>-4.3266535000000002E-2</v>
      </c>
      <c r="N106" s="24">
        <v>-1.8562256999999999E-2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45042</v>
      </c>
      <c r="B107" s="24">
        <v>1.2860416999999999E-2</v>
      </c>
      <c r="C107" s="24">
        <v>3.7238836000000004E-2</v>
      </c>
      <c r="D107" s="24">
        <v>5.5793999999999996E-2</v>
      </c>
      <c r="E107" s="24">
        <v>7.2666883000000002E-2</v>
      </c>
      <c r="F107" s="24">
        <v>2.1529794000000001E-2</v>
      </c>
      <c r="G107" s="24">
        <v>9.7538470000000002E-2</v>
      </c>
      <c r="H107" s="24">
        <v>7.4895500000000004E-2</v>
      </c>
      <c r="I107" s="24">
        <v>3.1521320000000002E-3</v>
      </c>
      <c r="J107" s="24">
        <v>2.1756172000000001E-2</v>
      </c>
      <c r="K107" s="24">
        <v>8.6980710000000003E-2</v>
      </c>
      <c r="L107" s="24">
        <v>2.6185749999999997E-2</v>
      </c>
      <c r="M107" s="24">
        <v>8.0563070000000001E-2</v>
      </c>
      <c r="N107" s="24">
        <v>7.6684950000000002E-2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45072</v>
      </c>
      <c r="B108" s="24">
        <v>-9.2156530000000007E-3</v>
      </c>
      <c r="C108" s="24">
        <v>-1.8388808E-2</v>
      </c>
      <c r="D108" s="24">
        <v>-1.9163787000000002E-2</v>
      </c>
      <c r="E108" s="24">
        <v>-1.7193973000000001E-2</v>
      </c>
      <c r="F108" s="24">
        <v>3.2385230000000001E-2</v>
      </c>
      <c r="G108" s="24">
        <v>-7.7551603000000002E-3</v>
      </c>
      <c r="H108" s="24">
        <v>-2.9904305999999999E-2</v>
      </c>
      <c r="I108" s="24">
        <v>0.11713219000000001</v>
      </c>
      <c r="J108" s="24">
        <v>3.8727879999999999E-2</v>
      </c>
      <c r="K108" s="24">
        <v>-3.2619834E-2</v>
      </c>
      <c r="L108" s="24">
        <v>3.5387516000000001E-2</v>
      </c>
      <c r="M108" s="24">
        <v>-3.1042218E-2</v>
      </c>
      <c r="N108" s="24">
        <v>-2.6828468000000001E-2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45103</v>
      </c>
      <c r="B109" s="24">
        <v>-8.987545999999999E-3</v>
      </c>
      <c r="C109" s="24">
        <v>7.9946519999999997E-3</v>
      </c>
      <c r="D109" s="24">
        <v>2.3588420000000002E-2</v>
      </c>
      <c r="E109" s="24">
        <v>3.0126572000000003E-3</v>
      </c>
      <c r="F109" s="24">
        <v>1.809144E-2</v>
      </c>
      <c r="G109" s="24">
        <v>-1.6211033E-2</v>
      </c>
      <c r="H109" s="24">
        <v>5.5985449999999999E-3</v>
      </c>
      <c r="I109" s="24">
        <v>2.8046129999999999E-2</v>
      </c>
      <c r="J109" s="24">
        <v>3.1018734000000003E-2</v>
      </c>
      <c r="K109" s="24">
        <v>2.4265051000000003E-3</v>
      </c>
      <c r="L109" s="24">
        <v>-1.6421735E-2</v>
      </c>
      <c r="M109" s="24">
        <v>-1.4015972999999999E-2</v>
      </c>
      <c r="N109" s="24">
        <v>3.1598449000000001E-2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45133</v>
      </c>
      <c r="B110" s="24">
        <v>4.2974470000000001E-2</v>
      </c>
      <c r="C110" s="24">
        <v>5.8160423999999995E-2</v>
      </c>
      <c r="D110" s="24">
        <v>4.8203349999999999E-2</v>
      </c>
      <c r="E110" s="24">
        <v>3.7992835000000003E-2</v>
      </c>
      <c r="F110" s="24">
        <v>3.1521916000000004E-2</v>
      </c>
      <c r="G110" s="24">
        <v>4.6981334999999999E-2</v>
      </c>
      <c r="H110" s="24">
        <v>4.9375057E-2</v>
      </c>
      <c r="I110" s="24">
        <v>5.546856E-2</v>
      </c>
      <c r="J110" s="24">
        <v>5.5789948000000006E-2</v>
      </c>
      <c r="K110" s="24">
        <v>4.0569544000000006E-2</v>
      </c>
      <c r="L110" s="24">
        <v>5.210948E-2</v>
      </c>
      <c r="M110" s="24">
        <v>4.699731E-2</v>
      </c>
      <c r="N110" s="24">
        <v>8.2138180000000005E-2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45163</v>
      </c>
      <c r="B111" s="24">
        <v>-9.2910470000000009E-2</v>
      </c>
      <c r="C111" s="24">
        <v>-8.3084760000000007E-2</v>
      </c>
      <c r="D111" s="24">
        <v>-6.3266459999999997E-2</v>
      </c>
      <c r="E111" s="24">
        <v>-5.4558039999999995E-2</v>
      </c>
      <c r="F111" s="24">
        <v>-4.5519648000000003E-2</v>
      </c>
      <c r="G111" s="24">
        <v>-4.4453739999999999E-2</v>
      </c>
      <c r="H111" s="24">
        <v>-6.2537312999999997E-2</v>
      </c>
      <c r="I111" s="24">
        <v>-3.5759686999999998E-2</v>
      </c>
      <c r="J111" s="24">
        <v>-3.4115612999999996E-2</v>
      </c>
      <c r="K111" s="24">
        <v>-3.8471400000000003E-2</v>
      </c>
      <c r="L111" s="24">
        <v>-7.667839500000001E-2</v>
      </c>
      <c r="M111" s="24">
        <v>-9.5317249999999992E-2</v>
      </c>
      <c r="N111" s="24">
        <v>-5.0903615999999999E-2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45195</v>
      </c>
      <c r="B112" s="24">
        <v>-1.0465383999999999E-2</v>
      </c>
      <c r="C112" s="24">
        <v>-8.3643199999999997E-3</v>
      </c>
      <c r="D112" s="24">
        <v>-1.4876126999999999E-3</v>
      </c>
      <c r="E112" s="24">
        <v>-5.1497460000000002E-2</v>
      </c>
      <c r="F112" s="24">
        <v>1.3339996E-2</v>
      </c>
      <c r="G112" s="24">
        <v>-4.2352439999999998E-2</v>
      </c>
      <c r="H112" s="24">
        <v>2.2236109000000003E-3</v>
      </c>
      <c r="I112" s="24">
        <v>-2.5543094000000002E-2</v>
      </c>
      <c r="J112" s="24">
        <v>-2.8568506E-2</v>
      </c>
      <c r="K112" s="24">
        <v>-5.2631674000000003E-2</v>
      </c>
      <c r="L112" s="24">
        <v>-7.4800610000000003E-2</v>
      </c>
      <c r="M112" s="24">
        <v>-8.8821053999999997E-3</v>
      </c>
      <c r="N112" s="24">
        <v>-3.9987325999999997E-2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45225</v>
      </c>
      <c r="B113" s="24">
        <v>-6.5931615999999998E-2</v>
      </c>
      <c r="C113" s="24">
        <v>-3.4208059999999998E-2</v>
      </c>
      <c r="D113" s="24">
        <v>-5.1847459999999998E-2</v>
      </c>
      <c r="E113" s="24">
        <v>-4.4281839999999996E-2</v>
      </c>
      <c r="F113" s="24">
        <v>-5.6442319999999997E-2</v>
      </c>
      <c r="G113" s="24">
        <v>-3.7580191999999998E-2</v>
      </c>
      <c r="H113" s="24">
        <v>-3.2329620000000003E-2</v>
      </c>
      <c r="I113" s="24">
        <v>-2.9784560000000002E-2</v>
      </c>
      <c r="J113" s="24">
        <v>-3.1299949000000001E-2</v>
      </c>
      <c r="K113" s="24">
        <v>-3.0328810000000001E-2</v>
      </c>
      <c r="L113" s="24">
        <v>-2.1279275E-2</v>
      </c>
      <c r="M113" s="24">
        <v>-4.1409135E-2</v>
      </c>
      <c r="N113" s="24">
        <v>-3.041321E-2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45254</v>
      </c>
      <c r="B114" s="24">
        <v>8.4798810000000002E-2</v>
      </c>
      <c r="C114" s="24">
        <v>8.9277029999999993E-2</v>
      </c>
      <c r="D114" s="24">
        <v>8.8309289999999999E-2</v>
      </c>
      <c r="E114" s="24">
        <v>0.13698626</v>
      </c>
      <c r="F114" s="24">
        <v>9.1907979999999986E-2</v>
      </c>
      <c r="G114" s="24">
        <v>7.5238109999999997E-2</v>
      </c>
      <c r="H114" s="24">
        <v>6.4199210000000007E-2</v>
      </c>
      <c r="I114" s="24">
        <v>0.13341677000000002</v>
      </c>
      <c r="J114" s="24">
        <v>0.10362375</v>
      </c>
      <c r="K114" s="24">
        <v>0.10230923</v>
      </c>
      <c r="L114" s="24">
        <v>0.15108705</v>
      </c>
      <c r="M114" s="24">
        <v>0.16441</v>
      </c>
      <c r="N114" s="24">
        <v>0.11830890999999999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45286</v>
      </c>
      <c r="B115" s="24">
        <v>8.6325170000000007E-2</v>
      </c>
      <c r="C115" s="24">
        <v>0.11107122</v>
      </c>
      <c r="D115" s="24">
        <v>7.8019619999999998E-2</v>
      </c>
      <c r="E115" s="24">
        <v>5.2145840000000006E-2</v>
      </c>
      <c r="F115" s="24">
        <v>2.5432944000000002E-2</v>
      </c>
      <c r="G115" s="24">
        <v>5.6244493E-2</v>
      </c>
      <c r="H115" s="24">
        <v>4.1913867E-2</v>
      </c>
      <c r="I115" s="24">
        <v>5.69582E-2</v>
      </c>
      <c r="J115" s="24">
        <v>4.8938629999999997E-2</v>
      </c>
      <c r="K115" s="24">
        <v>5.0819755000000001E-2</v>
      </c>
      <c r="L115" s="24">
        <v>6.2250733000000003E-2</v>
      </c>
      <c r="M115" s="24">
        <v>0.12341892</v>
      </c>
      <c r="N115" s="24">
        <v>4.9663066999999998E-2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45317</v>
      </c>
      <c r="B116" s="24">
        <v>-2.1285414999999999E-2</v>
      </c>
      <c r="C116" s="24">
        <v>-3.0687392000000001E-2</v>
      </c>
      <c r="D116" s="24">
        <v>-9.774685E-3</v>
      </c>
      <c r="E116" s="24">
        <v>-1.0104477000000001E-2</v>
      </c>
      <c r="F116" s="24">
        <v>3.28542E-2</v>
      </c>
      <c r="G116" s="24">
        <v>2.5156736000000002E-3</v>
      </c>
      <c r="H116" s="24">
        <v>-1.3599277E-2</v>
      </c>
      <c r="I116" s="24">
        <v>3.2010078000000004E-2</v>
      </c>
      <c r="J116" s="24">
        <v>2.4724126000000003E-2</v>
      </c>
      <c r="K116" s="24">
        <v>-9.1440080000000003E-3</v>
      </c>
      <c r="L116" s="24">
        <v>2.8661012999999999E-2</v>
      </c>
      <c r="M116" s="24">
        <v>-5.858588E-2</v>
      </c>
      <c r="N116" s="24">
        <v>-1.5882373000000002E-2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45348</v>
      </c>
      <c r="B117" s="24">
        <v>-2.6865719999999999E-2</v>
      </c>
      <c r="C117" s="24">
        <v>5.9096813000000005E-3</v>
      </c>
      <c r="D117" s="24">
        <v>1.0419487999999999E-2</v>
      </c>
      <c r="E117" s="24">
        <v>3.1303167E-2</v>
      </c>
      <c r="F117" s="24">
        <v>5.5207252999999998E-2</v>
      </c>
      <c r="G117" s="24">
        <v>-1.4638245000000001E-2</v>
      </c>
      <c r="H117" s="24">
        <v>8.2720520000000002E-3</v>
      </c>
      <c r="I117" s="24">
        <v>3.0060650000000001E-2</v>
      </c>
      <c r="J117" s="24">
        <v>3.8119792999999999E-2</v>
      </c>
      <c r="K117" s="24">
        <v>3.1786799999999997E-2</v>
      </c>
      <c r="L117" s="24">
        <v>3.8963914000000002E-2</v>
      </c>
      <c r="M117" s="24">
        <v>6.1427116000000004E-2</v>
      </c>
      <c r="N117" s="24">
        <v>6.5152406999999996E-2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45377</v>
      </c>
      <c r="B118" s="24">
        <v>-2.4101734E-3</v>
      </c>
      <c r="C118" s="24">
        <v>1.8883824E-2</v>
      </c>
      <c r="D118" s="24">
        <v>2.360928E-2</v>
      </c>
      <c r="E118" s="24">
        <v>4.1900396000000006E-2</v>
      </c>
      <c r="F118" s="24">
        <v>3.3333420000000002E-2</v>
      </c>
      <c r="G118" s="24">
        <v>6.3669680000000002E-4</v>
      </c>
      <c r="H118" s="24">
        <v>3.0385852000000001E-2</v>
      </c>
      <c r="I118" s="24">
        <v>1.6839147000000002E-2</v>
      </c>
      <c r="J118" s="24">
        <v>2.8544187999999998E-2</v>
      </c>
      <c r="K118" s="24">
        <v>2.534163E-2</v>
      </c>
      <c r="L118" s="24">
        <v>3.28933E-2</v>
      </c>
      <c r="M118" s="24">
        <v>2.7040720000000001E-2</v>
      </c>
      <c r="N118" s="24">
        <v>5.9483647000000001E-2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45408</v>
      </c>
      <c r="B119" s="24">
        <v>-2.7674020000000001E-2</v>
      </c>
      <c r="C119" s="24">
        <v>-2.3064314999999998E-2</v>
      </c>
      <c r="D119" s="24">
        <v>-2.3860334999999998E-3</v>
      </c>
      <c r="E119" s="24">
        <v>-1.9632696999999998E-2</v>
      </c>
      <c r="F119" s="24">
        <v>-5.8485326999999997E-2</v>
      </c>
      <c r="G119" s="24">
        <v>-2.5662839999999999E-2</v>
      </c>
      <c r="H119" s="24">
        <v>2.7130722999999999E-2</v>
      </c>
      <c r="I119" s="24">
        <v>-2.7790308E-2</v>
      </c>
      <c r="J119" s="24">
        <v>-2.0334959999999999E-2</v>
      </c>
      <c r="K119" s="24">
        <v>-1.4538466999999999E-2</v>
      </c>
      <c r="L119" s="24">
        <v>-1.8052696999999999E-2</v>
      </c>
      <c r="M119" s="24">
        <v>-3.8385750000000003E-2</v>
      </c>
      <c r="N119" s="24">
        <v>-1.3771116999999999E-2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45436</v>
      </c>
      <c r="B120" s="24">
        <v>3.2301784E-2</v>
      </c>
      <c r="C120" s="24">
        <v>4.1736959999999997E-2</v>
      </c>
      <c r="D120" s="24">
        <v>1.5944719E-2</v>
      </c>
      <c r="E120" s="24">
        <v>4.2635680000000002E-2</v>
      </c>
      <c r="F120" s="24">
        <v>1.9812346000000002E-2</v>
      </c>
      <c r="G120" s="24">
        <v>5.1806690000000002E-2</v>
      </c>
      <c r="H120" s="24">
        <v>4.335344E-2</v>
      </c>
      <c r="I120" s="24">
        <v>6.2529086999999997E-2</v>
      </c>
      <c r="J120" s="24">
        <v>4.1671514999999999E-2</v>
      </c>
      <c r="K120" s="24">
        <v>3.1964659999999999E-2</v>
      </c>
      <c r="L120" s="24">
        <v>6.8374275999999998E-2</v>
      </c>
      <c r="M120" s="24">
        <v>6.6018343000000007E-2</v>
      </c>
      <c r="N120" s="24">
        <v>3.7593960000000003E-2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45469</v>
      </c>
      <c r="B121" s="24">
        <v>3.8623809999999999E-4</v>
      </c>
      <c r="C121" s="24">
        <v>9.4771384999999998E-5</v>
      </c>
      <c r="D121" s="24">
        <v>-2.4858296000000002E-2</v>
      </c>
      <c r="E121" s="24">
        <v>-3.5963296999999998E-2</v>
      </c>
      <c r="F121" s="24">
        <v>-9.4501376000000002E-3</v>
      </c>
      <c r="G121" s="24">
        <v>2.0977258999999998E-2</v>
      </c>
      <c r="H121" s="24">
        <v>-1.6890347E-2</v>
      </c>
      <c r="I121" s="24">
        <v>5.0642729999999997E-2</v>
      </c>
      <c r="J121" s="24">
        <v>3.3681393000000004E-2</v>
      </c>
      <c r="K121" s="24">
        <v>-6.6731570000000004E-2</v>
      </c>
      <c r="L121" s="24">
        <v>-1.8634915000000002E-2</v>
      </c>
      <c r="M121" s="24">
        <v>-2.0716369999999998E-2</v>
      </c>
      <c r="N121" s="24">
        <v>-4.0210724000000003E-2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45499</v>
      </c>
      <c r="B122" s="24">
        <v>7.2735550000000001E-3</v>
      </c>
      <c r="C122" s="24">
        <v>1.8151878999999999E-2</v>
      </c>
      <c r="D122" s="24">
        <v>3.7909627000000001E-2</v>
      </c>
      <c r="E122" s="24">
        <v>3.09515E-2</v>
      </c>
      <c r="F122" s="24">
        <v>2.050221E-2</v>
      </c>
      <c r="G122" s="24">
        <v>3.6010027E-2</v>
      </c>
      <c r="H122" s="24">
        <v>2.7968050000000001E-2</v>
      </c>
      <c r="I122" s="24">
        <v>-3.6222039999999997E-2</v>
      </c>
      <c r="J122" s="24">
        <v>-1.9614697000000002E-3</v>
      </c>
      <c r="K122" s="24">
        <v>1.0449409999999999E-2</v>
      </c>
      <c r="L122" s="24">
        <v>-2.8292476999999996E-2</v>
      </c>
      <c r="M122" s="24">
        <v>-1.220429E-2</v>
      </c>
      <c r="N122" s="50">
        <v>3.6197899999999998E-2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0.1243862</v>
      </c>
      <c r="C126" s="24" cm="1">
        <f t="array" ref="C126">MAX(_xlfn._xlws.FILTER(C1:C122, ISNUMBER(C1:C122)))</f>
        <v>0.13903748999999999</v>
      </c>
      <c r="D126" s="24" cm="1">
        <f t="array" ref="D126">MAX(_xlfn._xlws.FILTER(D1:D122, ISNUMBER(D1:D122)))</f>
        <v>0.11754835</v>
      </c>
      <c r="E126" s="24" cm="1">
        <f t="array" ref="E126">MAX(_xlfn._xlws.FILTER(E1:E122, ISNUMBER(E1:E122)))</f>
        <v>0.13886380000000001</v>
      </c>
      <c r="F126" s="24" cm="1">
        <f t="array" ref="F126">MAX(_xlfn._xlws.FILTER(F1:F122, ISNUMBER(F1:F122)))</f>
        <v>0.11169767</v>
      </c>
      <c r="G126" s="24" cm="1">
        <f t="array" ref="G126">MAX(_xlfn._xlws.FILTER(G1:G122, ISNUMBER(G1:G122)))</f>
        <v>9.7538470000000002E-2</v>
      </c>
      <c r="H126" s="24" cm="1">
        <f t="array" ref="H126">MAX(_xlfn._xlws.FILTER(H1:H122, ISNUMBER(H1:H122)))</f>
        <v>0.14144993</v>
      </c>
      <c r="I126" s="24" cm="1">
        <f t="array" ref="I126">MAX(_xlfn._xlws.FILTER(I1:I122, ISNUMBER(I1:I122)))</f>
        <v>0.14243233</v>
      </c>
      <c r="J126" s="24" cm="1">
        <f t="array" ref="J126">MAX(_xlfn._xlws.FILTER(J1:J122, ISNUMBER(J1:J122)))</f>
        <v>0.10362375</v>
      </c>
      <c r="K126" s="24" cm="1">
        <f t="array" ref="K126">MAX(_xlfn._xlws.FILTER(K1:K122, ISNUMBER(K1:K122)))</f>
        <v>0.16166602999999999</v>
      </c>
      <c r="L126" s="24" cm="1">
        <f t="array" ref="L126">MAX(_xlfn._xlws.FILTER(L1:L122, ISNUMBER(L1:L122)))</f>
        <v>0.16214583999999999</v>
      </c>
      <c r="M126" s="24" cm="1">
        <f t="array" ref="M126">MAX(_xlfn._xlws.FILTER(M1:M122, ISNUMBER(M1:M122)))</f>
        <v>0.16441</v>
      </c>
      <c r="N126" s="24" cm="1">
        <f t="array" ref="N126">MAX(_xlfn._xlws.FILTER(N1:N122, ISNUMBER(N1:N122)))</f>
        <v>0.18693875999999998</v>
      </c>
    </row>
    <row r="127" spans="1:26" x14ac:dyDescent="0.35">
      <c r="A127" t="s">
        <v>85</v>
      </c>
      <c r="B127" s="24" cm="1">
        <f t="array" ref="B127">MIN(_xlfn._xlws.FILTER(B2:B122, ISNUMBER(B2:B122)))</f>
        <v>-0.15760767000000001</v>
      </c>
      <c r="C127" s="24" cm="1">
        <f t="array" ref="C127">MIN(_xlfn._xlws.FILTER(C2:C122, ISNUMBER(C2:C122)))</f>
        <v>-0.26002829999999999</v>
      </c>
      <c r="D127" s="24" cm="1">
        <f t="array" ref="D127">MIN(_xlfn._xlws.FILTER(D2:D122, ISNUMBER(D2:D122)))</f>
        <v>-0.24896550000000001</v>
      </c>
      <c r="E127" s="24" cm="1">
        <f t="array" ref="E127">MIN(_xlfn._xlws.FILTER(E2:E122, ISNUMBER(E2:E122)))</f>
        <v>-0.19131720000000002</v>
      </c>
      <c r="F127" s="24" cm="1">
        <f t="array" ref="F127">MIN(_xlfn._xlws.FILTER(F2:F122, ISNUMBER(F2:F122)))</f>
        <v>-0.10808128</v>
      </c>
      <c r="G127" s="24" cm="1">
        <f t="array" ref="G127">MIN(_xlfn._xlws.FILTER(G2:G122, ISNUMBER(G2:G122)))</f>
        <v>-0.10440886000000001</v>
      </c>
      <c r="H127" s="24" cm="1">
        <f t="array" ref="H127">MIN(_xlfn._xlws.FILTER(H2:H122, ISNUMBER(H2:H122)))</f>
        <v>-0.20796602</v>
      </c>
      <c r="I127" s="24" cm="1">
        <f t="array" ref="I127">MIN(_xlfn._xlws.FILTER(I2:I122, ISNUMBER(I2:I122)))</f>
        <v>-0.13189059</v>
      </c>
      <c r="J127" s="24" cm="1">
        <f t="array" ref="J127">MIN(_xlfn._xlws.FILTER(J2:J122, ISNUMBER(J2:J122)))</f>
        <v>-0.15632545</v>
      </c>
      <c r="K127" s="24" cm="1">
        <f t="array" ref="K127">MIN(_xlfn._xlws.FILTER(K2:K122, ISNUMBER(K2:K122)))</f>
        <v>-0.17811876000000001</v>
      </c>
      <c r="L127" s="24" cm="1">
        <f t="array" ref="L127">MIN(_xlfn._xlws.FILTER(L2:L122, ISNUMBER(L2:L122)))</f>
        <v>-0.16010088</v>
      </c>
      <c r="M127" s="24" cm="1">
        <f t="array" ref="M127">MIN(_xlfn._xlws.FILTER(M2:M122, ISNUMBER(M2:M122)))</f>
        <v>-0.18855327999999999</v>
      </c>
      <c r="N127" s="24" cm="1">
        <f t="array" ref="N127">MIN(_xlfn._xlws.FILTER(N2:N122, ISNUMBER(N2:N122)))</f>
        <v>-0.2241379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19</v>
      </c>
      <c r="C129">
        <f>COUNTIF(C2:C122, "&lt;"&amp;Assumption!$E$50)</f>
        <v>17</v>
      </c>
      <c r="D129">
        <f>COUNTIF(D2:D122, "&lt;"&amp;Assumption!$E$50)</f>
        <v>16</v>
      </c>
      <c r="E129">
        <f>COUNTIF(E2:E122, "&lt;"&amp;Assumption!$E$50)</f>
        <v>20</v>
      </c>
      <c r="F129">
        <f>COUNTIF(F2:F122, "&lt;"&amp;Assumption!$E$50)</f>
        <v>16</v>
      </c>
      <c r="G129">
        <f>COUNTIF(G2:G122, "&lt;"&amp;Assumption!$E$50)</f>
        <v>13</v>
      </c>
      <c r="H129">
        <f>COUNTIF(H2:H122, "&lt;"&amp;Assumption!$E$50)</f>
        <v>15</v>
      </c>
      <c r="I129">
        <f>COUNTIF(I2:I122, "&lt;"&amp;Assumption!$E$50)</f>
        <v>13</v>
      </c>
      <c r="J129">
        <f>COUNTIF(J2:J122, "&lt;"&amp;Assumption!$E$50)</f>
        <v>10</v>
      </c>
      <c r="K129">
        <f>COUNTIF(K2:K122, "&lt;"&amp;Assumption!$E$50)</f>
        <v>14</v>
      </c>
      <c r="L129">
        <f>COUNTIF(L2:L122, "&lt;"&amp;Assumption!$E$50)</f>
        <v>17</v>
      </c>
      <c r="M129">
        <f>COUNTIF(M2:M122, "&lt;"&amp;Assumption!$E$50)</f>
        <v>17</v>
      </c>
      <c r="N129">
        <f>COUNTIF(N2:N122, "&lt;"&amp;Assumption!$E$50)</f>
        <v>25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0.15702479338842976</v>
      </c>
      <c r="C132" s="9">
        <f t="shared" si="2"/>
        <v>0.14049586776859505</v>
      </c>
      <c r="D132" s="9">
        <f t="shared" si="2"/>
        <v>0.13223140495867769</v>
      </c>
      <c r="E132" s="9">
        <f t="shared" si="2"/>
        <v>0.16528925619834711</v>
      </c>
      <c r="F132" s="9">
        <f t="shared" si="2"/>
        <v>0.13223140495867769</v>
      </c>
      <c r="G132" s="9">
        <f t="shared" si="2"/>
        <v>0.10743801652892562</v>
      </c>
      <c r="H132" s="9">
        <f t="shared" si="2"/>
        <v>0.12396694214876033</v>
      </c>
      <c r="I132" s="9">
        <f t="shared" si="2"/>
        <v>0.10743801652892562</v>
      </c>
      <c r="J132" s="9">
        <f t="shared" si="2"/>
        <v>8.2644628099173556E-2</v>
      </c>
      <c r="K132" s="9">
        <f t="shared" ref="K132:N132" si="3">K129/K130</f>
        <v>0.11570247933884298</v>
      </c>
      <c r="L132" s="9">
        <f t="shared" si="3"/>
        <v>0.14049586776859505</v>
      </c>
      <c r="M132" s="9">
        <f t="shared" si="3"/>
        <v>0.14049586776859505</v>
      </c>
      <c r="N132" s="9">
        <f t="shared" si="3"/>
        <v>0.20661157024793389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0.51600000000000001</v>
      </c>
      <c r="C134" s="9" cm="1">
        <f t="array" ref="C134">_xlfn.PERCENTRANK.EXC(_xlfn._xlws.FILTER(C2:C122, ISNUMBER(C2:C122)),C122)</f>
        <v>0.622</v>
      </c>
      <c r="D134" s="9" cm="1">
        <f t="array" ref="D134">_xlfn.PERCENTRANK.EXC(_xlfn._xlws.FILTER(D2:D122, ISNUMBER(D2:D122)),D122)</f>
        <v>0.77</v>
      </c>
      <c r="E134" s="9" cm="1">
        <f t="array" ref="E134">_xlfn.PERCENTRANK.EXC(_xlfn._xlws.FILTER(E2:E122, ISNUMBER(E2:E122)),E122)</f>
        <v>0.68799999999999994</v>
      </c>
      <c r="F134" s="9" cm="1">
        <f t="array" ref="F134">_xlfn.PERCENTRANK.EXC(_xlfn._xlws.FILTER(F2:F122, ISNUMBER(F2:F122)),F122)</f>
        <v>0.64700000000000002</v>
      </c>
      <c r="G134" s="9" cm="1">
        <f t="array" ref="G134">_xlfn.PERCENTRANK.EXC(_xlfn._xlws.FILTER(G2:G122, ISNUMBER(G2:G122)),G122)</f>
        <v>0.754</v>
      </c>
      <c r="H134" s="9" cm="1">
        <f t="array" ref="H134">_xlfn.PERCENTRANK.EXC(_xlfn._xlws.FILTER(H2:H122, ISNUMBER(H2:H122)),H122)</f>
        <v>0.68</v>
      </c>
      <c r="I134" s="9" cm="1">
        <f t="array" ref="I134">_xlfn.PERCENTRANK.EXC(_xlfn._xlws.FILTER(I2:I122, ISNUMBER(I2:I122)),I122)</f>
        <v>0.13100000000000001</v>
      </c>
      <c r="J134" s="9" cm="1">
        <f t="array" ref="J134">_xlfn.PERCENTRANK.EXC(_xlfn._xlws.FILTER(J2:J122, ISNUMBER(J2:J122)),J122)</f>
        <v>0.311</v>
      </c>
      <c r="K134" s="9" cm="1">
        <f t="array" ref="K134">_xlfn.PERCENTRANK.EXC(_xlfn._xlws.FILTER(K2:K122, ISNUMBER(K2:K122)),K122)</f>
        <v>0.54</v>
      </c>
      <c r="L134" s="9" cm="1">
        <f t="array" ref="L134">_xlfn.PERCENTRANK.EXC(_xlfn._xlws.FILTER(L2:L122, ISNUMBER(L2:L122)),L122)</f>
        <v>0.19600000000000001</v>
      </c>
      <c r="M134" s="9" cm="1">
        <f t="array" ref="M134">_xlfn.PERCENTRANK.EXC(_xlfn._xlws.FILTER(M2:M122, ISNUMBER(M2:M122)),M122)</f>
        <v>0.39300000000000002</v>
      </c>
      <c r="N134" s="9" cm="1">
        <f t="array" ref="N134">_xlfn.PERCENTRANK.EXC(_xlfn._xlws.FILTER(N2:N122, ISNUMBER(N2:N122)),N122)</f>
        <v>0.70399999999999996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0.108</v>
      </c>
      <c r="C136" s="9" cm="1">
        <f t="array" ref="C136">_xlfn.PERCENTRANK.EXC(_xlfn._xlws.FILTER(C4:C125, ISNUMBER(C4:C125)),C113)</f>
        <v>0.20799999999999999</v>
      </c>
      <c r="D136" s="9" cm="1">
        <f t="array" ref="D136">_xlfn.PERCENTRANK.EXC(_xlfn._xlws.FILTER(D4:D125, ISNUMBER(D4:D125)),D113)</f>
        <v>0.13300000000000001</v>
      </c>
      <c r="E136" s="9" cm="1">
        <f t="array" ref="E136">_xlfn.PERCENTRANK.EXC(_xlfn._xlws.FILTER(E4:E125, ISNUMBER(E4:E125)),E113)</f>
        <v>0.191</v>
      </c>
      <c r="F136" s="9" cm="1">
        <f t="array" ref="F136">_xlfn.PERCENTRANK.EXC(_xlfn._xlws.FILTER(F4:F125, ISNUMBER(F4:F125)),F113)</f>
        <v>0.108</v>
      </c>
      <c r="G136" s="9" cm="1">
        <f t="array" ref="G136">_xlfn.PERCENTRANK.EXC(_xlfn._xlws.FILTER(G4:G125, ISNUMBER(G4:G125)),G113)</f>
        <v>0.16600000000000001</v>
      </c>
      <c r="H136" s="9" cm="1">
        <f t="array" ref="H136">_xlfn.PERCENTRANK.EXC(_xlfn._xlws.FILTER(H4:H125, ISNUMBER(H4:H125)),H113)</f>
        <v>0.191</v>
      </c>
      <c r="I136" s="9" cm="1">
        <f t="array" ref="I136">_xlfn.PERCENTRANK.EXC(_xlfn._xlws.FILTER(I4:I125, ISNUMBER(I4:I125)),I113)</f>
        <v>0.16600000000000001</v>
      </c>
      <c r="J136" s="9" cm="1">
        <f t="array" ref="J136">_xlfn.PERCENTRANK.EXC(_xlfn._xlws.FILTER(J4:J125, ISNUMBER(J4:J125)),J113)</f>
        <v>0.14099999999999999</v>
      </c>
      <c r="K136" s="9" cm="1">
        <f t="array" ref="K136">_xlfn.PERCENTRANK.EXC(_xlfn._xlws.FILTER(K4:K125, ISNUMBER(K4:K125)),K113)</f>
        <v>0.24099999999999999</v>
      </c>
      <c r="L136" s="9" cm="1">
        <f t="array" ref="L136">_xlfn.PERCENTRANK.EXC(_xlfn._xlws.FILTER(L4:L125, ISNUMBER(L4:L125)),L113)</f>
        <v>0.24099999999999999</v>
      </c>
      <c r="M136" s="9" cm="1">
        <f t="array" ref="M136">_xlfn.PERCENTRANK.EXC(_xlfn._xlws.FILTER(M4:M125, ISNUMBER(M4:M125)),M113)</f>
        <v>0.20799999999999999</v>
      </c>
      <c r="N136" s="9" cm="1">
        <f t="array" ref="N136">_xlfn.PERCENTRANK.EXC(_xlfn._xlws.FILTER(N4:N125, ISNUMBER(N4:N125)),N113)</f>
        <v>0.26600000000000001</v>
      </c>
    </row>
    <row r="138" spans="1:17" x14ac:dyDescent="0.35">
      <c r="A138" t="s">
        <v>829</v>
      </c>
      <c r="B138">
        <f t="shared" ref="B138:J138" si="4">STDEV(B40:B122)</f>
        <v>5.227767269905035E-2</v>
      </c>
      <c r="C138">
        <f t="shared" si="4"/>
        <v>6.0331613673131064E-2</v>
      </c>
      <c r="D138">
        <f t="shared" si="4"/>
        <v>5.5259994960629749E-2</v>
      </c>
      <c r="E138">
        <f t="shared" si="4"/>
        <v>5.9286233252063558E-2</v>
      </c>
      <c r="F138">
        <f t="shared" si="4"/>
        <v>4.632434265118484E-2</v>
      </c>
      <c r="G138">
        <f t="shared" si="4"/>
        <v>4.2866816586440676E-2</v>
      </c>
      <c r="H138">
        <f t="shared" si="4"/>
        <v>5.1469940395673576E-2</v>
      </c>
      <c r="I138">
        <f t="shared" si="4"/>
        <v>5.5790352015232615E-2</v>
      </c>
      <c r="J138">
        <f t="shared" si="4"/>
        <v>4.5464859092977934E-2</v>
      </c>
      <c r="K138">
        <f t="shared" ref="K138:N138" si="5">STDEV(K40:K122)</f>
        <v>5.5037325087035578E-2</v>
      </c>
      <c r="L138">
        <f t="shared" si="5"/>
        <v>5.8270198718825439E-2</v>
      </c>
      <c r="M138">
        <f t="shared" si="5"/>
        <v>6.5526807421445024E-2</v>
      </c>
      <c r="N138">
        <f t="shared" si="5"/>
        <v>6.5075587047779104E-2</v>
      </c>
    </row>
    <row r="139" spans="1:17" x14ac:dyDescent="0.35">
      <c r="A139" t="s">
        <v>830</v>
      </c>
      <c r="B139" s="74">
        <f t="shared" ref="B139:J139" si="6">B138*SQRT(12)</f>
        <v>0.18109517043242321</v>
      </c>
      <c r="C139" s="74">
        <f t="shared" si="6"/>
        <v>0.20899484036896035</v>
      </c>
      <c r="D139" s="74">
        <f t="shared" si="6"/>
        <v>0.19142623779562168</v>
      </c>
      <c r="E139" s="74">
        <f t="shared" si="6"/>
        <v>0.20537353636390701</v>
      </c>
      <c r="F139" s="74">
        <f t="shared" si="6"/>
        <v>0.16047223019816417</v>
      </c>
      <c r="G139" s="74">
        <f t="shared" si="6"/>
        <v>0.14849500857290301</v>
      </c>
      <c r="H139" s="74">
        <f t="shared" si="6"/>
        <v>0.17829710365569679</v>
      </c>
      <c r="I139" s="74">
        <f t="shared" si="6"/>
        <v>0.19326344852507119</v>
      </c>
      <c r="J139" s="74">
        <f t="shared" si="6"/>
        <v>0.15749489181599527</v>
      </c>
      <c r="K139" s="74">
        <f t="shared" ref="K139:N139" si="7">K138*SQRT(12)</f>
        <v>0.19065488672686159</v>
      </c>
      <c r="L139" s="74">
        <f t="shared" si="7"/>
        <v>0.20185388949628111</v>
      </c>
      <c r="M139" s="74">
        <f t="shared" si="7"/>
        <v>0.22699151942344831</v>
      </c>
      <c r="N139" s="74">
        <f t="shared" si="7"/>
        <v>0.22542844619824912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41845</v>
      </c>
      <c r="B2" s="7" cm="1">
        <f t="array" ref="B2:B122">_xll.FDS(B1,"P_PRICE_RETURNS_PR('52W',2,-10AY,0,AM)")</f>
        <v>20.525348999999999</v>
      </c>
      <c r="C2" s="7" cm="1">
        <f t="array" ref="C2:C122">_xll.FDS(C1,"P_PRICE_RETURNS_PR('52W',2,-10AY,0,AM)")</f>
        <v>17.123090000000001</v>
      </c>
      <c r="D2" s="7" cm="1">
        <f t="array" ref="D2:D122">_xll.FDS(D1,"P_PRICE_RETURNS_PR('52W',2,-10AY,0,AM)")</f>
        <v>18.616558000000001</v>
      </c>
      <c r="E2" s="7" cm="1">
        <f t="array" ref="E2:E122">_xll.FDS(E1,"P_PRICE_RETURNS_PR('52W',2,-10AY,0,AM)")</f>
        <v>15.942728000000001</v>
      </c>
      <c r="F2" s="7" cm="1">
        <f t="array" ref="F2:F122">_xll.FDS(F1,"P_PRICE_RETURNS_PR('52W',2,-10AY,0,AM)")</f>
        <v>5.6075809999999997</v>
      </c>
      <c r="G2" s="7" cm="1">
        <f t="array" ref="G2:G122">_xll.FDS(G1,"P_PRICE_RETURNS_PR('52W',2,-10AY,0,AM)")</f>
        <v>15.430783999999999</v>
      </c>
      <c r="H2" s="7" cm="1">
        <f t="array" ref="H2:H122">_xll.FDS(H1,"P_PRICE_RETURNS_PR('52W',2,-10AY,0,AM)")</f>
        <v>16.616081000000001</v>
      </c>
      <c r="I2" s="7" cm="1">
        <f t="array" ref="I2:I122">_xll.FDS(I1,"P_PRICE_RETURNS_PR('52W',2,-10AY,0,AM)")</f>
        <v>31.022584999999999</v>
      </c>
      <c r="J2" s="7" cm="1">
        <f t="array" ref="J2:J122">_xll.FDS(J1,"P_PRICE_RETURNS_PR('52W',2,-10AY,0,AM)")</f>
        <v>19.343578000000001</v>
      </c>
      <c r="K2" s="158" cm="1">
        <f t="array" ref="K2:K122">_xll.FDS(K1,"P_PRICE_RETURNS_PR('52W',2,-10AY,0,AM)")</f>
        <v>12.989532000000001</v>
      </c>
      <c r="L2" s="158" cm="1">
        <f t="array" ref="L2:L122">_xll.FDS(L1,"P_PRICE_RETURNS_PR('52W',2,-10AY,0,AM)")</f>
        <v>9.1873649999999998</v>
      </c>
      <c r="M2" s="158" cm="1">
        <f t="array" ref="M2:M122">_xll.FDS(M1,"P_PRICE_RETURNS_PR('52W',2,-10AY,0,AM)")</f>
        <v>9.6752280000000006</v>
      </c>
      <c r="N2" s="158" cm="1">
        <f t="array" ref="N2:N122">_xll.FDS(N1,"P_PRICE_RETURNS_PR('52W',2,-10AY,0,AM)")</f>
        <v>32.309413999999997</v>
      </c>
    </row>
    <row r="3" spans="1:14" x14ac:dyDescent="0.35">
      <c r="A3" s="2">
        <v>41877</v>
      </c>
      <c r="B3" s="40">
        <v>22.289228000000001</v>
      </c>
      <c r="C3" s="40">
        <v>18.310738000000001</v>
      </c>
      <c r="D3" s="40">
        <v>20.355139999999999</v>
      </c>
      <c r="E3" s="40">
        <v>10.871923000000001</v>
      </c>
      <c r="F3" s="40">
        <v>7.8641294999999998</v>
      </c>
      <c r="G3" s="40">
        <v>12.177515</v>
      </c>
      <c r="H3" s="40">
        <v>14.090824</v>
      </c>
      <c r="I3" s="40">
        <v>31.703925999999999</v>
      </c>
      <c r="J3" s="40">
        <v>23.053265</v>
      </c>
      <c r="K3" s="47">
        <v>8.9314099999999996</v>
      </c>
      <c r="L3" s="47">
        <v>6.9203973000000003</v>
      </c>
      <c r="M3" s="47">
        <v>6.6081405000000002</v>
      </c>
      <c r="N3" s="47">
        <v>22.333347</v>
      </c>
    </row>
    <row r="4" spans="1:14" x14ac:dyDescent="0.35">
      <c r="A4" s="2">
        <v>41908</v>
      </c>
      <c r="B4" s="40">
        <v>5.305612</v>
      </c>
      <c r="C4" s="40">
        <v>-2.3333370000000002</v>
      </c>
      <c r="D4" s="40">
        <v>11.436188</v>
      </c>
      <c r="E4" s="40">
        <v>2.4187921999999999</v>
      </c>
      <c r="F4" s="40">
        <v>-0.2465725</v>
      </c>
      <c r="G4" s="40">
        <v>6.9138409999999997</v>
      </c>
      <c r="H4" s="40">
        <v>5.0327897000000004</v>
      </c>
      <c r="I4" s="40">
        <v>26.608443999999999</v>
      </c>
      <c r="J4" s="40">
        <v>18.890142000000001</v>
      </c>
      <c r="K4" s="47">
        <v>1.2621164</v>
      </c>
      <c r="L4" s="47">
        <v>3.1582355</v>
      </c>
      <c r="M4" s="47">
        <v>-1.6021251999999999</v>
      </c>
      <c r="N4" s="47">
        <v>11.902988000000001</v>
      </c>
    </row>
    <row r="5" spans="1:14" x14ac:dyDescent="0.35">
      <c r="A5" s="2">
        <v>41936</v>
      </c>
      <c r="B5" s="40">
        <v>4.0883900000000004</v>
      </c>
      <c r="C5" s="40">
        <v>-3.7249743999999998</v>
      </c>
      <c r="D5" s="40">
        <v>4.148555</v>
      </c>
      <c r="E5" s="40">
        <v>-8.5872759999999992</v>
      </c>
      <c r="F5" s="40">
        <v>-4.9450339999999997</v>
      </c>
      <c r="G5" s="40">
        <v>-0.9563625</v>
      </c>
      <c r="H5" s="40">
        <v>-3.2067716000000002</v>
      </c>
      <c r="I5" s="40">
        <v>21.58128</v>
      </c>
      <c r="J5" s="40">
        <v>14.328360999999999</v>
      </c>
      <c r="K5" s="47">
        <v>-8.1708669999999994</v>
      </c>
      <c r="L5" s="47">
        <v>-6.0991945000000003</v>
      </c>
      <c r="M5" s="47">
        <v>-5.8087229999999996</v>
      </c>
      <c r="N5" s="47">
        <v>-3.5899103000000001</v>
      </c>
    </row>
    <row r="6" spans="1:14" x14ac:dyDescent="0.35">
      <c r="A6" s="2">
        <v>41969</v>
      </c>
      <c r="B6" s="40">
        <v>9.8572140000000008</v>
      </c>
      <c r="C6" s="40">
        <v>-1.6968905999999999</v>
      </c>
      <c r="D6" s="40">
        <v>8.4682940000000002</v>
      </c>
      <c r="E6" s="40">
        <v>-2.5033175999999999</v>
      </c>
      <c r="F6" s="40">
        <v>-1.6092598</v>
      </c>
      <c r="G6" s="40">
        <v>5.3115845000000004</v>
      </c>
      <c r="H6" s="40">
        <v>1.2912393</v>
      </c>
      <c r="I6" s="40">
        <v>26.521609999999999</v>
      </c>
      <c r="J6" s="40">
        <v>17.154049000000001</v>
      </c>
      <c r="K6" s="47">
        <v>-2.5709092999999998</v>
      </c>
      <c r="L6" s="47">
        <v>0.63331130000000002</v>
      </c>
      <c r="M6" s="47">
        <v>2.0905733</v>
      </c>
      <c r="N6" s="47">
        <v>0.64741373000000002</v>
      </c>
    </row>
    <row r="7" spans="1:14" x14ac:dyDescent="0.35">
      <c r="A7" s="2">
        <v>41999</v>
      </c>
      <c r="B7" s="40">
        <v>12.191319</v>
      </c>
      <c r="C7" s="40">
        <v>-4.3179154000000004</v>
      </c>
      <c r="D7" s="40">
        <v>1.4654278999999999</v>
      </c>
      <c r="E7" s="40">
        <v>-8.5317369999999997</v>
      </c>
      <c r="F7" s="40">
        <v>-2.02834</v>
      </c>
      <c r="G7" s="40">
        <v>1.8265842999999999</v>
      </c>
      <c r="H7" s="40">
        <v>-4.4776199999999999</v>
      </c>
      <c r="I7" s="40">
        <v>21.549510999999999</v>
      </c>
      <c r="J7" s="40">
        <v>15.585554</v>
      </c>
      <c r="K7" s="47">
        <v>-6.5605520000000004</v>
      </c>
      <c r="L7" s="47">
        <v>-2.6778936</v>
      </c>
      <c r="M7" s="47">
        <v>-5.1761626999999999</v>
      </c>
      <c r="N7" s="47">
        <v>-6.7184686999999998</v>
      </c>
    </row>
    <row r="8" spans="1:14" x14ac:dyDescent="0.35">
      <c r="A8" s="2">
        <v>42030</v>
      </c>
      <c r="B8" s="40">
        <v>8.0406899999999997</v>
      </c>
      <c r="C8" s="40">
        <v>1.0073185</v>
      </c>
      <c r="D8" s="40">
        <v>-1.3500631000000001</v>
      </c>
      <c r="E8" s="40">
        <v>-4.9353895000000003</v>
      </c>
      <c r="F8" s="40">
        <v>0.49654245000000002</v>
      </c>
      <c r="G8" s="40">
        <v>1.7943859</v>
      </c>
      <c r="H8" s="40">
        <v>-2.9424845999999998</v>
      </c>
      <c r="I8" s="40">
        <v>21.897352000000001</v>
      </c>
      <c r="J8" s="40">
        <v>17.089510000000001</v>
      </c>
      <c r="K8" s="47">
        <v>-3.724891</v>
      </c>
      <c r="L8" s="47">
        <v>-1.3528943</v>
      </c>
      <c r="M8" s="47">
        <v>-4.6126659999999999</v>
      </c>
      <c r="N8" s="47">
        <v>-8.8180540000000001</v>
      </c>
    </row>
    <row r="9" spans="1:14" x14ac:dyDescent="0.35">
      <c r="A9" s="2">
        <v>42061</v>
      </c>
      <c r="B9" s="40">
        <v>8.7155100000000001</v>
      </c>
      <c r="C9" s="40">
        <v>-1.5183507999999999</v>
      </c>
      <c r="D9" s="40">
        <v>-1.4617800999999999</v>
      </c>
      <c r="E9" s="40">
        <v>-4.0485980000000001</v>
      </c>
      <c r="F9" s="40">
        <v>8.7301970000000004</v>
      </c>
      <c r="G9" s="40">
        <v>1.1177897000000001</v>
      </c>
      <c r="H9" s="40">
        <v>-3.0505179999999998</v>
      </c>
      <c r="I9" s="40">
        <v>22.516119</v>
      </c>
      <c r="J9" s="40">
        <v>16.584910000000001</v>
      </c>
      <c r="K9" s="47">
        <v>-5.8211089999999999</v>
      </c>
      <c r="L9" s="47">
        <v>2.9095054</v>
      </c>
      <c r="M9" s="47">
        <v>-1.4114439999999999</v>
      </c>
      <c r="N9" s="47">
        <v>-8.0243000000000002</v>
      </c>
    </row>
    <row r="10" spans="1:14" x14ac:dyDescent="0.35">
      <c r="A10" s="2">
        <v>42089</v>
      </c>
      <c r="B10" s="40">
        <v>1.0698198999999999</v>
      </c>
      <c r="C10" s="40">
        <v>-2.8111397999999999</v>
      </c>
      <c r="D10" s="40">
        <v>-3.6871730999999999</v>
      </c>
      <c r="E10" s="40">
        <v>-0.92106460000000001</v>
      </c>
      <c r="F10" s="40">
        <v>16.21641</v>
      </c>
      <c r="G10" s="40">
        <v>1.3296485</v>
      </c>
      <c r="H10" s="40">
        <v>-3.3679605000000001</v>
      </c>
      <c r="I10" s="40">
        <v>21.62856</v>
      </c>
      <c r="J10" s="40">
        <v>13.141000999999999</v>
      </c>
      <c r="K10" s="47">
        <v>-7.1576176</v>
      </c>
      <c r="L10" s="47">
        <v>1.5049695999999999</v>
      </c>
      <c r="M10" s="47">
        <v>-2.7512968</v>
      </c>
      <c r="N10" s="47">
        <v>-11.631506999999999</v>
      </c>
    </row>
    <row r="11" spans="1:14" x14ac:dyDescent="0.35">
      <c r="A11" s="2">
        <v>42118</v>
      </c>
      <c r="B11" s="40">
        <v>-0.33103823999999998</v>
      </c>
      <c r="C11" s="40">
        <v>-5.5024265999999997</v>
      </c>
      <c r="D11" s="40">
        <v>-0.31821727999999999</v>
      </c>
      <c r="E11" s="40">
        <v>-2.8111576999999999</v>
      </c>
      <c r="F11" s="40">
        <v>21.550571000000001</v>
      </c>
      <c r="G11" s="40">
        <v>2.8298736</v>
      </c>
      <c r="H11" s="40">
        <v>-2.1335006000000001</v>
      </c>
      <c r="I11" s="40">
        <v>27.602779999999999</v>
      </c>
      <c r="J11" s="40">
        <v>14.881182000000001</v>
      </c>
      <c r="K11" s="47">
        <v>-6.1245083999999999</v>
      </c>
      <c r="L11" s="47">
        <v>6.0839889999999999</v>
      </c>
      <c r="M11" s="47">
        <v>-1.4478445</v>
      </c>
      <c r="N11" s="47">
        <v>-13.506645000000001</v>
      </c>
    </row>
    <row r="12" spans="1:14" x14ac:dyDescent="0.35">
      <c r="A12" s="2">
        <v>42150</v>
      </c>
      <c r="B12" s="40">
        <v>-4.255903</v>
      </c>
      <c r="C12" s="40">
        <v>-9.8168369999999996</v>
      </c>
      <c r="D12" s="40">
        <v>-7.6633269999999998</v>
      </c>
      <c r="E12" s="40">
        <v>-5.1265000000000001</v>
      </c>
      <c r="F12" s="40">
        <v>16.570710999999999</v>
      </c>
      <c r="G12" s="40">
        <v>1.4267802000000001</v>
      </c>
      <c r="H12" s="40">
        <v>-4.5918226000000004</v>
      </c>
      <c r="I12" s="40">
        <v>22.84423</v>
      </c>
      <c r="J12" s="40">
        <v>12.851524</v>
      </c>
      <c r="K12" s="47">
        <v>-6.937379</v>
      </c>
      <c r="L12" s="47">
        <v>4.7085879999999998</v>
      </c>
      <c r="M12" s="47">
        <v>-4.4188556999999999</v>
      </c>
      <c r="N12" s="47">
        <v>-7.6590594999999997</v>
      </c>
    </row>
    <row r="13" spans="1:14" x14ac:dyDescent="0.35">
      <c r="A13" s="2">
        <v>42181</v>
      </c>
      <c r="B13" s="40">
        <v>-11.957497</v>
      </c>
      <c r="C13" s="40">
        <v>-14.214373</v>
      </c>
      <c r="D13" s="40">
        <v>-11.723077999999999</v>
      </c>
      <c r="E13" s="40">
        <v>-4.1546640000000004</v>
      </c>
      <c r="F13" s="40">
        <v>10.102855999999999</v>
      </c>
      <c r="G13" s="40">
        <v>1.3992906000000001</v>
      </c>
      <c r="H13" s="40">
        <v>-5.6070565999999999</v>
      </c>
      <c r="I13" s="40">
        <v>18.322431999999999</v>
      </c>
      <c r="J13" s="40">
        <v>9.4649315000000005</v>
      </c>
      <c r="K13" s="47">
        <v>-4.7129810000000001</v>
      </c>
      <c r="L13" s="47">
        <v>7.0798993000000001</v>
      </c>
      <c r="M13" s="47">
        <v>-1.4931619</v>
      </c>
      <c r="N13" s="47">
        <v>-7.3374930000000003</v>
      </c>
    </row>
    <row r="14" spans="1:14" x14ac:dyDescent="0.35">
      <c r="A14" s="2">
        <v>42209</v>
      </c>
      <c r="B14" s="40">
        <v>-12.192994000000001</v>
      </c>
      <c r="C14" s="40">
        <v>-20.862425000000002</v>
      </c>
      <c r="D14" s="40">
        <v>-21.849049000000001</v>
      </c>
      <c r="E14" s="40">
        <v>-5.985385</v>
      </c>
      <c r="F14" s="40">
        <v>6.614852</v>
      </c>
      <c r="G14" s="40">
        <v>1.1876941000000001</v>
      </c>
      <c r="H14" s="40">
        <v>-10.297298</v>
      </c>
      <c r="I14" s="40">
        <v>15.621686</v>
      </c>
      <c r="J14" s="40">
        <v>6.7619084999999997</v>
      </c>
      <c r="K14" s="47">
        <v>-4.5349956000000002</v>
      </c>
      <c r="L14" s="47">
        <v>7.1665406000000003</v>
      </c>
      <c r="M14" s="47">
        <v>-5.4086565999999996</v>
      </c>
      <c r="N14" s="47">
        <v>-7.801914</v>
      </c>
    </row>
    <row r="15" spans="1:14" x14ac:dyDescent="0.35">
      <c r="A15" s="2">
        <v>42242</v>
      </c>
      <c r="B15" s="40">
        <v>-15.898770000000001</v>
      </c>
      <c r="C15" s="40">
        <v>-26.106960000000001</v>
      </c>
      <c r="D15" s="40">
        <v>-27.318490000000001</v>
      </c>
      <c r="E15" s="40">
        <v>-8.056146</v>
      </c>
      <c r="F15" s="40">
        <v>2.200377</v>
      </c>
      <c r="G15" s="40">
        <v>-2.4248780000000001</v>
      </c>
      <c r="H15" s="40">
        <v>-14.574843</v>
      </c>
      <c r="I15" s="40">
        <v>4.6585083000000003</v>
      </c>
      <c r="J15" s="40">
        <v>-1.0249257000000001</v>
      </c>
      <c r="K15" s="47">
        <v>-7.1634349999999998</v>
      </c>
      <c r="L15" s="47">
        <v>0.88384149999999995</v>
      </c>
      <c r="M15" s="47">
        <v>-9.5564479999999996</v>
      </c>
      <c r="N15" s="47">
        <v>-5.6089343999999999</v>
      </c>
    </row>
    <row r="16" spans="1:14" x14ac:dyDescent="0.35">
      <c r="A16" s="2">
        <v>42272</v>
      </c>
      <c r="B16" s="40">
        <v>-12.495184</v>
      </c>
      <c r="C16" s="40">
        <v>-21.644514000000001</v>
      </c>
      <c r="D16" s="40">
        <v>-23.420439999999999</v>
      </c>
      <c r="E16" s="40">
        <v>-10.318851</v>
      </c>
      <c r="F16" s="40">
        <v>-0.70015190000000005</v>
      </c>
      <c r="G16" s="40">
        <v>-5.4658889999999998</v>
      </c>
      <c r="H16" s="40">
        <v>-12.846577</v>
      </c>
      <c r="I16" s="40">
        <v>6.4388633000000004</v>
      </c>
      <c r="J16" s="40">
        <v>0.21094083999999999</v>
      </c>
      <c r="K16" s="47">
        <v>-6.9287596000000002</v>
      </c>
      <c r="L16" s="47">
        <v>-2.2112370000000001</v>
      </c>
      <c r="M16" s="47">
        <v>-9.2981929999999995</v>
      </c>
      <c r="N16" s="47">
        <v>-6.0093639999999997</v>
      </c>
    </row>
    <row r="17" spans="1:14" x14ac:dyDescent="0.35">
      <c r="A17" s="2">
        <v>42303</v>
      </c>
      <c r="B17" s="40">
        <v>-3.0005872</v>
      </c>
      <c r="C17" s="40">
        <v>-16.205670000000001</v>
      </c>
      <c r="D17" s="40">
        <v>-17.229413999999998</v>
      </c>
      <c r="E17" s="40">
        <v>4.226172</v>
      </c>
      <c r="F17" s="40">
        <v>12.229096999999999</v>
      </c>
      <c r="G17" s="40">
        <v>3.1971335000000001</v>
      </c>
      <c r="H17" s="40">
        <v>-2.2167623000000001</v>
      </c>
      <c r="I17" s="40">
        <v>15.666962</v>
      </c>
      <c r="J17" s="40">
        <v>7.5144289999999998</v>
      </c>
      <c r="K17" s="47">
        <v>5.6807280000000002</v>
      </c>
      <c r="L17" s="47">
        <v>10.342693000000001</v>
      </c>
      <c r="M17" s="47">
        <v>-2.0266234999999999</v>
      </c>
      <c r="N17" s="47">
        <v>3.6420583999999998</v>
      </c>
    </row>
    <row r="18" spans="1:14" x14ac:dyDescent="0.35">
      <c r="A18" s="2">
        <v>42333</v>
      </c>
      <c r="B18" s="40">
        <v>-6.0889899999999999</v>
      </c>
      <c r="C18" s="40">
        <v>-15.186244</v>
      </c>
      <c r="D18" s="40">
        <v>-23.18892</v>
      </c>
      <c r="E18" s="40">
        <v>-4.3473300000000004</v>
      </c>
      <c r="F18" s="40">
        <v>8.4468359999999993</v>
      </c>
      <c r="G18" s="40">
        <v>-4.5715389999999996</v>
      </c>
      <c r="H18" s="40">
        <v>-7.1941794999999997</v>
      </c>
      <c r="I18" s="40">
        <v>10.058033</v>
      </c>
      <c r="J18" s="40">
        <v>3.1131148</v>
      </c>
      <c r="K18" s="47">
        <v>-2.8947473000000001</v>
      </c>
      <c r="L18" s="47">
        <v>1.9367576</v>
      </c>
      <c r="M18" s="47">
        <v>-8.8254450000000002</v>
      </c>
      <c r="N18" s="47">
        <v>-2.8629362999999999</v>
      </c>
    </row>
    <row r="19" spans="1:14" x14ac:dyDescent="0.35">
      <c r="A19" s="2">
        <v>42362</v>
      </c>
      <c r="B19" s="40">
        <v>-1.5546441</v>
      </c>
      <c r="C19" s="40">
        <v>-10.891843</v>
      </c>
      <c r="D19" s="40">
        <v>-21.940104999999999</v>
      </c>
      <c r="E19" s="40">
        <v>-3.2483876</v>
      </c>
      <c r="F19" s="40">
        <v>6.8800210000000002</v>
      </c>
      <c r="G19" s="40">
        <v>-0.4926741</v>
      </c>
      <c r="H19" s="40">
        <v>-7.4391069999999999</v>
      </c>
      <c r="I19" s="40">
        <v>9.0517040000000009</v>
      </c>
      <c r="J19" s="40">
        <v>1.054573</v>
      </c>
      <c r="K19" s="47">
        <v>-1.2538731000000001</v>
      </c>
      <c r="L19" s="47">
        <v>0.63580274999999997</v>
      </c>
      <c r="M19" s="47">
        <v>-4.1588599999999998</v>
      </c>
      <c r="N19" s="47">
        <v>2.3598552000000002</v>
      </c>
    </row>
    <row r="20" spans="1:14" x14ac:dyDescent="0.35">
      <c r="A20" s="2">
        <v>42395</v>
      </c>
      <c r="B20" s="40">
        <v>-6.7012729999999996</v>
      </c>
      <c r="C20" s="40">
        <v>-17.604064999999999</v>
      </c>
      <c r="D20" s="40">
        <v>-24.757904</v>
      </c>
      <c r="E20" s="40">
        <v>-12.609106000000001</v>
      </c>
      <c r="F20" s="40">
        <v>-2.1703839999999999</v>
      </c>
      <c r="G20" s="40">
        <v>-7.8409433000000002</v>
      </c>
      <c r="H20" s="40">
        <v>-15.880812000000001</v>
      </c>
      <c r="I20" s="40">
        <v>6.186962E-2</v>
      </c>
      <c r="J20" s="40">
        <v>-5.4957985999999996</v>
      </c>
      <c r="K20" s="47">
        <v>-7.6990660000000002</v>
      </c>
      <c r="L20" s="47">
        <v>-3.6571503000000001</v>
      </c>
      <c r="M20" s="47">
        <v>-10.430342</v>
      </c>
      <c r="N20" s="47">
        <v>-10.304981</v>
      </c>
    </row>
    <row r="21" spans="1:14" x14ac:dyDescent="0.35">
      <c r="A21" s="2">
        <v>42426</v>
      </c>
      <c r="B21" s="40">
        <v>-6.4319189999999997</v>
      </c>
      <c r="C21" s="40">
        <v>-22.559196</v>
      </c>
      <c r="D21" s="40">
        <v>-20.985185999999999</v>
      </c>
      <c r="E21" s="40">
        <v>-18.659782</v>
      </c>
      <c r="F21" s="40">
        <v>-9.7038379999999993</v>
      </c>
      <c r="G21" s="40">
        <v>-12.5362215</v>
      </c>
      <c r="H21" s="40">
        <v>-19.012111999999998</v>
      </c>
      <c r="I21" s="40">
        <v>-4.0344477000000003</v>
      </c>
      <c r="J21" s="40">
        <v>-5.7858586000000001</v>
      </c>
      <c r="K21" s="47">
        <v>-11.910761000000001</v>
      </c>
      <c r="L21" s="47">
        <v>-9.6478819999999992</v>
      </c>
      <c r="M21" s="47">
        <v>-16.779482000000002</v>
      </c>
      <c r="N21" s="47">
        <v>-21.930800999999999</v>
      </c>
    </row>
    <row r="22" spans="1:14" x14ac:dyDescent="0.35">
      <c r="A22" s="2">
        <v>42453</v>
      </c>
      <c r="B22" s="40">
        <v>-0.41128397</v>
      </c>
      <c r="C22" s="40">
        <v>-16.026323000000001</v>
      </c>
      <c r="D22" s="40">
        <v>-15.196823999999999</v>
      </c>
      <c r="E22" s="40">
        <v>-15.711599</v>
      </c>
      <c r="F22" s="40">
        <v>-10.511613000000001</v>
      </c>
      <c r="G22" s="40">
        <v>-13.005668</v>
      </c>
      <c r="H22" s="40">
        <v>-14.38998</v>
      </c>
      <c r="I22" s="40">
        <v>0.46263933000000002</v>
      </c>
      <c r="J22" s="40">
        <v>-0.63465240000000001</v>
      </c>
      <c r="K22" s="47">
        <v>-9.138287</v>
      </c>
      <c r="L22" s="47">
        <v>-5.6134043</v>
      </c>
      <c r="M22" s="47">
        <v>-13.572376999999999</v>
      </c>
      <c r="N22" s="47">
        <v>-18.100912000000001</v>
      </c>
    </row>
    <row r="23" spans="1:14" x14ac:dyDescent="0.35">
      <c r="A23" s="2">
        <v>42486</v>
      </c>
      <c r="B23" s="40">
        <v>7.099259</v>
      </c>
      <c r="C23" s="40">
        <v>-10.687059</v>
      </c>
      <c r="D23" s="40">
        <v>-12.582338</v>
      </c>
      <c r="E23" s="40">
        <v>-9.7733919999999994</v>
      </c>
      <c r="F23" s="40">
        <v>-8.1192255000000007</v>
      </c>
      <c r="G23" s="40">
        <v>-9.9652820000000002</v>
      </c>
      <c r="H23" s="40">
        <v>-12.064171</v>
      </c>
      <c r="I23" s="40">
        <v>-0.82114935</v>
      </c>
      <c r="J23" s="40">
        <v>0.83578825000000001</v>
      </c>
      <c r="K23" s="47">
        <v>-6.3562035999999997</v>
      </c>
      <c r="L23" s="47">
        <v>-4.6394586999999996</v>
      </c>
      <c r="M23" s="47">
        <v>-8.2764509999999998</v>
      </c>
      <c r="N23" s="47">
        <v>-15.345711</v>
      </c>
    </row>
    <row r="24" spans="1:14" x14ac:dyDescent="0.35">
      <c r="A24" s="2">
        <v>42516</v>
      </c>
      <c r="B24" s="40">
        <v>12.049580000000001</v>
      </c>
      <c r="C24" s="40">
        <v>-9.5189459999999997</v>
      </c>
      <c r="D24" s="40">
        <v>-9.4720309999999994</v>
      </c>
      <c r="E24" s="40">
        <v>-9.5992929999999994</v>
      </c>
      <c r="F24" s="40">
        <v>-9.4202460000000006</v>
      </c>
      <c r="G24" s="40">
        <v>-9.7211069999999999</v>
      </c>
      <c r="H24" s="40">
        <v>-11.647563999999999</v>
      </c>
      <c r="I24" s="40">
        <v>1.4234424000000001</v>
      </c>
      <c r="J24" s="40">
        <v>1.4943957000000001</v>
      </c>
      <c r="K24" s="47">
        <v>-5.9613886000000003</v>
      </c>
      <c r="L24" s="47">
        <v>-3.4134269000000002</v>
      </c>
      <c r="M24" s="47">
        <v>-9.5648649999999993</v>
      </c>
      <c r="N24" s="47">
        <v>-17.984808000000001</v>
      </c>
    </row>
    <row r="25" spans="1:14" x14ac:dyDescent="0.35">
      <c r="A25" s="2">
        <v>42545</v>
      </c>
      <c r="B25" s="40">
        <v>21.191061000000001</v>
      </c>
      <c r="C25" s="40">
        <v>-10.212873999999999</v>
      </c>
      <c r="D25" s="40">
        <v>-10.539913</v>
      </c>
      <c r="E25" s="40">
        <v>-17.190922</v>
      </c>
      <c r="F25" s="40">
        <v>-11.399084</v>
      </c>
      <c r="G25" s="40">
        <v>-14.019644</v>
      </c>
      <c r="H25" s="40">
        <v>-19.993960999999999</v>
      </c>
      <c r="I25" s="40">
        <v>-4.3124557000000001</v>
      </c>
      <c r="J25" s="40">
        <v>-1.3898790000000001</v>
      </c>
      <c r="K25" s="47">
        <v>-16.413806999999998</v>
      </c>
      <c r="L25" s="47">
        <v>-14.394384000000001</v>
      </c>
      <c r="M25" s="47">
        <v>-18.894917</v>
      </c>
      <c r="N25" s="47">
        <v>-31.189609999999998</v>
      </c>
    </row>
    <row r="26" spans="1:14" x14ac:dyDescent="0.35">
      <c r="A26" s="2">
        <v>42577</v>
      </c>
      <c r="B26" s="40">
        <v>35.499012</v>
      </c>
      <c r="C26" s="40">
        <v>5.9514760000000004</v>
      </c>
      <c r="D26" s="40">
        <v>1.8773198</v>
      </c>
      <c r="E26" s="40">
        <v>-9.1002039999999997</v>
      </c>
      <c r="F26" s="40">
        <v>-5.7986139999999997</v>
      </c>
      <c r="G26" s="40">
        <v>-9.2151219999999991</v>
      </c>
      <c r="H26" s="40">
        <v>-10.209823</v>
      </c>
      <c r="I26" s="40">
        <v>3.5769700000000002</v>
      </c>
      <c r="J26" s="40">
        <v>6.4866780000000004</v>
      </c>
      <c r="K26" s="47">
        <v>-9.2431964999999998</v>
      </c>
      <c r="L26" s="47">
        <v>-7.0818424000000002</v>
      </c>
      <c r="M26" s="47">
        <v>-9.6679324999999992</v>
      </c>
      <c r="N26" s="47">
        <v>-26.611941999999999</v>
      </c>
    </row>
    <row r="27" spans="1:14" x14ac:dyDescent="0.35">
      <c r="A27" s="2">
        <v>42608</v>
      </c>
      <c r="B27" s="40">
        <v>49.413905999999997</v>
      </c>
      <c r="C27" s="40">
        <v>14.133929999999999</v>
      </c>
      <c r="D27" s="40">
        <v>12.731624</v>
      </c>
      <c r="E27" s="40">
        <v>1.1534572000000001</v>
      </c>
      <c r="F27" s="40">
        <v>3.1307936000000001</v>
      </c>
      <c r="G27" s="40">
        <v>-3.2033502999999999</v>
      </c>
      <c r="H27" s="40">
        <v>-1.7695725</v>
      </c>
      <c r="I27" s="40">
        <v>14.6246195</v>
      </c>
      <c r="J27" s="40">
        <v>14.184963</v>
      </c>
      <c r="K27" s="47">
        <v>-1.7810463999999999</v>
      </c>
      <c r="L27" s="47">
        <v>3.0100226000000001</v>
      </c>
      <c r="M27" s="47">
        <v>-6.7442656000000004E-2</v>
      </c>
      <c r="N27" s="47">
        <v>-22.212952000000001</v>
      </c>
    </row>
    <row r="28" spans="1:14" x14ac:dyDescent="0.35">
      <c r="A28" s="2">
        <v>42639</v>
      </c>
      <c r="B28" s="40">
        <v>46.057699999999997</v>
      </c>
      <c r="C28" s="40">
        <v>18.911123</v>
      </c>
      <c r="D28" s="40">
        <v>11.547173000000001</v>
      </c>
      <c r="E28" s="40">
        <v>7.8624844999999999</v>
      </c>
      <c r="F28" s="40">
        <v>9.5725169999999995</v>
      </c>
      <c r="G28" s="40">
        <v>4.2998075</v>
      </c>
      <c r="H28" s="40">
        <v>-0.69293976000000002</v>
      </c>
      <c r="I28" s="40">
        <v>15.301681</v>
      </c>
      <c r="J28" s="40">
        <v>13.497698</v>
      </c>
      <c r="K28" s="47">
        <v>2.5226592999999999</v>
      </c>
      <c r="L28" s="47">
        <v>8.0932030000000008</v>
      </c>
      <c r="M28" s="47">
        <v>4.3054699999999997</v>
      </c>
      <c r="N28" s="47">
        <v>-20.830727</v>
      </c>
    </row>
    <row r="29" spans="1:14" x14ac:dyDescent="0.35">
      <c r="A29" s="2">
        <v>42669</v>
      </c>
      <c r="B29" s="40">
        <v>20.777203</v>
      </c>
      <c r="C29" s="40">
        <v>8.899832</v>
      </c>
      <c r="D29" s="40">
        <v>7.7025056000000003</v>
      </c>
      <c r="E29" s="40">
        <v>-2.8421639999999999</v>
      </c>
      <c r="F29" s="40">
        <v>2.1770477000000001</v>
      </c>
      <c r="G29" s="40">
        <v>-6.5742434999999997</v>
      </c>
      <c r="H29" s="40">
        <v>-10.848998999999999</v>
      </c>
      <c r="I29" s="40">
        <v>6.0879589999999997</v>
      </c>
      <c r="J29" s="40">
        <v>5.4925084000000002</v>
      </c>
      <c r="K29" s="47">
        <v>-5.7502865999999999</v>
      </c>
      <c r="L29" s="47">
        <v>-1.0552347</v>
      </c>
      <c r="M29" s="47">
        <v>-3.7439287000000001</v>
      </c>
      <c r="N29" s="47">
        <v>-22.595692</v>
      </c>
    </row>
    <row r="30" spans="1:14" x14ac:dyDescent="0.35">
      <c r="A30" s="2">
        <v>42699</v>
      </c>
      <c r="B30" s="40">
        <v>22.404395999999998</v>
      </c>
      <c r="C30" s="40">
        <v>13.336563</v>
      </c>
      <c r="D30" s="40">
        <v>13.768482000000001</v>
      </c>
      <c r="E30" s="40">
        <v>-4.8837422999999998</v>
      </c>
      <c r="F30" s="40">
        <v>0.1711607</v>
      </c>
      <c r="G30" s="40">
        <v>-5.1581619999999999</v>
      </c>
      <c r="H30" s="40">
        <v>-7.8124760000000002</v>
      </c>
      <c r="I30" s="40">
        <v>5.2518845000000001</v>
      </c>
      <c r="J30" s="40">
        <v>8.1205730000000003</v>
      </c>
      <c r="K30" s="47">
        <v>-3.52996</v>
      </c>
      <c r="L30" s="47">
        <v>-2.0626128000000001</v>
      </c>
      <c r="M30" s="47">
        <v>-2.8994620000000002</v>
      </c>
      <c r="N30" s="47">
        <v>-22.720772</v>
      </c>
    </row>
    <row r="31" spans="1:14" x14ac:dyDescent="0.35">
      <c r="A31" s="2">
        <v>42727</v>
      </c>
      <c r="B31" s="40">
        <v>11.9933605</v>
      </c>
      <c r="C31" s="40">
        <v>11.527753000000001</v>
      </c>
      <c r="D31" s="40">
        <v>21.074712999999999</v>
      </c>
      <c r="E31" s="40">
        <v>0.62928200000000001</v>
      </c>
      <c r="F31" s="40">
        <v>3.3885480000000001</v>
      </c>
      <c r="G31" s="40">
        <v>-4.1855630000000001</v>
      </c>
      <c r="H31" s="40">
        <v>-3.4477532000000002</v>
      </c>
      <c r="I31" s="40">
        <v>7.9325080000000003</v>
      </c>
      <c r="J31" s="40">
        <v>11.9133835</v>
      </c>
      <c r="K31" s="47">
        <v>1.9278287999999999</v>
      </c>
      <c r="L31" s="47">
        <v>2.4340272000000001</v>
      </c>
      <c r="M31" s="47">
        <v>-0.123399496</v>
      </c>
      <c r="N31" s="47">
        <v>-11.171996999999999</v>
      </c>
    </row>
    <row r="32" spans="1:14" x14ac:dyDescent="0.35">
      <c r="A32" s="2">
        <v>42761</v>
      </c>
      <c r="B32" s="40">
        <v>29.509329999999999</v>
      </c>
      <c r="C32" s="40">
        <v>28.595293000000002</v>
      </c>
      <c r="D32" s="40">
        <v>39.614531999999997</v>
      </c>
      <c r="E32" s="40">
        <v>16.515863</v>
      </c>
      <c r="F32" s="40">
        <v>16.65746</v>
      </c>
      <c r="G32" s="40">
        <v>8.4096670000000007</v>
      </c>
      <c r="H32" s="40">
        <v>9.8239180000000008</v>
      </c>
      <c r="I32" s="40">
        <v>23.085487000000001</v>
      </c>
      <c r="J32" s="40">
        <v>23.166048</v>
      </c>
      <c r="K32" s="47">
        <v>12.802659999999999</v>
      </c>
      <c r="L32" s="47">
        <v>10.946453</v>
      </c>
      <c r="M32" s="47">
        <v>13.981056000000001</v>
      </c>
      <c r="N32" s="47">
        <v>3.5439967999999999</v>
      </c>
    </row>
    <row r="33" spans="1:14" x14ac:dyDescent="0.35">
      <c r="A33" s="2">
        <v>42790</v>
      </c>
      <c r="B33" s="40">
        <v>21.070826</v>
      </c>
      <c r="C33" s="40">
        <v>30.783998</v>
      </c>
      <c r="D33" s="40">
        <v>30.524206</v>
      </c>
      <c r="E33" s="40">
        <v>20.330894000000001</v>
      </c>
      <c r="F33" s="40">
        <v>20.059132000000002</v>
      </c>
      <c r="G33" s="40">
        <v>12.378323</v>
      </c>
      <c r="H33" s="40">
        <v>13.311458</v>
      </c>
      <c r="I33" s="40">
        <v>28.439962000000001</v>
      </c>
      <c r="J33" s="40">
        <v>25.171423000000001</v>
      </c>
      <c r="K33" s="47">
        <v>13.392199</v>
      </c>
      <c r="L33" s="47">
        <v>15.899622000000001</v>
      </c>
      <c r="M33" s="47">
        <v>15.500296000000001</v>
      </c>
      <c r="N33" s="47">
        <v>8.0842860000000005</v>
      </c>
    </row>
    <row r="34" spans="1:14" x14ac:dyDescent="0.35">
      <c r="A34" s="2">
        <v>42818</v>
      </c>
      <c r="B34" s="40">
        <v>10.338806999999999</v>
      </c>
      <c r="C34" s="40">
        <v>20.049631000000002</v>
      </c>
      <c r="D34" s="40">
        <v>16.967796</v>
      </c>
      <c r="E34" s="40">
        <v>16.224896999999999</v>
      </c>
      <c r="F34" s="40">
        <v>16.508330000000001</v>
      </c>
      <c r="G34" s="40">
        <v>12.977658999999999</v>
      </c>
      <c r="H34" s="40">
        <v>9.5905299999999993</v>
      </c>
      <c r="I34" s="40">
        <v>23.040903</v>
      </c>
      <c r="J34" s="40">
        <v>17.518974</v>
      </c>
      <c r="K34" s="47">
        <v>14.245521999999999</v>
      </c>
      <c r="L34" s="47">
        <v>14.094567</v>
      </c>
      <c r="M34" s="47">
        <v>14.931309000000001</v>
      </c>
      <c r="N34" s="47">
        <v>9.845936</v>
      </c>
    </row>
    <row r="35" spans="1:14" x14ac:dyDescent="0.35">
      <c r="A35" s="2">
        <v>42851</v>
      </c>
      <c r="B35" s="40">
        <v>7.2866917000000004</v>
      </c>
      <c r="C35" s="40">
        <v>14.952982</v>
      </c>
      <c r="D35" s="40">
        <v>7.6102970000000001</v>
      </c>
      <c r="E35" s="40">
        <v>15.302396</v>
      </c>
      <c r="F35" s="40">
        <v>9.8897700000000004</v>
      </c>
      <c r="G35" s="40">
        <v>11.351013</v>
      </c>
      <c r="H35" s="40">
        <v>5.1573276999999997</v>
      </c>
      <c r="I35" s="40">
        <v>25.705862</v>
      </c>
      <c r="J35" s="40">
        <v>16.474974</v>
      </c>
      <c r="K35" s="47">
        <v>15.670764999999999</v>
      </c>
      <c r="L35" s="47">
        <v>16.693104000000002</v>
      </c>
      <c r="M35" s="47">
        <v>13.221455000000001</v>
      </c>
      <c r="N35" s="47">
        <v>9.8991030000000002</v>
      </c>
    </row>
    <row r="36" spans="1:14" x14ac:dyDescent="0.35">
      <c r="A36" s="2">
        <v>42881</v>
      </c>
      <c r="B36" s="40">
        <v>12.167358</v>
      </c>
      <c r="C36" s="40">
        <v>15.362465</v>
      </c>
      <c r="D36" s="40">
        <v>8.6000440000000005</v>
      </c>
      <c r="E36" s="40">
        <v>20.970189999999999</v>
      </c>
      <c r="F36" s="40">
        <v>15.581142</v>
      </c>
      <c r="G36" s="40">
        <v>16.371845</v>
      </c>
      <c r="H36" s="40">
        <v>8.7434180000000001</v>
      </c>
      <c r="I36" s="40">
        <v>30.223274</v>
      </c>
      <c r="J36" s="40">
        <v>17.854773999999999</v>
      </c>
      <c r="K36" s="47">
        <v>21.672153000000002</v>
      </c>
      <c r="L36" s="47">
        <v>21.035803000000001</v>
      </c>
      <c r="M36" s="47">
        <v>18.985199000000001</v>
      </c>
      <c r="N36" s="47">
        <v>19.481743000000002</v>
      </c>
    </row>
    <row r="37" spans="1:14" x14ac:dyDescent="0.35">
      <c r="A37" s="2">
        <v>42912</v>
      </c>
      <c r="B37" s="40">
        <v>16.096900000000002</v>
      </c>
      <c r="C37" s="40">
        <v>18.574715000000001</v>
      </c>
      <c r="D37" s="40">
        <v>11.4923</v>
      </c>
      <c r="E37" s="40">
        <v>32.763979999999997</v>
      </c>
      <c r="F37" s="40">
        <v>20.995308000000001</v>
      </c>
      <c r="G37" s="40">
        <v>24.440024999999999</v>
      </c>
      <c r="H37" s="40">
        <v>17.92351</v>
      </c>
      <c r="I37" s="40">
        <v>36.190178000000003</v>
      </c>
      <c r="J37" s="40">
        <v>22.209620999999999</v>
      </c>
      <c r="K37" s="47">
        <v>35.053825000000003</v>
      </c>
      <c r="L37" s="47">
        <v>33.579242999999998</v>
      </c>
      <c r="M37" s="47">
        <v>32.173774999999999</v>
      </c>
      <c r="N37" s="47">
        <v>37.509216000000002</v>
      </c>
    </row>
    <row r="38" spans="1:14" x14ac:dyDescent="0.35">
      <c r="A38" s="2">
        <v>42942</v>
      </c>
      <c r="B38" s="40">
        <v>11.326969</v>
      </c>
      <c r="C38" s="40">
        <v>16.828749999999999</v>
      </c>
      <c r="D38" s="40">
        <v>14.153206000000001</v>
      </c>
      <c r="E38" s="40">
        <v>25.373004999999999</v>
      </c>
      <c r="F38" s="40">
        <v>16.715288000000001</v>
      </c>
      <c r="G38" s="40">
        <v>19.069744</v>
      </c>
      <c r="H38" s="40">
        <v>14.265656</v>
      </c>
      <c r="I38" s="40">
        <v>28.629090000000001</v>
      </c>
      <c r="J38" s="40">
        <v>16.479229</v>
      </c>
      <c r="K38" s="47">
        <v>29.660499999999999</v>
      </c>
      <c r="L38" s="47">
        <v>31.471751999999999</v>
      </c>
      <c r="M38" s="47">
        <v>26.384734999999999</v>
      </c>
      <c r="N38" s="47">
        <v>39.130093000000002</v>
      </c>
    </row>
    <row r="39" spans="1:14" x14ac:dyDescent="0.35">
      <c r="A39" s="2">
        <v>42972</v>
      </c>
      <c r="B39" s="40">
        <v>4.4968367000000002</v>
      </c>
      <c r="C39" s="40">
        <v>13.696574999999999</v>
      </c>
      <c r="D39" s="40">
        <v>9.878838</v>
      </c>
      <c r="E39" s="40">
        <v>20.419167999999999</v>
      </c>
      <c r="F39" s="40">
        <v>12.412394000000001</v>
      </c>
      <c r="G39" s="40">
        <v>15.485716</v>
      </c>
      <c r="H39" s="40">
        <v>9.5300309999999993</v>
      </c>
      <c r="I39" s="40">
        <v>23.00582</v>
      </c>
      <c r="J39" s="40">
        <v>14.625764</v>
      </c>
      <c r="K39" s="47">
        <v>26.977957</v>
      </c>
      <c r="L39" s="47">
        <v>27.1675</v>
      </c>
      <c r="M39" s="47">
        <v>22.121870000000001</v>
      </c>
      <c r="N39" s="47">
        <v>38.812385999999996</v>
      </c>
    </row>
    <row r="40" spans="1:14" x14ac:dyDescent="0.35">
      <c r="A40" s="2">
        <v>43004</v>
      </c>
      <c r="B40" s="40">
        <v>7.7312110000000001</v>
      </c>
      <c r="C40" s="40">
        <v>14.902962</v>
      </c>
      <c r="D40" s="40">
        <v>16.420020000000001</v>
      </c>
      <c r="E40" s="40">
        <v>24.566889</v>
      </c>
      <c r="F40" s="40">
        <v>12.856293000000001</v>
      </c>
      <c r="G40" s="40">
        <v>16.076136000000002</v>
      </c>
      <c r="H40" s="40">
        <v>14.429021000000001</v>
      </c>
      <c r="I40" s="40">
        <v>23.235534999999999</v>
      </c>
      <c r="J40" s="40">
        <v>18.615925000000001</v>
      </c>
      <c r="K40" s="47">
        <v>29.985023000000002</v>
      </c>
      <c r="L40" s="47">
        <v>27.939606000000001</v>
      </c>
      <c r="M40" s="47">
        <v>25.680042</v>
      </c>
      <c r="N40" s="47">
        <v>46.354570000000002</v>
      </c>
    </row>
    <row r="41" spans="1:14" x14ac:dyDescent="0.35">
      <c r="A41" s="2">
        <v>43034</v>
      </c>
      <c r="B41" s="40">
        <v>11.962593</v>
      </c>
      <c r="C41" s="40">
        <v>15.521288</v>
      </c>
      <c r="D41" s="40">
        <v>14.546192</v>
      </c>
      <c r="E41" s="40">
        <v>29.217397999999999</v>
      </c>
      <c r="F41" s="40">
        <v>17.324960000000001</v>
      </c>
      <c r="G41" s="40">
        <v>20.719957000000001</v>
      </c>
      <c r="H41" s="40">
        <v>19.486999999999998</v>
      </c>
      <c r="I41" s="40">
        <v>25.386524000000001</v>
      </c>
      <c r="J41" s="40">
        <v>22.015131</v>
      </c>
      <c r="K41" s="47">
        <v>33.541203000000003</v>
      </c>
      <c r="L41" s="47">
        <v>32.641815000000001</v>
      </c>
      <c r="M41" s="47">
        <v>29.183626</v>
      </c>
      <c r="N41" s="47">
        <v>41.100679999999997</v>
      </c>
    </row>
    <row r="42" spans="1:14" x14ac:dyDescent="0.35">
      <c r="A42" s="2">
        <v>43063</v>
      </c>
      <c r="B42" s="40">
        <v>15.596080000000001</v>
      </c>
      <c r="C42" s="40">
        <v>16.743195</v>
      </c>
      <c r="D42" s="40">
        <v>15.498780999999999</v>
      </c>
      <c r="E42" s="40">
        <v>36.963237999999997</v>
      </c>
      <c r="F42" s="40">
        <v>22.511887000000002</v>
      </c>
      <c r="G42" s="40">
        <v>28.2897</v>
      </c>
      <c r="H42" s="40">
        <v>20.156265000000001</v>
      </c>
      <c r="I42" s="40">
        <v>33.276260000000001</v>
      </c>
      <c r="J42" s="40">
        <v>20.358456</v>
      </c>
      <c r="K42" s="47">
        <v>38.560020000000002</v>
      </c>
      <c r="L42" s="47">
        <v>38.450836000000002</v>
      </c>
      <c r="M42" s="47">
        <v>29.71462</v>
      </c>
      <c r="N42" s="47">
        <v>50.491833</v>
      </c>
    </row>
    <row r="43" spans="1:14" x14ac:dyDescent="0.35">
      <c r="A43" s="2">
        <v>43095</v>
      </c>
      <c r="B43" s="40">
        <v>24.573443999999999</v>
      </c>
      <c r="C43" s="40">
        <v>19.965446</v>
      </c>
      <c r="D43" s="40">
        <v>14.611255999999999</v>
      </c>
      <c r="E43" s="40">
        <v>28.581512</v>
      </c>
      <c r="F43" s="40">
        <v>22.250128</v>
      </c>
      <c r="G43" s="40">
        <v>22.740304999999999</v>
      </c>
      <c r="H43" s="40">
        <v>20.995032999999999</v>
      </c>
      <c r="I43" s="40">
        <v>31.404219999999999</v>
      </c>
      <c r="J43" s="40">
        <v>20.673931</v>
      </c>
      <c r="K43" s="47">
        <v>30.398309999999999</v>
      </c>
      <c r="L43" s="47">
        <v>33.801246999999996</v>
      </c>
      <c r="M43" s="47">
        <v>23.084019999999999</v>
      </c>
      <c r="N43" s="47">
        <v>30.531549999999999</v>
      </c>
    </row>
    <row r="44" spans="1:14" x14ac:dyDescent="0.35">
      <c r="A44" s="2">
        <v>43126</v>
      </c>
      <c r="B44" s="40">
        <v>17.491758000000001</v>
      </c>
      <c r="C44" s="40">
        <v>18.307507000000001</v>
      </c>
      <c r="D44" s="40">
        <v>12.710535</v>
      </c>
      <c r="E44" s="40">
        <v>30.754470000000001</v>
      </c>
      <c r="F44" s="40">
        <v>27.849174000000001</v>
      </c>
      <c r="G44" s="40">
        <v>25.519107999999999</v>
      </c>
      <c r="H44" s="40">
        <v>24.759626000000001</v>
      </c>
      <c r="I44" s="40">
        <v>37.376021999999999</v>
      </c>
      <c r="J44" s="40">
        <v>27.388168</v>
      </c>
      <c r="K44" s="47">
        <v>36.68573</v>
      </c>
      <c r="L44" s="47">
        <v>39.839911999999998</v>
      </c>
      <c r="M44" s="47">
        <v>23.974250000000001</v>
      </c>
      <c r="N44" s="47">
        <v>44.272922999999999</v>
      </c>
    </row>
    <row r="45" spans="1:14" x14ac:dyDescent="0.35">
      <c r="A45" s="2">
        <v>43157</v>
      </c>
      <c r="B45" s="40">
        <v>20.712340000000001</v>
      </c>
      <c r="C45" s="40">
        <v>11.307276</v>
      </c>
      <c r="D45" s="40">
        <v>7.2931290000000004</v>
      </c>
      <c r="E45" s="40">
        <v>23.776436</v>
      </c>
      <c r="F45" s="40">
        <v>22.833013999999999</v>
      </c>
      <c r="G45" s="40">
        <v>18.232178000000001</v>
      </c>
      <c r="H45" s="40">
        <v>16.390561999999999</v>
      </c>
      <c r="I45" s="40">
        <v>32.008670000000002</v>
      </c>
      <c r="J45" s="40">
        <v>19.663322000000001</v>
      </c>
      <c r="K45" s="47">
        <v>32.945107</v>
      </c>
      <c r="L45" s="47">
        <v>30.786873</v>
      </c>
      <c r="M45" s="47">
        <v>18.482315</v>
      </c>
      <c r="N45" s="47">
        <v>43.555213999999999</v>
      </c>
    </row>
    <row r="46" spans="1:14" x14ac:dyDescent="0.35">
      <c r="A46" s="2">
        <v>43185</v>
      </c>
      <c r="B46" s="40">
        <v>25.395966000000001</v>
      </c>
      <c r="C46" s="40">
        <v>5.1402450000000002</v>
      </c>
      <c r="D46" s="40">
        <v>5.387759</v>
      </c>
      <c r="E46" s="40">
        <v>14.376329999999999</v>
      </c>
      <c r="F46" s="40">
        <v>15.460563</v>
      </c>
      <c r="G46" s="40">
        <v>8.8262669999999996</v>
      </c>
      <c r="H46" s="40">
        <v>11.072874000000001</v>
      </c>
      <c r="I46" s="40">
        <v>26.945639</v>
      </c>
      <c r="J46" s="40">
        <v>15.520514</v>
      </c>
      <c r="K46" s="47">
        <v>21.716094999999999</v>
      </c>
      <c r="L46" s="47">
        <v>21.051956000000001</v>
      </c>
      <c r="M46" s="47">
        <v>9.2806224999999998</v>
      </c>
      <c r="N46" s="47">
        <v>28.007280000000002</v>
      </c>
    </row>
    <row r="47" spans="1:14" x14ac:dyDescent="0.35">
      <c r="A47" s="2">
        <v>43216</v>
      </c>
      <c r="B47" s="40">
        <v>16.621255999999999</v>
      </c>
      <c r="C47" s="40">
        <v>3.9675235999999998</v>
      </c>
      <c r="D47" s="40">
        <v>8.2838650000000005</v>
      </c>
      <c r="E47" s="40">
        <v>11.796200000000001</v>
      </c>
      <c r="F47" s="40">
        <v>18.597376000000001</v>
      </c>
      <c r="G47" s="40">
        <v>5.1240443999999998</v>
      </c>
      <c r="H47" s="40">
        <v>14.466548</v>
      </c>
      <c r="I47" s="40">
        <v>21.089480999999999</v>
      </c>
      <c r="J47" s="40">
        <v>13.833534</v>
      </c>
      <c r="K47" s="47">
        <v>18.801558</v>
      </c>
      <c r="L47" s="47">
        <v>16.895603000000001</v>
      </c>
      <c r="M47" s="47">
        <v>3.8550973000000002</v>
      </c>
      <c r="N47" s="47">
        <v>30.300653000000001</v>
      </c>
    </row>
    <row r="48" spans="1:14" x14ac:dyDescent="0.35">
      <c r="A48" s="2">
        <v>43245</v>
      </c>
      <c r="B48" s="40">
        <v>13.247908000000001</v>
      </c>
      <c r="C48" s="40">
        <v>8.508146</v>
      </c>
      <c r="D48" s="40">
        <v>11.625147</v>
      </c>
      <c r="E48" s="40">
        <v>6.2983035999999997</v>
      </c>
      <c r="F48" s="40">
        <v>14.624357</v>
      </c>
      <c r="G48" s="40">
        <v>-0.52510500000000004</v>
      </c>
      <c r="H48" s="40">
        <v>8.5830330000000004</v>
      </c>
      <c r="I48" s="40">
        <v>21.440971000000001</v>
      </c>
      <c r="J48" s="40">
        <v>14.713049</v>
      </c>
      <c r="K48" s="47">
        <v>11.922872999999999</v>
      </c>
      <c r="L48" s="47">
        <v>10.003435</v>
      </c>
      <c r="M48" s="47">
        <v>0.93491080000000004</v>
      </c>
      <c r="N48" s="47">
        <v>10.0389</v>
      </c>
    </row>
    <row r="49" spans="1:14" x14ac:dyDescent="0.35">
      <c r="A49" s="2">
        <v>43277</v>
      </c>
      <c r="B49" s="40">
        <v>11.055279000000001</v>
      </c>
      <c r="C49" s="40">
        <v>9.4014170000000004</v>
      </c>
      <c r="D49" s="40">
        <v>8.8827970000000001</v>
      </c>
      <c r="E49" s="40">
        <v>0.69200989999999996</v>
      </c>
      <c r="F49" s="40">
        <v>9.9666359999999994</v>
      </c>
      <c r="G49" s="40">
        <v>-3.8860857000000002</v>
      </c>
      <c r="H49" s="40">
        <v>8.4981679999999997</v>
      </c>
      <c r="I49" s="40">
        <v>23.390747000000001</v>
      </c>
      <c r="J49" s="40">
        <v>13.718116999999999</v>
      </c>
      <c r="K49" s="47">
        <v>7.5599550000000004</v>
      </c>
      <c r="L49" s="47">
        <v>7.3045014999999998</v>
      </c>
      <c r="M49" s="47">
        <v>-4.1435122</v>
      </c>
      <c r="N49" s="47">
        <v>6.9518209999999998</v>
      </c>
    </row>
    <row r="50" spans="1:14" x14ac:dyDescent="0.35">
      <c r="A50" s="2">
        <v>43307</v>
      </c>
      <c r="B50" s="40">
        <v>4.1353226000000003</v>
      </c>
      <c r="C50" s="40">
        <v>3.6901950000000001</v>
      </c>
      <c r="D50" s="40">
        <v>6.2806369999999996</v>
      </c>
      <c r="E50" s="40">
        <v>3.9055586</v>
      </c>
      <c r="F50" s="40">
        <v>10.829878000000001</v>
      </c>
      <c r="G50" s="40">
        <v>1.5926480000000001</v>
      </c>
      <c r="H50" s="40">
        <v>6.0236096000000003</v>
      </c>
      <c r="I50" s="40">
        <v>25.289774000000001</v>
      </c>
      <c r="J50" s="40">
        <v>16.648637999999998</v>
      </c>
      <c r="K50" s="47">
        <v>8.2300299999999993</v>
      </c>
      <c r="L50" s="47">
        <v>5.6588409999999998</v>
      </c>
      <c r="M50" s="47">
        <v>-1.0208786000000001</v>
      </c>
      <c r="N50" s="47">
        <v>2.2507071000000001</v>
      </c>
    </row>
    <row r="51" spans="1:14" x14ac:dyDescent="0.35">
      <c r="A51" s="2">
        <v>43336</v>
      </c>
      <c r="B51" s="40">
        <v>8.0800169999999998</v>
      </c>
      <c r="C51" s="40">
        <v>4.1887879999999997</v>
      </c>
      <c r="D51" s="40">
        <v>7.0709229999999996</v>
      </c>
      <c r="E51" s="40">
        <v>1.2724161</v>
      </c>
      <c r="F51" s="40">
        <v>7.8815220000000004</v>
      </c>
      <c r="G51" s="40">
        <v>3.6479472999999998</v>
      </c>
      <c r="H51" s="40">
        <v>5.6243895999999998</v>
      </c>
      <c r="I51" s="40">
        <v>29.301272999999998</v>
      </c>
      <c r="J51" s="40">
        <v>20.034206000000001</v>
      </c>
      <c r="K51" s="47">
        <v>8.2229980000000005</v>
      </c>
      <c r="L51" s="47">
        <v>4.1126965999999996</v>
      </c>
      <c r="M51" s="47">
        <v>-1.514113</v>
      </c>
      <c r="N51" s="47">
        <v>-4.4710340000000004</v>
      </c>
    </row>
    <row r="52" spans="1:14" x14ac:dyDescent="0.35">
      <c r="A52" s="2">
        <v>43369</v>
      </c>
      <c r="B52" s="40">
        <v>8.5453030000000005</v>
      </c>
      <c r="C52" s="40">
        <v>3.3041</v>
      </c>
      <c r="D52" s="40">
        <v>1.6950965</v>
      </c>
      <c r="E52" s="40">
        <v>-1.8838286</v>
      </c>
      <c r="F52" s="40">
        <v>10.517549499999999</v>
      </c>
      <c r="G52" s="40">
        <v>3.540969</v>
      </c>
      <c r="H52" s="40">
        <v>3.9807557999999998</v>
      </c>
      <c r="I52" s="40">
        <v>29.696929999999998</v>
      </c>
      <c r="J52" s="40">
        <v>18.500423000000001</v>
      </c>
      <c r="K52" s="47">
        <v>7.0019363999999999</v>
      </c>
      <c r="L52" s="47">
        <v>1.5375972</v>
      </c>
      <c r="M52" s="47">
        <v>-1.0303675999999999</v>
      </c>
      <c r="N52" s="47">
        <v>-2.495581</v>
      </c>
    </row>
    <row r="53" spans="1:14" x14ac:dyDescent="0.35">
      <c r="A53" s="2">
        <v>43399</v>
      </c>
      <c r="B53" s="40">
        <v>0.57024956000000004</v>
      </c>
      <c r="C53" s="40">
        <v>-8.1027389999999997</v>
      </c>
      <c r="D53" s="40">
        <v>-6.4311084999999997</v>
      </c>
      <c r="E53" s="40">
        <v>-15.889203999999999</v>
      </c>
      <c r="F53" s="40">
        <v>-5.5586042000000004</v>
      </c>
      <c r="G53" s="40">
        <v>-3.5609185999999999</v>
      </c>
      <c r="H53" s="40">
        <v>-6.073099</v>
      </c>
      <c r="I53" s="40">
        <v>14.277113</v>
      </c>
      <c r="J53" s="40">
        <v>5.6895255999999996</v>
      </c>
      <c r="K53" s="47">
        <v>-7.8504560000000003</v>
      </c>
      <c r="L53" s="47">
        <v>-11.246103</v>
      </c>
      <c r="M53" s="47">
        <v>-14.568156</v>
      </c>
      <c r="N53" s="47">
        <v>-16.736746</v>
      </c>
    </row>
    <row r="54" spans="1:14" x14ac:dyDescent="0.35">
      <c r="A54" s="2">
        <v>43430</v>
      </c>
      <c r="B54" s="40">
        <v>6.4983009999999997</v>
      </c>
      <c r="C54" s="40">
        <v>-5.1920890000000002</v>
      </c>
      <c r="D54" s="40">
        <v>-8.50197</v>
      </c>
      <c r="E54" s="40">
        <v>-16.616743</v>
      </c>
      <c r="F54" s="40">
        <v>-7.3948802999999996</v>
      </c>
      <c r="G54" s="40">
        <v>-4.04284</v>
      </c>
      <c r="H54" s="40">
        <v>-5.1455260000000003</v>
      </c>
      <c r="I54" s="40">
        <v>5.0445795000000002</v>
      </c>
      <c r="J54" s="40">
        <v>4.6140549999999996</v>
      </c>
      <c r="K54" s="47">
        <v>-9.0108759999999997</v>
      </c>
      <c r="L54" s="47">
        <v>-8.8360420000000008</v>
      </c>
      <c r="M54" s="47">
        <v>-12.209147</v>
      </c>
      <c r="N54" s="47">
        <v>-15.612114</v>
      </c>
    </row>
    <row r="55" spans="1:14" x14ac:dyDescent="0.35">
      <c r="A55" s="2">
        <v>43460</v>
      </c>
      <c r="B55" s="40">
        <v>0.40924549999999998</v>
      </c>
      <c r="C55" s="40">
        <v>-12.180239</v>
      </c>
      <c r="D55" s="40">
        <v>-16.571701000000001</v>
      </c>
      <c r="E55" s="40">
        <v>-22.307342999999999</v>
      </c>
      <c r="F55" s="40">
        <v>-15.334463</v>
      </c>
      <c r="G55" s="40">
        <v>-9.0117220000000007</v>
      </c>
      <c r="H55" s="40">
        <v>-13.303226</v>
      </c>
      <c r="I55" s="40">
        <v>-1.7611146</v>
      </c>
      <c r="J55" s="40">
        <v>-6.1014710000000001</v>
      </c>
      <c r="K55" s="47">
        <v>-13.735217</v>
      </c>
      <c r="L55" s="47">
        <v>-15.790813999999999</v>
      </c>
      <c r="M55" s="47">
        <v>-15.630126000000001</v>
      </c>
      <c r="N55" s="47">
        <v>-19.2164</v>
      </c>
    </row>
    <row r="56" spans="1:14" x14ac:dyDescent="0.35">
      <c r="A56" s="2">
        <v>43490</v>
      </c>
      <c r="B56" s="40">
        <v>3.4067392000000001</v>
      </c>
      <c r="C56" s="40">
        <v>-8.6964129999999997</v>
      </c>
      <c r="D56" s="40">
        <v>-9.6668660000000006</v>
      </c>
      <c r="E56" s="40">
        <v>-21.833206000000001</v>
      </c>
      <c r="F56" s="40">
        <v>-14.698207999999999</v>
      </c>
      <c r="G56" s="40">
        <v>-9.318066</v>
      </c>
      <c r="H56" s="40">
        <v>-13.956474999999999</v>
      </c>
      <c r="I56" s="40">
        <v>-1.0620892</v>
      </c>
      <c r="J56" s="40">
        <v>-4.3903055000000002</v>
      </c>
      <c r="K56" s="47">
        <v>-15.093237</v>
      </c>
      <c r="L56" s="47">
        <v>-15.064871</v>
      </c>
      <c r="M56" s="47">
        <v>-14.793908999999999</v>
      </c>
      <c r="N56" s="47">
        <v>-20.660568000000001</v>
      </c>
    </row>
    <row r="57" spans="1:14" x14ac:dyDescent="0.35">
      <c r="A57" s="2">
        <v>43522</v>
      </c>
      <c r="B57" s="40">
        <v>5.4221034000000001</v>
      </c>
      <c r="C57" s="40">
        <v>-3.4485161</v>
      </c>
      <c r="D57" s="40">
        <v>8.0823900000000004E-2</v>
      </c>
      <c r="E57" s="40">
        <v>-15.926594</v>
      </c>
      <c r="F57" s="40">
        <v>-10.273033</v>
      </c>
      <c r="G57" s="40">
        <v>-0.46608448000000002</v>
      </c>
      <c r="H57" s="40">
        <v>-4.0794252999999996</v>
      </c>
      <c r="I57" s="40">
        <v>2.8081535999999998</v>
      </c>
      <c r="J57" s="40">
        <v>2.4329662000000001</v>
      </c>
      <c r="K57" s="47">
        <v>-7.2255554000000002</v>
      </c>
      <c r="L57" s="47">
        <v>-6.7121744000000003</v>
      </c>
      <c r="M57" s="47">
        <v>-9.6302450000000004</v>
      </c>
      <c r="N57" s="47">
        <v>-13.871586000000001</v>
      </c>
    </row>
    <row r="58" spans="1:14" x14ac:dyDescent="0.35">
      <c r="A58" s="2">
        <v>43550</v>
      </c>
      <c r="B58" s="40">
        <v>6.5317273</v>
      </c>
      <c r="C58" s="40">
        <v>1.9425034999999999</v>
      </c>
      <c r="D58" s="40">
        <v>3.3799290000000002</v>
      </c>
      <c r="E58" s="40">
        <v>-13.773130999999999</v>
      </c>
      <c r="F58" s="40">
        <v>-5.6517720000000002</v>
      </c>
      <c r="G58" s="40">
        <v>5.2075744000000004</v>
      </c>
      <c r="H58" s="40">
        <v>-9.7417829999999997E-2</v>
      </c>
      <c r="I58" s="40">
        <v>9.8601100000000006</v>
      </c>
      <c r="J58" s="40">
        <v>8.1079720000000002</v>
      </c>
      <c r="K58" s="47">
        <v>-4.2111397000000004</v>
      </c>
      <c r="L58" s="47">
        <v>-5.0777673999999999</v>
      </c>
      <c r="M58" s="47">
        <v>-4.6811284999999998</v>
      </c>
      <c r="N58" s="47">
        <v>-10.093612</v>
      </c>
    </row>
    <row r="59" spans="1:14" x14ac:dyDescent="0.35">
      <c r="A59" s="2">
        <v>43581</v>
      </c>
      <c r="B59" s="40">
        <v>13.34455</v>
      </c>
      <c r="C59" s="40">
        <v>4.3678879999999998</v>
      </c>
      <c r="D59" s="40">
        <v>3.8315058</v>
      </c>
      <c r="E59" s="40">
        <v>-10.119664999999999</v>
      </c>
      <c r="F59" s="40">
        <v>-7.6835035999999999</v>
      </c>
      <c r="G59" s="40">
        <v>8.3309060000000006</v>
      </c>
      <c r="H59" s="40">
        <v>-3.5812200000000001</v>
      </c>
      <c r="I59" s="40">
        <v>18.717860999999999</v>
      </c>
      <c r="J59" s="40">
        <v>12.325811</v>
      </c>
      <c r="K59" s="47">
        <v>-3.9221764000000001</v>
      </c>
      <c r="L59" s="47">
        <v>-1.4939427000000001</v>
      </c>
      <c r="M59" s="47">
        <v>1.39575</v>
      </c>
      <c r="N59" s="47">
        <v>-14.295458999999999</v>
      </c>
    </row>
    <row r="60" spans="1:14" x14ac:dyDescent="0.35">
      <c r="A60" s="2">
        <v>43609</v>
      </c>
      <c r="B60" s="40">
        <v>12.400698999999999</v>
      </c>
      <c r="C60" s="40">
        <v>2.5846361999999998</v>
      </c>
      <c r="D60" s="40">
        <v>-1.5511334000000001</v>
      </c>
      <c r="E60" s="40">
        <v>-12.089240999999999</v>
      </c>
      <c r="F60" s="40">
        <v>-9.5125309999999992</v>
      </c>
      <c r="G60" s="40">
        <v>10.059559</v>
      </c>
      <c r="H60" s="40">
        <v>-7.2364388000000002</v>
      </c>
      <c r="I60" s="40">
        <v>5.9936642999999998</v>
      </c>
      <c r="J60" s="40">
        <v>5.6808829999999997</v>
      </c>
      <c r="K60" s="47">
        <v>-6.7821502999999996</v>
      </c>
      <c r="L60" s="47">
        <v>-3.3176540999999999</v>
      </c>
      <c r="M60" s="47">
        <v>-5.7905253999999999</v>
      </c>
      <c r="N60" s="47">
        <v>-10.601597999999999</v>
      </c>
    </row>
    <row r="61" spans="1:14" x14ac:dyDescent="0.35">
      <c r="A61" s="2">
        <v>43642</v>
      </c>
      <c r="B61" s="40">
        <v>10.282802999999999</v>
      </c>
      <c r="C61" s="40">
        <v>6.2177300000000004</v>
      </c>
      <c r="D61" s="40">
        <v>3.6172390000000001</v>
      </c>
      <c r="E61" s="40">
        <v>-5.2414712999999997</v>
      </c>
      <c r="F61" s="40">
        <v>-5.7595489999999998</v>
      </c>
      <c r="G61" s="40">
        <v>17.748463000000001</v>
      </c>
      <c r="H61" s="40">
        <v>-2.2740065999999999</v>
      </c>
      <c r="I61" s="40">
        <v>8.9213009999999997</v>
      </c>
      <c r="J61" s="40">
        <v>9.0751290000000004</v>
      </c>
      <c r="K61" s="47">
        <v>2.8493523999999999</v>
      </c>
      <c r="L61" s="47">
        <v>2.9881597000000002</v>
      </c>
      <c r="M61" s="47">
        <v>4.4536470000000001</v>
      </c>
      <c r="N61" s="47">
        <v>-9.7811220000000004E-2</v>
      </c>
    </row>
    <row r="62" spans="1:14" x14ac:dyDescent="0.35">
      <c r="A62" s="2">
        <v>43672</v>
      </c>
      <c r="B62" s="40">
        <v>17.971062</v>
      </c>
      <c r="C62" s="40">
        <v>5.8410525</v>
      </c>
      <c r="D62" s="40">
        <v>1.0836958999999999</v>
      </c>
      <c r="E62" s="40">
        <v>-9.2824819999999999</v>
      </c>
      <c r="F62" s="40">
        <v>-5.929792</v>
      </c>
      <c r="G62" s="40">
        <v>10.564507000000001</v>
      </c>
      <c r="H62" s="40">
        <v>-3.2537281999999998</v>
      </c>
      <c r="I62" s="40">
        <v>9.4164130000000004</v>
      </c>
      <c r="J62" s="40">
        <v>8.7095374999999997</v>
      </c>
      <c r="K62" s="47">
        <v>-0.13406277</v>
      </c>
      <c r="L62" s="47">
        <v>2.6614547000000002</v>
      </c>
      <c r="M62" s="47">
        <v>-3.4020603</v>
      </c>
      <c r="N62" s="47">
        <v>-0.64392090000000002</v>
      </c>
    </row>
    <row r="63" spans="1:14" x14ac:dyDescent="0.35">
      <c r="A63" s="2">
        <v>43703</v>
      </c>
      <c r="B63" s="40">
        <v>7.8186629999999999</v>
      </c>
      <c r="C63" s="40">
        <v>-0.13686419</v>
      </c>
      <c r="D63" s="40">
        <v>-2.0380259000000001</v>
      </c>
      <c r="E63" s="40">
        <v>-12.313491000000001</v>
      </c>
      <c r="F63" s="40">
        <v>-5.4583073000000004</v>
      </c>
      <c r="G63" s="40">
        <v>9.5598939999999999</v>
      </c>
      <c r="H63" s="40">
        <v>-7.5839100000000004</v>
      </c>
      <c r="I63" s="40">
        <v>2.1714091</v>
      </c>
      <c r="J63" s="40">
        <v>2.1630167999999999</v>
      </c>
      <c r="K63" s="47">
        <v>-4.2378960000000001</v>
      </c>
      <c r="L63" s="47">
        <v>-0.79241989999999995</v>
      </c>
      <c r="M63" s="47">
        <v>-9.497833</v>
      </c>
      <c r="N63" s="47">
        <v>-0.9698272</v>
      </c>
    </row>
    <row r="64" spans="1:14" x14ac:dyDescent="0.35">
      <c r="A64" s="2">
        <v>43734</v>
      </c>
      <c r="B64" s="40">
        <v>9.3160515000000004</v>
      </c>
      <c r="C64" s="40">
        <v>6.2672376999999999</v>
      </c>
      <c r="D64" s="40">
        <v>3.5276293999999999</v>
      </c>
      <c r="E64" s="40">
        <v>-9.5096589999999992</v>
      </c>
      <c r="F64" s="40">
        <v>-3.7040293000000002</v>
      </c>
      <c r="G64" s="40">
        <v>9.6210719999999998</v>
      </c>
      <c r="H64" s="40">
        <v>-4.387397</v>
      </c>
      <c r="I64" s="40">
        <v>3.6983728</v>
      </c>
      <c r="J64" s="40">
        <v>4.5055984999999996</v>
      </c>
      <c r="K64" s="47">
        <v>-3.1906425999999999</v>
      </c>
      <c r="L64" s="47">
        <v>5.5459259999999997</v>
      </c>
      <c r="M64" s="47">
        <v>-8.1410590000000003</v>
      </c>
      <c r="N64" s="47">
        <v>-1.5016794</v>
      </c>
    </row>
    <row r="65" spans="1:14" x14ac:dyDescent="0.35">
      <c r="A65" s="2">
        <v>43763</v>
      </c>
      <c r="B65" s="40">
        <v>21.701049999999999</v>
      </c>
      <c r="C65" s="40">
        <v>19.74963</v>
      </c>
      <c r="D65" s="40">
        <v>12.52327</v>
      </c>
      <c r="E65" s="40">
        <v>8.306635</v>
      </c>
      <c r="F65" s="40">
        <v>8.0520390000000006</v>
      </c>
      <c r="G65" s="40">
        <v>20.426130000000001</v>
      </c>
      <c r="H65" s="40">
        <v>8.3465810000000005</v>
      </c>
      <c r="I65" s="40">
        <v>15.398884000000001</v>
      </c>
      <c r="J65" s="40">
        <v>13.904344999999999</v>
      </c>
      <c r="K65" s="47">
        <v>12.840854999999999</v>
      </c>
      <c r="L65" s="47">
        <v>18.988572999999999</v>
      </c>
      <c r="M65" s="47">
        <v>12.355781</v>
      </c>
      <c r="N65" s="47">
        <v>19.984256999999999</v>
      </c>
    </row>
    <row r="66" spans="1:14" x14ac:dyDescent="0.35">
      <c r="A66" s="2">
        <v>43795</v>
      </c>
      <c r="B66" s="40">
        <v>19.833351</v>
      </c>
      <c r="C66" s="40">
        <v>15.555524999999999</v>
      </c>
      <c r="D66" s="40">
        <v>15.286732000000001</v>
      </c>
      <c r="E66" s="40">
        <v>10.334265</v>
      </c>
      <c r="F66" s="40">
        <v>11.097085999999999</v>
      </c>
      <c r="G66" s="40">
        <v>20.880662999999998</v>
      </c>
      <c r="H66" s="40">
        <v>8.6988090000000007</v>
      </c>
      <c r="I66" s="40">
        <v>26.743258000000001</v>
      </c>
      <c r="J66" s="40">
        <v>19.761658000000001</v>
      </c>
      <c r="K66" s="47">
        <v>17.332339999999999</v>
      </c>
      <c r="L66" s="47">
        <v>18.908142000000002</v>
      </c>
      <c r="M66" s="47">
        <v>13.907408999999999</v>
      </c>
      <c r="N66" s="47">
        <v>20.957338</v>
      </c>
    </row>
    <row r="67" spans="1:14" x14ac:dyDescent="0.35">
      <c r="A67" s="2">
        <v>43825</v>
      </c>
      <c r="B67" s="40">
        <v>31.021059000000001</v>
      </c>
      <c r="C67" s="40">
        <v>24.517036000000001</v>
      </c>
      <c r="D67" s="40">
        <v>28.012646</v>
      </c>
      <c r="E67" s="40">
        <v>20.334710000000001</v>
      </c>
      <c r="F67" s="40">
        <v>21.772718000000001</v>
      </c>
      <c r="G67" s="40">
        <v>32.54063</v>
      </c>
      <c r="H67" s="40">
        <v>20.727598</v>
      </c>
      <c r="I67" s="40">
        <v>41.380702999999997</v>
      </c>
      <c r="J67" s="40">
        <v>33.662295999999998</v>
      </c>
      <c r="K67" s="47">
        <v>27.531433</v>
      </c>
      <c r="L67" s="47">
        <v>33.076360000000001</v>
      </c>
      <c r="M67" s="47">
        <v>27.028883</v>
      </c>
      <c r="N67" s="47">
        <v>29.454457999999999</v>
      </c>
    </row>
    <row r="68" spans="1:14" x14ac:dyDescent="0.35">
      <c r="A68" s="2">
        <v>43854</v>
      </c>
      <c r="B68" s="40">
        <v>26.074017000000001</v>
      </c>
      <c r="C68" s="40">
        <v>19.976568</v>
      </c>
      <c r="D68" s="40">
        <v>18.415545999999999</v>
      </c>
      <c r="E68" s="40">
        <v>15.092909000000001</v>
      </c>
      <c r="F68" s="40">
        <v>13.955534</v>
      </c>
      <c r="G68" s="40">
        <v>27.553272</v>
      </c>
      <c r="H68" s="40">
        <v>14.461529000000001</v>
      </c>
      <c r="I68" s="40">
        <v>37.581097</v>
      </c>
      <c r="J68" s="40">
        <v>27.106857000000002</v>
      </c>
      <c r="K68" s="47">
        <v>21.944189999999999</v>
      </c>
      <c r="L68" s="47">
        <v>25.529325</v>
      </c>
      <c r="M68" s="47">
        <v>17.910374000000001</v>
      </c>
      <c r="N68" s="47">
        <v>19.732593999999999</v>
      </c>
    </row>
    <row r="69" spans="1:14" x14ac:dyDescent="0.35">
      <c r="A69" s="2">
        <v>43887</v>
      </c>
      <c r="B69" s="40">
        <v>13.54115</v>
      </c>
      <c r="C69" s="40">
        <v>3.0615329999999998</v>
      </c>
      <c r="D69" s="40">
        <v>6.1729909999999997</v>
      </c>
      <c r="E69" s="40">
        <v>2.214229</v>
      </c>
      <c r="F69" s="40">
        <v>1.5881776999999999</v>
      </c>
      <c r="G69" s="40">
        <v>15.101361000000001</v>
      </c>
      <c r="H69" s="40">
        <v>-2.4234532999999998</v>
      </c>
      <c r="I69" s="40">
        <v>25.654088999999999</v>
      </c>
      <c r="J69" s="40">
        <v>13.630748000000001</v>
      </c>
      <c r="K69" s="47">
        <v>5.0812363999999999</v>
      </c>
      <c r="L69" s="47">
        <v>9.5450520000000001</v>
      </c>
      <c r="M69" s="47">
        <v>8.964658</v>
      </c>
      <c r="N69" s="47">
        <v>7.8014970000000003</v>
      </c>
    </row>
    <row r="70" spans="1:14" x14ac:dyDescent="0.35">
      <c r="A70" s="2">
        <v>43916</v>
      </c>
      <c r="B70" s="40">
        <v>-6.7305684000000001</v>
      </c>
      <c r="C70" s="40">
        <v>-23.844152000000001</v>
      </c>
      <c r="D70" s="40">
        <v>-19.365448000000001</v>
      </c>
      <c r="E70" s="40">
        <v>-16.050512000000001</v>
      </c>
      <c r="F70" s="40">
        <v>-6.5776586999999997</v>
      </c>
      <c r="G70" s="40">
        <v>2.7533889999999999</v>
      </c>
      <c r="H70" s="40">
        <v>-23.417372</v>
      </c>
      <c r="I70" s="40">
        <v>8.0921289999999999</v>
      </c>
      <c r="J70" s="40">
        <v>-5.1621794999999997</v>
      </c>
      <c r="K70" s="47">
        <v>-13.60622</v>
      </c>
      <c r="L70" s="47">
        <v>-7.6523247000000003</v>
      </c>
      <c r="M70" s="47">
        <v>-12.307871</v>
      </c>
      <c r="N70" s="47">
        <v>-18.599342</v>
      </c>
    </row>
    <row r="71" spans="1:14" x14ac:dyDescent="0.35">
      <c r="A71" s="2">
        <v>43945</v>
      </c>
      <c r="B71" s="40">
        <v>-2.4724423999999998</v>
      </c>
      <c r="C71" s="40">
        <v>-21.902138000000001</v>
      </c>
      <c r="D71" s="40">
        <v>-15.651762</v>
      </c>
      <c r="E71" s="40">
        <v>-18.994968</v>
      </c>
      <c r="F71" s="40">
        <v>-5.1444054000000001</v>
      </c>
      <c r="G71" s="40">
        <v>5.040705</v>
      </c>
      <c r="H71" s="40">
        <v>-23.942202000000002</v>
      </c>
      <c r="I71" s="40">
        <v>13.682116000000001</v>
      </c>
      <c r="J71" s="40">
        <v>-1.163888</v>
      </c>
      <c r="K71" s="47">
        <v>-20.802837</v>
      </c>
      <c r="L71" s="47">
        <v>-7.7976584000000004</v>
      </c>
      <c r="M71" s="47">
        <v>-15.198368</v>
      </c>
      <c r="N71" s="47">
        <v>-24.910046000000001</v>
      </c>
    </row>
    <row r="72" spans="1:14" x14ac:dyDescent="0.35">
      <c r="A72" s="2">
        <v>43977</v>
      </c>
      <c r="B72" s="40">
        <v>2.1031499999999999</v>
      </c>
      <c r="C72" s="40">
        <v>-14.201302</v>
      </c>
      <c r="D72" s="40">
        <v>-7.4813010000000002</v>
      </c>
      <c r="E72" s="40">
        <v>-6.7544579999999996</v>
      </c>
      <c r="F72" s="40">
        <v>3.4550548000000001</v>
      </c>
      <c r="G72" s="40">
        <v>5.4307699999999999</v>
      </c>
      <c r="H72" s="40">
        <v>-17.831045</v>
      </c>
      <c r="I72" s="40">
        <v>29.656578</v>
      </c>
      <c r="J72" s="40">
        <v>7.9540014000000001</v>
      </c>
      <c r="K72" s="47">
        <v>-13.482982</v>
      </c>
      <c r="L72" s="47">
        <v>1.6915321000000001</v>
      </c>
      <c r="M72" s="47">
        <v>-0.24513602000000001</v>
      </c>
      <c r="N72" s="47">
        <v>-16.624248999999999</v>
      </c>
    </row>
    <row r="73" spans="1:14" x14ac:dyDescent="0.35">
      <c r="A73" s="2">
        <v>44008</v>
      </c>
      <c r="B73" s="40">
        <v>4.7606586999999996</v>
      </c>
      <c r="C73" s="40">
        <v>-13.325386999999999</v>
      </c>
      <c r="D73" s="40">
        <v>-9.6171140000000008</v>
      </c>
      <c r="E73" s="40">
        <v>-2.9389439999999998</v>
      </c>
      <c r="F73" s="40">
        <v>4.5045257000000003</v>
      </c>
      <c r="G73" s="40">
        <v>5.5232049999999999</v>
      </c>
      <c r="H73" s="40">
        <v>-18.136565999999998</v>
      </c>
      <c r="I73" s="40">
        <v>30.337166</v>
      </c>
      <c r="J73" s="40">
        <v>5.3903699999999999</v>
      </c>
      <c r="K73" s="47">
        <v>-10.546260999999999</v>
      </c>
      <c r="L73" s="47">
        <v>7.207179</v>
      </c>
      <c r="M73" s="47">
        <v>2.0018457999999999</v>
      </c>
      <c r="N73" s="47">
        <v>-11.955952999999999</v>
      </c>
    </row>
    <row r="74" spans="1:14" x14ac:dyDescent="0.35">
      <c r="A74" s="2">
        <v>44036</v>
      </c>
      <c r="B74" s="40">
        <v>8.7101939999999995</v>
      </c>
      <c r="C74" s="40">
        <v>-9.1042339999999999</v>
      </c>
      <c r="D74" s="40">
        <v>-4.5820656</v>
      </c>
      <c r="E74" s="40">
        <v>5.3587556000000003</v>
      </c>
      <c r="F74" s="40">
        <v>3.0509352999999999</v>
      </c>
      <c r="G74" s="40">
        <v>10.837698</v>
      </c>
      <c r="H74" s="40">
        <v>-15.466939999999999</v>
      </c>
      <c r="I74" s="40">
        <v>32.009673999999997</v>
      </c>
      <c r="J74" s="40">
        <v>8.6051459999999995</v>
      </c>
      <c r="K74" s="47">
        <v>-5.8524075</v>
      </c>
      <c r="L74" s="47">
        <v>9.33901</v>
      </c>
      <c r="M74" s="47">
        <v>14.916347999999999</v>
      </c>
      <c r="N74" s="47">
        <v>-7.2866679999999997</v>
      </c>
    </row>
    <row r="75" spans="1:14" x14ac:dyDescent="0.35">
      <c r="A75" s="2">
        <v>44069</v>
      </c>
      <c r="B75" s="40">
        <v>22.538029999999999</v>
      </c>
      <c r="C75" s="40">
        <v>1.6577005</v>
      </c>
      <c r="D75" s="40">
        <v>7.2359324000000003</v>
      </c>
      <c r="E75" s="40">
        <v>18.935870999999999</v>
      </c>
      <c r="F75" s="40">
        <v>11.082732999999999</v>
      </c>
      <c r="G75" s="40">
        <v>15.631126999999999</v>
      </c>
      <c r="H75" s="40">
        <v>-6.7141237</v>
      </c>
      <c r="I75" s="40">
        <v>59.241306000000002</v>
      </c>
      <c r="J75" s="40">
        <v>23.128450000000001</v>
      </c>
      <c r="K75" s="47">
        <v>3.2296179999999999</v>
      </c>
      <c r="L75" s="47">
        <v>22.013414000000001</v>
      </c>
      <c r="M75" s="47">
        <v>32.157004999999998</v>
      </c>
      <c r="N75" s="47">
        <v>1.4396191</v>
      </c>
    </row>
    <row r="76" spans="1:14" x14ac:dyDescent="0.35">
      <c r="A76" s="2">
        <v>44099</v>
      </c>
      <c r="B76" s="40">
        <v>14.211368999999999</v>
      </c>
      <c r="C76" s="40">
        <v>-7.8044120000000001</v>
      </c>
      <c r="D76" s="40">
        <v>-3.9960265000000001</v>
      </c>
      <c r="E76" s="40">
        <v>8.2439660000000003</v>
      </c>
      <c r="F76" s="40">
        <v>4.7806024999999996</v>
      </c>
      <c r="G76" s="40">
        <v>11.589919999999999</v>
      </c>
      <c r="H76" s="40">
        <v>-16.370684000000001</v>
      </c>
      <c r="I76" s="40">
        <v>43.934787999999998</v>
      </c>
      <c r="J76" s="40">
        <v>12.624121000000001</v>
      </c>
      <c r="K76" s="47">
        <v>-7.197648</v>
      </c>
      <c r="L76" s="47">
        <v>10.514222999999999</v>
      </c>
      <c r="M76" s="47">
        <v>18.645106999999999</v>
      </c>
      <c r="N76" s="47">
        <v>-10.209883</v>
      </c>
    </row>
    <row r="77" spans="1:14" x14ac:dyDescent="0.35">
      <c r="A77" s="2">
        <v>44130</v>
      </c>
      <c r="B77" s="40">
        <v>20.558416000000001</v>
      </c>
      <c r="C77" s="40">
        <v>-6.2013920000000002</v>
      </c>
      <c r="D77" s="40">
        <v>-2.3185609999999999</v>
      </c>
      <c r="E77" s="40">
        <v>-0.13082026999999999</v>
      </c>
      <c r="F77" s="40">
        <v>3.1225800000000001</v>
      </c>
      <c r="G77" s="40">
        <v>9.457827</v>
      </c>
      <c r="H77" s="40">
        <v>-19.236595000000001</v>
      </c>
      <c r="I77" s="40">
        <v>44.432594000000002</v>
      </c>
      <c r="J77" s="40">
        <v>14.741861</v>
      </c>
      <c r="K77" s="47">
        <v>-7.5814247000000003</v>
      </c>
      <c r="L77" s="47">
        <v>11.840189000000001</v>
      </c>
      <c r="M77" s="47">
        <v>14.5625</v>
      </c>
      <c r="N77" s="47">
        <v>-12.622923</v>
      </c>
    </row>
    <row r="78" spans="1:14" x14ac:dyDescent="0.35">
      <c r="A78" s="2">
        <v>44160</v>
      </c>
      <c r="B78" s="40">
        <v>25.422360000000001</v>
      </c>
      <c r="C78" s="40">
        <v>7.2179793999999999</v>
      </c>
      <c r="D78" s="40">
        <v>5.2634477999999998</v>
      </c>
      <c r="E78" s="40">
        <v>6.5479516999999996</v>
      </c>
      <c r="F78" s="40">
        <v>11.028729999999999</v>
      </c>
      <c r="G78" s="40">
        <v>11.937450999999999</v>
      </c>
      <c r="H78" s="40">
        <v>-9.4583220000000008</v>
      </c>
      <c r="I78" s="40">
        <v>46.164000000000001</v>
      </c>
      <c r="J78" s="40">
        <v>18.003917999999999</v>
      </c>
      <c r="K78" s="47">
        <v>4.2901873999999998</v>
      </c>
      <c r="L78" s="47">
        <v>20.553457000000002</v>
      </c>
      <c r="M78" s="47">
        <v>27.227772000000002</v>
      </c>
      <c r="N78" s="47">
        <v>1.1583447</v>
      </c>
    </row>
    <row r="79" spans="1:14" x14ac:dyDescent="0.35">
      <c r="A79" s="2">
        <v>44189</v>
      </c>
      <c r="B79" s="40">
        <v>18.632066999999999</v>
      </c>
      <c r="C79" s="40">
        <v>8.1725119999999993</v>
      </c>
      <c r="D79" s="40">
        <v>7.0980309999999998</v>
      </c>
      <c r="E79" s="40">
        <v>11.147653999999999</v>
      </c>
      <c r="F79" s="40">
        <v>11.889267</v>
      </c>
      <c r="G79" s="40">
        <v>9.896922</v>
      </c>
      <c r="H79" s="40">
        <v>-10.277873</v>
      </c>
      <c r="I79" s="40">
        <v>47.116149999999998</v>
      </c>
      <c r="J79" s="40">
        <v>17.057276000000002</v>
      </c>
      <c r="K79" s="47">
        <v>3.7100314999999999</v>
      </c>
      <c r="L79" s="47">
        <v>24.635113</v>
      </c>
      <c r="M79" s="47">
        <v>21.418369999999999</v>
      </c>
      <c r="N79" s="47">
        <v>1.4676094</v>
      </c>
    </row>
    <row r="80" spans="1:14" x14ac:dyDescent="0.35">
      <c r="A80" s="2">
        <v>44222</v>
      </c>
      <c r="B80" s="40">
        <v>21.775103000000001</v>
      </c>
      <c r="C80" s="40">
        <v>10.046958999999999</v>
      </c>
      <c r="D80" s="40">
        <v>6.3400030000000003</v>
      </c>
      <c r="E80" s="40">
        <v>12.295389</v>
      </c>
      <c r="F80" s="40">
        <v>18.178988</v>
      </c>
      <c r="G80" s="40">
        <v>12.678813999999999</v>
      </c>
      <c r="H80" s="40">
        <v>-6.6555080000000002</v>
      </c>
      <c r="I80" s="40">
        <v>48.600949999999997</v>
      </c>
      <c r="J80" s="40">
        <v>18.956911000000002</v>
      </c>
      <c r="K80" s="47">
        <v>4.6644569999999996</v>
      </c>
      <c r="L80" s="47">
        <v>30.938780000000001</v>
      </c>
      <c r="M80" s="47">
        <v>29.581738000000001</v>
      </c>
      <c r="N80" s="47">
        <v>1.2563825</v>
      </c>
    </row>
    <row r="81" spans="1:14" x14ac:dyDescent="0.35">
      <c r="A81" s="2">
        <v>44253</v>
      </c>
      <c r="B81" s="40">
        <v>15.762924999999999</v>
      </c>
      <c r="C81" s="40">
        <v>18.378640000000001</v>
      </c>
      <c r="D81" s="40">
        <v>13.449930999999999</v>
      </c>
      <c r="E81" s="40">
        <v>20.497834999999998</v>
      </c>
      <c r="F81" s="40">
        <v>25.749361</v>
      </c>
      <c r="G81" s="40">
        <v>11.961019500000001</v>
      </c>
      <c r="H81" s="40">
        <v>1.8073558999999999</v>
      </c>
      <c r="I81" s="40">
        <v>46.148014000000003</v>
      </c>
      <c r="J81" s="40">
        <v>24.429953000000001</v>
      </c>
      <c r="K81" s="47">
        <v>14.276338000000001</v>
      </c>
      <c r="L81" s="47">
        <v>40.022551999999997</v>
      </c>
      <c r="M81" s="47">
        <v>35.032069999999997</v>
      </c>
      <c r="N81" s="47">
        <v>9.4925639999999998</v>
      </c>
    </row>
    <row r="82" spans="1:14" x14ac:dyDescent="0.35">
      <c r="A82" s="2">
        <v>44281</v>
      </c>
      <c r="B82" s="40">
        <v>35.993122</v>
      </c>
      <c r="C82" s="40">
        <v>63.501835</v>
      </c>
      <c r="D82" s="40">
        <v>60.214675999999997</v>
      </c>
      <c r="E82" s="40">
        <v>54.591009999999997</v>
      </c>
      <c r="F82" s="40">
        <v>41.220190000000002</v>
      </c>
      <c r="G82" s="40">
        <v>28.949069999999999</v>
      </c>
      <c r="H82" s="40">
        <v>33.575726000000003</v>
      </c>
      <c r="I82" s="40">
        <v>65.696820000000002</v>
      </c>
      <c r="J82" s="40">
        <v>54.046190000000003</v>
      </c>
      <c r="K82" s="47">
        <v>43.024410000000003</v>
      </c>
      <c r="L82" s="47">
        <v>75.499880000000005</v>
      </c>
      <c r="M82" s="47">
        <v>78.923370000000006</v>
      </c>
      <c r="N82" s="47">
        <v>48.293137000000002</v>
      </c>
    </row>
    <row r="83" spans="1:14" x14ac:dyDescent="0.35">
      <c r="A83" s="2">
        <v>44312</v>
      </c>
      <c r="B83" s="40">
        <v>36.206184</v>
      </c>
      <c r="C83" s="40">
        <v>64.523210000000006</v>
      </c>
      <c r="D83" s="40">
        <v>54.607413999999999</v>
      </c>
      <c r="E83" s="40">
        <v>59.996403000000001</v>
      </c>
      <c r="F83" s="40">
        <v>36.890984000000003</v>
      </c>
      <c r="G83" s="40">
        <v>28.791772999999999</v>
      </c>
      <c r="H83" s="40">
        <v>36.905253999999999</v>
      </c>
      <c r="I83" s="40">
        <v>60.756717999999999</v>
      </c>
      <c r="J83" s="40">
        <v>49.962043999999999</v>
      </c>
      <c r="K83" s="47">
        <v>59.595689999999998</v>
      </c>
      <c r="L83" s="47">
        <v>78.187740000000005</v>
      </c>
      <c r="M83" s="47">
        <v>82.962165999999996</v>
      </c>
      <c r="N83" s="47">
        <v>63.657389999999999</v>
      </c>
    </row>
    <row r="84" spans="1:14" x14ac:dyDescent="0.35">
      <c r="A84" s="2">
        <v>44342</v>
      </c>
      <c r="B84" s="40">
        <v>24.110662000000001</v>
      </c>
      <c r="C84" s="40">
        <v>49.852336999999999</v>
      </c>
      <c r="D84" s="40">
        <v>52.431235999999998</v>
      </c>
      <c r="E84" s="40">
        <v>45.293438000000002</v>
      </c>
      <c r="F84" s="40">
        <v>26.765346999999998</v>
      </c>
      <c r="G84" s="40">
        <v>30.84563</v>
      </c>
      <c r="H84" s="40">
        <v>35.603810000000003</v>
      </c>
      <c r="I84" s="40">
        <v>46.793280000000003</v>
      </c>
      <c r="J84" s="40">
        <v>42.380355999999999</v>
      </c>
      <c r="K84" s="47">
        <v>56.244183</v>
      </c>
      <c r="L84" s="47">
        <v>66.449234000000004</v>
      </c>
      <c r="M84" s="47">
        <v>67.846010000000007</v>
      </c>
      <c r="N84" s="47">
        <v>56.031500000000001</v>
      </c>
    </row>
    <row r="85" spans="1:14" x14ac:dyDescent="0.35">
      <c r="A85" s="2">
        <v>44372</v>
      </c>
      <c r="B85" s="40">
        <v>15.243173000000001</v>
      </c>
      <c r="C85" s="40">
        <v>41.047690000000003</v>
      </c>
      <c r="D85" s="40">
        <v>49.675705000000001</v>
      </c>
      <c r="E85" s="40">
        <v>33.027424000000003</v>
      </c>
      <c r="F85" s="40">
        <v>23.535596999999999</v>
      </c>
      <c r="G85" s="40">
        <v>28.105889999999999</v>
      </c>
      <c r="H85" s="40">
        <v>31.698512999999998</v>
      </c>
      <c r="I85" s="40">
        <v>42.845142000000003</v>
      </c>
      <c r="J85" s="40">
        <v>40.886116000000001</v>
      </c>
      <c r="K85" s="47">
        <v>43.146279999999997</v>
      </c>
      <c r="L85" s="47">
        <v>50.362160000000003</v>
      </c>
      <c r="M85" s="47">
        <v>55.451619999999998</v>
      </c>
      <c r="N85" s="47">
        <v>39.997839999999997</v>
      </c>
    </row>
    <row r="86" spans="1:14" x14ac:dyDescent="0.35">
      <c r="A86" s="2">
        <v>44403</v>
      </c>
      <c r="B86" s="40">
        <v>7.3696970000000004</v>
      </c>
      <c r="C86" s="40">
        <v>32.322980000000001</v>
      </c>
      <c r="D86" s="40">
        <v>39.51099</v>
      </c>
      <c r="E86" s="40">
        <v>22.583914</v>
      </c>
      <c r="F86" s="40">
        <v>22.502887999999999</v>
      </c>
      <c r="G86" s="40">
        <v>23.418009000000001</v>
      </c>
      <c r="H86" s="40">
        <v>27.716899999999999</v>
      </c>
      <c r="I86" s="40">
        <v>45.006965999999998</v>
      </c>
      <c r="J86" s="40">
        <v>39.503799999999998</v>
      </c>
      <c r="K86" s="47">
        <v>35.039709999999999</v>
      </c>
      <c r="L86" s="47">
        <v>45.191574000000003</v>
      </c>
      <c r="M86" s="47">
        <v>46.090589999999999</v>
      </c>
      <c r="N86" s="47">
        <v>28.713000000000001</v>
      </c>
    </row>
    <row r="87" spans="1:14" x14ac:dyDescent="0.35">
      <c r="A87" s="2">
        <v>44434</v>
      </c>
      <c r="B87" s="40">
        <v>4.320252</v>
      </c>
      <c r="C87" s="40">
        <v>25.756989999999998</v>
      </c>
      <c r="D87" s="40">
        <v>30.224049000000001</v>
      </c>
      <c r="E87" s="40">
        <v>17.055405</v>
      </c>
      <c r="F87" s="40">
        <v>17.304493000000001</v>
      </c>
      <c r="G87" s="40">
        <v>22.137165</v>
      </c>
      <c r="H87" s="40">
        <v>25.647772</v>
      </c>
      <c r="I87" s="40">
        <v>28.281998000000002</v>
      </c>
      <c r="J87" s="40">
        <v>30.321503</v>
      </c>
      <c r="K87" s="47">
        <v>30.543686000000001</v>
      </c>
      <c r="L87" s="47">
        <v>44.472969999999997</v>
      </c>
      <c r="M87" s="47">
        <v>35.89734</v>
      </c>
      <c r="N87" s="47">
        <v>26.974415</v>
      </c>
    </row>
    <row r="88" spans="1:14" x14ac:dyDescent="0.35">
      <c r="A88" s="2">
        <v>44463</v>
      </c>
      <c r="B88" s="40">
        <v>13.678158</v>
      </c>
      <c r="C88" s="40">
        <v>32.350517000000004</v>
      </c>
      <c r="D88" s="40">
        <v>38.868810000000003</v>
      </c>
      <c r="E88" s="40">
        <v>21.762775000000001</v>
      </c>
      <c r="F88" s="40">
        <v>25.24314</v>
      </c>
      <c r="G88" s="40">
        <v>20.372284000000001</v>
      </c>
      <c r="H88" s="40">
        <v>33.625076</v>
      </c>
      <c r="I88" s="40">
        <v>41.424880000000002</v>
      </c>
      <c r="J88" s="40">
        <v>39.167712999999999</v>
      </c>
      <c r="K88" s="47">
        <v>41.725859999999997</v>
      </c>
      <c r="L88" s="47">
        <v>54.664265</v>
      </c>
      <c r="M88" s="47">
        <v>41.671467</v>
      </c>
      <c r="N88" s="47">
        <v>36.423409999999997</v>
      </c>
    </row>
    <row r="89" spans="1:14" x14ac:dyDescent="0.35">
      <c r="A89" s="2">
        <v>44495</v>
      </c>
      <c r="B89" s="40">
        <v>6.3012123000000004</v>
      </c>
      <c r="C89" s="40">
        <v>32.47813</v>
      </c>
      <c r="D89" s="40">
        <v>45.187232999999999</v>
      </c>
      <c r="E89" s="40">
        <v>24.654696999999999</v>
      </c>
      <c r="F89" s="40">
        <v>17.883099000000001</v>
      </c>
      <c r="G89" s="40">
        <v>23.023737000000001</v>
      </c>
      <c r="H89" s="40">
        <v>37.666556999999997</v>
      </c>
      <c r="I89" s="40">
        <v>35.896346999999999</v>
      </c>
      <c r="J89" s="40">
        <v>36.252830000000003</v>
      </c>
      <c r="K89" s="47">
        <v>39.351999999999997</v>
      </c>
      <c r="L89" s="47">
        <v>48.985816999999997</v>
      </c>
      <c r="M89" s="47">
        <v>40.079773000000003</v>
      </c>
      <c r="N89" s="47">
        <v>40.003203999999997</v>
      </c>
    </row>
    <row r="90" spans="1:14" x14ac:dyDescent="0.35">
      <c r="A90" s="2">
        <v>44526</v>
      </c>
      <c r="B90" s="40">
        <v>-10.285175000000001</v>
      </c>
      <c r="C90" s="40">
        <v>7.1858170000000001</v>
      </c>
      <c r="D90" s="40">
        <v>27.980160000000001</v>
      </c>
      <c r="E90" s="40">
        <v>7.6613306999999997</v>
      </c>
      <c r="F90" s="40">
        <v>3.7154316999999999</v>
      </c>
      <c r="G90" s="40">
        <v>17.225121999999999</v>
      </c>
      <c r="H90" s="40">
        <v>13.896513000000001</v>
      </c>
      <c r="I90" s="40">
        <v>32.743740000000003</v>
      </c>
      <c r="J90" s="40">
        <v>28.351952000000001</v>
      </c>
      <c r="K90" s="47">
        <v>16.438711000000001</v>
      </c>
      <c r="L90" s="47">
        <v>28.251218999999999</v>
      </c>
      <c r="M90" s="47">
        <v>15.103304</v>
      </c>
      <c r="N90" s="47">
        <v>11.004424</v>
      </c>
    </row>
    <row r="91" spans="1:14" x14ac:dyDescent="0.35">
      <c r="A91" s="2">
        <v>44553</v>
      </c>
      <c r="B91" s="40">
        <v>-9.9784140000000008</v>
      </c>
      <c r="C91" s="40">
        <v>8.8329909999999998</v>
      </c>
      <c r="D91" s="40">
        <v>25.090050000000002</v>
      </c>
      <c r="E91" s="40">
        <v>5.3040504000000004</v>
      </c>
      <c r="F91" s="40">
        <v>4.1419864000000004</v>
      </c>
      <c r="G91" s="40">
        <v>21.194696</v>
      </c>
      <c r="H91" s="40">
        <v>17.047713999999999</v>
      </c>
      <c r="I91" s="40">
        <v>29.40756</v>
      </c>
      <c r="J91" s="40">
        <v>29.753077000000001</v>
      </c>
      <c r="K91" s="47">
        <v>20.410622</v>
      </c>
      <c r="L91" s="47">
        <v>21.975017999999999</v>
      </c>
      <c r="M91" s="47">
        <v>21.191680000000002</v>
      </c>
      <c r="N91" s="47">
        <v>13.146055</v>
      </c>
    </row>
    <row r="92" spans="1:14" x14ac:dyDescent="0.35">
      <c r="A92" s="2">
        <v>44587</v>
      </c>
      <c r="B92" s="40">
        <v>-21.631855000000002</v>
      </c>
      <c r="C92" s="40">
        <v>-3.4021496999999998</v>
      </c>
      <c r="D92" s="40">
        <v>20.322430000000001</v>
      </c>
      <c r="E92" s="40">
        <v>-0.22836924</v>
      </c>
      <c r="F92" s="40">
        <v>-6.8993864</v>
      </c>
      <c r="G92" s="40">
        <v>7.4938535999999996</v>
      </c>
      <c r="H92" s="40">
        <v>14.323366</v>
      </c>
      <c r="I92" s="40">
        <v>5.3689003</v>
      </c>
      <c r="J92" s="40">
        <v>14.440823</v>
      </c>
      <c r="K92" s="47">
        <v>16.276909</v>
      </c>
      <c r="L92" s="47">
        <v>4.6190499999999997</v>
      </c>
      <c r="M92" s="47">
        <v>3.6479235000000001</v>
      </c>
      <c r="N92" s="47">
        <v>12.086034</v>
      </c>
    </row>
    <row r="93" spans="1:14" x14ac:dyDescent="0.35">
      <c r="A93" s="2">
        <v>44617</v>
      </c>
      <c r="B93" s="40">
        <v>-11.382747</v>
      </c>
      <c r="C93" s="40">
        <v>0.88214873999999999</v>
      </c>
      <c r="D93" s="40">
        <v>18.325256</v>
      </c>
      <c r="E93" s="40">
        <v>-4.323226</v>
      </c>
      <c r="F93" s="40">
        <v>-6.2759039999999997</v>
      </c>
      <c r="G93" s="40">
        <v>13.189183999999999</v>
      </c>
      <c r="H93" s="40">
        <v>15.342485</v>
      </c>
      <c r="I93" s="40">
        <v>11.062706</v>
      </c>
      <c r="J93" s="40">
        <v>16.036224000000001</v>
      </c>
      <c r="K93" s="47">
        <v>11.128890999999999</v>
      </c>
      <c r="L93" s="47">
        <v>-0.24108887000000001</v>
      </c>
      <c r="M93" s="47">
        <v>-3.9637088999999999</v>
      </c>
      <c r="N93" s="47">
        <v>6.8855285999999998</v>
      </c>
    </row>
    <row r="94" spans="1:14" x14ac:dyDescent="0.35">
      <c r="A94" s="2">
        <v>44645</v>
      </c>
      <c r="B94" s="40">
        <v>-7.6077165999999998</v>
      </c>
      <c r="C94" s="40">
        <v>13.067793999999999</v>
      </c>
      <c r="D94" s="40">
        <v>22.428166999999998</v>
      </c>
      <c r="E94" s="40">
        <v>-11.624736</v>
      </c>
      <c r="F94" s="40">
        <v>-7.4437559999999996</v>
      </c>
      <c r="G94" s="40">
        <v>11.433052999999999</v>
      </c>
      <c r="H94" s="40">
        <v>13.835286999999999</v>
      </c>
      <c r="I94" s="40">
        <v>15.980779999999999</v>
      </c>
      <c r="J94" s="40">
        <v>17.702674999999999</v>
      </c>
      <c r="K94" s="47">
        <v>5.0585269999999998</v>
      </c>
      <c r="L94" s="47">
        <v>-4.7128915999999998</v>
      </c>
      <c r="M94" s="47">
        <v>-7.8340350000000001</v>
      </c>
      <c r="N94" s="47">
        <v>-4.4183674000000002</v>
      </c>
    </row>
    <row r="95" spans="1:14" x14ac:dyDescent="0.35">
      <c r="A95" s="2">
        <v>44677</v>
      </c>
      <c r="B95" s="40">
        <v>-20.177858000000001</v>
      </c>
      <c r="C95" s="40">
        <v>-2.7985989999999998</v>
      </c>
      <c r="D95" s="40">
        <v>6.5832376000000004</v>
      </c>
      <c r="E95" s="40">
        <v>-24.697702</v>
      </c>
      <c r="F95" s="40">
        <v>-16.892672000000001</v>
      </c>
      <c r="G95" s="40">
        <v>0.51672459999999998</v>
      </c>
      <c r="H95" s="40">
        <v>1.6399859999999999</v>
      </c>
      <c r="I95" s="40">
        <v>-6.7208949999999996</v>
      </c>
      <c r="J95" s="40">
        <v>0.95845460000000005</v>
      </c>
      <c r="K95" s="47">
        <v>-7.9791664999999998</v>
      </c>
      <c r="L95" s="47">
        <v>-21.278428999999999</v>
      </c>
      <c r="M95" s="47">
        <v>-21.710217</v>
      </c>
      <c r="N95" s="47">
        <v>-13.634282000000001</v>
      </c>
    </row>
    <row r="96" spans="1:14" x14ac:dyDescent="0.35">
      <c r="A96" s="2">
        <v>44707</v>
      </c>
      <c r="B96" s="40">
        <v>-22.076654000000001</v>
      </c>
      <c r="C96" s="40">
        <v>-3.4476995000000001</v>
      </c>
      <c r="D96" s="40">
        <v>0.56008100000000005</v>
      </c>
      <c r="E96" s="40">
        <v>-22.505457</v>
      </c>
      <c r="F96" s="40">
        <v>-13.234722</v>
      </c>
      <c r="G96" s="40">
        <v>-5.4226580000000002</v>
      </c>
      <c r="H96" s="40">
        <v>2.504146</v>
      </c>
      <c r="I96" s="40">
        <v>-9.9830919999999992</v>
      </c>
      <c r="J96" s="40">
        <v>-2.0021439000000001</v>
      </c>
      <c r="K96" s="47">
        <v>-8.5327809999999999</v>
      </c>
      <c r="L96" s="47">
        <v>-21.153853999999999</v>
      </c>
      <c r="M96" s="47">
        <v>-21.038855000000002</v>
      </c>
      <c r="N96" s="47">
        <v>-10.354519</v>
      </c>
    </row>
    <row r="97" spans="1:14" x14ac:dyDescent="0.35">
      <c r="A97" s="2">
        <v>44736</v>
      </c>
      <c r="B97" s="40">
        <v>-24.538916</v>
      </c>
      <c r="C97" s="40">
        <v>-12.220329</v>
      </c>
      <c r="D97" s="40">
        <v>-7.8621983999999996</v>
      </c>
      <c r="E97" s="40">
        <v>-28.782589000000002</v>
      </c>
      <c r="F97" s="40">
        <v>-19.328534999999999</v>
      </c>
      <c r="G97" s="40">
        <v>-13.153672</v>
      </c>
      <c r="H97" s="40">
        <v>-4.1331350000000002</v>
      </c>
      <c r="I97" s="40">
        <v>-15.33202</v>
      </c>
      <c r="J97" s="40">
        <v>-6.9302739999999998</v>
      </c>
      <c r="K97" s="47">
        <v>-14.814448000000001</v>
      </c>
      <c r="L97" s="47">
        <v>-25.439781</v>
      </c>
      <c r="M97" s="47">
        <v>-28.206389999999999</v>
      </c>
      <c r="N97" s="47">
        <v>-20.22589</v>
      </c>
    </row>
    <row r="98" spans="1:14" x14ac:dyDescent="0.35">
      <c r="A98" s="2">
        <v>44768</v>
      </c>
      <c r="B98" s="40">
        <v>-23.965954</v>
      </c>
      <c r="C98" s="40">
        <v>-10.261362999999999</v>
      </c>
      <c r="D98" s="40">
        <v>-6.6573323999999996</v>
      </c>
      <c r="E98" s="40">
        <v>-32.611899999999999</v>
      </c>
      <c r="F98" s="40">
        <v>-18.165934</v>
      </c>
      <c r="G98" s="40">
        <v>-12.951719000000001</v>
      </c>
      <c r="H98" s="40">
        <v>-4.1500450000000004</v>
      </c>
      <c r="I98" s="40">
        <v>-19.671219000000001</v>
      </c>
      <c r="J98" s="40">
        <v>-10.103624999999999</v>
      </c>
      <c r="K98" s="47">
        <v>-16.041606999999999</v>
      </c>
      <c r="L98" s="47">
        <v>-25.960373000000001</v>
      </c>
      <c r="M98" s="47">
        <v>-31.056028000000001</v>
      </c>
      <c r="N98" s="47">
        <v>-26.06467</v>
      </c>
    </row>
    <row r="99" spans="1:14" x14ac:dyDescent="0.35">
      <c r="A99" s="2">
        <v>44799</v>
      </c>
      <c r="B99" s="40">
        <v>-23.400068000000001</v>
      </c>
      <c r="C99" s="40">
        <v>-6.3238086999999998</v>
      </c>
      <c r="D99" s="40">
        <v>-3.7591160000000001</v>
      </c>
      <c r="E99" s="40">
        <v>-35.144955000000003</v>
      </c>
      <c r="F99" s="40">
        <v>-17.672937000000001</v>
      </c>
      <c r="G99" s="40">
        <v>-16.705113999999998</v>
      </c>
      <c r="H99" s="40">
        <v>-5.376214</v>
      </c>
      <c r="I99" s="40">
        <v>-16.989946</v>
      </c>
      <c r="J99" s="40">
        <v>-7.8818501999999997</v>
      </c>
      <c r="K99" s="47">
        <v>-16.952483999999998</v>
      </c>
      <c r="L99" s="47">
        <v>-31.101143</v>
      </c>
      <c r="M99" s="47">
        <v>-32.185012999999998</v>
      </c>
      <c r="N99" s="47">
        <v>-25.193083000000001</v>
      </c>
    </row>
    <row r="100" spans="1:14" x14ac:dyDescent="0.35">
      <c r="A100" s="2">
        <v>44830</v>
      </c>
      <c r="B100" s="40">
        <v>-31.318396</v>
      </c>
      <c r="C100" s="40">
        <v>-16.407834999999999</v>
      </c>
      <c r="D100" s="40">
        <v>-15.014082</v>
      </c>
      <c r="E100" s="40">
        <v>-39.482985999999997</v>
      </c>
      <c r="F100" s="40">
        <v>-30.674833</v>
      </c>
      <c r="G100" s="40">
        <v>-21.652560999999999</v>
      </c>
      <c r="H100" s="40">
        <v>-17.175191999999999</v>
      </c>
      <c r="I100" s="40">
        <v>-26.051586</v>
      </c>
      <c r="J100" s="40">
        <v>-16.686831999999999</v>
      </c>
      <c r="K100" s="47">
        <v>-26.677109000000002</v>
      </c>
      <c r="L100" s="47">
        <v>-40.519440000000003</v>
      </c>
      <c r="M100" s="47">
        <v>-39.380474</v>
      </c>
      <c r="N100" s="47">
        <v>-30.029941999999998</v>
      </c>
    </row>
    <row r="101" spans="1:14" x14ac:dyDescent="0.35">
      <c r="A101" s="2">
        <v>44860</v>
      </c>
      <c r="B101" s="40">
        <v>-31.40006</v>
      </c>
      <c r="C101" s="40">
        <v>-16.212315</v>
      </c>
      <c r="D101" s="40">
        <v>-14.742494000000001</v>
      </c>
      <c r="E101" s="40">
        <v>-32.145805000000003</v>
      </c>
      <c r="F101" s="40">
        <v>-24.702971999999999</v>
      </c>
      <c r="G101" s="40">
        <v>-18.144870000000001</v>
      </c>
      <c r="H101" s="40">
        <v>-13.503843</v>
      </c>
      <c r="I101" s="40">
        <v>-26.2361</v>
      </c>
      <c r="J101" s="40">
        <v>-14.945591</v>
      </c>
      <c r="K101" s="47">
        <v>-17.812823999999999</v>
      </c>
      <c r="L101" s="47">
        <v>-35.265700000000002</v>
      </c>
      <c r="M101" s="47">
        <v>-34.309047999999997</v>
      </c>
      <c r="N101" s="47">
        <v>-25.321781000000001</v>
      </c>
    </row>
    <row r="102" spans="1:14" x14ac:dyDescent="0.35">
      <c r="A102" s="2">
        <v>44890</v>
      </c>
      <c r="B102" s="40">
        <v>-18.835766</v>
      </c>
      <c r="C102" s="40">
        <v>-2.4784625</v>
      </c>
      <c r="D102" s="40">
        <v>-8.2826730000000008</v>
      </c>
      <c r="E102" s="40">
        <v>-20.260017000000001</v>
      </c>
      <c r="F102" s="40">
        <v>-16.752338000000002</v>
      </c>
      <c r="G102" s="40">
        <v>-11.552757</v>
      </c>
      <c r="H102" s="40">
        <v>-1.6162038000000001</v>
      </c>
      <c r="I102" s="40">
        <v>-27.6007</v>
      </c>
      <c r="J102" s="40">
        <v>-12.995881000000001</v>
      </c>
      <c r="K102" s="47">
        <v>-9.2892109999999999</v>
      </c>
      <c r="L102" s="47">
        <v>-22.109186000000001</v>
      </c>
      <c r="M102" s="47">
        <v>-22.166967</v>
      </c>
      <c r="N102" s="47">
        <v>-12.017291999999999</v>
      </c>
    </row>
    <row r="103" spans="1:14" x14ac:dyDescent="0.35">
      <c r="A103" s="2">
        <v>44918</v>
      </c>
      <c r="B103" s="40">
        <v>-16.041630000000001</v>
      </c>
      <c r="C103" s="40">
        <v>-5.2956159999999999</v>
      </c>
      <c r="D103" s="40">
        <v>-11.522764</v>
      </c>
      <c r="E103" s="40">
        <v>-21.802783999999999</v>
      </c>
      <c r="F103" s="40">
        <v>-17.761510000000001</v>
      </c>
      <c r="G103" s="40">
        <v>-17.835156999999999</v>
      </c>
      <c r="H103" s="40">
        <v>-3.2063006999999999</v>
      </c>
      <c r="I103" s="40">
        <v>-32.146500000000003</v>
      </c>
      <c r="J103" s="40">
        <v>-17.309909999999999</v>
      </c>
      <c r="K103" s="47">
        <v>-11.2630005</v>
      </c>
      <c r="L103" s="47">
        <v>-23.059653999999998</v>
      </c>
      <c r="M103" s="47">
        <v>-26.43826</v>
      </c>
      <c r="N103" s="47">
        <v>-13.064199</v>
      </c>
    </row>
    <row r="104" spans="1:14" x14ac:dyDescent="0.35">
      <c r="A104" s="2">
        <v>44952</v>
      </c>
      <c r="B104" s="40">
        <v>-0.44917464000000001</v>
      </c>
      <c r="C104" s="40">
        <v>14.487731999999999</v>
      </c>
      <c r="D104" s="40">
        <v>-2.4687410000000001</v>
      </c>
      <c r="E104" s="40">
        <v>-8.6759989999999991</v>
      </c>
      <c r="F104" s="40">
        <v>-6.3782930000000002</v>
      </c>
      <c r="G104" s="40">
        <v>-4.6737313</v>
      </c>
      <c r="H104" s="40">
        <v>1.0751963</v>
      </c>
      <c r="I104" s="40">
        <v>-14.242399000000001</v>
      </c>
      <c r="J104" s="40">
        <v>-5.0867852999999998</v>
      </c>
      <c r="K104" s="47">
        <v>2.3248315000000002</v>
      </c>
      <c r="L104" s="47">
        <v>-3.8488150000000001</v>
      </c>
      <c r="M104" s="47">
        <v>-11.229217999999999</v>
      </c>
      <c r="N104" s="47">
        <v>-1.7491220999999999</v>
      </c>
    </row>
    <row r="105" spans="1:14" x14ac:dyDescent="0.35">
      <c r="A105" s="2">
        <v>44981</v>
      </c>
      <c r="B105" s="40">
        <v>-7.0836724999999996</v>
      </c>
      <c r="C105" s="40">
        <v>1.3075589999999999</v>
      </c>
      <c r="D105" s="40">
        <v>-6.0518083999999996</v>
      </c>
      <c r="E105" s="40">
        <v>-4.8602699999999999</v>
      </c>
      <c r="F105" s="40">
        <v>-9.3721390000000007</v>
      </c>
      <c r="G105" s="40">
        <v>-5.5614530000000002</v>
      </c>
      <c r="H105" s="40">
        <v>1.1946319999999999</v>
      </c>
      <c r="I105" s="40">
        <v>-13.655590999999999</v>
      </c>
      <c r="J105" s="40">
        <v>-5.9470653999999996</v>
      </c>
      <c r="K105" s="47">
        <v>5.3554295999999999</v>
      </c>
      <c r="L105" s="47">
        <v>-3.8161158999999998</v>
      </c>
      <c r="M105" s="47">
        <v>-4.7084513000000001</v>
      </c>
      <c r="N105" s="47">
        <v>1.9693970999999999</v>
      </c>
    </row>
    <row r="106" spans="1:14" x14ac:dyDescent="0.35">
      <c r="A106" s="2">
        <v>45009</v>
      </c>
      <c r="B106" s="40">
        <v>-12.029797</v>
      </c>
      <c r="C106" s="40">
        <v>-12.159746999999999</v>
      </c>
      <c r="D106" s="40">
        <v>-17.039013000000001</v>
      </c>
      <c r="E106" s="40">
        <v>-1.2446344</v>
      </c>
      <c r="F106" s="40">
        <v>-7.8611493000000001</v>
      </c>
      <c r="G106" s="40">
        <v>-9.0487780000000004</v>
      </c>
      <c r="H106" s="40">
        <v>-4.5556307</v>
      </c>
      <c r="I106" s="40">
        <v>-12.896096999999999</v>
      </c>
      <c r="J106" s="40">
        <v>-10.651755</v>
      </c>
      <c r="K106" s="47">
        <v>6.9655060000000004</v>
      </c>
      <c r="L106" s="47">
        <v>-3.1347035999999999</v>
      </c>
      <c r="M106" s="47">
        <v>-11.674571</v>
      </c>
      <c r="N106" s="47">
        <v>5.5265069999999996</v>
      </c>
    </row>
    <row r="107" spans="1:14" x14ac:dyDescent="0.35">
      <c r="A107" s="2">
        <v>45042</v>
      </c>
      <c r="B107" s="40">
        <v>-1.9311069999999999</v>
      </c>
      <c r="C107" s="40">
        <v>-1.5698969</v>
      </c>
      <c r="D107" s="40">
        <v>-4.8843383999999999</v>
      </c>
      <c r="E107" s="40">
        <v>16.057418999999999</v>
      </c>
      <c r="F107" s="40">
        <v>5.3736329999999999</v>
      </c>
      <c r="G107" s="40">
        <v>5.4209947999999999</v>
      </c>
      <c r="H107" s="40">
        <v>8.8613750000000007</v>
      </c>
      <c r="I107" s="40">
        <v>-0.90916750000000002</v>
      </c>
      <c r="J107" s="40">
        <v>-1.1627376</v>
      </c>
      <c r="K107" s="47">
        <v>23.007142999999999</v>
      </c>
      <c r="L107" s="47">
        <v>10.7352495</v>
      </c>
      <c r="M107" s="47">
        <v>5.6795716000000001</v>
      </c>
      <c r="N107" s="47">
        <v>20.471858999999998</v>
      </c>
    </row>
    <row r="108" spans="1:14" x14ac:dyDescent="0.35">
      <c r="A108" s="2">
        <v>45072</v>
      </c>
      <c r="B108" s="40">
        <v>3.4167051000000002</v>
      </c>
      <c r="C108" s="40">
        <v>-3.4985542000000001</v>
      </c>
      <c r="D108" s="40">
        <v>-6.7575035000000003</v>
      </c>
      <c r="E108" s="40">
        <v>9.2829230000000003</v>
      </c>
      <c r="F108" s="40">
        <v>5.1468369999999997</v>
      </c>
      <c r="G108" s="40">
        <v>6.9660425000000004</v>
      </c>
      <c r="H108" s="40">
        <v>1.4520168</v>
      </c>
      <c r="I108" s="40">
        <v>17.284012000000001</v>
      </c>
      <c r="J108" s="40">
        <v>5.3981184999999998</v>
      </c>
      <c r="K108" s="47">
        <v>15.524710000000001</v>
      </c>
      <c r="L108" s="47">
        <v>13.938796999999999</v>
      </c>
      <c r="M108" s="47">
        <v>0.99829435</v>
      </c>
      <c r="N108" s="47">
        <v>10.455645000000001</v>
      </c>
    </row>
    <row r="109" spans="1:14" x14ac:dyDescent="0.35">
      <c r="A109" s="2">
        <v>45103</v>
      </c>
      <c r="B109" s="40">
        <v>6.2586069999999996</v>
      </c>
      <c r="C109" s="40">
        <v>6.5250874000000003</v>
      </c>
      <c r="D109" s="40">
        <v>3.3912420000000001</v>
      </c>
      <c r="E109" s="40">
        <v>19.831741000000001</v>
      </c>
      <c r="F109" s="40">
        <v>14.481068</v>
      </c>
      <c r="G109" s="40">
        <v>11.311126</v>
      </c>
      <c r="H109" s="40">
        <v>8.9852699999999999</v>
      </c>
      <c r="I109" s="40">
        <v>22.275675</v>
      </c>
      <c r="J109" s="40">
        <v>12.425613</v>
      </c>
      <c r="K109" s="47">
        <v>22.716438</v>
      </c>
      <c r="L109" s="47">
        <v>19.033587000000001</v>
      </c>
      <c r="M109" s="47">
        <v>9.2220189999999995</v>
      </c>
      <c r="N109" s="47">
        <v>26.810241999999999</v>
      </c>
    </row>
    <row r="110" spans="1:14" x14ac:dyDescent="0.35">
      <c r="A110" s="2">
        <v>45133</v>
      </c>
      <c r="B110" s="40">
        <v>10.581123</v>
      </c>
      <c r="C110" s="40">
        <v>12.046599000000001</v>
      </c>
      <c r="D110" s="40">
        <v>8.8885190000000005</v>
      </c>
      <c r="E110" s="40">
        <v>32.821083000000002</v>
      </c>
      <c r="F110" s="40">
        <v>17.238282999999999</v>
      </c>
      <c r="G110" s="40">
        <v>15.355122</v>
      </c>
      <c r="H110" s="40">
        <v>16.280197000000001</v>
      </c>
      <c r="I110" s="40">
        <v>29.163350000000001</v>
      </c>
      <c r="J110" s="40">
        <v>18.451858999999999</v>
      </c>
      <c r="K110" s="47">
        <v>31.846989000000001</v>
      </c>
      <c r="L110" s="47">
        <v>24.332355</v>
      </c>
      <c r="M110" s="47">
        <v>14.752853</v>
      </c>
      <c r="N110" s="47">
        <v>50.900852</v>
      </c>
    </row>
    <row r="111" spans="1:14" x14ac:dyDescent="0.35">
      <c r="A111" s="2">
        <v>45163</v>
      </c>
      <c r="B111" s="40">
        <v>-4.425478</v>
      </c>
      <c r="C111" s="40">
        <v>-2.3389875999999998</v>
      </c>
      <c r="D111" s="40">
        <v>-3.8379669999999999</v>
      </c>
      <c r="E111" s="40">
        <v>25.072336</v>
      </c>
      <c r="F111" s="40">
        <v>8.4724059999999994</v>
      </c>
      <c r="G111" s="40">
        <v>9.8891969999999993</v>
      </c>
      <c r="H111" s="40">
        <v>7.0029260000000004</v>
      </c>
      <c r="I111" s="40">
        <v>14.36199</v>
      </c>
      <c r="J111" s="40">
        <v>6.6054105999999999</v>
      </c>
      <c r="K111" s="47">
        <v>23.576581999999998</v>
      </c>
      <c r="L111" s="47">
        <v>14.070379000000001</v>
      </c>
      <c r="M111" s="47">
        <v>3.7821174000000002</v>
      </c>
      <c r="N111" s="47">
        <v>35.407470000000004</v>
      </c>
    </row>
    <row r="112" spans="1:14" x14ac:dyDescent="0.35">
      <c r="A112" s="2">
        <v>45195</v>
      </c>
      <c r="B112" s="40">
        <v>6.2985660000000001</v>
      </c>
      <c r="C112" s="40">
        <v>11.916388</v>
      </c>
      <c r="D112" s="40">
        <v>11.923194000000001</v>
      </c>
      <c r="E112" s="40">
        <v>35.012996999999999</v>
      </c>
      <c r="F112" s="40">
        <v>24.588740000000001</v>
      </c>
      <c r="G112" s="40">
        <v>20.691621999999999</v>
      </c>
      <c r="H112" s="40">
        <v>26.625751000000001</v>
      </c>
      <c r="I112" s="40">
        <v>29.978348</v>
      </c>
      <c r="J112" s="40">
        <v>18.759464000000001</v>
      </c>
      <c r="K112" s="47">
        <v>35.983573999999997</v>
      </c>
      <c r="L112" s="47">
        <v>24.983560000000001</v>
      </c>
      <c r="M112" s="47">
        <v>22.165929999999999</v>
      </c>
      <c r="N112" s="47">
        <v>44.569313000000001</v>
      </c>
    </row>
    <row r="113" spans="1:14" x14ac:dyDescent="0.35">
      <c r="A113" s="2">
        <v>45225</v>
      </c>
      <c r="B113" s="40">
        <v>-1.1988639999999999</v>
      </c>
      <c r="C113" s="40">
        <v>2.494526</v>
      </c>
      <c r="D113" s="40">
        <v>-0.72828530000000002</v>
      </c>
      <c r="E113" s="40">
        <v>15.013968999999999</v>
      </c>
      <c r="F113" s="40">
        <v>14.873255</v>
      </c>
      <c r="G113" s="40">
        <v>8.2775479999999995</v>
      </c>
      <c r="H113" s="40">
        <v>12.495542</v>
      </c>
      <c r="I113" s="40">
        <v>24.491703000000001</v>
      </c>
      <c r="J113" s="40">
        <v>9.7090720000000008</v>
      </c>
      <c r="K113" s="47">
        <v>16.305374</v>
      </c>
      <c r="L113" s="47">
        <v>12.849235999999999</v>
      </c>
      <c r="M113" s="47">
        <v>4.3738484</v>
      </c>
      <c r="N113" s="47">
        <v>27.036798000000001</v>
      </c>
    </row>
    <row r="114" spans="1:14" x14ac:dyDescent="0.35">
      <c r="A114" s="2">
        <v>45254</v>
      </c>
      <c r="B114" s="40">
        <v>-2.2432506000000001</v>
      </c>
      <c r="C114" s="40">
        <v>0.56235789999999997</v>
      </c>
      <c r="D114" s="40">
        <v>0.91154575000000004</v>
      </c>
      <c r="E114" s="40">
        <v>15.694582</v>
      </c>
      <c r="F114" s="40">
        <v>13.695824</v>
      </c>
      <c r="G114" s="40">
        <v>7.7820179999999999</v>
      </c>
      <c r="H114" s="40">
        <v>8.3361990000000006</v>
      </c>
      <c r="I114" s="40">
        <v>35.780740000000002</v>
      </c>
      <c r="J114" s="40">
        <v>14.939726</v>
      </c>
      <c r="K114" s="47">
        <v>16.402256000000001</v>
      </c>
      <c r="L114" s="47">
        <v>12.153482</v>
      </c>
      <c r="M114" s="47">
        <v>8.2757000000000005</v>
      </c>
      <c r="N114" s="47">
        <v>24.081982</v>
      </c>
    </row>
    <row r="115" spans="1:14" x14ac:dyDescent="0.35">
      <c r="A115" s="2">
        <v>45286</v>
      </c>
      <c r="B115" s="40">
        <v>1.8488884000000001</v>
      </c>
      <c r="C115" s="40">
        <v>13.866604000000001</v>
      </c>
      <c r="D115" s="40">
        <v>14.79472</v>
      </c>
      <c r="E115" s="40">
        <v>23.359680000000001</v>
      </c>
      <c r="F115" s="40">
        <v>18.049313000000001</v>
      </c>
      <c r="G115" s="40">
        <v>16.231739000000001</v>
      </c>
      <c r="H115" s="40">
        <v>12.007046000000001</v>
      </c>
      <c r="I115" s="40">
        <v>54.658172999999998</v>
      </c>
      <c r="J115" s="40">
        <v>26.121521000000001</v>
      </c>
      <c r="K115" s="47">
        <v>22.393715</v>
      </c>
      <c r="L115" s="47">
        <v>21.174633</v>
      </c>
      <c r="M115" s="47">
        <v>25.317764</v>
      </c>
      <c r="N115" s="47">
        <v>30.691873999999999</v>
      </c>
    </row>
    <row r="116" spans="1:14" x14ac:dyDescent="0.35">
      <c r="A116" s="2">
        <v>45317</v>
      </c>
      <c r="B116" s="40">
        <v>-7.9473734</v>
      </c>
      <c r="C116" s="40">
        <v>-1.5383601</v>
      </c>
      <c r="D116" s="40">
        <v>4.8328519999999999</v>
      </c>
      <c r="E116" s="40">
        <v>7.8136206000000001</v>
      </c>
      <c r="F116" s="40">
        <v>13.842154000000001</v>
      </c>
      <c r="G116" s="40">
        <v>8.291328</v>
      </c>
      <c r="H116" s="40">
        <v>3.9708733999999999</v>
      </c>
      <c r="I116" s="40">
        <v>45.472861999999999</v>
      </c>
      <c r="J116" s="40">
        <v>22.266089999999998</v>
      </c>
      <c r="K116" s="47">
        <v>8.5502389999999995</v>
      </c>
      <c r="L116" s="47">
        <v>9.6140019999999993</v>
      </c>
      <c r="M116" s="47">
        <v>7.3050620000000004</v>
      </c>
      <c r="N116" s="47">
        <v>15.982305999999999</v>
      </c>
    </row>
    <row r="117" spans="1:14" x14ac:dyDescent="0.35">
      <c r="A117" s="2">
        <v>45348</v>
      </c>
      <c r="B117" s="40">
        <v>-2.6357412</v>
      </c>
      <c r="C117" s="40">
        <v>8.1181889999999992</v>
      </c>
      <c r="D117" s="40">
        <v>10.646749</v>
      </c>
      <c r="E117" s="40">
        <v>15.177166</v>
      </c>
      <c r="F117" s="40">
        <v>26.692807999999999</v>
      </c>
      <c r="G117" s="40">
        <v>10.17108</v>
      </c>
      <c r="H117" s="40">
        <v>6.4237237</v>
      </c>
      <c r="I117" s="40">
        <v>50.610863000000002</v>
      </c>
      <c r="J117" s="40">
        <v>29.607046</v>
      </c>
      <c r="K117" s="47">
        <v>14.256144000000001</v>
      </c>
      <c r="L117" s="47">
        <v>20.219754999999999</v>
      </c>
      <c r="M117" s="47">
        <v>16.180944</v>
      </c>
      <c r="N117" s="47">
        <v>24.789656000000001</v>
      </c>
    </row>
    <row r="118" spans="1:14" x14ac:dyDescent="0.35">
      <c r="A118" s="2">
        <v>45377</v>
      </c>
      <c r="B118" s="40">
        <v>-2.6286364</v>
      </c>
      <c r="C118" s="40">
        <v>14.662312999999999</v>
      </c>
      <c r="D118" s="40">
        <v>18.397701000000001</v>
      </c>
      <c r="E118" s="40">
        <v>19.693268</v>
      </c>
      <c r="F118" s="40">
        <v>27.455663999999999</v>
      </c>
      <c r="G118" s="40">
        <v>10.900604</v>
      </c>
      <c r="H118" s="40">
        <v>13.675796500000001</v>
      </c>
      <c r="I118" s="40">
        <v>43.546222999999998</v>
      </c>
      <c r="J118" s="40">
        <v>33.00508</v>
      </c>
      <c r="K118" s="47">
        <v>17.638386000000001</v>
      </c>
      <c r="L118" s="47">
        <v>24.082159999999998</v>
      </c>
      <c r="M118" s="47">
        <v>24.718702</v>
      </c>
      <c r="N118" s="47">
        <v>34.713183999999998</v>
      </c>
    </row>
    <row r="119" spans="1:14" x14ac:dyDescent="0.35">
      <c r="A119" s="2">
        <v>45408</v>
      </c>
      <c r="B119" s="40">
        <v>-6.5254269999999996</v>
      </c>
      <c r="C119" s="40">
        <v>7.9960465000000003</v>
      </c>
      <c r="D119" s="40">
        <v>11.873341</v>
      </c>
      <c r="E119" s="40">
        <v>9.3940370000000009</v>
      </c>
      <c r="F119" s="40">
        <v>17.47223</v>
      </c>
      <c r="G119" s="40">
        <v>-1.5482605</v>
      </c>
      <c r="H119" s="40">
        <v>8.6244340000000008</v>
      </c>
      <c r="I119" s="40">
        <v>39.118492000000003</v>
      </c>
      <c r="J119" s="40">
        <v>27.525960000000001</v>
      </c>
      <c r="K119" s="47">
        <v>6.6514730000000002</v>
      </c>
      <c r="L119" s="47">
        <v>18.733013</v>
      </c>
      <c r="M119" s="47">
        <v>10.989618</v>
      </c>
      <c r="N119" s="47">
        <v>23.395465999999999</v>
      </c>
    </row>
    <row r="120" spans="1:14" x14ac:dyDescent="0.35">
      <c r="A120" s="2">
        <v>45436</v>
      </c>
      <c r="B120" s="40">
        <v>-3.5455226999999998</v>
      </c>
      <c r="C120" s="40">
        <v>15.331220999999999</v>
      </c>
      <c r="D120" s="40">
        <v>15.774953999999999</v>
      </c>
      <c r="E120" s="40">
        <v>16.953827</v>
      </c>
      <c r="F120" s="40">
        <v>17.091047</v>
      </c>
      <c r="G120" s="40">
        <v>5.1164984999999996</v>
      </c>
      <c r="H120" s="40">
        <v>16.899384000000001</v>
      </c>
      <c r="I120" s="40">
        <v>39.001441999999997</v>
      </c>
      <c r="J120" s="40">
        <v>30.665434000000001</v>
      </c>
      <c r="K120" s="47">
        <v>14.70853</v>
      </c>
      <c r="L120" s="47">
        <v>26.393699999999999</v>
      </c>
      <c r="M120" s="47">
        <v>23.413599000000001</v>
      </c>
      <c r="N120" s="47">
        <v>31.866990999999999</v>
      </c>
    </row>
    <row r="121" spans="1:14" x14ac:dyDescent="0.35">
      <c r="A121" s="2">
        <v>45469</v>
      </c>
      <c r="B121" s="40">
        <v>-1.6872942</v>
      </c>
      <c r="C121" s="40">
        <v>13.712788</v>
      </c>
      <c r="D121" s="40">
        <v>10.393238</v>
      </c>
      <c r="E121" s="40">
        <v>11.543846</v>
      </c>
      <c r="F121" s="40">
        <v>12.902414</v>
      </c>
      <c r="G121" s="40">
        <v>8.3065270000000009</v>
      </c>
      <c r="H121" s="40">
        <v>14.214611</v>
      </c>
      <c r="I121" s="40">
        <v>35.227046999999999</v>
      </c>
      <c r="J121" s="40">
        <v>28.217638000000001</v>
      </c>
      <c r="K121" s="47">
        <v>5.92258</v>
      </c>
      <c r="L121" s="47">
        <v>22.240103000000001</v>
      </c>
      <c r="M121" s="47">
        <v>21.277654999999999</v>
      </c>
      <c r="N121" s="47">
        <v>22.405922</v>
      </c>
    </row>
    <row r="122" spans="1:14" x14ac:dyDescent="0.35">
      <c r="A122" s="2">
        <v>45499</v>
      </c>
      <c r="B122">
        <v>-5.0525245999999999</v>
      </c>
      <c r="C122">
        <v>9.4133739999999992</v>
      </c>
      <c r="D122">
        <v>9.3091369999999998</v>
      </c>
      <c r="E122">
        <v>10.787177</v>
      </c>
      <c r="F122">
        <v>11.69628</v>
      </c>
      <c r="G122">
        <v>7.171583</v>
      </c>
      <c r="H122">
        <v>11.884665500000001</v>
      </c>
      <c r="I122">
        <v>23.479604999999999</v>
      </c>
      <c r="J122">
        <v>21.204163000000001</v>
      </c>
      <c r="K122" s="47">
        <v>2.8565645000000002</v>
      </c>
      <c r="L122" s="47">
        <v>12.898540499999999</v>
      </c>
      <c r="M122" s="47">
        <v>14.420092</v>
      </c>
      <c r="N122" s="47">
        <v>17.209387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-31.40006</v>
      </c>
      <c r="C126" s="40" cm="1">
        <f t="array" ref="C126">MIN(_xlfn._xlws.FILTER(C2:C122, ISNUMBER(C2:C122)))</f>
        <v>-26.106960000000001</v>
      </c>
      <c r="D126" s="40" cm="1">
        <f t="array" ref="D126">MIN(_xlfn._xlws.FILTER(D2:D122, ISNUMBER(D2:D122)))</f>
        <v>-27.318490000000001</v>
      </c>
      <c r="E126" s="40" cm="1">
        <f t="array" ref="E126">MIN(_xlfn._xlws.FILTER(E2:E122, ISNUMBER(E2:E122)))</f>
        <v>-39.482985999999997</v>
      </c>
      <c r="F126" s="40" cm="1">
        <f t="array" ref="F126">MIN(_xlfn._xlws.FILTER(F2:F122, ISNUMBER(F2:F122)))</f>
        <v>-30.674833</v>
      </c>
      <c r="G126" s="40" cm="1">
        <f t="array" ref="G126">MIN(_xlfn._xlws.FILTER(G2:G122, ISNUMBER(G2:G122)))</f>
        <v>-21.652560999999999</v>
      </c>
      <c r="H126" s="40" cm="1">
        <f t="array" ref="H126">MIN(_xlfn._xlws.FILTER(H2:H122, ISNUMBER(H2:H122)))</f>
        <v>-23.942202000000002</v>
      </c>
      <c r="I126" s="40" cm="1">
        <f t="array" ref="I126">MIN(_xlfn._xlws.FILTER(I2:I122, ISNUMBER(I2:I122)))</f>
        <v>-32.146500000000003</v>
      </c>
      <c r="J126" s="40" cm="1">
        <f t="array" ref="J126">MIN(_xlfn._xlws.FILTER(J2:J122, ISNUMBER(J2:J122)))</f>
        <v>-17.309909999999999</v>
      </c>
      <c r="K126" s="40" cm="1">
        <f t="array" ref="K126">MIN(_xlfn._xlws.FILTER(K2:K122, ISNUMBER(K2:K122)))</f>
        <v>-26.677109000000002</v>
      </c>
      <c r="L126" s="40" cm="1">
        <f t="array" ref="L126">MIN(_xlfn._xlws.FILTER(L2:L122, ISNUMBER(L2:L122)))</f>
        <v>-40.519440000000003</v>
      </c>
      <c r="M126" s="40" cm="1">
        <f t="array" ref="M126">MIN(_xlfn._xlws.FILTER(M2:M122, ISNUMBER(M2:M122)))</f>
        <v>-39.380474</v>
      </c>
      <c r="N126" s="40" cm="1">
        <f t="array" ref="N126">MIN(_xlfn._xlws.FILTER(N2:N122, ISNUMBER(N2:N122)))</f>
        <v>-31.189609999999998</v>
      </c>
    </row>
    <row r="127" spans="1:14" x14ac:dyDescent="0.35">
      <c r="A127" s="2" t="s">
        <v>393</v>
      </c>
      <c r="B127" s="42" cm="1">
        <f t="array" ref="B127">MAX(_xlfn._xlws.FILTER(B1:B122, ISNUMBER(B1:B122)))</f>
        <v>49.413905999999997</v>
      </c>
      <c r="C127" s="42" cm="1">
        <f t="array" ref="C127">MAX(_xlfn._xlws.FILTER(C1:C122, ISNUMBER(C1:C122)))</f>
        <v>64.523210000000006</v>
      </c>
      <c r="D127" s="42" cm="1">
        <f t="array" ref="D127">MAX(_xlfn._xlws.FILTER(D1:D122, ISNUMBER(D1:D122)))</f>
        <v>60.214675999999997</v>
      </c>
      <c r="E127" s="42" cm="1">
        <f t="array" ref="E127">MAX(_xlfn._xlws.FILTER(E1:E122, ISNUMBER(E1:E122)))</f>
        <v>59.996403000000001</v>
      </c>
      <c r="F127" s="42" cm="1">
        <f t="array" ref="F127">MAX(_xlfn._xlws.FILTER(F1:F122, ISNUMBER(F1:F122)))</f>
        <v>41.220190000000002</v>
      </c>
      <c r="G127" s="42" cm="1">
        <f t="array" ref="G127">MAX(_xlfn._xlws.FILTER(G1:G122, ISNUMBER(G1:G122)))</f>
        <v>32.54063</v>
      </c>
      <c r="H127" s="42" cm="1">
        <f t="array" ref="H127">MAX(_xlfn._xlws.FILTER(H1:H122, ISNUMBER(H1:H122)))</f>
        <v>37.666556999999997</v>
      </c>
      <c r="I127" s="42" cm="1">
        <f t="array" ref="I127">MAX(_xlfn._xlws.FILTER(I1:I122, ISNUMBER(I1:I122)))</f>
        <v>65.696820000000002</v>
      </c>
      <c r="J127" s="42" cm="1">
        <f t="array" ref="J127">MAX(_xlfn._xlws.FILTER(J1:J122, ISNUMBER(J1:J122)))</f>
        <v>54.046190000000003</v>
      </c>
      <c r="K127" s="42" cm="1">
        <f t="array" ref="K127">MAX(_xlfn._xlws.FILTER(K1:K122, ISNUMBER(K1:K122)))</f>
        <v>59.595689999999998</v>
      </c>
      <c r="L127" s="42" cm="1">
        <f t="array" ref="L127">MAX(_xlfn._xlws.FILTER(L1:L122, ISNUMBER(L1:L122)))</f>
        <v>78.187740000000005</v>
      </c>
      <c r="M127" s="42" cm="1">
        <f t="array" ref="M127">MAX(_xlfn._xlws.FILTER(M1:M122, ISNUMBER(M1:M122)))</f>
        <v>82.962165999999996</v>
      </c>
      <c r="N127" s="42" cm="1">
        <f t="array" ref="N127">MAX(_xlfn._xlws.FILTER(N1:N122, ISNUMBER(N1:N122)))</f>
        <v>63.657389999999999</v>
      </c>
    </row>
    <row r="128" spans="1:14" x14ac:dyDescent="0.35">
      <c r="A128" s="2" t="s">
        <v>394</v>
      </c>
      <c r="B128" s="40" cm="1">
        <f t="array" ref="B128">MEDIAN(_xlfn._xlws.FILTER(B1:B122, ISNUMBER(B1:B122)))</f>
        <v>6.5317273</v>
      </c>
      <c r="C128" s="40" cm="1">
        <f t="array" ref="C128">MEDIAN(_xlfn._xlws.FILTER(C1:C122, ISNUMBER(C1:C122)))</f>
        <v>3.9675235999999998</v>
      </c>
      <c r="D128" s="40" cm="1">
        <f t="array" ref="D128">MEDIAN(_xlfn._xlws.FILTER(D1:D122, ISNUMBER(D1:D122)))</f>
        <v>5.387759</v>
      </c>
      <c r="E128" s="40" cm="1">
        <f t="array" ref="E128">MEDIAN(_xlfn._xlws.FILTER(E1:E122, ISNUMBER(E1:E122)))</f>
        <v>2.214229</v>
      </c>
      <c r="F128" s="40" cm="1">
        <f t="array" ref="F128">MEDIAN(_xlfn._xlws.FILTER(F1:F122, ISNUMBER(F1:F122)))</f>
        <v>7.8641294999999998</v>
      </c>
      <c r="G128" s="40" cm="1">
        <f t="array" ref="G128">MEDIAN(_xlfn._xlws.FILTER(G1:G122, ISNUMBER(G1:G122)))</f>
        <v>7.171583</v>
      </c>
      <c r="H128" s="40" cm="1">
        <f t="array" ref="H128">MEDIAN(_xlfn._xlws.FILTER(H1:H122, ISNUMBER(H1:H122)))</f>
        <v>1.2912393</v>
      </c>
      <c r="I128" s="40" cm="1">
        <f t="array" ref="I128">MEDIAN(_xlfn._xlws.FILTER(I1:I122, ISNUMBER(I1:I122)))</f>
        <v>22.84423</v>
      </c>
      <c r="J128" s="40" cm="1">
        <f t="array" ref="J128">MEDIAN(_xlfn._xlws.FILTER(J1:J122, ISNUMBER(J1:J122)))</f>
        <v>14.328360999999999</v>
      </c>
      <c r="K128" s="40" cm="1">
        <f t="array" ref="K128">MEDIAN(_xlfn._xlws.FILTER(K1:K122, ISNUMBER(K1:K122)))</f>
        <v>4.6644569999999996</v>
      </c>
      <c r="L128" s="40" cm="1">
        <f t="array" ref="L128">MEDIAN(_xlfn._xlws.FILTER(L1:L122, ISNUMBER(L1:L122)))</f>
        <v>7.207179</v>
      </c>
      <c r="M128" s="40" cm="1">
        <f t="array" ref="M128">MEDIAN(_xlfn._xlws.FILTER(M1:M122, ISNUMBER(M1:M122)))</f>
        <v>2.0018457999999999</v>
      </c>
      <c r="N128" s="40" cm="1">
        <f t="array" ref="N128">MEDIAN(_xlfn._xlws.FILTER(N1:N122, ISNUMBER(N1:N122)))</f>
        <v>1.4676094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17</v>
      </c>
      <c r="C130">
        <f>COUNTIF(C2:C122, "&lt;"&amp;Assumption!$F$50)</f>
        <v>22</v>
      </c>
      <c r="D130">
        <f>COUNTIF(D2:D122, "&lt;"&amp;Assumption!$F$50)</f>
        <v>19</v>
      </c>
      <c r="E130">
        <f>COUNTIF(E2:E122, "&lt;"&amp;Assumption!$F$50)</f>
        <v>26</v>
      </c>
      <c r="F130">
        <f>COUNTIF(F2:F122, "&lt;"&amp;Assumption!$F$50)</f>
        <v>14</v>
      </c>
      <c r="G130">
        <f>COUNTIF(G2:G122, "&lt;"&amp;Assumption!$F$50)</f>
        <v>10</v>
      </c>
      <c r="H130">
        <f>COUNTIF(H2:H122, "&lt;"&amp;Assumption!$F$50)</f>
        <v>23</v>
      </c>
      <c r="I130">
        <f>COUNTIF(I2:I122, "&lt;"&amp;Assumption!$F$50)</f>
        <v>10</v>
      </c>
      <c r="J130">
        <f>COUNTIF(J2:J122, "&lt;"&amp;Assumption!$F$50)</f>
        <v>6</v>
      </c>
      <c r="K130">
        <f>COUNTIF(K2:K122, "&lt;"&amp;Assumption!$F$50)</f>
        <v>14</v>
      </c>
      <c r="L130">
        <f>COUNTIF(L2:L122, "&lt;"&amp;Assumption!$F$50)</f>
        <v>13</v>
      </c>
      <c r="M130">
        <f>COUNTIF(M2:M122, "&lt;"&amp;Assumption!$F$50)</f>
        <v>21</v>
      </c>
      <c r="N130">
        <f>COUNTIF(N2:N122, "&lt;"&amp;Assumption!$F$50)</f>
        <v>37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0.14049586776859505</v>
      </c>
      <c r="C133" s="9">
        <f t="shared" si="2"/>
        <v>0.18181818181818182</v>
      </c>
      <c r="D133" s="9">
        <f t="shared" si="2"/>
        <v>0.15702479338842976</v>
      </c>
      <c r="E133" s="9">
        <f t="shared" si="2"/>
        <v>0.21487603305785125</v>
      </c>
      <c r="F133" s="9">
        <f t="shared" si="2"/>
        <v>0.11570247933884298</v>
      </c>
      <c r="G133" s="9">
        <f t="shared" si="2"/>
        <v>8.2644628099173556E-2</v>
      </c>
      <c r="H133" s="9">
        <f t="shared" si="2"/>
        <v>0.19008264462809918</v>
      </c>
      <c r="I133" s="9">
        <f t="shared" si="2"/>
        <v>8.2644628099173556E-2</v>
      </c>
      <c r="J133" s="9">
        <f t="shared" si="2"/>
        <v>4.9586776859504134E-2</v>
      </c>
      <c r="K133" s="9">
        <f t="shared" ref="K133:N133" si="3">K130/K131</f>
        <v>0.11570247933884298</v>
      </c>
      <c r="L133" s="9">
        <f t="shared" si="3"/>
        <v>0.10743801652892562</v>
      </c>
      <c r="M133" s="9">
        <f t="shared" si="3"/>
        <v>0.17355371900826447</v>
      </c>
      <c r="N133" s="9">
        <f t="shared" si="3"/>
        <v>0.30578512396694213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0.245</v>
      </c>
      <c r="C136" s="40" cm="1">
        <f t="array" ref="C136">_xlfn.PERCENTRANK.EXC(_xlfn._xlws.FILTER(C2:C122, ISNUMBER(C2:C122)),C120)</f>
        <v>0.77800000000000002</v>
      </c>
      <c r="D136" s="40" cm="1">
        <f t="array" ref="D136">_xlfn.PERCENTRANK.EXC(_xlfn._xlws.FILTER(D2:D122, ISNUMBER(D2:D122)),D120)</f>
        <v>0.80300000000000005</v>
      </c>
      <c r="E136" s="40" cm="1">
        <f t="array" ref="E136">_xlfn.PERCENTRANK.EXC(_xlfn._xlws.FILTER(E2:E122, ISNUMBER(E2:E122)),E120)</f>
        <v>0.76200000000000001</v>
      </c>
      <c r="F136" s="40" cm="1">
        <f t="array" ref="F136">_xlfn.PERCENTRANK.EXC(_xlfn._xlws.FILTER(F2:F122, ISNUMBER(F2:F122)),F120)</f>
        <v>0.77800000000000002</v>
      </c>
      <c r="G136" s="40" cm="1">
        <f t="array" ref="G136">_xlfn.PERCENTRANK.EXC(_xlfn._xlws.FILTER(G2:G122, ISNUMBER(G2:G122)),G120)</f>
        <v>0.42599999999999999</v>
      </c>
      <c r="H136" s="40" cm="1">
        <f t="array" ref="H136">_xlfn.PERCENTRANK.EXC(_xlfn._xlws.FILTER(H2:H122, ISNUMBER(H2:H122)),H120)</f>
        <v>0.86</v>
      </c>
      <c r="I136" s="40" cm="1">
        <f t="array" ref="I136">_xlfn.PERCENTRANK.EXC(_xlfn._xlws.FILTER(I2:I122, ISNUMBER(I2:I122)),I120)</f>
        <v>0.83599999999999997</v>
      </c>
      <c r="J136" s="40" cm="1">
        <f t="array" ref="J136">_xlfn.PERCENTRANK.EXC(_xlfn._xlws.FILTER(J2:J122, ISNUMBER(J2:J122)),J120)</f>
        <v>0.91800000000000004</v>
      </c>
      <c r="K136" s="40" cm="1">
        <f t="array" ref="K136">_xlfn.PERCENTRANK.EXC(_xlfn._xlws.FILTER(K2:K122, ISNUMBER(K2:K122)),K120)</f>
        <v>0.68799999999999994</v>
      </c>
      <c r="L136" s="40" cm="1">
        <f t="array" ref="L136">_xlfn.PERCENTRANK.EXC(_xlfn._xlws.FILTER(L2:L122, ISNUMBER(L2:L122)),L120)</f>
        <v>0.81899999999999995</v>
      </c>
      <c r="M136" s="40" cm="1">
        <f t="array" ref="M136">_xlfn.PERCENTRANK.EXC(_xlfn._xlws.FILTER(M2:M122, ISNUMBER(M2:M122)),M120)</f>
        <v>0.81899999999999995</v>
      </c>
      <c r="N136" s="40" cm="1">
        <f t="array" ref="N136">_xlfn.PERCENTRANK.EXC(_xlfn._xlws.FILTER(N2:N122, ISNUMBER(N2:N122)),N120)</f>
        <v>0.83599999999999997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0.30299999999999999</v>
      </c>
      <c r="C137" s="40" cm="1">
        <f t="array" ref="C137">_xlfn.PERCENTRANK.EXC(_xlfn._xlws.FILTER(C2:C122, ISNUMBER(C2:C122)),C121)</f>
        <v>0.72099999999999997</v>
      </c>
      <c r="D137" s="40" cm="1">
        <f t="array" ref="D137">_xlfn.PERCENTRANK.EXC(_xlfn._xlws.FILTER(D2:D122, ISNUMBER(D2:D122)),D121)</f>
        <v>0.64700000000000002</v>
      </c>
      <c r="E137" s="40" cm="1">
        <f t="array" ref="E137">_xlfn.PERCENTRANK.EXC(_xlfn._xlws.FILTER(E2:E122, ISNUMBER(E2:E122)),E121)</f>
        <v>0.65500000000000003</v>
      </c>
      <c r="F137" s="40" cm="1">
        <f t="array" ref="F137">_xlfn.PERCENTRANK.EXC(_xlfn._xlws.FILTER(F2:F122, ISNUMBER(F2:F122)),F121)</f>
        <v>0.66300000000000003</v>
      </c>
      <c r="G137" s="40" cm="1">
        <f t="array" ref="G137">_xlfn.PERCENTRANK.EXC(_xlfn._xlws.FILTER(G2:G122, ISNUMBER(G2:G122)),G121)</f>
        <v>0.54</v>
      </c>
      <c r="H137" s="40" cm="1">
        <f t="array" ref="H137">_xlfn.PERCENTRANK.EXC(_xlfn._xlws.FILTER(H2:H122, ISNUMBER(H2:H122)),H121)</f>
        <v>0.77800000000000002</v>
      </c>
      <c r="I137" s="40" cm="1">
        <f t="array" ref="I137">_xlfn.PERCENTRANK.EXC(_xlfn._xlws.FILTER(I2:I122, ISNUMBER(I2:I122)),I121)</f>
        <v>0.78600000000000003</v>
      </c>
      <c r="J137" s="40" cm="1">
        <f t="array" ref="J137">_xlfn.PERCENTRANK.EXC(_xlfn._xlws.FILTER(J2:J122, ISNUMBER(J2:J122)),J121)</f>
        <v>0.877</v>
      </c>
      <c r="K137" s="40" cm="1">
        <f t="array" ref="K137">_xlfn.PERCENTRANK.EXC(_xlfn._xlws.FILTER(K2:K122, ISNUMBER(K2:K122)),K121)</f>
        <v>0.54</v>
      </c>
      <c r="L137" s="40" cm="1">
        <f t="array" ref="L137">_xlfn.PERCENTRANK.EXC(_xlfn._xlws.FILTER(L2:L122, ISNUMBER(L2:L122)),L121)</f>
        <v>0.77</v>
      </c>
      <c r="M137" s="40" cm="1">
        <f t="array" ref="M137">_xlfn.PERCENTRANK.EXC(_xlfn._xlws.FILTER(M2:M122, ISNUMBER(M2:M122)),M121)</f>
        <v>0.77800000000000002</v>
      </c>
      <c r="N137" s="40" cm="1">
        <f t="array" ref="N137">_xlfn.PERCENTRANK.EXC(_xlfn._xlws.FILTER(N2:N122, ISNUMBER(N2:N122)),N121)</f>
        <v>0.72899999999999998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0.221</v>
      </c>
      <c r="C138" s="40" cm="1">
        <f t="array" ref="C138">_xlfn.PERCENTRANK.EXC(_xlfn._xlws.FILTER(C2:C122, ISNUMBER(C2:C122)),C122)</f>
        <v>0.64700000000000002</v>
      </c>
      <c r="D138" s="40" cm="1">
        <f t="array" ref="D138">_xlfn.PERCENTRANK.EXC(_xlfn._xlws.FILTER(D2:D122, ISNUMBER(D2:D122)),D122)</f>
        <v>0.63100000000000001</v>
      </c>
      <c r="E138" s="40" cm="1">
        <f t="array" ref="E138">_xlfn.PERCENTRANK.EXC(_xlfn._xlws.FILTER(E2:E122, ISNUMBER(E2:E122)),E122)</f>
        <v>0.63100000000000001</v>
      </c>
      <c r="F138" s="40" cm="1">
        <f t="array" ref="F138">_xlfn.PERCENTRANK.EXC(_xlfn._xlws.FILTER(F2:F122, ISNUMBER(F2:F122)),F122)</f>
        <v>0.622</v>
      </c>
      <c r="G138" s="40" cm="1">
        <f t="array" ref="G138">_xlfn.PERCENTRANK.EXC(_xlfn._xlws.FILTER(G2:G122, ISNUMBER(G2:G122)),G122)</f>
        <v>0.5</v>
      </c>
      <c r="H138" s="40" cm="1">
        <f t="array" ref="H138">_xlfn.PERCENTRANK.EXC(_xlfn._xlws.FILTER(H2:H122, ISNUMBER(H2:H122)),H122)</f>
        <v>0.71299999999999997</v>
      </c>
      <c r="I138" s="40" cm="1">
        <f t="array" ref="I138">_xlfn.PERCENTRANK.EXC(_xlfn._xlws.FILTER(I2:I122, ISNUMBER(I2:I122)),I122)</f>
        <v>0.54900000000000004</v>
      </c>
      <c r="J138" s="40" cm="1">
        <f t="array" ref="J138">_xlfn.PERCENTRANK.EXC(_xlfn._xlws.FILTER(J2:J122, ISNUMBER(J2:J122)),J122)</f>
        <v>0.77</v>
      </c>
      <c r="K138" s="40" cm="1">
        <f t="array" ref="K138">_xlfn.PERCENTRANK.EXC(_xlfn._xlws.FILTER(K2:K122, ISNUMBER(K2:K122)),K122)</f>
        <v>0.46700000000000003</v>
      </c>
      <c r="L138" s="40" cm="1">
        <f t="array" ref="L138">_xlfn.PERCENTRANK.EXC(_xlfn._xlws.FILTER(L2:L122, ISNUMBER(L2:L122)),L122)</f>
        <v>0.622</v>
      </c>
      <c r="M138" s="40" cm="1">
        <f t="array" ref="M138">_xlfn.PERCENTRANK.EXC(_xlfn._xlws.FILTER(M2:M122, ISNUMBER(M2:M122)),M122)</f>
        <v>0.67200000000000004</v>
      </c>
      <c r="N138" s="40" cm="1">
        <f t="array" ref="N138">_xlfn.PERCENTRANK.EXC(_xlfn._xlws.FILTER(N2:N122, ISNUMBER(N2:N122)),N122)</f>
        <v>0.67200000000000004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0.25633333333333336</v>
      </c>
      <c r="C140" s="40">
        <f t="shared" si="4"/>
        <v>0.71533333333333327</v>
      </c>
      <c r="D140" s="40">
        <f t="shared" si="4"/>
        <v>0.69366666666666676</v>
      </c>
      <c r="E140" s="40">
        <f t="shared" si="4"/>
        <v>0.68266666666666664</v>
      </c>
      <c r="F140" s="40">
        <f t="shared" si="4"/>
        <v>0.68766666666666676</v>
      </c>
      <c r="G140" s="40">
        <f t="shared" si="4"/>
        <v>0.48866666666666664</v>
      </c>
      <c r="H140" s="40">
        <f t="shared" si="4"/>
        <v>0.78366666666666662</v>
      </c>
      <c r="I140" s="40">
        <f t="shared" si="4"/>
        <v>0.72366666666666657</v>
      </c>
      <c r="J140" s="40">
        <f t="shared" si="4"/>
        <v>0.85499999999999998</v>
      </c>
      <c r="K140" s="40">
        <f t="shared" ref="K140:N140" si="5">AVERAGE(K136:K138)</f>
        <v>0.56500000000000006</v>
      </c>
      <c r="L140" s="40">
        <f t="shared" si="5"/>
        <v>0.73699999999999999</v>
      </c>
      <c r="M140" s="40">
        <f t="shared" si="5"/>
        <v>0.75633333333333341</v>
      </c>
      <c r="N140" s="40">
        <f t="shared" si="5"/>
        <v>0.7456666666666667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4.0763823276408404</v>
      </c>
      <c r="G17">
        <v>2.2808425238276202</v>
      </c>
      <c r="H17">
        <v>2.5348223379569501</v>
      </c>
      <c r="I17">
        <v>9.3523184782613296</v>
      </c>
      <c r="J17">
        <v>17.7294354415451</v>
      </c>
      <c r="K17">
        <v>2.1970597068808599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3.6778954431728499</v>
      </c>
      <c r="G18">
        <v>2.3686407868237098</v>
      </c>
      <c r="H18">
        <v>2.0350756238413701</v>
      </c>
      <c r="I18">
        <v>10.426078296822199</v>
      </c>
      <c r="J18">
        <v>16.661770328992599</v>
      </c>
      <c r="K18">
        <v>1.8510975044778899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4.6161385443947696</v>
      </c>
      <c r="G19">
        <v>2.66234515884581</v>
      </c>
      <c r="H19">
        <v>2.7142722434063198</v>
      </c>
      <c r="I19">
        <v>13.6402697448185</v>
      </c>
      <c r="J19">
        <v>22.276707385168599</v>
      </c>
      <c r="K19">
        <v>2.4608174875049298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2.7492045606937099</v>
      </c>
      <c r="E20">
        <v>2.36386839889078</v>
      </c>
      <c r="F20">
        <v>4.4608954004815304</v>
      </c>
      <c r="G20">
        <v>2.5838872063229701</v>
      </c>
      <c r="H20">
        <v>3.12760121442787</v>
      </c>
      <c r="I20">
        <v>12.750313440204099</v>
      </c>
      <c r="J20">
        <v>22.968710461533099</v>
      </c>
      <c r="K20">
        <v>2.8026651908005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2.6586314336980199</v>
      </c>
      <c r="F21">
        <v>4.5667318566591204</v>
      </c>
      <c r="G21">
        <v>2.8647085842717601</v>
      </c>
      <c r="H21">
        <v>3.0026988691271801</v>
      </c>
      <c r="I21">
        <v>16.324300082232199</v>
      </c>
      <c r="J21">
        <v>24.344986761993699</v>
      </c>
      <c r="K21">
        <v>2.92070467991761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2.8327007241510938E-2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3.7109465036002653E-3</v>
      </c>
      <c r="I25" s="48" cm="1">
        <f t="array" ref="I25">(I21/INDEX(I2:I21,MATCH(TRUE,INDEX(ISNUMBER(I2:I21),0),0)))^(1/I23)-1</f>
        <v>0.12988959921025178</v>
      </c>
      <c r="J25" s="48" cm="1">
        <f t="array" ref="J25">(J21/INDEX(J2:J21,MATCH(TRUE,INDEX(ISNUMBER(J2:J21),0),0)))^(1/J23)-1</f>
        <v>5.9884631603759342E-2</v>
      </c>
      <c r="K25" s="48" cm="1">
        <f t="array" ref="K25">(K21/INDEX(K2:K21,MATCH(TRUE,INDEX(ISNUMBER(K2:K21),0),0)))^(1/K23)-1</f>
        <v>1.8533351259146347E-2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1.6973606000000001</v>
      </c>
      <c r="E3" cm="1">
        <f t="array" ref="E3">_xll.FDSB(B3,"FG_PRICE_CHANGE(0,-1AY)")</f>
        <v>5.4060936000000002</v>
      </c>
      <c r="F3" cm="1">
        <f t="array" ref="F3">_xll.FDSB(B3,"FG_PRICE_CHANGE(0,-1AM)")</f>
        <v>3.3098578000000001</v>
      </c>
      <c r="G3" cm="1">
        <f t="array" ref="G3">_xll.FDSB(B3,"FG_PRICE_CHANGE(0,-3AM)")</f>
        <v>0.79776049999999998</v>
      </c>
      <c r="H3" cm="1">
        <f t="array" ref="H3">_xll.FDSB(B3,"FG_PRICE_CHANGE(0,-6AM)")</f>
        <v>3.6153792999999999</v>
      </c>
      <c r="I3" cm="1">
        <f t="array" ref="I3">_xll.FDS(B3,"STD(FG_PRICE_CHANGE(0,-1AY,AM))")</f>
        <v>3.0136843739017798</v>
      </c>
      <c r="J3" cm="1">
        <f t="array" ref="J3">_xll.FDS(B3,"STD(FG_PRICE_CHANGE(0,-3AY,M))")*SQRT(12)</f>
        <v>11.992740511486462</v>
      </c>
      <c r="L3">
        <f>(1-(_xlfn.PERCENTRANK.EXC($F$3:$F$15,F3)))*100</f>
        <v>7.1999999999999957</v>
      </c>
      <c r="M3">
        <f>(1-(_xlfn.PERCENTRANK.EXC($G$3:$G$15,G3)))*100</f>
        <v>14.3</v>
      </c>
      <c r="N3">
        <f>(1-(_xlfn.PERCENTRANK.EXC($H$3:$H$15,H3)))*100</f>
        <v>21.499999999999996</v>
      </c>
      <c r="O3">
        <f>SUMPRODUCT($L$1:$N$1,L3:N3)</f>
        <v>15.76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11.459999999999996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1.5259022</v>
      </c>
      <c r="E4" cm="1">
        <f t="array" ref="E4">_xll.FDSB(B4,"FG_PRICE_CHANGE(0,-1AY)")</f>
        <v>3.0212880000000002</v>
      </c>
      <c r="F4" cm="1">
        <f t="array" ref="F4">_xll.FDSB(B4,"FG_PRICE_CHANGE(0,-1AM)")</f>
        <v>1.4953852000000001</v>
      </c>
      <c r="G4" cm="1">
        <f t="array" ref="G4">_xll.FDSB(B4,"FG_PRICE_CHANGE(0,-3AM)")</f>
        <v>-0.41199327000000002</v>
      </c>
      <c r="H4" cm="1">
        <f t="array" ref="H4">_xll.FDSB(B4,"FG_PRICE_CHANGE(0,-6AM)")</f>
        <v>0.56458710000000001</v>
      </c>
      <c r="I4" cm="1">
        <f t="array" ref="I4">_xll.FDS(B4,"STD(FG_PRICE_CHANGE(0,-1AY,AM))")</f>
        <v>2.5687266462489702</v>
      </c>
      <c r="J4" cm="1">
        <f t="array" ref="J4">_xll.FDS(B4,"STD(FG_PRICE_CHANGE(0,-3AY,M))")*SQRT(12)</f>
        <v>10.604632416319266</v>
      </c>
      <c r="L4">
        <f t="shared" ref="L4:L15" si="1">(1-(_xlfn.PERCENTRANK.EXC($F$3:$F$15,F4)))*100</f>
        <v>21.499999999999996</v>
      </c>
      <c r="M4">
        <f t="shared" ref="M4:M15" si="2">(1-(_xlfn.PERCENTRANK.EXC($G$3:$G$15,G4)))*100</f>
        <v>42.900000000000006</v>
      </c>
      <c r="N4">
        <f t="shared" ref="N4:N15" si="3">(1-(_xlfn.PERCENTRANK.EXC($H$3:$H$15,H4)))*100</f>
        <v>50</v>
      </c>
      <c r="O4">
        <f t="shared" ref="O4:O11" si="4">SUMPRODUCT($L$1:$N$1,L4:N4)</f>
        <v>41.460000000000008</v>
      </c>
      <c r="P4">
        <f t="shared" ref="P4:P15" si="5">100- (_xlfn.PERCENTRANK.EXC($J$3:$J$15,J4)*100)</f>
        <v>14.299999999999997</v>
      </c>
      <c r="Q4">
        <f>VLOOKUP(A4,CAD!$A$3:$J$15, 10, FALSE)</f>
        <v>42.8</v>
      </c>
      <c r="S4">
        <f t="shared" si="0"/>
        <v>33.580000000000005</v>
      </c>
      <c r="U4" cm="1">
        <f t="array" ref="U4">_xlfn.PERCENTRANK.EXC(_xlfn._xlws.FILTER(S$3:S$15, ISNUMBER(S$3:S$15)),S4)*100</f>
        <v>14.2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1.3839999999999999</v>
      </c>
      <c r="E5" cm="1">
        <f t="array" ref="E5">_xll.FDSB(B5,"FG_PRICE_CHANGE(0,-1AY)")</f>
        <v>4.6859026000000004</v>
      </c>
      <c r="F5" cm="1">
        <f t="array" ref="F5">_xll.FDSB(B5,"FG_PRICE_CHANGE(0,-1AM)")</f>
        <v>1.0624647</v>
      </c>
      <c r="G5" cm="1">
        <f t="array" ref="G5">_xll.FDSB(B5,"FG_PRICE_CHANGE(0,-3AM)")</f>
        <v>1.1326194000000001</v>
      </c>
      <c r="H5" cm="1">
        <f t="array" ref="H5">_xll.FDSB(B5,"FG_PRICE_CHANGE(0,-6AM)")</f>
        <v>2.9225826000000001</v>
      </c>
      <c r="I5" cm="1">
        <f t="array" ref="I5">_xll.FDS(B5,"STD(FG_PRICE_CHANGE(0,-1AY,AM))")</f>
        <v>1.61979750404125</v>
      </c>
      <c r="J5" cm="1">
        <f t="array" ref="J5">_xll.FDS(B5,"STD(FG_PRICE_CHANGE(0,-3AY,M))")*SQRT(12)</f>
        <v>6.1780594105975215</v>
      </c>
      <c r="L5">
        <f t="shared" si="1"/>
        <v>28.6</v>
      </c>
      <c r="M5">
        <f t="shared" si="2"/>
        <v>7.1999999999999957</v>
      </c>
      <c r="N5">
        <f t="shared" si="3"/>
        <v>28.6</v>
      </c>
      <c r="O5">
        <f t="shared" si="4"/>
        <v>20.04</v>
      </c>
      <c r="P5">
        <f t="shared" si="5"/>
        <v>71.5</v>
      </c>
      <c r="Q5">
        <f>VLOOKUP(A5,CAD!$A$3:$J$15, 10, FALSE)</f>
        <v>35.699999999999996</v>
      </c>
      <c r="S5">
        <f t="shared" si="0"/>
        <v>38.61</v>
      </c>
      <c r="U5" cm="1">
        <f t="array" ref="U5">_xlfn.PERCENTRANK.EXC(_xlfn._xlws.FILTER(S$3:S$15, ISNUMBER(S$3:S$15)),S5)*100</f>
        <v>28.499999999999996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0.92114960000000001</v>
      </c>
      <c r="E6" cm="1">
        <f t="array" ref="E6">_xll.FDSB(B6,"FG_PRICE_CHANGE(0,-1AY)")</f>
        <v>1.9159913</v>
      </c>
      <c r="F6" cm="1">
        <f t="array" ref="F6">_xll.FDSB(B6,"FG_PRICE_CHANGE(0,-1AM)")</f>
        <v>-1.6074060999999999</v>
      </c>
      <c r="G6" cm="1">
        <f t="array" ref="G6">_xll.FDSB(B6,"FG_PRICE_CHANGE(0,-3AM)")</f>
        <v>-1.6212225</v>
      </c>
      <c r="H6" cm="1">
        <f t="array" ref="H6">_xll.FDSB(B6,"FG_PRICE_CHANGE(0,-6AM)")</f>
        <v>5.9878826000000003E-2</v>
      </c>
      <c r="I6" cm="1">
        <f t="array" ref="I6">_xll.FDS(B6,"STD(FG_PRICE_CHANGE(0,-1AY,AM))")</f>
        <v>1.77857008573437</v>
      </c>
      <c r="J6" cm="1">
        <f t="array" ref="J6">_xll.FDS(B6,"STD(FG_PRICE_CHANGE(0,-3AY,M))")*SQRT(12)</f>
        <v>7.392257074935177</v>
      </c>
      <c r="L6">
        <f t="shared" si="1"/>
        <v>78.600000000000009</v>
      </c>
      <c r="M6">
        <f t="shared" si="2"/>
        <v>64.3</v>
      </c>
      <c r="N6">
        <f t="shared" si="3"/>
        <v>64.3</v>
      </c>
      <c r="O6">
        <f t="shared" si="4"/>
        <v>67.16</v>
      </c>
      <c r="P6">
        <f t="shared" si="5"/>
        <v>64.300000000000011</v>
      </c>
      <c r="Q6">
        <f>VLOOKUP(A6,CAD!$A$3:$J$15, 10, FALSE)</f>
        <v>78.5</v>
      </c>
      <c r="S6">
        <f t="shared" si="0"/>
        <v>68.570000000000007</v>
      </c>
      <c r="U6" cm="1">
        <f t="array" ref="U6">_xlfn.PERCENTRANK.EXC(_xlfn._xlws.FILTER(S$3:S$15, ISNUMBER(S$3:S$15)),S6)*100</f>
        <v>85.7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153.535</v>
      </c>
      <c r="E7" cm="1">
        <f t="array" ref="E7">_xll.FDSB(B7,"FG_PRICE_CHANGE(0,-1AY)")</f>
        <v>9.367108</v>
      </c>
      <c r="F7" cm="1">
        <f t="array" ref="F7">_xll.FDSB(B7,"FG_PRICE_CHANGE(0,-1AM)")</f>
        <v>-4.4080553</v>
      </c>
      <c r="G7" cm="1">
        <f t="array" ref="G7">_xll.FDSB(B7,"FG_PRICE_CHANGE(0,-3AM)")</f>
        <v>-2.3810983000000001</v>
      </c>
      <c r="H7" cm="1">
        <f t="array" ref="H7">_xll.FDSB(B7,"FG_PRICE_CHANGE(0,-6AM)")</f>
        <v>3.6803126000000002</v>
      </c>
      <c r="I7" cm="1">
        <f t="array" ref="I7">_xll.FDS(B7,"STD(FG_PRICE_CHANGE(0,-1AY,AM))")</f>
        <v>2.9239346317634198</v>
      </c>
      <c r="J7" cm="1">
        <f t="array" ref="J7">_xll.FDS(B7,"STD(FG_PRICE_CHANGE(0,-3AY,M))")*SQRT(12)</f>
        <v>10.56778627163067</v>
      </c>
      <c r="L7">
        <f t="shared" si="1"/>
        <v>92.9</v>
      </c>
      <c r="M7">
        <f t="shared" si="2"/>
        <v>71.500000000000014</v>
      </c>
      <c r="N7">
        <f t="shared" si="3"/>
        <v>7.1999999999999957</v>
      </c>
      <c r="O7">
        <f t="shared" si="4"/>
        <v>50.06</v>
      </c>
      <c r="P7">
        <f t="shared" si="5"/>
        <v>21.5</v>
      </c>
      <c r="Q7">
        <f>VLOOKUP(A7,CAD!$A$3:$J$15, 10, FALSE)</f>
        <v>64.2</v>
      </c>
      <c r="S7">
        <f t="shared" si="0"/>
        <v>44.32</v>
      </c>
      <c r="U7" cm="1">
        <f t="array" ref="U7">_xlfn.PERCENTRANK.EXC(_xlfn._xlws.FILTER(S$3:S$15, ISNUMBER(S$3:S$15)),S7)*100</f>
        <v>35.699999999999996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0.88305</v>
      </c>
      <c r="E8" cm="1">
        <f t="array" ref="E8">_xll.FDSB(B8,"FG_PRICE_CHANGE(0,-1AY)")</f>
        <v>2.3055077000000002</v>
      </c>
      <c r="F8" cm="1">
        <f t="array" ref="F8">_xll.FDSB(B8,"FG_PRICE_CHANGE(0,-1AM)")</f>
        <v>-1.5716374</v>
      </c>
      <c r="G8" cm="1">
        <f t="array" ref="G8">_xll.FDSB(B8,"FG_PRICE_CHANGE(0,-3AM)")</f>
        <v>-3.4390329999999998</v>
      </c>
      <c r="H8" cm="1">
        <f t="array" ref="H8">_xll.FDSB(B8,"FG_PRICE_CHANGE(0,-6AM)")</f>
        <v>2.2995830000000002</v>
      </c>
      <c r="I8" cm="1">
        <f t="array" ref="I8">_xll.FDS(B8,"STD(FG_PRICE_CHANGE(0,-1AY,AM))")</f>
        <v>2.3007435686243398</v>
      </c>
      <c r="J8" cm="1">
        <f t="array" ref="J8">_xll.FDS(B8,"STD(FG_PRICE_CHANGE(0,-3AY,M))")*SQRT(12)</f>
        <v>8.3669222787719111</v>
      </c>
      <c r="L8">
        <f t="shared" si="1"/>
        <v>64.3</v>
      </c>
      <c r="M8">
        <f t="shared" si="2"/>
        <v>92.9</v>
      </c>
      <c r="N8">
        <f t="shared" si="3"/>
        <v>42.900000000000006</v>
      </c>
      <c r="O8">
        <f t="shared" si="4"/>
        <v>67.180000000000007</v>
      </c>
      <c r="P8">
        <f t="shared" si="5"/>
        <v>42.900000000000006</v>
      </c>
      <c r="Q8">
        <f>VLOOKUP(A8,CAD!$A$3:$J$15, 10, FALSE)</f>
        <v>85.7</v>
      </c>
      <c r="S8">
        <f t="shared" si="0"/>
        <v>63.600000000000009</v>
      </c>
      <c r="U8" cm="1">
        <f t="array" ref="U8">_xlfn.PERCENTRANK.EXC(_xlfn._xlws.FILTER(S$3:S$15, ISNUMBER(S$3:S$15)),S8)*100</f>
        <v>78.5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0.77799819999999997</v>
      </c>
      <c r="E9" cm="1">
        <f t="array" ref="E9">_xll.FDSB(B9,"FG_PRICE_CHANGE(0,-1AY)")</f>
        <v>0.5368233</v>
      </c>
      <c r="F9" cm="1">
        <f t="array" ref="F9">_xll.FDSB(B9,"FG_PRICE_CHANGE(0,-1AM)")</f>
        <v>-1.7893969999999999</v>
      </c>
      <c r="G9" cm="1">
        <f t="array" ref="G9">_xll.FDSB(B9,"FG_PRICE_CHANGE(0,-3AM)")</f>
        <v>-3.0497550000000002</v>
      </c>
      <c r="H9" cm="1">
        <f t="array" ref="H9">_xll.FDSB(B9,"FG_PRICE_CHANGE(0,-6AM)")</f>
        <v>-1.0269581999999999</v>
      </c>
      <c r="I9" cm="1">
        <f t="array" ref="I9">_xll.FDS(B9,"STD(FG_PRICE_CHANGE(0,-1AY,AM))")</f>
        <v>1.99089215182058</v>
      </c>
      <c r="J9" cm="1">
        <f t="array" ref="J9">_xll.FDS(B9,"STD(FG_PRICE_CHANGE(0,-3AY,M))")*SQRT(12)</f>
        <v>8.1004669082180722</v>
      </c>
      <c r="L9">
        <f t="shared" si="1"/>
        <v>85.8</v>
      </c>
      <c r="M9">
        <f t="shared" si="2"/>
        <v>78.600000000000009</v>
      </c>
      <c r="N9">
        <f t="shared" si="3"/>
        <v>92.9</v>
      </c>
      <c r="O9">
        <f>SUMPRODUCT($L$1:$N$1,L9:N9)</f>
        <v>85.760000000000019</v>
      </c>
      <c r="P9">
        <f t="shared" si="5"/>
        <v>50</v>
      </c>
      <c r="Q9">
        <f>VLOOKUP(A9,CAD!$A$3:$J$15, 10, FALSE)</f>
        <v>28.499999999999996</v>
      </c>
      <c r="S9">
        <f t="shared" si="0"/>
        <v>63.580000000000013</v>
      </c>
      <c r="U9" cm="1">
        <f t="array" ref="U9">_xlfn.PERCENTRANK.EXC(_xlfn._xlws.FILTER(S$3:S$15, ISNUMBER(S$3:S$15)),S9)*100</f>
        <v>71.399999999999991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50</v>
      </c>
      <c r="M10">
        <f t="shared" si="2"/>
        <v>35.799999999999997</v>
      </c>
      <c r="N10">
        <f t="shared" si="3"/>
        <v>85.8</v>
      </c>
      <c r="O10">
        <f t="shared" si="4"/>
        <v>58.64</v>
      </c>
      <c r="P10">
        <f t="shared" si="5"/>
        <v>92.9</v>
      </c>
      <c r="Q10">
        <f>VLOOKUP(A10,CAD!$A$3:$J$15, 10, FALSE)</f>
        <v>14.2</v>
      </c>
      <c r="S10">
        <f t="shared" si="0"/>
        <v>60.03</v>
      </c>
      <c r="U10" cm="1">
        <f t="array" ref="U10">_xlfn.PERCENTRANK.EXC(_xlfn._xlws.FILTER(S$3:S$15, ISNUMBER(S$3:S$15)),S10)*100</f>
        <v>50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50</v>
      </c>
      <c r="M11">
        <f t="shared" si="2"/>
        <v>35.799999999999997</v>
      </c>
      <c r="N11">
        <f t="shared" si="3"/>
        <v>85.8</v>
      </c>
      <c r="O11">
        <f t="shared" si="4"/>
        <v>58.64</v>
      </c>
      <c r="P11">
        <f t="shared" si="5"/>
        <v>92.9</v>
      </c>
      <c r="Q11">
        <f>VLOOKUP(A11,CAD!$A$3:$J$15, 10, FALSE)</f>
        <v>14.2</v>
      </c>
      <c r="S11">
        <f t="shared" si="0"/>
        <v>60.03</v>
      </c>
      <c r="U11" cm="1">
        <f t="array" ref="U11">_xlfn.PERCENTRANK.EXC(_xlfn._xlws.FILTER(S$3:S$15, ISNUMBER(S$3:S$15)),S11)*100</f>
        <v>50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0.88305</v>
      </c>
      <c r="E12" cm="1">
        <f t="array" ref="E12">_xll.FDSB(B12,"FG_PRICE_CHANGE(0,-1AY)")</f>
        <v>2.3055077000000002</v>
      </c>
      <c r="F12" cm="1">
        <f t="array" ref="F12">_xll.FDSB(B12,"FG_PRICE_CHANGE(0,-1AM)")</f>
        <v>-1.5716374</v>
      </c>
      <c r="G12" cm="1">
        <f t="array" ref="G12">_xll.FDSB(B12,"FG_PRICE_CHANGE(0,-3AM)")</f>
        <v>-3.4390329999999998</v>
      </c>
      <c r="H12" cm="1">
        <f t="array" ref="H12">_xll.FDSB(B12,"FG_PRICE_CHANGE(0,-6AM)")</f>
        <v>2.2995830000000002</v>
      </c>
      <c r="I12" cm="1">
        <f t="array" ref="I12">_xll.FDS(B12,"STD(FG_PRICE_CHANGE(0,-1AY,AM))")</f>
        <v>2.3007435686243398</v>
      </c>
      <c r="J12" cm="1">
        <f t="array" ref="J12">_xll.FDS(B12,"STD(FG_PRICE_CHANGE(0,-3AY,M))")*SQRT(12)</f>
        <v>8.3669222787719111</v>
      </c>
      <c r="L12">
        <f t="shared" si="1"/>
        <v>64.3</v>
      </c>
      <c r="M12">
        <f t="shared" si="2"/>
        <v>92.9</v>
      </c>
      <c r="N12">
        <f t="shared" si="3"/>
        <v>42.900000000000006</v>
      </c>
      <c r="O12">
        <f t="shared" ref="O12:O15" si="6">SUMPRODUCT($L$1:$N$1,L12:N12)</f>
        <v>67.180000000000007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56.460000000000008</v>
      </c>
      <c r="U12" cm="1">
        <f t="array" ref="U12">_xlfn.PERCENTRANK.EXC(_xlfn._xlws.FILTER(S$3:S$15, ISNUMBER(S$3:S$15)),S12)*100</f>
        <v>42.8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50</v>
      </c>
      <c r="M13" s="183">
        <f t="shared" si="2"/>
        <v>35.799999999999997</v>
      </c>
      <c r="N13" s="183">
        <f t="shared" si="3"/>
        <v>85.8</v>
      </c>
      <c r="O13" s="183">
        <f t="shared" si="6"/>
        <v>58.64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71.460000000000008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10.80785</v>
      </c>
      <c r="E14" cm="1">
        <f t="array" ref="E14">_xll.FDSB(B14,"FG_PRICE_CHANGE(0,-1AY)")</f>
        <v>3.3764243</v>
      </c>
      <c r="F14" cm="1">
        <f t="array" ref="F14">_xll.FDSB(B14,"FG_PRICE_CHANGE(0,-1AM)")</f>
        <v>2.3504496000000001</v>
      </c>
      <c r="G14" cm="1">
        <f t="array" ref="G14">_xll.FDSB(B14,"FG_PRICE_CHANGE(0,-3AM)")</f>
        <v>-1.2765408</v>
      </c>
      <c r="H14" cm="1">
        <f t="array" ref="H14">_xll.FDSB(B14,"FG_PRICE_CHANGE(0,-6AM)")</f>
        <v>3.6326646999999999</v>
      </c>
      <c r="I14" cm="1">
        <f t="array" ref="I14">_xll.FDS(B14,"STD(FG_PRICE_CHANGE(0,-1AY,AM))")</f>
        <v>3.5751731938564801</v>
      </c>
      <c r="J14" cm="1">
        <f t="array" ref="J14">_xll.FDS(B14,"STD(FG_PRICE_CHANGE(0,-3AY,M))")*SQRT(12)</f>
        <v>10.282579170110472</v>
      </c>
      <c r="L14">
        <f t="shared" si="1"/>
        <v>14.3</v>
      </c>
      <c r="M14">
        <f t="shared" si="2"/>
        <v>50</v>
      </c>
      <c r="N14">
        <f t="shared" si="3"/>
        <v>14.3</v>
      </c>
      <c r="O14">
        <f t="shared" si="6"/>
        <v>28.58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37.15</v>
      </c>
      <c r="U14" cm="1">
        <f t="array" ref="U14">_xlfn.PERCENTRANK.EXC(_xlfn._xlws.FILTER(S$3:S$15, ISNUMBER(S$3:S$15)),S14)*100</f>
        <v>21.4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1783.5944</v>
      </c>
      <c r="E15" cm="1">
        <f t="array" ref="E15">_xll.FDSB(B15,"FG_PRICE_CHANGE(0,-1AY)")</f>
        <v>1.9159913</v>
      </c>
      <c r="F15" cm="1">
        <f t="array" ref="F15">_xll.FDSB(B15,"FG_PRICE_CHANGE(0,-1AM)")</f>
        <v>-1.6074060999999999</v>
      </c>
      <c r="G15" cm="1">
        <f t="array" ref="G15">_xll.FDSB(B15,"FG_PRICE_CHANGE(0,-3AM)")</f>
        <v>-1.6212225</v>
      </c>
      <c r="H15" cm="1">
        <f t="array" ref="H15">_xll.FDSB(B15,"FG_PRICE_CHANGE(0,-6AM)")</f>
        <v>5.9878826000000003E-2</v>
      </c>
      <c r="I15" cm="1">
        <f t="array" ref="I15">_xll.FDS(B15,"STD(FG_PRICE_CHANGE(0,-1AY,AM))")</f>
        <v>1.7785690681541999</v>
      </c>
      <c r="J15" cm="1">
        <f t="array" ref="J15">_xll.FDS(B15,"STD(FG_PRICE_CHANGE(0,-3AY,M))")*SQRT(12)</f>
        <v>7.3922571143864779</v>
      </c>
      <c r="L15">
        <f t="shared" si="1"/>
        <v>78.600000000000009</v>
      </c>
      <c r="M15">
        <f t="shared" si="2"/>
        <v>64.3</v>
      </c>
      <c r="N15">
        <f t="shared" si="3"/>
        <v>64.3</v>
      </c>
      <c r="O15">
        <f t="shared" si="6"/>
        <v>67.16</v>
      </c>
      <c r="P15">
        <f t="shared" si="5"/>
        <v>57.2</v>
      </c>
      <c r="Q15">
        <f>VLOOKUP(A15,CAD!$A$3:$J$15, 10, FALSE)</f>
        <v>57.099999999999994</v>
      </c>
      <c r="S15">
        <f t="shared" si="7"/>
        <v>62.16</v>
      </c>
      <c r="U15" cm="1">
        <f t="array" ref="U15">_xlfn.PERCENTRANK.EXC(_xlfn._xlws.FILTER(S$3:S$15, ISNUMBER(S$3:S$15)),S15)*100</f>
        <v>64.2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-5.4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-0.5</v>
      </c>
      <c r="J4" cm="1">
        <f t="array" ref="J4">_xlfn.PERCENTRANK.EXC(_xlfn._xlws.FILTER(H$3:H$15, ISNUMBER(H$3:H$15)),H4)*100</f>
        <v>42.8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-0.65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6.1414087706790097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3.61295912215857</v>
      </c>
      <c r="H7" cm="1">
        <f t="array" ref="H7">IFERROR(_xll.FDS($F7,"EE_ACTUAL_ANNUAL(MED,+1)"),0)</f>
        <v>3.8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6.9808755786158398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-2.7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-3.2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-3.2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-1.02152093746395</v>
      </c>
      <c r="H12" cm="1">
        <f t="array" ref="H12">IFERROR(_xll.FDS($F12,"EE_ACTUAL_ANNUAL(MED,+1)"),0)</f>
        <v>-0.45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10.163156516841701</v>
      </c>
      <c r="H13" cm="1">
        <f t="array" ref="H13">IFERROR(_xll.FDS($F13,"EE_ACTUAL_ANNUAL(MED,+1)"),0)</f>
        <v>9.5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6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0.46418496504898199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8.35596279152373</v>
      </c>
      <c r="G17">
        <v>14.538819869127099</v>
      </c>
      <c r="H17">
        <v>12.8709323534995</v>
      </c>
      <c r="I17">
        <v>25.011729179905998</v>
      </c>
      <c r="J17">
        <v>18.2929292712369</v>
      </c>
      <c r="K17">
        <v>10.914009645236099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9.7147154363071309</v>
      </c>
      <c r="F18">
        <v>7.4385992980085502</v>
      </c>
      <c r="G18">
        <v>14.667779515581</v>
      </c>
      <c r="H18">
        <v>11.2074687408189</v>
      </c>
      <c r="I18">
        <v>24.5344428387709</v>
      </c>
      <c r="J18">
        <v>17.2298191407891</v>
      </c>
      <c r="K18">
        <v>8.9422344840844303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6.4440018120205602</v>
      </c>
      <c r="C19">
        <v>12.8471719199911</v>
      </c>
      <c r="D19">
        <v>14.1061782856045</v>
      </c>
      <c r="E19">
        <v>12.199709394090799</v>
      </c>
      <c r="F19">
        <v>9.2207656739007806</v>
      </c>
      <c r="G19">
        <v>16.3837417700753</v>
      </c>
      <c r="H19">
        <v>13.922769951646799</v>
      </c>
      <c r="I19">
        <v>26.6372021629589</v>
      </c>
      <c r="J19">
        <v>20.686290275763401</v>
      </c>
      <c r="K19">
        <v>12.2539555485597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14.0029403106176</v>
      </c>
      <c r="E20">
        <v>11.818711551142201</v>
      </c>
      <c r="F20">
        <v>9.2254455713673291</v>
      </c>
      <c r="G20">
        <v>16.690651733527702</v>
      </c>
      <c r="H20">
        <v>15.8587443966116</v>
      </c>
      <c r="I20">
        <v>24.048321552738301</v>
      </c>
      <c r="J20">
        <v>20.598310588067601</v>
      </c>
      <c r="K20">
        <v>13.1476341706421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11.9489916743573</v>
      </c>
      <c r="F21">
        <v>9.2997687113842105</v>
      </c>
      <c r="G21">
        <v>19.302463641340701</v>
      </c>
      <c r="H21">
        <v>14.7202112757034</v>
      </c>
      <c r="I21">
        <v>25.319915472376</v>
      </c>
      <c r="J21">
        <v>20.3505037528152</v>
      </c>
      <c r="K21">
        <v>13.221250861669199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6.4440018120205602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8.9422344840844303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11.988728308067351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11.9489916743573</v>
      </c>
      <c r="F25" s="8">
        <f t="shared" si="2"/>
        <v>9.2997687113842105</v>
      </c>
      <c r="G25" s="8">
        <f t="shared" si="2"/>
        <v>19.302463641340701</v>
      </c>
      <c r="H25" s="8">
        <f t="shared" si="2"/>
        <v>14.7202112757034</v>
      </c>
      <c r="I25" s="8">
        <f t="shared" si="2"/>
        <v>25.319915472376</v>
      </c>
      <c r="J25" s="8">
        <f t="shared" si="2"/>
        <v>20.3505037528152</v>
      </c>
      <c r="K25" s="8">
        <f t="shared" si="2"/>
        <v>13.221250861669199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45472</v>
      </c>
      <c r="M1" s="116"/>
    </row>
    <row r="2" spans="1:20" ht="15" thickBot="1" x14ac:dyDescent="0.4">
      <c r="K2" s="12" t="s">
        <v>772</v>
      </c>
      <c r="L2" s="187">
        <f ca="1">EDATE(TODAY(), -4)</f>
        <v>45380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06/2024</v>
      </c>
      <c r="O3" t="str" cm="1">
        <f t="array" aca="1" ref="O3" ca="1">_xll.FDSRC("-","DUMMY","ECON_DATE("&amp;$L$2&amp;",,, 'MM/YYYY')")</f>
        <v>03/2024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41.100586</v>
      </c>
      <c r="N4" cm="1">
        <f t="array" aca="1" ref="N4" ca="1">_xll.FDSRC("-","DUMMY","ECON_EXPR_DATA('FDS_ECON["&amp;H4&amp;"]',"&amp;$N$3&amp;",,Q)")</f>
        <v>45.388824</v>
      </c>
      <c r="O4" cm="1">
        <f t="array" aca="1" ref="O4" ca="1">_xll.FDSRC("-","DUMMY","ECON_EXPR_DATA('FDS_ECON["&amp;H4&amp;"]',"&amp;$O$3&amp;",,Q)")</f>
        <v>47.7971</v>
      </c>
      <c r="P4">
        <f t="shared" ref="P4:P12" ca="1" si="0">IFERROR(N4-O4,$M$20)</f>
        <v>-2.4082760000000007</v>
      </c>
      <c r="Q4" cm="1">
        <f t="array" ref="Q4">_xlfn.PERCENTRANK.EXC(_xlfn._xlws.FILTER(M$4:M$16, ISNUMBER(M$4:M$16)),M4)*100</f>
        <v>7.1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9.94</v>
      </c>
      <c r="T4" cm="1">
        <f t="array" aca="1" ref="T4" ca="1">_xlfn.PERCENTRANK.EXC(_xlfn._xlws.FILTER(S$4:S$16, ISNUMBER(S$4:S$16)),S4)*100</f>
        <v>7.1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47.17306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48.519999999999996</v>
      </c>
      <c r="T5" cm="1">
        <f t="array" aca="1" ref="T5" ca="1">_xlfn.PERCENTRANK.EXC(_xlfn._xlws.FILTER(S$4:S$16, ISNUMBER(S$4:S$16)),S5)*100</f>
        <v>50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49.280479999999997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50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47.120000000000005</v>
      </c>
      <c r="T6" cm="1">
        <f t="array" aca="1" ref="T6" ca="1">_xlfn.PERCENTRANK.EXC(_xlfn._xlws.FILTER(S$4:S$16, ISNUMBER(S$4:S$16)),S6)*100</f>
        <v>42.8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43.501510000000003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14.2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34.200000000000003</v>
      </c>
      <c r="T7" cm="1">
        <f t="array" aca="1" ref="T7" ca="1">_xlfn.PERCENTRANK.EXC(_xlfn._xlws.FILTER(S$4:S$16, ISNUMBER(S$4:S$16)),S7)*100</f>
        <v>28.499999999999996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50.046066000000003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75.640000000000015</v>
      </c>
      <c r="T8" cm="1">
        <f t="array" aca="1" ref="T8" ca="1">_xlfn.PERCENTRANK.EXC(_xlfn._xlws.FILTER(S$4:S$16, ISNUMBER(S$4:S$16)),S8)*100</f>
        <v>78.5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43.870950000000001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21.4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27.119999999999997</v>
      </c>
      <c r="T9" cm="1">
        <f t="array" aca="1" ref="T9" ca="1">_xlfn.PERCENTRANK.EXC(_xlfn._xlws.FILTER(S$4:S$16, ISNUMBER(S$4:S$16)),S9)*100</f>
        <v>21.4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50.900154000000001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78.5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78.5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51.573079999999997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85.7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59.980000000000004</v>
      </c>
      <c r="T11" cm="1">
        <f t="array" aca="1" ref="T11" ca="1">_xlfn.PERCENTRANK.EXC(_xlfn._xlws.FILTER(S$4:S$16, ISNUMBER(S$4:S$16)),S11)*100</f>
        <v>57.099999999999994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51.573079999999997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85.7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59.980000000000004</v>
      </c>
      <c r="T12" cm="1">
        <f t="array" aca="1" ref="T12" ca="1">_xlfn.PERCENTRANK.EXC(_xlfn._xlws.FILTER(S$4:S$16, ISNUMBER(S$4:S$16)),S12)*100</f>
        <v>57.099999999999994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45.352626999999998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28.499999999999996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37.099999999999994</v>
      </c>
      <c r="T13" cm="1">
        <f t="array" aca="1" ref="T13" ca="1">_xlfn.PERCENTRANK.EXC(_xlfn._xlws.FILTER(S$4:S$16, ISNUMBER(S$4:S$16)),S13)*100</f>
        <v>35.699999999999996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50.679600000000001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71.399999999999991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77.12</v>
      </c>
      <c r="T14" cm="1">
        <f t="array" aca="1" ref="T14" ca="1">_xlfn.PERCENTRANK.EXC(_xlfn._xlws.FILTER(S$4:S$16, ISNUMBER(S$4:S$16)),S14)*100</f>
        <v>85.7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49.659244999999999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0.50492099999999596</v>
      </c>
      <c r="Q15" cm="1">
        <f t="array" ref="Q15">_xlfn.PERCENTRANK.EXC(_xlfn._xlws.FILTER(M$4:M$16, ISNUMBER(M$4:M$16)),M15)*100</f>
        <v>57.099999999999994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62.819999999999993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45.728034999999998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35.699999999999996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24.259999999999998</v>
      </c>
      <c r="T16" cm="1">
        <f t="array" aca="1" ref="T16" ca="1">_xlfn.PERCENTRANK.EXC(_xlfn._xlws.FILTER(S$4:S$16, ISNUMBER(S$4:S$16)),S16)*100</f>
        <v>14.2</v>
      </c>
    </row>
    <row r="18" spans="8:13" x14ac:dyDescent="0.35">
      <c r="K18" t="str" cm="1">
        <f t="array" aca="1" ref="K18" ca="1">_xll.FDSRC("-","DUMMY","ECON_DATE("&amp;$L$1&amp;",,, 'MM/YYYY')")</f>
        <v>06/2024</v>
      </c>
      <c r="L18" t="str" cm="1">
        <f t="array" aca="1" ref="L18" ca="1">_xll.FDSRC("-","DUMMY","ECON_DATE("&amp;$L$2&amp;",,, 'MM/YYYY')")</f>
        <v>03/2024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49.659244999999999</v>
      </c>
      <c r="K19" cm="1">
        <f t="array" aca="1" ref="K19" ca="1">_xll.FDSRC("-","DUMMY","ECON_EXPR_DATA('FDS_ECON["&amp;H19&amp;"]',"&amp;$K$18&amp;",,Q)")</f>
        <v>49.418430000000001</v>
      </c>
      <c r="L19" cm="1">
        <f t="array" aca="1" ref="L19" ca="1">_xll.FDSRC("-","DUMMY","ECON_EXPR_DATA('FDS_ECON["&amp;H19&amp;"]',"&amp;$L$18&amp;",,Q)")</f>
        <v>49.135437000000003</v>
      </c>
      <c r="M19">
        <f ca="1">K19-L19</f>
        <v>0.28299299999999761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52.095469999999999</v>
      </c>
      <c r="K20" cm="1">
        <f t="array" aca="1" ref="K20" ca="1">_xll.FDSRC("-","DUMMY","ECON_EXPR_DATA('FDS_ECON["&amp;H20&amp;"]',"&amp;$K$18&amp;",,Q)")</f>
        <v>52.017085999999999</v>
      </c>
      <c r="L20" cm="1">
        <f t="array" aca="1" ref="L20" ca="1">_xll.FDSRC("-","DUMMY","ECON_EXPR_DATA('FDS_ECON["&amp;H20&amp;"]',"&amp;$L$18&amp;",,Q)")</f>
        <v>51.512165000000003</v>
      </c>
      <c r="M20">
        <f ca="1">K20-L20</f>
        <v>0.50492099999999596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84.545000000000002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93169.89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1490.672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1694565.5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2483.7840000000001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2778568.8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929.90700000000004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2260596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15784.962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6395283.5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1238.9849999999999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2248412.7999999998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3036.4859999999999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3309482.3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283569.125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56951612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558640.19296799996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56951612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649.82399999999996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3147640.5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265.79649999999998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1095033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309.34800000000001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1009585.7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461.25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871803.25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333017.09999999998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226015"><![CDATA[{"FC0000ZA^FG_MCAP_IDX(0,,,USD)":333017.1,"EWI^FREF_MARKET_VALUE_COMPANY(0,,,USD,,0,,\"LEGACY\")":461.25,"FC0000IT^FMA_MCAP(0,,,USD,\"PORTAGG\")":871803.25,"EWD^FREF_MARKET_VALUE_COMPANY(0,,,USD,,0,,\"LEGACY\")":309.348,"FC0000SE^FMA_MCAP(0,,,USD,\"PORTAGG\")":1009585.7,"EWN^FREF_MARKET_VALUE_COMPANY(0,,,USD,,0,,\"LEGACY\")":265.7965,"FC0000NL^FMA_MCAP(0,,,USD,\"PORTAGG\")":1095033.0,"EWQ^FREF_MARKET_VALUE_COMPANY(0,,,USD,,0,,\"LEGACY\")":649.824,"FC0000FR^FMA_MCAP(0,,,USD,\"PORTAGG\")":3147640.5,"SPY^FREF_MARKET_VALUE_COMPANY(0,,,USD,,0,,\"LEGACY\")":558640.192968,"FC0000US^FMA_MCAP(0,,,USD,\"PORTAGG\")":56951612.0,"QQQ^FREF_MARKET_VALUE_COMPANY(0,,,USD,,0,,\"LEGACY\")":283569.125,"EWU^FREF_MARKET_VALUE_COMPANY(0,,,USD,,0,,\"LEGACY\")":3036.486,"FC0000GB^FMA_MCAP(0,,,USD,\"PORTAGG\")":3309482.3,"FC0000CH^FMA_MCAP(0,,,USD,\"PORTAGG\")":2248412.8,"FC0000JP^FMA_MCAP(0,,,USD,\"PORTAGG\")":6395283.5,"EWG^FREF_MARKET_VALUE_COMPANY(0,,,USD,,0,,\"LEGACY\")":929.907,"FC0000DE^FMA_MCAP(0,,,USD,\"PORTAGG\")":2260596.0,"EWC^FREF_MARKET_VALUE_COMPANY(0,,,USD,,0,,\"LEGACY\")":2483.784,"FC0000CA^FMA_MCAP(0,,,USD,\"PORTAGG\")":2778568.8,"EWA^FREF_MARKET_VALUE_COMPANY(0,,,USD,,0,,\"LEGACY\")":1490.672,"FC0000AU^FMA_MCAP(0,,,USD,\"PORTAGG\")":1694565.5,"ENZL^FREF_MARKET_VALUE_COMPANY(0,,,USD,,0,,\"LEGACY\")":84.545,"FC0000NZ^FMA_MCAP(0,,,USD,\"PORTAGG\")":93169.89,"NQG00809^FG_COMPANY_NAME":"Nasdaq South Africa","CC_ZA^FG_COMPANY_NAME":"South Africa","NQG00809^FMA_MCAP(0,,,USD,\"PORTAGG\")":null,"EWL^FREF_MARKET_VALUE_COMPANY(0,,,USD,,0,,\"LEGACY\")":1238.985,"EWJ^FREF_MARKET_VALUE_COMPANY(0,,,USD,,0,,\"LEGACY\")":15784.962,"DUMMY^ECON_EXPR_DATA('FDS_ECON[]',,,M)":null,"DUMMY^ECON_EXPR_DATA('FDS_ECON[NTCPMIMFGSA@IT]',,,M)":45.728035,"DUMMY^ECON_EXPR_DATA('FDS_ECON[NTCPMIMFGSA@NL]',,,M)":50.6796,"DUMMY^ECON_EXPR_DATA('FDS_ECON[NTCPMIMFGSA@FR]',,,M)":45.352627,"DUMMY^ECON_EXPR_DATA('FDS_ECON[NTCPMIMFGMESA@US]',,,M)":51.57308,"DUMMY^ECON_EXPR_DATA('FDS_ECON[NTCPMIMFGSA@GB]',,,M)":50.900154,"DUMMY^ECON_EXPR_DATA('FDS_ECON[NTCPMIMFGSA@CH]',,,M)":43.87095,"DUMMY^ECON_EXPR_DATA('FDS_ECON[NTCPMIMFGSA@JP]',,,M)":50.046066,"DUMMY^ECON_EXPR_DATA('FDS_ECON[NTCPMIMFGSA@DE]',,,M)":43.50151,"DUMMY^ECON_EXPR_DATA('FDS_ECON[NTCPMIMFGSA@CA]',,,M)":49.28048,"DUMMY^ECON_EXPR_DATA('FDS_ECON[NTCPMIMFGSA@AU]',,,M)":47.17306,"DUMMY^ECON_EXPR_DATA('FDS_ECON[NTCPMIMFGSA@NZ]',,,M)":41.100586,"CAGDPY@FR^EE_ACTUAL_ANNUAL(MED,+1)":-0.45,"CAGDPY@AU^EE_ACTUAL_ANNUAL(MED,+1)":-0.5,"USDITL^FG_PRICE_CHANGE(0,-3AM)":-1.6212225,"USDANG^FG_PRICE_CHANGE(0,-3AM)":0.0,"USDUSD^FG_PRICE_CHANGE(0,-3AM)":0.0,"USDGBP^FG_PRICE_CHANGE(0,-3AM)":-3.049755,"USDJPY^FG_PRICE_CHANGE(0,-3AM)":-2.3810983,"USDCAD^FG_PRICE_CHANGE(0,-3AM)":1.1326194,"USDNZD^FG_PRICE_CHANGE(0,-3AM)":0.7977605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,45436,45469,45499],"EWD^FMA_DIV_YLD(NTMA,-10AY,0,AM,\"PORTAGG\",\"MEANR\")":[4.14377588294978,4.17879466241533,4.22701266814486,4.33889252011293,4.08077005658878,4.08193514473521,3.87285536400263,3.60376742155122,3.6525218909793,3.6198930694176,3.80542048172922,3.90332220593368,3.94782299828166,4.41709231729391,4.56500447507667,4.19608367348736,4.18450813766404,4.31624167016494,4.46245119281606,4.38417959520216,4.45407153538038,4.26524854343643,4.347704943634,4.39293207340543,4.31934638679809,4.24310777583996,4.25186850626918,4.09401403467996,4.00713622666794,3.88540003504128,3.70086481972156,3.64532815663437,3.6540459869121,3.54741869595835,3.3724479854966,3.51638515509274,3.6674501959788,3.79148095509113,3.61938303903699,3.54560797651826,3.6480463889722,3.70450360392225,3.69100088675786,3.82754901641444,4.1404431844449,4.01104536148076,4.03765198311249,4.20913336980938,4.10431669397795,4.05318234243644,4.03516601222688,4.50752086522776,4.51249287761824,4.77521837303289,4.40452565800553,4.13888334826473,4.15025811734384,3.96308358728241,4.28879930023065,4.16897619811084,4.02384674555949,4.31557230345324,3.93524575603694,3.70676108967169,3.675889447749,3.57429731535756,3.53881178958419,3.59485199405931,4.22208423215289,3.43700456679259,3.21100983308188,3.07075310818974,2.98727331274062,2.95949527300414,3.06814180548772,3.20504272868247,2.99927459652352,3.1131626665844,2.97823529565243,2.9905458544825,2.75954887939403,2.75082432335463,2.87940823111331,2.69047662946293,2.70052258699262,2.72403237154999,2.81797272195957,2.98590047106512,3.11929356956791,2.88022764565264,2.88305961903857,3.13937606671455,3.15383140186068,3.30718515559612,3.46553473578702,3.64007261748239,3.59602691469574,3.63903179423528,3.83590349689148,3.72886094707945,3.56145945120859,3.73853465609951,3.56283488613594,3.5914094714568,3.85840732423663,3.67352849492699,3.75381128990307,3.82236023081799,3.79902687380146,4.01477227125006,4.05069911583351,4.00158141807225,3.64445345093218,2.93932547551352,3.33853646170127,3.31529893004124,3.16738365373876,3.27893195417718,3.16297344774642,3.24509845993265,3.23545032184116],"EWQ^FMA_PE(NTMA,-10AY,0,AM,\"PORTAGG\",\"MEANR\")":[13.6037170230082,13.7126773853271,13.5612155928874,12.8572942173471,13.6937614828169,13.8024253492795,15.4808129672122,16.2760013981828,16.4287658459436,16.8041574073129,16.3180425998205,16.0871155859939,15.8671356098714,13.9108435721323,13.9622849365278,15.1406435419599,15.1899891905856,14.6268093163316,14.0473689691091,14.089952151828,14.1620791105493,14.8003619425901,14.6275632106678,13.1990124801724,14.0662111089333,13.9714251082896,13.7606873699357,13.9868124476104,13.8017871146069,14.5255982089951,14.4907222927089,14.1610110965115,14.674100621242,15.3200893797455,15.235447872678,15.0319732841372,14.8373220299817,14.4613857225405,14.9513349167429,15.3466944405805,15.0532913579901,14.9218111211466,15.3227740976272,14.7197159461208,13.9573080952712,14.6758014424721,14.7040720812829,13.9016730638566,14.1550189244262,13.8701698678315,13.9418727073563,12.5029569648839,12.495766378111,11.6341800814503,12.6846410356428,13.4345093136836,13.5104970379874,14.0997020785202,13.4359249598246,13.8011665517904,14.210611540928,13.494434446186,14.0621256954592,14.4277029342724,14.8302521770848,15.02028626923,15.0110666322888,14.3381195523087,12.6797304348856,15.4062957533293,17.1927467766975,18.62925378242,19.4460128950597,19.7708046817277,17.7649641341603,17.527819576142,19.1781316350676,18.0728492245357,17.6927910618377,17.7312658944218,18.1280030318589,18.1976550587977,17.7188364082567,17.8398580887029,17.0546462392379,16.2935399154051,15.9815123967285,15.6540780459645,15.1145108309173,15.7266543111376,15.0291608891153,14.0781248691941,13.3755721369529,12.7824497649015,12.2723142507661,11.5439469809487,11.5241079637646,11.2848215826281,10.2132693281533,11.236498143995,12.0874630667134,11.8622601847513,13.1608111967332,13.0485014845303,12.7335332484041,13.6799570116854,13.138907797509,12.9283929475819,13.1284972412356,12.7628352522744,12.4160230958428,12.0457596597854,12.9332467332846,13.4506611455595,13.730600731457,14.2745901713659,14.6563854326517,14.5275950540182,14.4947625298308,13.6081706896969,13.4634987209684],"QQQ^FMA_PE(LTMA,-10AY,0,AM,\"PORTAGG\",\"MEANR\")":[19.1471857167012,19.4436995182119,19.3297191370039,19.2337236661063,20.4437009867452,20.4750692443012,20.1084809573927,20.9043572909377,20.4888117344122,20.5717507338301,20.2333793843007,20.0829378723056,20.2529213855427,19.3146021165335,19.1333734821261,20.3355503942378,20.4078746434525,20.2407096445189,18.6327879105549,18.3305613531365,18.3128738266988,18.3966752925211,18.5670533580451,18.3134986663735,19.2596565878787,19.5341477318184,19.7708122248675,19.9678594115767,20.0967406451956,20.5712874187743,21.2950506977073,21.789158600801,21.624156427887,21.6844423895108,21.9680667752675,21.9027796986317,22.2834301280806,21.8977762969064,22.0658091833785,22.4570901038742,23.318335846675,23.6509973360595,25.4918676147698,24.6288615754096,23.7988861583844,23.3280248070931,23.2120399352541,23.0432850889502,23.3569788872728,23.1716946930873,23.1375448333331,20.9812123471486,20.0822898838836,18.6084825260521,20.0432632847245,20.926496095874,21.0184955664077,21.4597946368253,20.9971913511962,21.5356815331781,22.2538715795227,21.6005036197023,22.1368262039937,22.7848821841873,24.0883673835696,25.5428824289684,26.3150802023468,25.0140329761632,23.5379724045365,24.7009918815422,26.2114172900673,27.1492679213422,28.4990635742403,31.1191625968188,30.1664211079023,31.5035254105218,32.732818190978,34.564272147437,36.1965828824641,32.9457007618791,32.5759048268673,32.8035885954491,31.5971866666349,31.7214566306552,32.2039799504037,31.3952144249606,31.2107126506114,31.1093605858123,31.464374665934,31.9321812997434,27.3926374226402,26.6272146023721,26.8096956887189,25.7726834293099,25.1277314865315,24.6537281442161,24.4282149040464,25.2338284513304,23.1096727353772,23.2528998140001,23.6839318531657,22.901926934774,24.9542700661723,25.1136181266509,25.4606070014833,25.4710788295251,26.3439779433573,26.7682873747636,27.009748884579,26.151240390286,25.705038441116,25.0294375667024,27.6814718020813,29.2416765862862,29.8686549134515,30.1767878225382,30.0814659943874,29.5470563133445,29.7789058557709,30.191891391173,29.4745303470572],"DDR3512M-FDS^FG_PRICE(0)":0.9113853,"PASP-FDS^FG_PRICE(0)":915.0,"PLATI-FDS^FG_PRICE(0)":941.0,"W-FDS^FG_PRICE(0)":5.235,"COPP-FDS^FG_PRICE(0)":4.1045,"FC0000US^FG_PRICE(0)":410.4003,"FC0000GR^FG_PRICE(0)":9.881537,"EWI^FG_PRICE(0)":37.5,"SPY^FG_PRICE(0)":544.44,"EWJ^FG_PRICE(0)":68.69,"ENZL^FG_PRICE(0)":45.7,"EWA^FG_COMPANY_NAME":"iShares MSCI Australia ETF","FXI^P_PRICE(0)/P_PRICE_LOW_PR(0,,,,,,\"PRICE\",\"INTRA\",\"52W\")-1":0.22339404,"SPY^FMA_PCT_ABOVE_MAVG(200,0,,,,\"PORTAGG\")":69.4610778443114,"URTH^PERCENT_CHANGE(FMA_EPS(+1,0,,,,\"PORTAGG\",\"MEAN\"),FMA_EPS(+1,-3AM,,,,\"PORTAGG\",\"MEAN\"))":-0.49376654191326,"VGK^FG_TOTAL_RETURNC(0,-3AM)":4.184389,"EWD^P_PRICE(0)/P_PRICE_HIGH_PR(0,,,,,,\"PRICE\",\"INTRA\",\"52W\")":0.92989445,"EWQ^FG_TOTAL_RETURNC(0,-12AM)":2.8565645,"SPY^PERCENT_CHANGE(FMA_EPS(+1,0,,,,\"PORTAGG\",\"MEAN\"),FMA_EPS(+1,-1AM,,,,\"PORTAGG\",\"MEAN\"))":-0.128395106046291,"EWU^FG_TOTAL_RETURNC(0,-1AM)":2.796805,"EWJ^FG_TOTAL_RETURNC(0,-6AM)":5.8317184,"EWC^P_PRICE(0)/P_PRICE_LOW_PR(0,,,,,,\"PRICE\",\"INTRA\",\"52W\")-1":0.22031212,"EWA^FMA_PCT_ABOVE_MAVG(200,0,,,,\"PORTAGG\")":64.4067796610169,"EWJ^SIZE(FG_CONSTITUENTS)":205,"EWD^FMA_COS_DOWN(\"EPS\",\"1M\",+1,0,,,\"PORTAGG\",\"MEANR\")":25.0,"EWU^FMA_COS_UP(\"EPS\",\"1M\",+1,0,,,\"PORTAGG\",\"MEANR\")":22.0,"ENZL^SIZE(FG_CONSTITUENTS)":14,"EWI^FMA_RBICS_REV_CURRENT(30, LOC, \"PORTAGG\")":37.0297073578115,"EWQ^FG_ROE(0)":12.6749381090967,"TRYGB10Y-FDS^FG_YIELD_NAME":"United Kingdom Benchmark Bond - 10 Year","EWG^FG_COMPANY_NAME":"iShares MSCI Germany ETF","REFFFUND-FDS^(SUBARRAY(NOT_NA(NO_REPEAT_F(FG_YIELD(NOW,-10AY,D))),0,1)-SUBARRAY(NOT_NA(NO_REPEAT_F(FG_YIELD(NOW,-10AY,D))),1,1))*100":25.0,"REFEUREFI-FDS^FG_YIELD(NOW,,,0)":4.25,"TRYNL10Y-FDS^PCTCHG(FG_YIELD(0,,,,\"YTM\"),FG_YIELD(-1AM,,,,\"YTM\"))":-3.9784968,"TRYCA10Y-FDS^PCTCHG(FG_YIELD(0,,,,\"YTM\"),FG_YIELD(-1AM,,,,\"YTM\"))":-4.359461,"TRYUS10Y-FDS^FG_YIELD_NAME":"US Benchmark Bond - 10 Year","TRYNZ10Y-FDS^FG_YIELD_NAME":"New Zealand Benchmark Bond - 10 Year","VWO^FG_FCF_YIELD_NTM(0)":5.35799702690336,"EWI^FMA_PE(NTMA,0,,,\"PORTAGG\",\"MEANR\")":9.61692247940046,"EWN^JULIAN(FMA_DIV_YLD(NTMA,NOW,NOW,M,\"PORTAGG\",\"MEANR\").DATES)":45471,"QQQ^FMA_EVAL_EBITDA(NTMA,0,,,\"PORTAGG\",\"MEANR\")":16.222636216566,"EWL^FMA_DIV_YLD(NTMA,NOW,NOW,M,\"PORTAGG\",\"MEANR\")":3.23833990452955,"EWG^FMA_PE(LTM,0,,,\"PORTAGG\",\"MEANR\")":16.3814547579522,"ENZL^FMA_EVAL_EBIT(LTMA,NOW,NOW,M,\"PORTAGG\",\"MEANR\")":20.3806771257827,"EWJ^FG_COMPANY_NAME":"iShares MSCI Japan ETF","EWD^FG_COMPANY_NAME":"iShares MSCI Sweden ETF","VGK^P_PRICE(0)/P_PRICE_HIGH_PR(0,,,USD,,,\"PRICE\",\"INTRA\",\"52W\")":0.9638486,"QQQ^P_PRICE(0)/P_PRICE_HIGH_PR(0,,,USD,,,\"PRICE\",\"INTRA\",\"52W\")":0.919467,"VWO^P_PRICE(0)/P_PRICE_HIGH_PR(0,,,USD,,,\"PRICE\",\"INTRA\",\"52W\")":0.95615095,"DUMMY^ECON_EXPR_DATA('FDS_ECON[NTCPMIMFGSA@EME]',,,M)":52.09547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CAGDPY@FR^EE_ACTUAL_ANNUAL(MED,0)":-1.02152093746395,"CAGDPY@AU^EE_ACTUAL_ANNUAL(MED,0)":0.275776825503169,"USDITL^FG_PRICE_CHANGE(0,-1AM)":-1.6074061,"USDANG^FG_PRICE_CHANGE(0,-1AM)":0.0,"USDUSD^FG_PRICE_CHANGE(0,-1AM)":0.0,"USDGBP^FG_PRICE_CHANGE(0,-1AM)":-1.789397,"USDJPY^FG_PRICE_CHANGE(0,-1AM)":-4.4080553,"USDCAD^FG_PRICE_CHANGE(0,-1AM)":1.0624647,"USDNZD^FG_PRICE_CHANGE(0,-1AM)":3.3098578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-2.7507246,-5.0677595,-1.9242704,-6.0126543,0.8754134,-5.489212,-0.8534908,6.169307,0.40540695,2.1534324,0.92226267,4.817271,-2.7249634,-3.3224761,-4.3800592,5.8491945,-5.3928137,-0.544852,-13.058907,-7.591838,6.890464,4.0495872,-2.2239864,-13.526487,5.5072427,2.4725199,-2.6809573,3.4894466,-5.5456934,14.480209,1.2008309,-5.0736485,10.387934,4.099953,6.301582,-0.4793167,6.7508936,2.6039958,2.2412658,-0.22565722,0.6461978,-0.6103575,11.854494,-5.5458784,-1.567781,5.9650183,-9.784847,-3.7468016,2.0586133,-5.025637,5.3275704,-14.798361,2.0056129,-4.8553886,8.70657,3.6195636,2.749908,1.0126591,-3.4371674,4.8228145,1.5007257,-5.3371787,4.7619104,3.7454605,2.8741717,1.8284202,-1.0444701,-5.2093983,-22.41379,-6.851852,7.25646,10.69194,8.5025425,2.027297,-7.9098167,1.6597509,18.693876,2.1781564,-0.9501159,2.500856,5.080211,2.7989745,2.2586584,1.2498975,-2.147621,0.6491542,-0.15357137,3.3835769,-5.8911085,4.1494966,-1.8780768,-1.5688717,-7.4593544,-6.3382683,6.1419606,-10.144586,-9.062004,1.8356681,-6.60944,10.340071,15.326953,-1.0623097,10.892927,-1.0023415,-1.8562257,7.668495,-2.6828468,3.1598449,8.213818,-5.0903616,-3.9987326,-3.041321,11.830891,4.9663067,-1.5882373,6.5152407,5.9483647,-1.3771117,3.759396,-4.0210724,3.61979],"EWN^FMA_DIV_YLD(NTMA,-10AY,0,AM,\"PORTAGG\",\"MEANR\")":[2.91687450925508,2.98046254905221,3.00692373312957,3.22191112906619,3.06207322976612,3.06613499294765,2.88255326070717,2.71178659433586,2.70432864717066,2.64387745414348,2.80969541740024,2.83154020248197,2.86581141871375,3.51580552964021,3.55718138646594,3.26659274729213,3.13220370449875,3.2779092314833,3.28246106924806,3.38990219841549,3.3183560123189,3.29992827799026,3.27726361154177,3.40947757350974,3.1799788673489,3.13844750914302,3.16907041952073,3.10260695567502,3.1067661406875,2.95868088927089,2.94997841439881,2.86556255234166,2.78272725558025,2.72786840533086,2.72590854398477,2.7377402062553,2.74673274703521,2.83224646980785,2.83358880471276,2.75330285817347,2.81784855226271,2.83644428846113,2.77665802260765,2.91167550522532,3.03903956440998,2.94782843272646,2.88086523098899,2.95646735803552,2.86528904312325,2.91037542204666,3.00458557325183,3.26781195888478,3.23782456407811,3.52510836097175,3.28332140808705,3.10811484442735,3.09552043105048,2.9731074703266,3.1098546512918,3.04285246314164,2.88271115152012,3.04358070875108,2.74357257157335,2.73067988036975,2.64506577295124,2.57860961953547,2.5909488187061,2.68150476410655,3.28648247419524,2.81163483164238,2.49907974574995,2.39351188293154,2.3377938059022,2.27883675612983,2.39909832465643,2.3535303326156,2.17412153340356,2.01115245007685,1.96447274498546,2.00890154501115,1.96464460993529,1.90895425029281,1.97863251388464,1.99093713507646,1.96345914391101,1.84735197727911,1.87616809251901,1.90360398093176,1.96408127467891,1.94498694828229,2.20076732090702,2.33143064200421,2.25249176939939,2.43923504237428,2.58005361662135,3.43271506605597,3.17553261498151,3.65377868406087,3.08028996324185,2.90536969677902,2.65360364261274,2.7791725748076,2.52809744567764,2.66100283930509,2.74613936673364,2.71617151233928,2.63115429164613,2.78626374191287,2.70843323950576,2.91803335000293,3.07684248082447,3.10914149634796,2.78999470612131,2.68982328928574,2.58088213735721,2.47704648733035,2.53107256588633,2.57084156661884,2.46729414547972,2.50790112152012,2.5828744997913],"SPY^FMA_PE(NTMA,-10AY,0,AM,\"PORTAGG\",\"MEANR\")":[15.2860538079194,15.3506120184121,15.0996256442277,15.0722706654006,15.8755455907236,16.2067799251663,16.4535352099074,16.9505228671181,16.4494175890899,16.8733078308341,16.5315124795549,16.4037494531471,16.2397131434392,15.1065767552094,15.0352963666916,16.2230740361855,16.341280422695,16.1143801392714,15.1599918184023,15.5099438140132,15.5167363536305,16.5004635460184,16.5638174510687,16.0259653434406,16.9519572655534,16.7898861437351,16.5004725873095,16.3103012058637,16.8205936265308,17.0350040670959,17.115865134153,17.6808800778429,17.4077830196572,17.5138448163685,17.5333988469441,17.5472482162797,17.7295274607976,17.3317034033234,17.5973981568471,17.8935705029766,17.9738460237401,18.216936469024,18.4548114831502,17.2978771219508,16.4555044484663,16.2575551070454,16.2864337875311,16.1635077869746,16.6545070567098,16.6862148657091,16.7402580029484,15.1753382120886,15.2584565176561,14.1859494165639,15.480909018284,16.2721574431263,16.3441513086333,16.9022021743168,16.1355335153301,16.5706857828689,17.214526634446,16.3099234082959,16.8111324148475,17.0992710538207,17.7189061194988,18.232753628205,18.4383985129935,17.4653213821155,15.5875919389755,19.569945942764,21.2901233666503,21.1139260292987,22.0023332526977,22.8027035993994,21.1675885879487,21.2445297978474,21.8929418988194,22.2300869344889,22.3748592844242,21.3859405331153,21.9523869336805,22.2483108797061,21.2615817410716,21.3345212329714,21.4445839696081,21.0049003568579,20.8223333814955,21.1056958793511,20.8352854061085,21.2329810168221,19.2896692079328,19.1590222781866,19.5591761261418,17.6271229687659,17.0603219585055,16.3254370181965,16.4306396162302,17.1003655336165,15.4192501328869,16.39960441275,17.4056015429303,16.6703125466722,17.8503350533662,17.501510065557,17.4299953050262,17.7621902441037,18.1577603715991,18.5998429399556,19.5549241847063,18.4655223532145,17.7830347950967,17.1549599008589,18.7348407637839,19.5485856720819,20.0333249377528,20.4053649780157,20.7670621616059,20.1045751092184,20.6298571188767,21.0852822573217,20.5995979863517],"EWU^FMA_PE(LTMA,-10AY,0,AM,\"PORTAGG\",\"MEANR\")":[14.406239591782,14.2852588188202,13.9623481142743,13.5498083837324,14.0674602822874,13.8644898471586,14.3208953986805,15.1514197760525,15.2651256973647,15.6287004278507,15.7185536485261,15.6923925093541,15.5453302379798,14.7271494097559,14.9964452295813,15.846958699655,15.8892580185249,15.7596319513903,14.8943692335715,15.4662677386287,15.6566241433498,15.9897566331872,16.0616572501301,15.8379451262284,16.6179905148143,16.9559030916199,16.8593001417795,16.8130754612975,16.5194722770753,16.9863977375723,17.0976662636026,17.4128639766472,17.1815962094259,16.9402831487679,16.8136230856051,16.4990731587892,16.5095034788944,16.1108223394197,15.7514996060367,15.618879788861,15.2669974341472,15.3208482902482,15.6340012196857,14.1049502725639,13.8430653531936,14.0251169679562,14.0316553883031,13.8045689353615,13.8507577462765,13.6501580691262,13.678232133262,12.6539028754221,12.6823627905379,11.9108705760532,12.3215879560705,13.0786399045543,12.9358688721883,13.0001250357299,12.855863226542,13.0280929520013,13.1407658101612,12.6855837134558,13.0837832643643,13.3175853990811,13.543726262863,14.1679071106869,14.2198467901806,13.2478309266393,12.311373171796,13.1807308919348,14.4672413823834,15.0646900096502,15.6198990673148,16.4282283317792,16.5259738952338,16.7931290419317,18.7113438664236,19.616764364025,19.8579863605719,18.808343681971,18.3630477875942,17.8256084574242,17.2000362516144,16.6376794136554,15.6699101231352,14.8130755698662,14.0800921115357,13.7860550264308,12.5323337685648,12.4627713586144,12.5607026924297,12.5995102900464,12.4140001042741,12.0366564612935,11.7898406180636,11.3023700297953,10.9987995571658,10.5408347081364,9.51538275653533,9.57199243850387,9.89483924575086,9.64127680533663,10.1464458310153,10.1632402345501,10.1465468062534,10.4157822862703,10.266998333644,10.2670933750716,10.6330221682924,10.3387903090312,10.6095278728527,10.3043874818867,10.7987644053942,11.2220745794944,11.3663186587574,11.525255674846,11.5260698373641,11.6035534160393,11.7476147730204,11.661421882332,11.8051375112492],"WL-FDS^MAX(FG_PRICE(0,-5AY))":763.4,"NI-FDS^MAX(FG_PRICE(0,-5AY))":48241.0,"CPALM-FDS^MAX(FG_PRICE(0,-5AY))":8163.0,"BRENT-FDS^MAX(FG_PRICE(0,-5AY))":140.85,"TIOS-FDS^MAX(FG_PRICE(0,-5AY))":219.77,"FC0000GB^FG_PRICE(0)":130.86403,"FC0000CA^FG_PRICE(0)":296.13333,"EWD^FG_PRICE_MAVG(0,,,,200)":38.385124,"QQQ^FG_PRICE_MAVG(0,,,,200)":427.27734,"EWG^FG_PRICE_MAVG(0,,,,200)":29.768,"EWI^FG_COMPANY_NAME":"iShares MSCI Italy ETF","ENZL^FG_COMPANY_NAME":"iShares MSCI New Zealand ETF","FXI^P_PRICE(0)/P_PRICE_HIGH_PR(0,,,,,,\"PRICE\",\"INTRA\",\"52W\")":0.8356254,"EWJ^FG_TOTAL_RETURNC(0,-12AM)":11.69628,"URTH^PERCENT_CHANGE(FMA_EPS(+1,0,,,,\"PORTAGG\",\"MEAN\"),FMA_EPS(+1,-1AM,,,,\"PORTAGG\",\"MEAN\"))":0.0266636553384657,"VGK^FG_TOTAL_RETURNC(0,-1AM)":1.7779827,"EWD^FG_TOTAL_RETURNC(0,-6AM)":8.098328,"EWQ^P_PRICE(0)/P_PRICE_LOW_PR(0,,,,,,\"PRICE\",\"INTRA\",\"52W\")-1":0.14913845,"EWU^PERCENT_CHANGE(FMA_EPS(+1,0,,,,\"PORTAGG\",\"MEAN\"),FMA_EPS(+1,-3AM,,,,\"PORTAGG\",\"MEAN\"))":-0.0135858940419601,"EWJ^FG_TOTAL_RETURNC(0,-3AM)":3.0885696,"EWC^P_PRICE(0)/P_PRICE_HIGH_PR(0,,,,,,\"PRICE\",\"INTRA\",\"52W\")":0.98206514,"ENZL^FG_TOTAL_RETURNC(0,-12AM)":-5.0525246,"EWJ^FMA_COS_DOWN(\"EPS\",\"1M\",+1,0,,,\"PORTAGG\",\"MEANR\")":57.0,"EWD^FMA_COS_UP(\"EPS\",\"1M\",+1,0,,,\"PORTAGG\",\"MEANR\")":12.0,"EWL^SIZE(FG_CONSTITUENTS)":46,"ENZL^FMA_COS_DOWN(\"EPS\",\"1M\",+1,0,,,\"PORTAGG\",\"MEANR\")":4.0,"EWD^FMA_RBICS_REV_CURRENT(30, LOC, \"PORTAGG\")":26.6826894897005,"SPY^FG_ROE(0)":18.6833094503973,"TRYCH10Y-FDS^FG_YIELD_NAME":"Treasury - Switzerland Benchmark Bond 10Y","EWC^FG_COMPANY_NAME":"iShares MSCI Canada ETF","REFFFUND-FDS^FG_YIELD(NOW,,,0)":5.5,"REFEUREFI-FDS^PROPER_NAME(0,,,\"SECURITY\",\"NAME\")":"Eurozone Main Refinancing Operations Minimum Bid Rate","TRYFR10Y-FDS^PCTCHG(FG_YIELD(0,,,,\"YTM\"),FG_YIELD(-3AM,,,,\"YTM\"))":2.3997355,"TRYAU10Y-FDS^PCTCHG(FG_YIELD(0,,,,\"YTM\"),FG_YIELD(-3AM,,,,\"YTM\"))":-4.753475,"TRYUS10Y-FDS^FG_YIELD(0,,,,\"YTM\")":4.1953,"CC_IT^IMF_IFS_RCPI_Q(0)":null,"VWO^FMA_DIV_YLD(NTMA,NOW,NOW,M,\"PORTAGG\",\"MEANR\")":4.15554678031482,"EWI^FMA_PE(LTM,0,,,\"PORTAGG\",\"MEANR\")":10.0709223995973,"EWQ^FMA_EVAL_EBIT(LTMA,NOW,NOW,M,\"PORTAGG\",\"MEANR\")":13.018368982019,"QQQ^FG_FCF_YIELD_NTM(0)":3.63563533924483,"EWL^FMA_PE(NTMA,0,,,\"PORTAGG\",\"MEANR\")":17.3211090149457,"EWG^JULIAN(FMA_DIV_YLD(NTMA,NOW,NOW,M,\"PORTAGG\",\"MEANR\").DATES)":45471,"ENZL^FMA_EVAL_EBITDA(NTMA,0,,,\"PORTAGG\",\"MEANR\")":12.3804738743532,"EWL^FG_COMPANY_NAME":"iShares MSCI Switzerland ETF","EWN^FG_COMPANY_NAME":"iShares MSCI Netherlands ETF","VGK^FG_TOTAL_RETURNC(0,-6AM)":8.79426,"QQQ^FG_TOTAL_RETURNC(0,-6AM)":9.558928,"VWO^FG_TOTAL_RETURNC(0,-6AM)":9.387755,"DUMMY^ECON_EXPR_DATA('FDS_ECON[PMIDMMANHE]',,,M)":49.659245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TRYZA10Y-FDS^JULIAN(FG_YIELD(-10AY,0,CY,,\"YTM\").DATES)":[42004,42369,42734,43098,43465,43830,44196,44561,44925,45289],"CAGDPY@CH^EE_ACTUAL_ANNUAL(MED,0)":6.98087557861584,"CC_DE^FG_COMPANY_NAME":"Germany","USDSEK^FG_PRICE_CHANGE(0,-1AM)":2.3504496,"USDCHF^FG_PRICE_CHANGE(0,-1AM)":-1.5716374,"USDEUR^FG_PRICE_CHANGE(0,-1AM)":-1.6074061,"USDAUD^FG_PRICE_CHANGE(0,-1AM)":1.4953852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6,22.9687104615331,24.3449867619937],"EWU^P_PRICE_RETURNS_PR('52W',2,-10AY,0,AM)":[16.616081,14.090824,5.0327897,-3.2067716,1.2912393,-4.47762,-2.9424846,-3.050518,-3.3679605,-2.1335006,-4.5918226,-5.6070566,-10.297298,-14.574843,-12.846577,-2.2167623,-7.1941795,-7.439107,-15.880812,-19.012112,-14.38998,-12.064171,-11.647564,-19.993961,-10.209823,-1.7695725,-0.69293976,-10.848999,-7.812476,-3.4477532,9.823918,13.311458,9.59053,5.1573277,8.743418,17.92351,14.265656,9.530031,14.429021,19.487,20.156265,20.995033,24.759626,16.390562,11.072874,14.466548,8.583033,8.498168,6.0236096,5.6243896,3.9807558,-6.073099,-5.145526,-13.303226,-13.956475,-4.0794253,-0.09741783,-3.58122,-7.2364388,-2.2740066,-3.2537282,-7.58391,-4.387397,8.346581,8.698809,20.727598,14.461529,-2.4234533,-23.417372,-23.942202,-17.831045,-18.136566,-15.46694,-6.7141237,-16.370684,-19.236595,-9.458322,-10.277873,-6.655508,1.8073559,33.575726,36.905254,35.60381,31.698513,27.7169,25.647772,33.625076,37.666557,13.896513,17.047714,14.323366,15.342485,13.835287,1.639986,2.504146,-4.133135,-4.150045,-5.376214,-17.175192,-13.503843,-1.6162038,-3.2063007,1.0751963,1.194632,-4.5556307,8.861375,1.4520168,8.98527,16.280197,7.002926,26.625751,12.495542,8.336199,12.007046,3.9708734,6.4237237,13.6757965,8.624434,16.899384,14.214611,11.8846655],"EWJ^FG_TOTAL_RETURNC(-10AY,0,AM)":[0.9991646,-1.896131,0.08403063,-5.4575977,3.5523891,-0.27419925,0.25951862,6.9887757,2.2580743,4.9684525,-1.5026331,0.274539,-2.5229335,-5.6470633,-3.4912705,7.665813,0.32000542,-2.6456714,-7.590759,-1.2499928,2.622056,6.4317107,-2.897352,-2.557677,4.320991,3.296709,2.5368214,0.39904118,-1.6494393,1.7248273,2.9943824,0.52683353,0.6793499,0.38558245,2.1317482,2.0068169,0.63079596,0.22124052,2.1891117,4.3744326,3.570199,0.6532788,7.711518,-3.4173489,-5.3634286,3.1128407,-1.3453662,-2.0829558,1.4207482,-2.7679324,5.0338387,-10.808128,1.5564203,-7.976323,7.73226,2.3368,-0.48930645,0.8923769,-2.9783428,1.6401052,1.2375355,-2.2806048,6.9828153,1.378715,3.081429,0.86649656,-0.268054,-7.77759,-8.48816,1.2937903,7.015133,2.6711702,0.6489992,4.4778824,0.7371783,-0.05105138,11.169767,1.2067914,5.6213856,-1.8699586,2.7704477,-1.8114448,-0.90063214,1.0293365,-1.1546373,0.044369698,7.389891,-5.780351,-2.1910608,1.9935966,-5.9198856,0.22078753,-1.2745857,-10.663056,3.461194,-6.4918814,0.72625875,0.647068,-9.570169,2.3359776,11.075819,-1.9089937,7.10243,-5.1824093,2.7148604,2.1529794,3.238523,1.809144,3.1521916,-4.5519648,1.3339996,-5.644232,9.190798,2.5432944,3.28542,5.5207253,3.333342,-5.8485327,1.9812346,-0.94501376,2.050221],"EWC^FMA_DIV_YLD(NTMA,-10AY,0,AM,\"PORTAGG\",\"MEANR\")":[2.73805120783207,2.75107357148212,2.86050590112024,2.98574135971346,2.88979259049842,2.94504812585397,2.92543980355777,2.8530103881871,2.93408339451869,2.80313386356536,2.89225776619757,2.94861272083552,3.13897464099986,3.26679741104511,3.29264928750301,3.20038743529683,3.30164084165705,3.30919789529291,3.55599283599514,3.36571060286697,3.17782644059077,3.07512335410296,3.04029621025182,3.10678228901479,2.99764011718634,2.95890982860004,2.95980808283811,2.92248969657281,2.86683753643022,2.82799420578628,2.79072043838131,2.854460776493,2.93340515446735,2.91454812380084,2.92460093336778,3.02276031669517,3.04284812661012,3.07831119683306,3.01688303817981,2.93709289484019,2.91254829144801,2.91187638069894,2.91942014895146,3.06800838954312,3.20298956508271,3.14596633630599,3.0784555797297,3.06868703806004,3.05647595423302,3.09719898356701,3.15366747934474,3.45289813058303,3.43086702710546,3.7478545456039,3.36165187742924,3.25752272054092,3.27319211622448,3.17756322093136,3.34245377693297,3.33269631916003,3.31833658638339,3.45390832081812,3.31184396493586,3.36966476311742,3.25037287791714,3.23905872345942,3.22182127526332,3.38401891305766,4.31999878050645,3.98015143786216,3.65399816670571,3.62799899372729,3.45412723837734,3.29266662366257,3.45705584137625,3.47339685250239,3.18388393848563,3.10128330682212,3.07328447769701,2.9804457227924,2.84886070745191,2.75995297821362,2.67370458704369,2.69773013206501,2.72093033164694,2.74332459476989,2.78916208173689,2.69173484901171,2.7701077037464,2.78165168579156,2.89834666439745,2.87360953383952,2.77375186643042,3.07087161008056,3.13783721760967,3.39757239003678,3.4243158636765,3.35268758842968,3.65283088180638,3.47935028963639,3.28327547881647,3.44793244790209,3.28570215829638,3.38779153189965,3.46381048720819,3.27633210481769,3.3340590258903,3.34677146876128,3.15265878190922,3.58216302386281,3.62890819927281,3.77681354145558,3.50740763831605,3.3750564227687,3.3269854026054,3.2566591797952,3.14446071635896,3.10622974434161,3.12253622184713,3.35543129041648,3.24479528926428],"ENZL^FMA_PE(NTMA,-10AY,0,AM,\"PORTAGG\",\"MEANR\")":[17.500009130695,17.3408362931971,17.1408424546592,17.4518053341985,17.8424087900628,18.1954516012937,18.8447929180814,19.2661654617959,18.0838122776208,18.1545287999532,18.2869464322,17.7680574031836,18.3015421414056,17.2389179048795,17.2374354113022,18.0758327165394,18.0604593795789,18.1928563698572,17.5294471378075,17.5566851825032,18.0157819667919,18.748227501963,19.2315495494006,18.4366827853054,20.1968332196126,20.4256231036991,20.0455324129508,18.9531222942461,18.8039193501757,18.541877820876,19.0730729418346,18.6814193646026,18.6940534415621,19.3510789014006,19.5714607692372,19.6794178926623,19.7480069756518,20.0801776141778,19.8457792260742,20.3965236790233,20.1802080378707,20.9367223235477,20.5716325762325,20.7304101124689,20.3073728529875,19.6871359650851,20.4308952815634,21.2998214293708,20.9898677053521,21.7409104057086,21.5803718806216,19.6196262571414,19.6307665671721,19.8853955486734,20.634905232582,21.4695101810391,21.7879793728154,22.6562418835128,23.3460849436391,23.4321512478807,24.4550517156695,25.352018832935,25.3107720819851,24.7609536236028,25.2473244346166,26.2517632220587,26.6059942388617,26.1711012073987,24.2631753830821,28.4365506202878,32.0758411166698,30.42766345727,32.0586219378656,33.40646300977,31.7262487749569,33.7869023121115,32.2225482761342,34.3697682298684,34.0080428094114,31.507983403909,31.9761781309518,32.2229400232353,31.8568476860651,33.6499530399348,33.9547125545332,35.0911128990757,34.6976784833266,33.6180566699517,31.6186486578242,32.1893442352948,30.2092304446819,28.9088433922533,29.1736298449636,28.2915354413882,26.7262942620595,25.6400990166131,25.5724944631989,27.5940406505861,24.9681772180404,23.3041135685882,23.3867751362217,23.1998378509902,24.0306947183347,24.0020751445572,22.5794260498224,23.4411940667933,23.4845394606897,20.4230488772188,20.9198973645715,20.048441417843,20.252095761238,19.2332707498546,20.2600473517333,22.6364231788751,22.4560944144431,22.3571564131443,25.3120957301487,24.8929601166383,25.0845908462155,24.4429921830772,25.6878368884251],"DDR3512M-FDS^MAX(FG_PRICE(0,-5AY))":3.3053632,"PASP-FDS^MAX(FG_PRICE(0,-5AY))":3158.12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76,13.147116166704],"TRYUS10Y-FDS^FG_YIELD(-10AY,0,Y,,\"YTM\")":[2.1881,2.2961,2.4752,2.4325,2.6836,1.9185,0.9174,1.5119,3.8776,3.8791],"TIPSCL10Y-FDS^FG_YIELD(-10AY,0,Y,,\"YTM\")":[null,null,null,null,null,null,null,null,null,null],"CAGDPY@IT^EE_ACTUAL_ANNUAL(MED,+1)":0.95,"CAGDPY@JP^EE_ACTUAL_ANNUAL(MED,+1)":3.8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323534995,11.2074687408189,13.9227699516468,15.8587443966116,14.7202112757034],"USDSEK^FG_PRICE_CHANGE(0,-6AM)":3.6326647,"USDGBP^STD(FG_PRICE_CHANGE(0,-3AY,M))":2.33840337501068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WA^FG_TOTAL_RETURNC(-10AY,0,AM)":[1.5891075,0.6331444,-10.436714,2.8925538,-3.0120492,-5.1302137,-0.4957199,6.5217376,0.3826499,1.3553619,-4.8892617,-3.5168052,-5.6903067,-6.627101,-4.7139826,9.672033,-2.8890014,0.4856825,-7.7415824,0.11572838,11.156071,5.5642247,-3.6453187,-1.9005299,8.615219,0.5839467,-0.72568655,0.43859482,1.0674357,-1.170826,6.433916,3.467667,0.40761232,1.0825396,-3.3020973,0.8310437,7.015908,-0.7867038,-1.0132194,0.97908974,1.0577321,2.6410222,4.9630046,-2.6545048,-5.1555157,-0.04492402,1.5730381,1.0085464,1.4292121,-0.8366287,-1.3321519,-10.1710205,4.2585135,-4.924488,7.7690363,4.2376995,0.14019012,2.3331761,0.45599937,3.9419413,1.0695219,-6.437397,4.9952984,1.8851042,-0.044053793,2.4487615,2.0184278,-8.860212,-26.00283,4.6556115,10.664225,5.0030828,6.5992475,4.0439367,-4.606533,3.4708261,13.903749,3.0437708,4.427731,-1.9599974,2.2031784,5.309379,0.7960558,0.51676035,-1.6691983,-1.1188328,-1.1704981,5.2112103,-7.8424034,4.5835853,-7.2734175,5.3959966,9.413708,-7.924527,0.12295246,-8.685416,0.60156584,3.2198787,-11.809265,5.457306,11.499763,-2.2963881,12.096775,-8.393288,-3.9267004,3.7238836,-1.8388808,0.7994652,5.8160424,-8.308476,-0.836432,-3.420806,8.927703,11.107122,-3.0687392,0.59096813,1.8883824,-2.3064315,4.173696,0.0094771385,1.8151879],"WL-FDS^FG_PRICE_CHANGE(0,-3AM)":-6.56377505765477,"W-FDS^FG_PRICE(0)/MAX(FG_PRICE(0,-1AY))":0.727083333333333,"COPP-FDS^FG_PRICE_CHANGE(0,-6AM)":6.59654590312946,"EWA^FG_PRICE_MAVG(0,,,,60)":24.663,"SPY^P_PRICE(0)/P_PRICE_LOW_PR(0,,,,,,\"PRICE\",\"INTRA\",\"52W\")-1":0.33046603,"EWU^P_PRICE(0)/P_PRICE_LOW_PR(0,,,,,,\"PRICE\",\"INTRA\",\"52W\")-1":0.19508958,"EWJ^P_PRICE(0)/P_PRICE_LOW_PR(0,,,,,,\"PRICE\",\"INTRA\",\"52W\")-1":0.20087421,"EWC^SIZE(FG_CONSTITUENTS)":88,"EWD^FG_ROE(0)":16.2459283469705,"TRYCH10Y-FDS^PCTCHG(FG_YIELD(0,,,,\"YTM\"),FG_YIELD(-1AM,,,,\"YTM\"))":-15.384617,"TRYNL10Y-FDS^FG_YIELD_NAME":"Netherlands Benchmark Bond - 10 Year","TRYAU10Y-FDS^FG_YIELD_NAME":"Australia Benchmark Bond - 10 Year","EWQ^FMA_DIV_YLD(NTMA,NOW,NOW,M,\"PORTAGG\",\"MEANR\")":3.39405850434892,"EWJ^FMA_DIV_YLD(NTMA,NOW,NOW,M,\"PORTAGG\",\"MEANR\")":2.23297897213025,"EWU^FG_COMPANY_NAME":"iShares MSCI United Kingdom ETF","EWJ^FG_TOTAL_RETURNC(0,-1AM)":2.050221,"VWO^FG_TOTAL_RETURNC(0,-1AM)":0.11450052,"QQQ^FG_TOTAL_RETURNC(0,-3AM)":7.5902224,"TRYIN10Y-FDS^FG_YIELD(-10AY,0,Y,,\"YTM\")":[7.86,7.89,6.63,7.35,7.35,6.55,5.9,6.45,7.33,7.19],"TRYCN10Y-FDS^FG_YIELD(-10AY,0,Y,,\"YTM\")":[3.653331,2.901145,3.070911,3.93859,3.259862,3.197311,3.1948,2.7893,2.855,2.574],"CAGDPY@US^EE_ACTUAL_ANNUAL(MED,+1)":-3.2,"CC_US^FG_COMPANY_NAME":"United States","USDCHF^FG_PRICE(0)":0.88305,"USDCAD^FG_COMPANY_NAME":"Canadian Dollar per U.S. Dollar","EWL^P_PRICE_RETURNS_PR('52W',2,-10AY,0,AM)":[15.430784,12.177515,6.913841,-0.9563625,5.3115845,1.8265843,1.7943859,1.1177897,1.3296485,2.8298736,1.4267802,1.3992906,1.1876941,-2.424878,-5.465889,3.1971335,-4.571539,-0.4926741,-7.8409433,-12.5362215,-13.005668,-9.965282,-9.721107,-14.019644,-9.215122,-3.2033503,4.2998075,-6.5742435,-5.158162,-4.185563,8.409667,12.378323,12.977659,11.351013,16.371845,24.440025,19.069744,15.485716,16.076136,20.719957,28.2897,22.740305,25.519108,18.232178,8.826267,5.1240444,-0.525105,-3.8860857,1.592648,3.6479473,3.540969,-3.5609186,-4.04284,-9.011722,-9.318066,-0.46608448,5.2075744,8.330906,10.059559,17.748463,10.564507,9.559894,9.621072,20.42613,20.880663,32.54063,27.553272,15.101361,2.753389,5.040705,5.43077,5.523205,10.837698,15.631127,11.58992,9.457827,11.937451,9.896922,12.678814,11.9610195,28.94907,28.791773,30.84563,28.10589,23.418009,22.137165,20.372284,23.023737,17.225122,21.194696,7.4938536,13.189184,11.433053,0.5167246,-5.422658,-13.153672,-12.951719,-16.705114,-21.652561,-18.14487,-11.552757,-17.835157,-4.6737313,-5.561453,-9.048778,5.4209948,6.9660425,11.311126,15.355122,9.889197,20.691622,8.277548,7.782018,16.231739,8.291328,10.17108,10.900604,-1.5482605,5.1164985,8.306527,7.171583],"EWN^FMA_PE(NTMA,-10AY,0,AM,\"PORTAGG\",\"MEANR\")":[14.116520908642,14.464943095587,14.6043634602116,13.903108559031,15.0521252976918,14.8835903560663,15.9009577343433,16.9153801779228,17.030626395009,17.5014411657706,17.0588260639119,16.9223364397987,16.7907511662468,14.534461409838,14.4592718267605,15.8332118496537,16.3705290023139,15.6414498098419,14.7662377273245,14.7354410919535,15.2427230567229,15.1964550819328,15.2583770113848,13.8801466517887,14.829838369489,14.9229762715567,14.7306009147754,14.7557686451975,14.7121136384034,15.1047759561393,15.1489445007981,15.5120249563047,15.9449948677867,16.3803012810096,16.3547968889701,16.0612764866945,16.0636693954393,15.6955542007074,15.7370773682621,16.2303353984442,16.0368432789181,16.0090843925525,16.3819912514202,15.7014083610822,15.1271422924083,15.6468117138363,15.9930823957064,15.4486107318373,15.9858714627717,15.4908546933789,15.03153576472,13.7349906754253,14.0870325191911,12.8390781439886,14.0451196547722,14.9182214402084,15.0265271195492,15.6817720931421,14.9981420579935,15.3008803105104,15.98423343854,15.0330318017264,16.2426657068727,16.2680887885585,16.7837496166444,17.1403047845637,17.4273954223973,16.7930982972038,14.0624606897082,16.5905504916133,18.2028011843457,19.4000913770864,19.9827477222649,20.2222309243687,18.9268974344031,19.0581722991909,20.4877145145154,20.6811930402565,21.4569957517737,21.4166993700112,22.2891815524511,22.3844860305341,21.3732567826829,21.383178000184,21.4335736578784,21.7591512080711,21.4406380088909,21.2334963170031,20.2241606212676,20.3895057491555,18.5158629692862,17.4708942220691,18.2016794422796,16.9000522358835,16.9373201034908,15.9417255966471,17.3786975562754,16.7172590051053,14.560882188679,15.2799125037191,16.5681348623734,15.5622993402517,17.1123921656035,16.3760313832493,15.9352999989253,15.6977941457628,15.9889947034409,15.3443416402952,15.7782344874754,14.5046796743713,13.4921240740602,13.196925279408,14.7391213187849,15.0668789534246,15.7669416123871,16.3594896216871,16.3461058139778,15.7707094085458,16.3863187290923,16.2061964744606,15.6218085199527],"EWJ^FMA_PE(LTMA,-10AY,0,AM,\"PORTAGG\",\"MEANR\")":[15.279736962234,15.1042798025732,15.4286075255403,14.610614826395,15.9654064465761,16.1917123386014,15.4165574830491,16.912626684139,16.9119925900794,16.9794160638905,17.1779674792249,16.9564519391573,16.8211903567084,15.5760491167676,15.1717236283757,15.8987828366609,16.263678832162,15.6266440618873,13.9049721886283,13.9581702484063,13.8548763634678,13.9680460860827,13.964264572044,13.432403605961,14.1017432046718,13.9603365984447,14.2893750826585,14.6775784434305,15.5845178792127,16.6002770747317,16.6192460800378,16.1601635616204,15.8206472444147,15.6310102133284,15.643490033175,15.6144133337366,15.4235869029077,14.9226344247617,15.0601884101108,15.405067987612,15.9894788240869,16.455469378785,16.7916737310796,14.611920469284,14.2190230329435,14.2941838186853,14.1790860343976,13.9279638815246,13.9489215678195,13.5662653306719,13.9999028227282,12.5601466172745,12.5924019105641,11.0813466141975,12.1044512092648,12.7504623038435,12.7322618187215,12.7783669493114,12.6513351699803,12.7869316452423,13.0178773581738,12.6422196539997,13.6084960700113,13.9434874926746,14.6937281483847,15.3536186846698,15.4216067122857,14.7415755495989,13.7242415120987,14.1306783939398,15.1982677064021,16.9739038783863,17.7369384804074,18.8275158275837,19.937149982714,20.6160218886028,22.5496275940598,22.9701927413642,23.6193084604425,21.6770992801852,21.428133704887,20.8476586216997,20.2379341850056,19.9283780917869,19.2135810193696,18.3430107190817,18.6100960897967,17.6682342658148,16.8716341067439,16.2521395717029,15.0900099586657,14.702745064573,14.7047075980439,14.3453737540302,14.15783136227,13.8839714444982,13.9533925172775,13.9565337941334,13.1388372399789,13.2295986588078,13.722001067939,12.8618716129672,13.4308650699801,13.5125423193735,13.5704842940012,13.7028054788932,14.0471854832872,14.473371090181,14.6240529641236,14.4861800960246,15.0074323224734,14.3381404664004,15.321524066566,15.1191655667945,16.1479831963342,17.0496688758096,17.0515580328536,16.7470914038733,16.7489683608938,16.7680307550634,16.5844215267443],"NI-FDS^FG_PRICE(0)":15550.0,"EWN^FG_PRICE_MAVG(0,,,,60)":50.8735,"EWU^FG_PRICE(0)":36.02,"VWO^P_PRICE(0)/P_PRICE_LOW_PR(0,,,,,,\"PRICE\",\"INTRA\",\"52W\")-1":0.16726732,"EWI^P_PRICE(0)/P_PRICE_LOW_PR(0,,,,,,\"PRICE\",\"INTRA\",\"52W\")-1":0.29243493,"EWN^P_PRICE(0)/P_PRICE_LOW_PR(0,,,,,,\"PRICE\",\"INTRA\",\"52W\")-1":0.3438964,"EWC^FG_TOTAL_RETURNC(0,-6AM)":6.0952067,"ENZL^FG_TOTAL_RETURNC(0,-6AM)":-1.8119752,"VWO^SIZE(FG_CONSTITUENTS)":4776,"SPY^SIZE(FG_CONSTITUENTS)":503,"TRYJP10Y-FDS^FG_YIELD_NAME":"Japan Benchmark Bond - 10 Year","REFEUREFI-FDS^(SUBARRAY(NOT_NA(NO_REPEAT_F(FG_YIELD(NOW,-10AY,D))),0,1)-SUBARRAY(NOT_NA(NO_REPEAT_F(FG_YIELD(NOW,-10AY,D))),1,1))*100":-25.0,"REFGBBANK-FDS^(SUBARRAY(NOT_NA(NO_REPEAT_F(FG_YIELD(NOW,-10AY,D))),0,1)-SUBARRAY(NOT_NA(NO_REPEAT_F(FG_YIELD(NOW,-10AY,D))),1,1))*100":25.0,"REFNZOCR-FDS^(SUBARRAY(NOT_NA(NO_REPEAT_F(FG_YIELD(NOW,-10AY,D))),0,1)-SUBARRAY(NOT_NA(NO_REPEAT_F(FG_YIELD(NOW,-10AY,D))),1,1))*100":25.0,"EWD^FMA_EVAL_EBIT(LTMA,NOW,NOW,M,\"PORTAGG\",\"MEANR\")":15.8549362562598,"EWU^FMA_EVAL_EBIT(LTMA,NOW,NOW,M,\"PORTAGG\",\"MEANR\")":10.4997036175899,"EWA^FMA_EVAL_EBIT(LTMA,NOW,NOW,M,\"PORTAGG\",\"MEANR\")":12.3960715432455,"EWQ^FG_COMPANY_NAME":"iShares MSCI France ETF","TRYSA10Y-FDS^FG_YIELD(-10AY,0,Y,,\"YTM\")":[null,null,3.8912454,3.7299898,4.5715504,2.8775356,2.0844028,2.5113702,4.613973,4.608568],"TRYAU10Y-FDS^FG_YIELD(-10AY,0,Y,,\"YTM\")":[2.81,2.88,2.76,2.63,2.315,1.375,0.972,1.671,4.051,3.955],"CAGDPY@DE^EE_ACTUAL_ANNUAL(MED,+1)":6.5,"USDUSD^STD(FG_PRICE_CHANGE(0,-3AY,M))":0.0,"USDEUR^FG_PRICE(0)":0.9211496,"EWQ^FG_TOTAL_RETURNC(-10AY,0,AM)":[-4.0068507,-1.3556957,-3.254974,-5.532706,4.669571,-3.07858,0.0,3.7780404,-0.8722067,3.9020658,-0.69956183,2.2574306,-2.2492647,-5.6205215,-3.9168656,8.277869,-4.1874766,-1.0278285,-6.5638065,-0.9573519,4.086113,5.1920652,-0.2808988,-9.599007,6.7123294,2.1394968,0.29325485,-0.45948625,-1.9303381,4.9114466,3.0699968,-1.2708485,5.752218,6.504369,4.892862,0.34343004,2.4508119,0.23584366,2.4537802,2.2637844,1.0587096,-0.58761835,8.039724,-3.972727,-3.1799912,3.9540768,-1.0122657,-3.7319899,3.0890584,-0.47816634,2.017939,-11.930931,-0.21390319,-5.749321,5.1409006,6.120968,-0.03412366,4.2676687,-2.946961,5.107248,0.09868145,-4.5678616,3.133607,3.2387257,3.169465,2.443409,-1.1039555,-7.03876,-17.811876,-4.2613626,5.8499336,8.674992,6.008911,3.9888024,-7.4697137,3.0181766,16.166603,1.5027046,0.39108992,1.4983535,2.863896,6.8312287,3.6270738,1.3005495,-1.7080724,0.5265951,0.6024122,1.1455297,-2.9343605,5.0282598,-3.1136513,-1.8211067,-4.828149,-5.5316744,3.003645,-5.632019,-3.149104,-0.5640328,-11.177837,13.373399,10.7687235,-0.63001513,11.722064,-1.9740403,-0.4137993,8.698071,-3.2619834,0.24265051,4.0569544,-3.84714,-5.2631674,-3.032881,10.230923,5.0819755,-0.9144008,3.17868,2.534163,-1.4538467,3.196466,-6.673157,1.044941],"ENZL^JULIAN(FMA_DIV_YLD(NTMA,-10AY,0,AM,\"PORTAGG\",\"MEANR\").DATES)":[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,45436,45469,45497],"PASP-FDS^FG_PRICE_MAVG(0,,,,30)":964.5,"FC0000JP^FG_PRICE(0)":172.8723,"EWI^FG_PRICE_MAVG(0,,,,200)":35.09705,"SPY^FG_PRICE_MAVG(0,,,,30)":550.09436,"URTH^P_PRICE(0)/P_PRICE_LOW_PR(0,,,,,,\"PRICE\",\"INTRA\",\"52W\")-1":0.2914561,"VGK^P_PRICE(0)/P_PRICE_LOW_PR(0,,,,,,\"PRICE\",\"INTRA\",\"52W\")-1":0.23719585,"EWD^P_PRICE(0)/P_PRICE_LOW_PR(0,,,,,,\"PRICE\",\"INTRA\",\"52W\")-1":0.29248822,"EWA^FG_TOTAL_RETURNC(0,-6AM)":6.209016,"EWD^SIZE(FG_CONSTITUENTS)":46,"SPY^FG_COMPANY_NAME":"SPDR S&P 500 ETF Trust","EWN^FG_FCF_YIELD_NTM(0)":3.98825267714393,"EWL^FG_FCF_YIELD_NTM(0)":4.70947430055877,"ENZL^FMA_DIV_YLD(NTMA,NOW,NOW,M,\"PORTAGG\",\"MEANR\")":2.762752008838,"USO^FG_TOTAL_RETURNC(0,-6AM)":4.1176558,"GLD^FG_TOTAL_RETURNC(0,-1AM)":3.7868142,"USDITL^FG_PRICE_CHANGE(0,-6AM)":0.059878826,"USDANG^FG_PRICE(0)":1.79,"USDCHF^FG_PRICE_CHANGE(0,-3AM)":-3.439033,"USDNZD^STD(FG_PRICE_CHANGE(0,-1AY,AM))":3.01368437390178,"EWA^JULIAN(FMA_EPS(NTMA,-20AY,0,CY,,\"PORTAGG\",\"MEANR\").DATES)":[38352,38716,39080,39447,39813,40178,40543,40907,41274,41639,42004,42369,42734,43098,43465,43830,44196,44561,44925,45289],"EWJ^FMA_DIV_YLD(NTMA,-10AY,0,AM,\"PORTAGG\",\"MEANR\")":[2.05537631035789,2.06989887890576,2.0087800782742,2.17582729310182,1.95034048233183,1.93975170007768,2.01464283000427,1.88027747007832,1.84405661705225,1.81678029745828,1.83851000825697,1.8727507545403,1.9066177493717,2.15036794221887,2.20502416777028,2.04965217687051,2.01551922730677,2.12098222429426,2.39564746997333,2.46253262238801,2.38870174554736,2.29849813733766,2.38182301393008,2.62221563340867,2.40931764447922,2.44418139191701,2.38429791882687,2.31672592931581,2.19356547532814,2.08698233178538,2.10752330220105,2.1371748452157,2.17247614565084,2.19561012356092,2.19172837721417,2.16767491802599,2.17113543982015,2.22814089173754,2.15405354747203,2.07438541884416,2.08175349958064,2.04629246586526,2.00458359395599,2.17457880633159,2.32580344193152,2.20799352920818,2.24272391317942,2.29904178474203,2.263932739033,2.3456480208764,2.21653279812226,2.52971223094199,2.51137662629145,2.86154900118307,2.63228416905574,2.55041300699766,2.56041204045798,2.56408803888911,2.69499000610706,2.71132412023028,2.65698409724159,2.8211154124839,2.56836901903057,2.5405221632792,2.4627611715543,2.42633989014933,2.43358320695538,2.60090596296156,2.99339482895718,2.88566873891393,2.64393940942399,2.47853650050502,2.48195731179137,2.37302942373952,2.38059250684105,2.40179826364892,2.19012104551833,2.17652973576338,2.09905304511463,2.12331496657383,2.04066602487386,2.12714485740055,2.17833713290797,2.16962085018037,2.24161047759011,2.27765430554812,2.13878017557343,2.22415418826332,2.2933435040116,2.31069874730601,2.4651134232893,2.5402369571307,2.46445997902654,2.623143488588,2.64276087966838,2.70124679161792,2.60981108430926,2.57787645524004,2.76336348897098,2.68868440623593,2.56291522412643,2.74261322255005,2.62469643419386,2.63115589671219,2.6833129506975,2.59791380491984,2.46964499674181,2.35900923340328,2.36097423591313,2.42137724493223,2.33971502225414,2.50803158217633,2.36464235570794,2.45167923819914,2.31286332524635,2.19038659243439,2.13818578696436,2.24791883796958,2.22948750802307,2.23998850078483,2.27641592946938],"DDR3512M-FDS^FG_PRICE_CHANGE(0,-3AM)":-5.82306399982988,"CPALM-FDS^FG_PRICE_CHANGE(0,-1AY)":1.42964635063958,"BRENT-FDS^FG_PRICE_CHANGE(0,-3AM)":0.0,"TIOS-FDS^FG_PRICE_MAVG(0,,,,30)":108.31033,"EWG^FG_PRICE_MAVG(0,,,,30)":30.903334,"QQQ^FG_COMPANY_NAME":"Invesco QQQ Trust Series I","EWQ^FG_TOTAL_RETURNC(0,-6AM)":1.4575124,"EWL^FG_TOTAL_RETURNC(0,-6AM)":6.8802357,"EWG^FG_TOTAL_RETURNC(0,-6AM)":9.160566,"EWL^FMA_COS_UP(\"EPS\",\"1M\",+1,0,,,\"PORTAGG\",\"MEANR\")":22.0,"EWL^FMA_RBICS_REV_CURRENT(30, LOC, \"PORTAGG\")":17.7952826099754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489916743573],"CAGDPY@DE^EE_ACTUAL_ANNUAL(MED,0)":6.14140877067901,"USDITL^FG_PRICE(0)":1783.5944,"USDGBP^STD(FG_PRICE_CHANGE(0,-1AY,AM))":1.99089215182058,"USDJPY^FG_COMPANY_NAME":"Japanese Yen per U.S. Dollar"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863143369802],"SPY^FG_TOTAL_RETURNC(-10AY,0,AM)":[1.166594,1.3200521,-0.7507205,-0.74279904,5.7068706,0.93694925,-1.4344692,2.886355,-2.4609387,3.1080484,-0.44881105,0.06892681,-0.8674145,-6.509614,-0.30356646,7.337308,1.1207819,-1.1437953,-7.5262547,2.5705576,4.651177,2.8550625,0.20141602,-2.4597585,6.7050576,0.2491355,-0.9036422,-0.23338199,3.6399364,2.493167,1.6038299,3.2311559,-0.7859647,1.9413352,1.3884306,1.1444688,1.7016768,-1.1599243,2.35281,2.6256561,1.8543124,3.1436443,7.2569966,-3.028822,-4.2207956,0.4526496,2.1929264,0.24645329,4.322529,1.471734,1.2810111,-8.4690275,0.8178592,-7.421267,7.9616547,5.0944448,1.0855913,4.371798,-3.6229193,3.2196283,3.972876,-4.638922,3.603363,1.5488267,4.1379213,3.3242583,1.8052816,-5.2529097,-15.632545,8.3346,5.6931734,0.7684231,6.942177,8.317757,-5.037421,3.2427788,6.8564177,2.18364,4.008138,-0.89372396,4.4481993,5.462396,0.349617,2.1367788,3.3777952,1.188159,-0.20475388,2.7145147,0.6601453,2.8988004,-7.909054,1.0083556,3.7306905,-8.082795,-2.5931299,-3.3428192,0.20766258,3.689015,-9.743547,4.8612475,5.316472,-4.3845296,5.7036877,-2.0679414,0.22666454,2.1756172,3.872788,3.1018734,5.5789948,-3.4115613,-2.8568506,-3.1299949,10.362375,4.893863,2.4724126,3.8119793,2.8544188,-2.033496,4.1671515,3.3681393,-0.19614697],"SPY^FMA_PE(LTMA,-10AY,0,AM,\"PORTAGG\",\"MEANR\")":[16.4012567592694,16.5008302757818,16.4333048698529,16.3812700217889,17.1484068274009,17.5230511247465,17.2971836733182,17.6354460650807,17.4862637390688,17.6077051522952,17.5054366954414,17.484466481276,17.4154509970778,16.6559300050483,16.5299320850738,17.4268916654067,17.4880511416424,17.267833301201,15.9720658754049,16.2966838906097,16.18819342752,16.4452153070474,16.7169237226151,16.6206897365049,17.3442419315341,17.5168705731979,17.5916118583579,17.6303360206669,18.338937061288,18.9474406770002,19.0985677735926,19.539452930892,19.3461676814752,19.2602236497378,19.1914525240663,19.1545585228054,19.2302726609368,18.9556526650034,19.1911483162745,19.5685857920264,19.7228719946164,20.2883467832618,21.4535182086338,20.2982075992428,19.4981652244055,19.1746584617058,18.9513526310138,18.6569863197009,18.7513643964635,18.6401694401227,18.5704804986251,17.0772898744462,16.8151241892191,15.3165532491009,16.46892501174,17.1668226921786,17.1164261637176,17.3057946397782,17.0593342108554,17.3156999071977,17.7995704828345,17.3345639699844,17.8606809467009,18.2364589155931,19.0699721609749,19.8983554974568,20.1571727375938,18.8966648087288,17.6213583591839,18.9703653541181,20.2131674788851,20.8154241128465,22.0329126597884,23.4687142499921,23.1042741093138,23.9641916024129,25.2792895758412,26.8775225696802,27.4280374555479,26.2931693975887,26.0763065652554,25.8381854053816,25.1452281077508,24.8647699180721,24.5455398356755,23.9024253330736,23.5300183549862,23.3532493127496,22.8264105384889,23.1321495877023,21.0500710808163,20.7936649882563,20.7434119330708,20.0667835327092,19.6558620681867,19.0712030355468,18.806160841192,18.9991269114005,17.5258959084538,17.9465120930298,18.4783845851672,17.4992976098455,18.4399504398966,18.0530095123693,18.0500463980301,18.1915818079424,18.4400900824162,18.8284467537979,19.6578281099306,19.2127908336225,18.9848382720711,18.6727646447415,20.3708936301179,21.7090763897213,22.2767425859843,22.6766492142356,22.7270259842462,22.4330382280487,22.5663848656995,22.8110765770639,22.6071855274123],"WL-FDS^FG_PRICE_CHANGE(0,-1AM)":-7.46661981728742,"PLATI-FDS^FG_PRICE_CHANGE(0,-1AY)":-2.68872802481903,"W-FDS^FG_PRICE_MAVG(0,,,,30)":5.5564165,"ENZL^FG_PRICE_MAVG(0,,,,200)":45.539303,"URTH^P_PRICE(0)/P_PRICE_HIGH_PR(0,,,,,,\"PRICE\",\"INTRA\",\"52W\")":0.96551955,"SPY^P_PRICE(0)/P_PRICE_HIGH_PR(0,,,,,,\"PRICE\",\"INTRA\",\"52W\")":0.96333784,"EWU^FG_TOTAL_RETURNC(0,-3AM)":5.4418445,"SPY^FMA_COS_DOWN(\"EPS\",\"1M\",+1,0,,,\"PORTAGG\",\"MEANR\")":223.0,"TRYUS10Y-FDS^PCTCHG(FG_YIELD(0,,,,\"YTM\"),FG_YIELD(-3AM,,,,\"YTM\"))":-10.118691,"VWO^FMA_EVAL_EBIT(LTMA,NOW,NOW,M,\"PORTAGG\",\"MEANR\")":14.4114367982592,"EWI^JULIAN(FMA_DIV_YLD(NTMA,NOW,NOW,M,\"PORTAGG\",\"MEANR\").DATES)":45471,"EWQ^FMA_PE(LTM,0,,,\"PORTAGG\",\"MEANR\")":15.6567420344898,"EWU^FMA_DIV_YLD(NTMA,NOW,NOW,M,\"PORTAGG\",\"MEANR\")":3.97999106701433,"EWG^FMA_COS_DOWN(\"EPS\",\"1M\",+1,0,,,\"PORTAGG\",\"MEANR\")":34.0,"EWU^FG_ROE(0)":14.3552363297439,"REFJPTON-FDS^PROPER_NAME(0,,,\"SECURITY\",\"NAME\")":"Japan Policy Rate","TRYCA10Y-FDS^FG_YIELD(0,,,,\"YTM\")":3.3237,"EWU^FMA_PE(NTMA,0,,,\"PORTAGG\",\"MEANR\")":11.4870550217515,"EWG^FG_FCF_YIELD_NTM(0)":5.91461764807521,"DBA^FG_TOTAL_RETURNC(0,-3AM)":-8.218134,"VWO^FG_TOTAL_RETURNC(0,-3AM)":3.7086606,"TRYGB10Y-FDS^FG_YIELD(-10AY,0,Y,,\"YTM\")":[1.8155,2.0248,1.2817,1.2536,1.3339,0.822,0.197,0.966,3.662,3.534],"CAGDPY@CA^EE_ACTUAL_ANNUAL(MED,+1)":-0.65,"USDITL^FG_COMPANY_NAME":"Italian Lira per U.S. Dollar","USDGBP^FG_PRICE_CHANGE(0,-6AM)":-1.0269582,"USDEUR^STD(FG_PRICE_CHANGE(0,-3AY,M))":2.13396080606637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069371,2.68263358415049],"ENZL^FG_PRICE_MAVG(0,,,,60)":45.706547,"SPY^FMA_COS_UP(\"EPS\",\"1M\",+1,0,,,\"PORTAGG\",\"MEANR\")":184.0,"TRYUS10Y-FDS^PCTCHG(FG_YIELD(0,,,,\"YTM\"),FG_YIELD(-1AM,,,,\"YTM\"))":-2.8123307,"EWD^FMA_EVAL_EBITDA(NTMA,0,,,\"PORTAGG\",\"MEANR\")":10.8325503142626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TRY10Y-FDS^FG_YIELD(-10AY,0,Y,,\"YTM\")":[null,null,null,null,null,null,null,null,null,null],"USDAUD^FG_PRICE_CHANGE(0,-1AY)":3.021288,"ENZL^FMA_DIV_YLD(NTMA,-10AY,0,AM,\"PORTAGG\",\"MEANR\")":[4.4107321208011,4.52559437036944,4.57172910160159,4.54067765149342,4.52358126047718,4.4532055061177,4.33885242377295,4.285110418343,4.4085547010672,4.5078759024857,4.44378495062065,4.65300367779847,4.56892410710209,5.09313832529087,5.15988508179072,4.93662791634456,4.86933773611063,4.8055790656829,4.8859313712558,4.85116509122552,4.61056563036032,4.58902952592029,4.47246852276804,4.58098572894418,4.14809735220648,4.21461735867198,4.36647419761252,4.60264742592742,4.60110699620602,4.62341636284621,4.51231926311574,4.61188934273723,4.66220553599295,4.50199849874201,4.44322159044133,4.35568074018609,4.38446950104843,4.26798250550442,4.40822440244401,4.36069141760654,4.37719139915764,4.20979161307138,4.26427339463985,4.24878253844764,4.25620488274406,4.36089180018023,4.21781842953627,4.03152997685171,4.09485658069115,3.94129617921298,3.9642433115536,4.38607379306462,4.31855643515185,4.2151660741196,4.04220007090484,3.96007693673025,3.86763470280471,3.69468587635097,3.66664516401953,3.60244355869682,3.41780138965898,3.46925231188932,3.37730038697148,3.38482040096776,3.29162679384831,3.12270078965475,3.05933272404588,3.12215208264934,3.45381737100907,2.75550617906475,2.49392967242504,2.56457852735202,2.43236879204447,2.28765202426813,2.43104149799949,2.35491730850546,2.43667868144949,2.39817914530644,2.42730829500851,2.63905375014513,2.604526743839,2.57998418948125,2.71836421599819,2.66822141600241,2.63844868790314,2.58442973309971,2.60075462963125,2.67234491419347,2.76889916749643,2.7802623716913,2.98313751259094,3.06663755871834,3.06477577467148,3.16054993868569,3.26085420216276,3.39713766260478,3.35031717210908,3.197992672027,3.31520101627229,3.45388886118203,3.35374493213394,3.45168570044556,3.31549633817761,3.36094363235006,3.48595678234086,3.4038643658368,3.50870281491996,3.51302252535101,3.42721575666942,3.50416812103382,3.43036497539896,3.58479778732059,3.3925263111541,3.01165185393927,2.97871440833777,2.90303939257493,2.74039167767357,2.79050772787111,2.7266674207221,2.72096110623001,2.59222477722833],"TIOS-FDS^FG_PRICE_CHANGE(0,-3AM)":-2.74146695715323,"EWD^FG_PRICE(0)":39.66,"EWL^FG_PRICE_MAVG(0,,,,200)":46.86555,"FXI^FMA_PCT_ABOVE_MAVG(200,0,,,,\"PORTAGG\")":56.8627450980392,"VGK^PERCENT_CHANGE(FMA_EPS(+1,0,,,,\"PORTAGG\",\"MEAN\"),FMA_EPS(+1,-3AM,,,,\"PORTAGG\",\"MEAN\"))":0.288719961623054,"EWD^FMA_PCT_ABOVE_MAVG(200,0,,,,\"PORTAGG\")":70.4545454545455,"EWJ^FMA_PCT_ABOVE_MAVG(200,0,,,,\"PORTAGG\")":62.2549019607843,"EWA^P_PRICE(0)/P_PRICE_LOW_PR(0,,,,,,\"PRICE\",\"INTRA\",\"52W\")-1":0.20625615,"EWN^FMA_COS_UP(\"EPS\",\"1M\",+1,0,,,\"PORTAGG\",\"MEANR\")":15.0,"TRYIT10Y-FDS^FG_YIELD(0,,,,\"YTM\")":3.754,"QQQ^FG_TOTAL_RETURNC(-10AY,0,AM)":[3.6425948,2.853012,-0.48749447,-0.16196966,6.996548,-0.085777044,-0.85681677,4.5515656,-3.2510817,5.1760197,-1.2122333,0.29553175,1.6747475,-7.263726,0.13978481,9.648275,1.151979,-1.0591984,-8.3844,0.27145147,4.0099382,1.1094451,1.023519,-4.553914,9.109211,2.627647,0.7312894,0.88630915,0.3547907,1.4787197,4.459238,3.7432313,0.49282312,3.2993913,4.6539187,-0.18051267,3.0516386,-2.0017922,1.0665298,2.6472092,6.328249,0.3743887,9.206486,-0.31006932,-3.3614576,-1.4659286,4.7719,1.6019821,4.6376467,1.349616,1.1620164,-9.556627,-2.2620916,-6.128746,8.32349,5.1771164,3.2673001,6.4786315,-6.5512657,4.5129895,5.1133037,-5.361253,2.6738882,3.3055186,4.584956,4.712355,4.16764,-2.7929962,-11.165786,11.433041,7.108116,5.0615788,6.385815,14.243233,-6.8522635,3.281045,5.636966,4.672098,6.1474323,-4.397571,0.71669817,8.110762,-2.1953583,4.7085404,5.44554,1.0665178,0.35779476,1.5509129,3.1863332,1.5931368,-13.189059,0.34825802,4.0562153,-11.746204,-5.6158247,-1.3921797,-0.08146167,4.4399977,-10.597574,1.2975216,3.2346368,-6.5908375,9.717237,-0.50793886,6.6883087,0.3152132,11.713219,2.804613,5.546856,-3.5759686999999998,-2.5543094,-2.978456,13.341677,5.69582,3.2010078,3.006065,1.6839147,-2.7790308,6.2529087,5.064273,-3.622204],"WL-FDS^FG_PRICE_MAVG(0,,,,30)":558.0867,"PLATI-FDS^FG_PRICE_CHANGE(0,-6AM)":3.40659340659342,"EWL^FG_PRICE_MAVG(0,,,,60)":48.676666,"URTH^FG_TOTAL_RETURNC(0,-6AM)":10.562611,"SPY^FG_TOTAL_RETURNC(0,-6AM)":12.412035,"EWA^P_PRICE(0)/P_PRICE_HIGH_PR(0,,,,,,\"PRICE\",\"INTRA\",\"52W\")":0.95770276,"VWO^FMA_EVAL_EBITDA(NTMA,0,,,\"PORTAGG\",\"MEANR\")":9.0724813545737,"TRYMX10Y-FDS^FG_YIELD(-10AY,0,Y,,\"YTM\")":[5.8237,6.2537,7.5651,7.6401,8.7069,6.8373,5.552,7.558,9.0223,8.95],"USDANG^STD(FG_PRICE_CHANGE(0,-1AY,AM))":0.0,"USDUSD^FG_COMPANY_NAME":"U.S. Dollar per U.S. Dollar","USDCAD^FG_PRICE_CHANGE(0,-6AM)":2.9225826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G^FMA_PE(NTMA,-10AY,0,AM,\"PORTAGG\",\"MEANR\")":[12.841185720488,12.7388265150821,12.509559707222,11.8693503743415,12.9911323075462,13.0047754445657,14.1465132678397,14.7185440735501,15.2817809738988,15.1293372762305,14.3973297894566,14.0313547471496,13.7391445768968,12.1358579906068,11.7849711983136,13.2112371874113,13.8981322094139,13.3334512186569,12.3131592758479,12.1494381448621,12.5563692724635,13.048452089024,12.7479670106952,11.7997918166526,12.6472081721699,12.9449339496852,12.7451706136184,13.0172402991347,12.863521034403,13.6284764546732,13.9870962914431,13.6795423947287,13.8409818766307,14.0608224485274,13.7520887255524,13.7579563571747,13.242105888774,13.0306237102773,13.4532511866597,13.9521562055966,13.8585462658147,13.9111221961007,14.0254595617577,13.1975322000213,12.438511079097,13.1132952008616,13.2782878689112,12.68661182662,13.2315646995528,12.8747389765171,12.7835579059648,11.670187331542,11.6236773437296,11.0112390220955,11.883778961671,12.1334069091638,12.0938640049149,12.996511226303,12.3018855893723,12.5522526495911,13.0103525290126,12.3152996597978,12.9142792508513,13.5369346580929,14.0881186614701,14.1766172997396,14.4042959824331,13.5504034590726,11.7712305544366,14.0052676908389,16.4582481521088,17.3644500058966,18.1662467390631,18.1762327126608,16.5187691366732,15.4212271874609,16.2391010287375,16.0013570519307,15.849249676012,15.3083667940233,15.9046684397728,15.5288197273571,14.8065569626807,14.8550789378823,14.4782507544037,14.1968588828686,13.8052385874567,13.8547592601836,12.9842836133738,13.3087133336742,12.9298676118519,11.9246212459917,11.540451202558,11.0019062952194,10.8359741692299,9.96273040494948,10.000580514525,9.64247887614003,9.08760417569571,9.84072531501738,10.8239952070708,10.4587758716492,11.5006520226633,11.3833579749417,10.9828117851744,11.3633241035548,10.9150254299427,10.633095274347,10.8060293337578,10.4780878410383,10.2525564661847,9.80303734257779,10.8236271189399,11.1371248426215,11.5081067434458,11.8625015133424,12.3284279738597,12.0385292642172,12.0199595824331,11.6820649434586,11.7995519527798],"COPP-FDS^FG_PRICE_CHANGE(0,-1AY)":5.50057833183395,"FC0000NZ^FG_PRICE(0)":391.05847,"SPY^FG_PRICE_MAVG(0,,,,60)":537.82635,"EWI^PERCENT_CHANGE(FMA_EPS(+1,0,,,,\"PORTAGG\",\"MEAN\"),FMA_EPS(+1,-1AM,,,,\"PORTAGG\",\"MEAN\"))":-0.487928687262707,"EWL^PERCENT_CHANGE(FMA_EPS(+1,0,,,,\"PORTAGG\",\"MEAN\"),FMA_EPS(+1,-1AM,,,,\"PORTAGG\",\"MEAN\"))":0.76299559821086,"EWC^FG_TOTAL_RETURNC(0,-12AM)":9.309137,"VGK^FMA_COS_DOWN(\"EPS\",\"1M\",+1,0,,,\"PORTAGG\",\"MEANR\")":488.0,"EWU^SIZE(FG_CONSTITUENTS)":81,"REFFFUND-FDS^PROPER_NAME(0,,,\"SECURITY\",\"NAME\")":"US Federal Funds Target Rate","REFNZOCR-FDS^PROPER_NAME(0,,,\"SECURITY\",\"NAME\")":"New Zealand Official Cash Rate","CC_US^IMF_IFS_RCPI_Q(0)":3.19889,"VGK^FG_PE_NTM(0,,,90,0)":13.1795996366324,"EWN^FMA_DIV_YLD(NTMA,NOW,NOW,M,\"PORTAGG\",\"MEANR\")":2.51529025273026,"EWJ^FMA_EVAL_EBIT(LTMA,NOW,NOW,M,\"PORTAGG\",\"MEANR\")":17.7539446095193,"EWC^FMA_PE(LTM,0,,,\"PORTAGG\",\"MEANR\")":17.4972181167334,"TRYTR7Y-FDS^FG_YIELD(-10AY,0,Y,,\"YTM\")":[7.979133,10.679033,11.110786,11.586128,15.896213,12.034795,12.534946,23.870693,7.323803,21.984322],"CC_CA^FG_COMPANY_NAME":"Canada","EWG^P_PRICE_RETURNS_PR('52W',2,-10AY,0,AM)":[15.942728,10.871923,2.4187922,-8.587276,-2.5033176,-8.531737,-4.9353895,-4.048598,-0.9210646,-2.8111577,-5.1265,-4.154664,-5.985385,-8.056146,-10.318851,4.226172,-4.34733,-3.2483876,-12.609106,-18.659782,-15.711599,-9.773392,-9.599293,-17.190922,-9.100204,1.1534572,7.8624845,-2.842164,-4.8837423,0.629282,16.515863,20.330894,16.224897,15.302396,20.97019,32.76398,25.373005,20.419168,24.566889,29.217398,36.963238,28.581512,30.75447,23.776436,14.37633,11.7962,6.2983036,0.6920099,3.9055586,1.2724161,-1.8838286,-15.889204,-16.616743,-22.307343,-21.833206,-15.926594,-13.773131,-10.119665,-12.089241,-5.2414713,-9.282482,-12.313491,-9.509659,8.306635,10.334265,20.33471,15.092909,2.214229,-16.050512,-18.994968,-6.754458,-2.938944,5.3587556,18.935871,8.243966,-0.13082027,6.5479517,11.147654,12.295389,20.497835,54.59101,59.996403,45.293438,33.027424,22.583914,17.055405,21.762775,24.654697,7.6613307,5.3040504,-0.22836924,-4.323226,-11.624736,-24.697702,-22.505457,-28.782589,-32.6119,-35.144955,-39.482986,-32.145805,-20.260017,-21.802784,-8.675999,-4.86027,-1.2446344,16.057419,9.282923,19.831741,32.821083,25.072336,35.012997,15.013969,15.694582,23.35968,7.8136206,15.177166,19.693268,9.394037,16.953827,11.543846,10.787177],"EWQ^FMA_DIV_YLD(NTMA,-10AY,0,AM,\"PORTAGG\",\"MEANR\")":[3.52814120966764,3.52050669214544,3.57565333497623,3.78552751216636,3.57520890234014,3.6279729413225,3.32130039149929,3.14983765726451,3.21164108812443,3.10711521881677,3.25301452621423,3.27726834042018,3.28452386616273,3.71405800259901,3.74803408456056,3.4307019931941,3.44029668736178,3.58412530665212,3.84243637521111,3.84812314720219,3.82252166349583,3.65544889953777,3.67549624097956,4.02729654960358,3.76586812742781,3.73095252396423,3.74619870516648,3.72861365376171,3.69329012655489,3.48655641338116,3.45737578611162,3.51853157716921,3.41020156648233,3.24522783450919,3.23198180743746,3.27495848316911,3.34064656614134,3.4176085703536,3.32511540795139,3.25580811230466,3.29704355697815,3.29191042843036,3.20099865215138,3.35985271317858,3.52341317668342,3.33682416494876,3.3072336356364,3.48528355129244,3.38564259993642,3.43554453869966,3.41121808236817,3.79993301081582,3.7992134542974,4.09427264619107,3.84173153562059,3.65111870835292,3.63065136771818,3.47858465226856,3.65358853813825,3.55253386051566,3.49586977148978,3.68360882907356,3.51996307255189,3.45951440359108,3.36285398954141,3.326669490357,3.3237941314503,3.49369368767894,4.23623373725634,3.77472813371063,3.39668011132601,3.18345497155422,3.12363464303058,3.08135312699944,3.34648526341369,3.28226560098985,2.88903755720776,2.94410175778148,2.96294610296574,2.88006278485536,2.78257739142418,2.69238928592757,2.70595751616102,2.65499834983752,2.7011626744859,2.7635949522242,2.80589426954945,2.81584854991682,2.88322404376377,2.75627438758187,2.84244530752691,3.04247609049815,3.14379706974217,3.20992671881001,3.23999393496002,3.44961120543206,3.38645493355209,3.42917776421481,3.77711998245587,3.47086830193311,3.26723137507291,3.36783584530555,3.10300791584897,3.18959542618442,3.29708322547758,3.12601824820336,3.25052866940322,3.31916639922201,3.28611659744175,3.37166776404692,3.45459000854692,3.54627125964946,3.34195215126601,3.21779218185989,3.17631855056986,3.12241764613667,3.05846964253576,3.11550729435074,3.11425001178787,3.33989664505764,3.38504600321379],"DDR3512M-FDS^FG_PRICE_CHANGE(0,-6AM)":-6.34234122026985,"NI-FDS^FG_PRICE_CHANGE(0,-1AY)":-27.9258400926999,"CPALM-FDS^FG_PRICE_MAVG(0,,,,30)":3996.7,"FC0000CH^FG_PRICE(0)":340.94363,"EWC^FG_PRICE_MAVG(0,,,,200)":36.4474,"EWQ^P_PRICE(0)/P_PRICE_HIGH_PR(0,,,,,,\"PRICE\",\"INTRA\",\"52W\")":0.9079813,"QQQ^FG_TOTAL_RETURNC(0,-1AM)":-3.622204,"ENZL^FG_TOTAL_RETURNC(0,-1AM)":0.7273555,"EWG^FMA_RBICS_REV_CURRENT(30, LOC, \"PORTAGG\")":23.0594534932325,"TRYFR10Y-FDS^FG_YIELD_NAME":"France Benchmark Bond - 10 Year","TRYDE10Y-FDS^PCTCHG(FG_YIELD(0,,,,\"YTM\"),FG_YIELD(-1AM,,,,\"YTM\"))":-1.6768872,"TRYGB10Y-FDS^FG_YIELD(0,,,,\"YTM\")":4.079,"VGK^FG_PE(0)":14.2074480614989,"TLT^FG_TOTAL_RETURNC(0,-3AM)":6.44871,"GLD^FG_TOTAL_RETURNC(0,-6AM)":17.977655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USDANG^FG_PRICE_CHANGE(0,-6AM)":0.0,"USDUSD^STD(FG_PRICE_CHANGE(0,-1AY,AM))":0.0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EWC^FMA_PE(NTMA,-10AY,0,AM,\"PORTAGG\",\"MEANR\")":[15.222213296068,15.2124911124116,14.5606650456939,14.1376341400123,14.8652368524019,15.4116897729477,16.3223602093766,17.4767055625233,17.0213416069774,17.4759822311403,16.6314938705256,16.1806781809928,15.2854153200855,14.3961286373307,14.5021462210472,14.9994971792014,14.5821341223172,14.6176224630052,13.705471845098,14.839457177931,15.9227504424342,16.4755029110221,16.5939097021973,16.1950782049183,16.445208603602,16.3162743176698,15.9946728340034,16.0164262651008,16.0255070001572,15.9075514760737,16.2415604115437,15.9617235612851,15.7933055978743,15.8505978202792,15.7326574806776,15.2996610252784,15.5683256102446,15.4477280413113,15.6026323614335,15.8153364559649,15.9086079475206,15.8929536298103,15.4945469758738,14.7085116983678,14.0928940580716,14.218079115682,14.1538899581057,14.3047309353458,14.2403999065595,13.9368957685575,13.6510385511269,12.428995998694,12.5373272719229,11.6547072272509,13.5128194772534,14.1446299465278,14.1432288739607,13.9518569273026,13.4828062029352,13.6143518798428,13.741239514338,13.3878472702804,14.0126111769795,13.8658875412248,14.3793001420785,14.5279070188115,14.6847313883159,14.3174908386198,12.947647770502,15.758740817768,18.5258307836505,17.3640115573926,17.337314081403,17.5297497862659,16.236707615585,15.7578232399929,16.2696565889483,16.0225614829409,15.825633508292,15.1177284599745,15.3703180252238,15.5225765947251,15.4726357609625,15.6918917921395,15.175062957742,14.8379880148771,14.5937145354816,15.0447027968105,14.5341285799261,14.4383437840623,13.7827347716057,13.9203451815443,13.7049784168976,12.615852367221,12.3571865338204,11.2960536865099,11.1695103702481,11.6703099684881,10.7026656874423,11.3883299458795,12.1693714035588,11.9828535896314,13.0230543531463,12.6799373618683,12.3334546442512,12.9011920828855,12.8434026862054,12.6659509612489,13.51486807243,12.8303911703836,12.6052378274911,12.1041723461367,12.7959623944895,13.6072472348843,13.8804052743977,14.1509916492644,14.5040112953086,14.2893043927013,14.3954432092179,13.9034200470741,14.2920726451054],"COPP-FDS^FG_PRICE_CHANGE(0,-3AM)":-10.1663383672576,"FXI^FG_TOTAL_RETURNC(0,-12AM)":-9.283506,"EWI^FMA_PCT_ABOVE_MAVG(200,0,,,,\"PORTAGG\")":56.0,"EWL^FMA_PCT_ABOVE_MAVG(200,0,,,,\"PORTAGG\")":76.0869565217391,"VGK^FMA_COS_UP(\"EPS\",\"1M\",+1,0,,,\"PORTAGG\",\"MEANR\")":464.0,"EWU^FMA_COS_DOWN(\"EPS\",\"1M\",+1,0,,,\"PORTAGG\",\"MEANR\")":45.0,"EWC^FMA_RBICS_REV_CURRENT(30, LOC, \"PORTAGG\")":39.9570295102958,"REFGBBANK-FDS^FG_YIELD(NOW,,,0)":5.25,"TRYIT10Y-FDS^PCTCHG(FG_YIELD(0,,,,\"YTM\"),FG_YIELD(-3AM,,,,\"YTM\"))":-2.8970509,"CC_GB^IMF_IFS_RCPI_Q(0)":null,"VGK^JULIAN(FMA_DIV_YLD(NTMA,NOW,NOW,M,\"PORTAGG\",\"MEANR\").DATES)":45471,"EWN^FMA_PE(NTMA,0,,,\"PORTAGG\",\"MEANR\")":15.6218085199527,"QQQ^FMA_DIV_YLD(NTMA,NOW,NOW,M,\"PORTAGG\",\"MEANR\")":0.843317139017348,"EWJ^FMA_EVAL_EBITDA(NTMA,0,,,\"PORTAGG\",\"MEANR\")":10.2607326813051,"EWC^JULIAN(FMA_DIV_YLD(NTMA,NOW,NOW,M,\"PORTAGG\",\"MEANR\").DATES)":45471,"GLD^FG_TOTAL_RETURNC(0,-3AM)":1.8511772,"CAGDPY@US^EE_ACTUAL_ANNUAL(MED,0)":-3.31108668288718,"CC_AU^FG_COMPANY_NAME":"Australia","USDCHF^FG_COMPANY_NAME":"Swiss Franc per U.S. Dollar","USDCAD^FG_PRICE_CHANGE(0,-1AY)":4.6859026,"EWC^P_PRICE_RETURNS_PR('52W',2,-10AY,0,AM)":[18.616558,20.35514,11.436188,4.148555,8.468294,1.4654279,-1.3500631,-1.4617801,-3.6871731,-0.31821728,-7.663327,-11.723078,-21.849049,-27.31849,-23.42044,-17.229414,-23.18892,-21.940105,-24.757904,-20.985186,-15.196824,-12.582338,-9.472031,-10.539913,1.8773198,12.731624,11.547173,7.7025056,13.768482,21.074713,39.614532,30.524206,16.967796,7.610297,8.600044,11.4923,14.153206,9.878838,16.42002,14.546192,15.498781,14.611256,12.710535,7.293129,5.387759,8.283865,11.625147,8.882797,6.280637,7.070923,1.6950965,-6.4311085,-8.50197,-16.571701,-9.666866,0.0808239,3.379929,3.8315058,-1.5511334,3.617239,1.0836959,-2.0380259,3.5276294,12.52327,15.286732,28.012646,18.415546,6.172991,-19.365448,-15.651762,-7.481301,-9.617114,-4.5820656,7.2359324,-3.9960265,-2.318561,5.2634478,7.098031,6.340003,13.449931,60.214676,54.607414,52.431236,49.675705,39.51099,30.224049,38.86881,45.187233,27.98016,25.09005,20.32243,18.325256,22.428167,6.5832376,0.560081,-7.8621984,-6.6573324,-3.759116,-15.014082,-14.742494,-8.282673,-11.522764,-2.468741,-6.0518084,-17.039013,-4.8843384,-6.7575035,3.391242,8.888519,-3.837967,11.923194,-0.7282853,0.91154575,14.79472,4.832852,10.646749,18.397701,11.873341,15.774954,10.393238,9.309137],"SPY^FMA_DIV_YLD(NTMA,-10AY,0,AM,\"PORTAGG\",\"MEANR\")":[2.09613325121338,2.08807636362266,2.12250204907716,2.15591185136336,2.06385662302842,2.06843741436269,2.11819955346361,2.09483295459479,2.19994997114167,2.13864911358653,2.16325670013173,2.17301212413257,2.20768453930126,2.38649111889224,2.41040056994,2.25726680386921,2.27056337761326,2.29360272571304,2.49897988581985,2.45182025901469,2.47519773454617,2.29179874134034,2.27884801023415,2.34855169798375,2.21619594333679,2.22173968410025,2.24243071594619,2.25813644934477,2.19861974925274,2.16277802258585,2.14873142001349,2.10350917587829,2.12800276512204,2.10645200139674,2.0939789692741,2.08661690479514,2.07760114235986,2.11979486574943,2.07854389892179,2.03955796125008,2.00342868923477,1.95570514189455,1.84898557050246,1.93591417313736,2.04142932886702,2.05715413019184,2.03316253960472,2.04812440716882,1.98628992406594,1.97430778034875,1.96075228972517,2.16452284016852,2.14848946061908,2.35405209494161,2.18991003566415,2.10020867731386,2.09608223123925,2.02766781883059,2.11801994786456,2.06755649818699,2.00179795797825,2.1132180734311,2.04954305990525,2.03424956348313,1.97519810127649,1.92602408668239,1.90723772654574,2.03313219850548,2.39943537034516,2.16148287413846,2.0198946199307,1.99332583830898,1.84743344440664,1.7141095833584,1.80702703023418,1.76094773520779,1.6527445488103,1.59893301440088,1.54752381772792,1.57925339445457,1.52023547310847,1.45591832417243,1.45989588953887,1.44525976484776,1.41682611665282,1.4130704518971,1.42194199513425,1.39848892574751,1.40079731865233,1.3645418896299,1.50071824949703,1.5068513795643,1.44960695676391,1.58305254532638,1.63459714933187,1.71466267561239,1.7172374687821,1.68095678963778,1.87271564066925,1.80079477115496,1.72163326053855,1.80578906067983,1.71847564727171,1.77065872236186,1.77228584926898,1.74633772714856,1.68529154979438,1.6407634495157,1.56473918965828,1.63012655781549,1.69213901067207,1.75616397748663,1.60043852632132,1.54105342265236,1.51239972368776,1.47936771984764,1.44189519566952,1.48438257056674,1.44298240953818,1.40259814196043,1.43192903245546],"DDR3512M-FDS^FG_PRICE_CHANGE(0,-1AM)":-3.36133856778218,"NI-FDS^FG_PRICE_CHANGE(0,-6AM)":-5.95706078016329,"CPALM-FDS^FG_PRICE(0)":4044.0,"QQQ^FG_PRICE_MAVG(0,,,,60)":467.22934,"EWC^FG_PRICE_MAVG(0,,,,60)":37.768333,"VWO^PERCENT_CHANGE(FMA_EPS(+1,0,,,,\"PORTAGG\",\"MEAN\"),FMA_EPS(+1,-3AM,,,,\"PORTAGG\",\"MEAN\"))":-8.32273087312745,"EWQ^FG_TOTAL_RETURNC(0,-3AM)":-2.6836157,"QQQ^PERCENT_CHANGE(FMA_EPS(+1,0,,,,\"PORTAGG\",\"MEAN\"),FMA_EPS(+1,-3AM,,,,\"PORTAGG\",\"MEAN\"))":0.364002646409081,"EWC^FG_TOTAL_RETURNC(0,-3AM)":2.824676,"ENZL^PERCENT_CHANGE(FMA_EPS(+1,0,,,,\"PORTAGG\",\"MEAN\"),FMA_EPS(+1,-3AM,,,,\"PORTAGG\",\"MEAN\"))":0.848865929145608,"TRYCA10Y-FDS^PCTCHG(FG_YIELD(0,,,,\"YTM\"),FG_YIELD(-3AM,,,,\"YTM\"))":-13.133137,"USDSEK^STD(FG_PRICE_CHANGE(0,-1AY,AM))":3.57517319385648,"USDAUD^FG_PRICE_CHANGE(0,-3AM)":-0.41199327,"EWN^P_PRICE_RETURNS_PR('52W',2,-10AY,0,AM)":[9.187365,6.9203973,3.1582355,-6.0991945,0.6333113,-2.6778936,-1.3528943,2.9095054,1.5049696,6.083989,4.708588,7.0798993,7.1665406,0.8838415,-2.211237,10.342693,1.9367576,0.63580275,-3.6571503,-9.647882,-5.6134043,-4.6394587,-3.4134269,-14.394384,-7.0818424,3.0100226,8.093203,-1.0552347,-2.0626128,2.4340272,10.946453,15.899622,14.094567,16.693104,21.035803,33.579243,31.471752,27.1675,27.939606,32.641815,38.450836,33.801247,39.839912,30.786873,21.051956,16.895603,10.003435,7.3045015,5.658841,4.1126966,1.5375972,-11.246103,-8.836042,-15.790814,-15.064871,-6.7121744,-5.0777674,-1.4939427,-3.3176541,2.9881597,2.6614547,-0.7924199,5.545926,18.988573,18.908142,33.07636,25.529325,9.545052,-7.6523247,-7.7976584,1.6915321,7.207179,9.33901,22.013414,10.514223,11.840189,20.553457,24.635113,30.93878,40.022552,75.49988,78.18774,66.449234,50.36216,45.191574,44.47297,54.664265,48.985817,28.251219,21.975018,4.61905,-0.24108887,-4.7128916,-21.278429,-21.153854,-25.439781,-25.960373,-31.101143,-40.51944,-35.2657,-22.109186,-23.059654,-3.848815,-3.8161159,-3.1347036,10.7352495,13.938797,19.033587,24.332355,14.070379,24.98356,12.849236,12.153482,21.174633,9.614002,20.219755,24.08216,18.733013,26.3937,22.240103,12.8985405],"EWI^FMA_DIV_YLD(NTMA,-10AY,0,AM,\"PORTAGG\",\"MEANR\")":[3.43532495843035,3.54303395346714,3.6034078742135,3.92764017613807,3.87450307442844,4.00401583903138,3.77712029450789,3.44301710189984,3.12655383981826,3.12437675073717,3.19288824096162,3.20644966201649,3.20812399725725,3.444430516061,3.52094113730961,3.53454022524902,3.59915037845784,3.82736698025053,4.37264961328589,4.53903714469403,4.35637891811441,4.30857761003419,4.44659379147068,5.20411295636916,4.78314743703861,4.72703655986063,5.03301774247655,4.72452723776982,4.87804919547708,4.26939921045352,4.34673865035603,4.38978761038697,3.96789056180567,3.86898146973698,3.83574998414522,3.79076184374253,3.7398401109757,3.77414331734819,3.70219613574233,3.77980973393659,3.87367895250157,3.91544678327127,3.715486927804,3.9507426488351,4.19138386354591,3.87917211436531,4.26631934256164,4.52518437336577,4.40158314094957,4.64124087051674,4.5036997194857,5.15511531246389,5.09346597755807,5.41723237983571,5.06744206787671,4.86304695086618,4.70646710602007,4.64846280292744,4.97363434926526,4.88628235145502,4.72456656508602,5.02620865152492,4.76264154954301,4.65200918698422,4.54956154100669,4.41750164090878,4.46992646658229,4.70969096300731,6.15462424769272,5.67131635139008,4.77096057829665,4.4130319974048,4.2833412854368,3.9381155504395,4.26252641022604,4.27916092755452,3.86278195788716,3.94607956638372,4.09461411841887,4.12158272097112,4.03481708851624,4.1201676759289,4.1967167177553,4.08211992081178,4.21742653846751,4.40943101995126,4.49333728439976,4.3377151753782,4.6191803458662,4.63429873501195,4.80049254657479,4.99940541160563,5.17303198721776,5.25894470474352,5.10717634349981,5.73987227200286,6.05357870060238,5.8092080616023,5.90593183880797,5.81458427179715,5.4363335847015,5.8802974859583,5.47559793061359,5.63669370617497,5.66620846408145,5.42880568494172,5.68716740384613,5.48028151739247,5.28278801430998,5.58027187068958,5.54579333430562,5.76490866144441,5.5295683808525,5.474109996754,5.43406890767703,5.31235107374378,5.08297295599179,5.24226208945742,5.24529211541414,5.42455622071836,5.31687582732249],"VWO^PERCENT_CHANGE(FMA_EPS(+1,0,,,,\"PORTAGG\",\"MEAN\"),FMA_EPS(+1,-1AM,,,,\"PORTAGG\",\"MEAN\"))":170.818965015428,"EWD^PERCENT_CHANGE(FMA_EPS(+1,0,,,,\"PORTAGG\",\"MEAN\"),FMA_EPS(+1,-3AM,,,,\"PORTAGG\",\"MEAN\"))":-2.02617447133987,"EWC^PERCENT_CHANGE(FMA_EPS(+1,0,,,,\"PORTAGG\",\"MEAN\"),FMA_EPS(+1,-3AM,,,,\"PORTAGG\",\"MEAN\"))":-1.94019737710527,"EWN^FG_ROE(0)":10.8768690385044,"TRYSE10Y-FDS^PCTCHG(FG_YIELD(0,,,,\"YTM\"),FG_YIELD(-3AM,,,,\"YTM\"))":-17.298576,"VGK^FMA_DIV_YLD(NTMA,NOW,NOW,M,\"PORTAGG\",\"MEANR\")":3.52193292836301,"TRYID10Y-FDS^FG_YIELD(-10AY,0,Y,,\"YTM\")":[7.922017,8.942368,7.89735,6.462641,8.148183,7.263584,5.902206,6.458283,6.936579,6.498571],"EWJ^FMA_COS_UP(\"EPS\",\"1M\",+1,0,,,\"PORTAGG\",\"MEANR\")":104.0,"EWI^FMA_EVAL_EBIT(LTMA,NOW,NOW,M,\"PORTAGG\",\"MEANR\")":10.8318043945352,"USDUSD^FG_PRICE(0)":1.0,"EWQ^FMA_PE(LTMA,-10AY,0,AM,\"PORTAGG\",\"MEANR\")":[15.4251798163768,15.470361940998,15.3731192448609,14.7044525992183,15.3873170855164,15.1233756070699,16.4004304666607,17.4468270575269,17.5329439515367,17.6364833870181,17.4816881893878,17.3969752417282,17.2951442861311,15.8721475387491,15.6218848909774,16.4114937210368,16.2525148939287,15.5101637970271,14.5071658433309,15.0134818455844,15.0998828661815,15.282930820483,15.2740644904781,14.6174445859798,15.056671033951,14.9344542492125,14.8027176601907,15.0404566098826,14.9037204180646,15.6855725147825,15.7644433628306,15.5565625418421,15.6246489408614,15.8057818896144,15.805845667154,15.7571424042966,15.6975359463378,15.4639147536811,15.8104215356058,16.2439479063517,16.0930389669577,16.0961496847881,16.6075926058874,15.7184002823566,15.4167376775673,15.5615227903239,15.5509828623392,15.1413934276233,15.2883354060862,15.0881532760868,15.1714322705741,13.9018180370076,13.7721759595846,12.6956066234888,13.5598785205876,14.5242488828286,14.5266465145815,14.6781481223226,14.4388714231198,14.6261363197342,14.9554047587309,14.5538659765955,15.0726912777285,15.5516527920514,16.1491274459341,16.5878733846983,16.6091609274598,15.6381598062,14.4108933828878,15.4091770796046,16.6390904243907,18.2904883037623,20.1941048080678,22.6953076682334,22.5148067644132,23.9646155257741,27.951955584711,28.4644671531031,28.1474947906372,27.0710572154549,26.4099334502148,25.6539716992136,24.6766004320761,23.9942559178456,22.6817904517647,21.1861283591791,20.1367969279558,18.9406313599317,17.3750006491248,17.339672439426,16.4389769426536,15.6958185141116,15.2428178174018,14.8761654641061,14.3989928728972,13.798154242849,13.3722269058406,12.7282791075152,11.580258959297,11.8997239542519,12.2363999413251,11.6409717967068,12.8456934021664,12.7185449973021,12.8442904092308,13.2110203523427,13.1063165473447,13.1103373676663,13.3191438301674,13.1364251797955,12.9203006342744,12.6166038350666,13.371740407855,14.0835278712682,14.4774339639435,15.4970862788034,15.518098482134,15.4554193871891,15.4303698103735,14.9942123661431,14.8651219646691],"CPALM-FDS^FG_PRICE_CHANGE(0,-3AM)":2.87458661918087,"FC0000AU^FG_PRICE(0)":361.7889,"EWN^FG_TOTAL_RETURNC(0,-12AM)":12.8985405,"QQQ^FG_ROE(0)":22.6638008722416,"CC_NL^IMF_IFS_RCPI_Q(0)":2.888117,"EWQ^FMA_PE(NTMA,0,,,\"PORTAGG\",\"MEANR\")":13.4634987209684,"EWU^JULIAN(FMA_DIV_YLD(NTMA,NOW,NOW,M,\"PORTAGG\",\"MEANR\").DATES)":45471,"TRYVN10Y-FDS^FG_YIELD(-10AY,0,Y,,\"YTM\")":[7.3,6.277413,7.1117578,5.6717234,4.738006,3.5404546,2.4877946,2.059403,4.687226,2.9473283],"USDUSD^FG_PRICE_CHANGE(0,-1AY)":0.0,"USDJPY^STD(FG_PRICE_CHANGE(0,-1AY,AM))":2.92393463176342,"USDAUD^FG_PRICE(0)":1.5259022,"EWN^FMA_PE(LTMA,-10AY,0,AM,\"PORTAGG\",\"MEANR\")":[16.4728466874369,16.6165019945074,16.7587827406305,16.0167154791461,17.7461626791649,17.6644900500192,18.9438312624895,20.1145501395528,19.9229584008745,19.8673282469208,19.5269680083166,19.2686697328413,19.0501637637625,17.2589073795872,16.7641690361841,17.609875465051,18.0828971364937,17.254760592399,16.0682241202184,16.2192761305052,16.387204622321,16.3261822154363,16.3317248157907,15.6621705201919,16.1497032316405,16.143297624822,15.9680501385515,15.9160837578957,15.6955777490254,16.3215544818008,16.349452857594,16.4611500333719,16.4802073232979,16.6564397642977,16.7272567607889,16.6824849676013,16.7545864870244,16.5735436172616,16.7717514955701,17.2401700579019,17.2459629328096,17.3278261431717,17.5240262691346,16.7759423068928,16.5067841426351,16.5814259807396,16.7124678648962,16.4709123714033,16.8234838419455,16.598367488239,16.3634421868571,15.2369517361537,15.375891864277,14.0053500018105,15.2333356268761,16.2251792653466,16.1232263158455,16.3134571546665,16.0774015851863,16.2900685422869,16.7684398174934,16.2432044255239,17.0971549985783,17.4059442860764,18.09137102351,18.7512913221338,18.7614697338037,18.5167484343954,16.864446839614,17.5809248312002,18.4177584977771,19.4286033317722,20.2935975623724,21.5221540560672,21.4444945067962,22.0187213876578,24.8355571238288,27.0911621164959,28.0295382585635,28.9833052381028,28.6240768907173,28.1432134867155,27.2218133693383,26.7174645129232,26.3274181788448,25.965450706246,25.2473493966542,24.7403804924468,22.9560332613628,22.7155727823048,20.381932685209,18.3295860616793,18.5012321813857,18.2004407771831,18.3650057334971,17.9936171196825,19.2391812579732,18.9947858568893,17.4128745775212,17.913195999222,18.7200734612796,17.8940024396959,19.5318979717791,20.5588222655438,20.2833810912012,19.8323442292727,19.6212473800492,19.0067926504254,18.9301869521961,17.6997024820434,16.6767207539186,15.8115685324319,16.5236863267461,16.6226834060962,17.3871092095876,17.8332199688987,18.4589881861635,18.1838648439437,18.358603278061,18.2733913154669,17.9608827195177],"PASP-FDS^FG_PRICE(0)/MAX(FG_PRICE(0,-1AY))":0.682835820895522,"CPALM-FDS^FG_PRICE_CHANGE(0,-6AM)":0.622045284896733,"COPP-FDS^FG_PRICE_MAVG(0,,,,30)":4.4239335,"SPY^FG_PRICE_MAVG(0,,,,200)":496.7671,"EWA^FG_PRICE_MAVG(0,,,,200)":23.66135,"SPY^PERCENT_CHANGE(FMA_EPS(+1,0,,,,\"PORTAGG\",\"MEAN\"),FMA_EPS(+1,-3AM,,,,\"PORTAGG\",\"MEAN\"))":-0.17176498470089,"EWL^FG_TOTAL_RETURNC(0,-1AM)":3.6010027,"TRYIT10Y-FDS^FG_YIELD_NAME":"Italy Benchmark Bond - 10 Year","CC_SE^IMF_IFS_RCPI_Q(0)":3.39215,"EWQ^FG_FCF_YIELD_NTM(0)":6.11733473941927,"EWU^FMA_PE(LTM,0,,,\"PORTAGG\",\"MEANR\")":12.8951606854304,"EWC^FMA_EVAL_EBIT(LTMA,NOW,NOW,M,\"PORTAGG\",\"MEANR\")":15.9094025791093,"DBA^FG_TOTAL_RETURNC(0,-6AM)":11.421907,"TRYTW10Y-FDS^FG_YIELD(-10AY,0,Y,,\"YTM\")":[1.6015,1.015,1.2037,0.9478,0.8648,0.672,0.315,0.7413,1.2812,1.211],"CAGDPY@JP^EE_ACTUAL_ANNUAL(MED,0)":3.61295912215857,"USDSEK^FG_PRICE_CHANGE(0,-3AM)":-1.2765408,"EWQ^P_PRICE_RETURNS_PR('52W',2,-10AY,0,AM)":[12.989532,8.93141,1.2621164,-8.170867,-2.5709093,-6.560552,-3.724891,-5.821109,-7.1576176,-6.1245084,-6.937379,-4.712981,-4.5349956,-7.163435,-6.9287596,5.680728,-2.8947473,-1.2538731,-7.699066,-11.910761,-9.138287,-6.3562036,-5.9613886,-16.413807,-9.2431965,-1.7810464,2.5226593,-5.7502866,-3.52996,1.9278288,12.80266,13.392199,14.245522,15.670765,21.672153,35.053825,29.6605,26.977957,29.985023,33.541203,38.56002,30.39831,36.68573,32.945107,21.716095,18.801558,11.922873,7.559955,8.23003,8.222998,7.0019364,-7.850456,-9.010876,-13.735217,-15.093237,-7.2255554,-4.2111397,-3.9221764,-6.7821503,2.8493524,-0.13406277,-4.237896,-3.1906426,12.840855,17.33234,27.531433,21.94419,5.0812364,-13.60622,-20.802837,-13.482982,-10.546261,-5.8524075,3.229618,-7.197648,-7.5814247,4.2901874,3.7100315,4.664457,14.276338,43.02441,59.59569,56.244183,43.14628,35.03971,30.543686,41.72586,39.352,16.438711,20.410622,16.276909,11.128891,5.058527,-7.9791665,-8.532781,-14.814448,-16.041607,-16.952484,-26.677109,-17.812824,-9.289211,-11.2630005,2.3248315,5.3554296,6.965506,23.007143,15.52471,22.716438,31.846989,23.576582,35.983574,16.305374,16.402256,22.393715,8.550239,14.256144,17.638386,6.651473,14.70853,5.92258,2.8565645],"EWA^FG_PRICE_MAVG(0,,,,30)":24.729666,"VWO^FMA_PCT_ABOVE_MAVG(200,0,,,,\"PORTAGG\")":40.2586206896552,"EWD^PERCENT_CHANGE(FMA_EPS(+1,0,,,,\"PORTAGG\",\"MEAN\"),FMA_EPS(+1,-1AM,,,,\"PORTAGG\",\"MEAN\"))":-4.77889260321974,"EWL^PERCENT_CHANGE(FMA_EPS(+1,0,,,,\"PORTAGG\",\"MEAN\"),FMA_EPS(+1,-3AM,,,,\"PORTAGG\",\"MEAN\"))":2.33695673029592,"EWC^PERCENT_CHANGE(FMA_EPS(+1,0,,,,\"PORTAGG\",\"MEAN\"),FMA_EPS(+1,-1AM,,,,\"PORTAGG\",\"MEAN\"))":-1.12002504444639,"QQQ^SIZE(FG_CONSTITUENTS)":102,"TRYSE10Y-FDS^PCTCHG(FG_YIELD(0,,,,\"YTM\"),FG_YIELD(-1AM,,,,\"YTM\"))":-5.8876314,"TRYKR10Y-FDS^FG_YIELD(-10AY,0,Y,,\"YTM\")":[2.6272,2.0852,2.0916,2.4797,1.9804,1.6728,1.7238,2.2417,3.6906,3.1928],"USDJPY^FG_PRICE_CHANGE(0,-6AM)":3.6803126,"USDAUD^FG_COMPANY_NAME":"Australian Dollar per U.S. Dollar","QQQ^FMA_DIV_YLD(NTMA,-10AY,0,AM,\"PORTAGG\",\"MEANR\")":[1.24071856524364,1.21444762710455,1.23977901612741,1.25646148646168,1.19435301390254,1.20604910691553,1.20014685110628,1.20720463063059,1.27952510898137,1.22466692716536,1.24738722429003,1.25071044263818,1.24955086459274,1.37944398858049,1.38453052301931,1.27604711587462,1.27817328153055,1.28806714741264,1.37407830119031,1.40380815075737,1.35566808567272,1.35496302435754,1.35188432874792,1.40421783064611,1.30634380844281,1.28464100681007,1.27411417432625,1.26246338993433,1.27908001327562,1.28091086044344,1.23650819538513,1.21951505622641,1.21995738779939,1.19667755289702,1.15696651354697,1.17011693593938,1.15868803726943,1.19196192365798,1.18162459286465,1.15651631760104,1.09514373341521,1.0941131897351,1.01808631419683,1.0436597453138,1.09215554119171,1.12133756252465,1.08412595675409,1.06959485939532,1.07634298601968,1.07046360060406,1.06996466080328,1.20064949466148,1.23691906231634,1.33268955051765,1.23850912599102,1.17330199269244,1.14252172186741,1.08623572906665,1.16801979339755,1.12007787826577,1.07165789970463,1.13431937320122,1.11001060951184,1.08877503990224,1.07330150852713,1.04123911669352,1.00604396884889,1.04233033287056,1.17664672416044,1.04975676174843,0.966866733744113,0.921414735419213,0.86793167660729,0.761083002726822,0.819685854146691,0.806964877622133,0.762865780426759,0.773072552749016,0.735110796133571,0.774742302386571,0.773395994530278,0.719746687632653,0.738928514731586,0.713861338806779,0.694105588888003,0.692046474713534,0.695081716435682,0.690082550255495,0.675630532844055,0.667540380464262,0.774345568083105,0.789473740154961,0.76219474515457,0.870051502992027,0.92751000984325,0.947217852597122,0.956709983750997,0.921014695819422,1.04051691279052,1.03529976360998,1.00914204784912,1.03296610809872,0.952512303971773,0.966622217592248,0.911089596546329,0.91207098866759,0.803683235047492,0.787904123132441,0.869799328002089,0.905232549959125,0.944717988206375,0.992581738622947,0.888143539153321,0.915094086618498,0.88666420491916,0.887834549298114,0.884949574754106,0.919452087543365,0.883071858439088,0.840669750071975,0.866313090010649],"PASP-FDS^FG_PRICE_CHANGE(0,-1AY)":-27.6679841897233,"TRYSE10Y-FDS^FG_YIELD(0,,,,\"YTM\")":2.094,"EWC^FMA_EVAL_EBITDA(NTMA,0,,,\"PORTAGG\",\"MEANR\")":9.7585694219481,"DBA^FG_TOTAL_RETURNC(0,-1AM)":-0.04182458,"TRYAE10Y-FDS^FG_YIELD(-10AY,0,Y,,\"YTM\")":[null,null,null,null,null,null,null,null,null,null],"USDSEK^FG_PRICE_CHANGE(0,-1AY)":3.3764243,"USDJPY^FG_PRICE_CHANGE(0,-1AY)":9.367108,"SPY^P_PRICE_RETURNS_PR('52W',2,-10AY,0,AM)":[19.343578,23.053265,18.890142,14.328361,17.154049,15.585554,17.08951,16.58491,13.141001,14.881182,12.851524,9.4649315,6.7619085,-1.0249257,0.21094084,7.514429,3.1131148,1.054573,-5.4957986,-5.7858586,-0.6346524,0.83578825,1.4943957,-1.389879,6.486678,14.184963,13.497698,5.4925084,8.120573,11.9133835,23.166048,25.171423,17.518974,16.474974,17.854774,22.209621,16.479229,14.625764,18.615925,22.015131,20.358456,20.673931,27.388168,19.663322,15.520514,13.833534,14.713049,13.718117,16.648638,20.034206,18.500423,5.6895256,4.614055,-6.101471,-4.3903055,2.4329662,8.107972,12.325811,5.680883,9.075129,8.7095375,2.1630168,4.5055985,13.904345,19.761658,33.662296,27.106857,13.630748,-5.1621795,-1.163888,7.9540014,5.39037,8.605146,23.12845,12.624121,14.741861,18.003918,17.057276,18.956911,24.429953,54.04619,49.962044,42.380356,40.886116,39.5038,30.321503,39.167713,36.25283,28.351952,29.753077,14.440823,16.036224,17.702675,0.9584546,-2.0021439,-6.930274,-10.103625,-7.8818502,-16.686832,-14.945591,-12.995881,-17.30991,-5.0867853,-5.9470654,-10.651755,-1.1627376,5.3981185,12.425613,18.451859,6.6054106,18.759464,9.709072,14.939726,26.121521,22.26609,29.607046,33.00508,27.52596,30.665434,28.217638,21.204163],"CAGDPY@SE^EE_ACTUAL_ANNUAL(MED,0)":6.4686639012956,"CC_JP^FG_COMPANY_NAME":"Japan"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NI-FDS^FG_PRICE_MAVG(0,,,,30)":16670.334,"BRENT-FDS^FG_PRICE_CHANGE(0,-1AY)":1.94728093089527,"EWJ^FG_PRICE_MAVG(0,,,,200)":66.3216,"URTH^FG_TOTAL_RETURNC(0,-3AM)":6.0631514,"EWI^FG_TOTAL_RETURNC(0,-6AM)":14.849674,"EWG^P_PRICE(0)/P_PRICE_HIGH_PR(0,,,,,,\"PRICE\",\"INTRA\",\"52W\")":0.95610344,"EWG^FMA_COS_UP(\"EPS\",\"1M\",+1,0,,,\"PORTAGG\",\"MEANR\")":20.0,"TRYJP10Y-FDS^PCTCHG(FG_YIELD(0,,,,\"YTM\"),FG_YIELD(-3AM,,,,\"YTM\"))":16.109152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79906,24.5344428387709,26.6372021629589,24.0483215527383,25.319915472376],"USDCHF^STD(FG_PRICE_CHANGE(0,-1AY,AM))":2.30074356862434,"USDGBP^FG_PRICE(0)":0.7779982,"USDCAD^STD(FG_PRICE_CHANGE(0,-3AY,M))":1.78345213188899,"QQQ^FMA_PE(NTMA,-10AY,0,AM,\"PORTAGG\",\"MEANR\")":[17.5657455859805,17.8727289657054,17.4832505886197,17.2050403351548,18.2441850270861,17.958339907237,17.5113569912778,18.1926344305301,17.5273830278606,18.4124905946977,17.8956881926715,17.8320799132451,18.3101497218933,17.0524919150413,16.9661448969001,18.4579324643984,18.6961866392671,18.4761293752436,17.0258710476353,17.0070253303169,17.6086286205357,17.7268409953424,17.9140075054749,17.1182141324164,18.5546039696218,18.5830552838314,18.4763203161078,18.4028569975715,18.291097102394,18.3761861437113,18.9628335773941,20.1174651039059,19.9295749492993,20.2984394529589,20.9496030825611,20.586613453958,20.9977162128776,20.1885457746548,20.1232787434817,20.3138590692596,21.0897870461561,20.938321428114,22.1227892939184,21.2176653483731,20.3054148014353,19.7010079438472,20.0789911940664,20.1833370488543,20.9003372467683,20.71762135587,20.7156263470733,18.5113702674783,18.0946482267148,17.0491262047021,18.6337869979162,19.7120967160353,20.2836141822467,21.4071283731247,19.8598179647481,20.7011940365865,21.5314584460386,20.1672959732466,20.5160169016458,20.9904527425077,21.9760404950079,22.8914782976833,23.5188576054374,22.3804259254128,20.6685353962875,24.4080362506218,26.9142873951593,27.5830900161663,28.5986891094429,31.2642206631043,28.5903851037965,28.9549566645979,29.4492868833967,29.8058063962528,30.9069696821156,27.8476226514322,27.7774013353776,29.506842274044,27.0785704125842,27.977357396029,29.1376104139722,28.1400550364737,28.0092880561017,28.4518518388449,28.8558290412608,29.2212196155681,25.0372375977728,24.7314667362578,25.5247102945898,22.3072566463518,21.221106694159,20.8128614971554,21.0169746856319,22.4622741705828,19.936521660309,20.7068019214517,21.8646691791876,20.9910390737666,23.1377279559472,22.9845027065836,24.2711495656306,24.0223369023116,25.7886789109869,25.9310410698753,25.6996898496218,23.9069107408852,22.9108255060698,21.963148433368,24.3928171715046,25.2159876466488,25.938914449839,26.1227208576491,26.1461694574826,25.1621041501822,26.2153601854757,27.075321456889,25.7231507266766],"DDR3512M-FDS^FG_PRICE_CHANGE(0,-1AY)":-6.51631969923906,"EWD^FG_PRICE_MAVG(0,,,,30)":40.420666,"FXI^FG_TOTAL_RETURNC(0,-1AM)":-3.7707388,"EWQ^FG_TOTAL_RETURNC(0,-1AM)":1.044941,"EWU^FG_TOTAL_RETURNC(0,-6AM)":12.516535,"EWG^FG_TOTAL_RETURNC(0,-3AM)":3.6249757,"ENZL^P_PRICE(0)/P_PRICE_HIGH_PR(0,,,,,,\"PRICE\",\"INTRA\",\"52W\")":0.9112662,"EWI^FMA_COS_UP(\"EPS\",\"1M\",+1,0,,,\"PORTAGG\",\"MEANR\")":10.0,"EWC^FMA_COS_DOWN(\"EPS\",\"1M\",+1,0,,,\"PORTAGG\",\"MEANR\")":38.0,"SPY^FMA_RBICS_REV_CURRENT(30, LOC, \"PORTAGG\")":11.9812912809187,"REFSEREPO-FDS^FG_YIELD(NOW,,,0)":3.75,"REFCATARG-FDS^FG_YIELD(NOW,,,0)":4.5,"EWD^FMA_PE(LTM,0,,,\"PORTAGG\",\"MEANR\")":14.2244421196808,"QQQ^FMA_EVAL_EBIT(LTMA,NOW,NOW,M,\"PORTAGG\",\"MEANR\")":24.7931693167456,"EWJ^FMA_PE(NTMA,0,,,\"PORTAGG\",\"MEANR\")":15.2944863854343,"EWA^FMA_PE(LTM,0,,,\"PORTAGG\",\"MEANR\")":18.8530443590393,"CAGDPY@NL^EE_ACTUAL_ANNUAL(MED,+1)":9.5,"CC_NZ^FG_COMPANY_NAME":"New Zealand"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2233795695,2.03507562384137,2.71427224340632,3.12760121442787,3.00269886912718],"EWU^FG_TOTAL_RETURNC(-10AY,0,AM)":[0.28859377,-2.0623505,-3.917724,-4.6381354,3.4740806,-3.0301213,0.32590628,3.5192251,-3.8703024,5.05985,0.2589345,-0.5968213,-4.6031713,-6.821972,-2.0238101,7.047403,-2.553922,-2.6367307,-8.724827,-0.3342271,3.2193184,6.237817,0.73393583,-9.353179,6.314349,1.9367337,-0.9499669,-3.9002597,0.7651448,1.7864108,4.0118337,1.1065483,1.5322089,1.9402385,4.16919,-1.7008007,3.016591,-1.6691089,2.829051,0.34753084,0.8946538,2.9387355,7.24802,-5.6758223,-3.1066358,5.054879,-0.439924,-2.5127351,0.6670475,-2.5352836,1.7440081,-9.3550205,1.8910289,-5.914223,5.568838,6.0194135,0.91576576,1.3914108,-3.3412874,1.7748594,-0.34214854,-6.8976283,5.2631617,3.3757925,1.5711665,4.4974804,-0.5906701,-9.001785,-20.796602,0.906837,4.2075157,1.3964295,3.1004786,2.550435,-6.3845634,0.6344199,14.144993,2.7518034,3.9755344,-0.75163245,3.9183378,3.4220576,3.2169104,0.33141375,-1.865232,0.8890271,-1.0331213,4.2984366,-5.5637302,5.379379,1.7629147,2.2102833,-1.052016,-6.2315407,4.0944815,-6.3910303,-1.6458213,-0.40160418,-13.373655,8.921647,10.897434,0.42068958,6.2642097,-1.4966428,-3.5348833,7.48955,-2.9904306,0.5598545,4.9375057,-6.2537313,0.22236109,-3.232962,6.419921,4.1913867,-1.3599277,0.8272052,3.0385852,2.7130723,4.335344,-1.6890347,2.796805],"PLATI-FDS^MAX(FG_PRICE(0,-5AY))":1272.59,"BRENT-FDS^FG_PRICE_CHANGE(0,-6AM)":0.0,"EWN^FG_PRICE_MAVG(0,,,,200)":46.47386,"EWJ^FG_PRICE_MAVG(0,,,,60)":68.74184,"URTH^FG_TOTAL_RETURNC(0,-1AM)":0.29113293,"EWI^FG_TOTAL_RETURNC(0,-3AM)":3.1919956,"TRYJP10Y-FDS^PCTCHG(FG_YIELD(0,,,,\"YTM\"),FG_YIELD(-1AM,,,,\"YTM\"))":4.196704,"TRYJP10Y-FDS^FG_YIELD(0,,,,\"YTM\")":1.0552,"VWO^FG_PE_NTM(0,,,90,0)":2.4051451307245,"TLT^P_PRICE(0)/P_PRICE_HIGH_PR(0,,,USD,,,\"PRICE\",\"INTRA\",\"52W\")":0.9213772,"SPY^P_PRICE(0)/P_PRICE_HIGH_PR(0,,,USD,,,\"PRICE\",\"INTRA\",\"52W\")":0.96333784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TRYJP10Y-FDS^FG_YIELD(-10AY,0,Y,,\"YTM\")":[0.3138,0.2604,0.0315,0.0465,-0.0051,-0.0208,0.0201,0.0672,0.4224,0.6127],"USDCHF^FG_PRICE_CHANGE(0,-6AM)":2.299583,"USDGBP^FG_COMPANY_NAME":"British Pounds per U.S. Dollar","USDCAD^STD(FG_PRICE_CHANGE(0,-1AY,AM))":1.61979750404125,"EWU^FMA_PE(NTMA,-10AY,0,AM,\"PORTAGG\",\"MEANR\")":[13.6954418706691,13.5426204606732,13.1154853356456,12.8528546973547,13.6041291594227,13.8539601253447,15.1042588896993,15.7421012532463,15.6092114535735,16.314163858134,15.9906508119046,15.5215753531369,15.1064737915233,13.7289220426029,14.303327050792,15.3645917610437,15.3327183392997,15.320554933019,15.111831198458,15.5831509287384,15.896173455917,16.3784808011028,16.0502926198189,15.2154223088409,16.1051826118953,16.127938229516,15.5446464482692,15.0144179662596,14.387931478018,14.2976207077027,14.3142093243243,14.404046209693,14.4394987479526,14.4735432875082,14.7786969487001,14.523001758488,14.8675166067502,14.5343493915413,14.397544254134,14.4613647653654,14.28897394521,14.5452177204018,14.6387740817537,13.2954277706663,13.0118036405228,13.7357150464135,13.7359389527835,13.1928492672577,13.1874519237826,12.8386043225702,12.8412898357893,11.5781202997867,11.8106370698739,11.3319540826588,11.8953897799795,12.4937857714463,12.4806510655849,12.6611740084252,12.2191402150941,12.5522227596503,12.6421405434335,11.8320943671557,12.3632993364631,12.6478347590967,12.9900397119384,13.5359776935462,13.4719154253692,12.7004021955063,11.7369885123449,13.924059925681,15.7859163891549,15.8076456505569,15.6691614451606,15.3841320631634,14.283440271017,13.7610999147769,14.7633967488643,14.5545680691348,14.2871333080377,13.7601498222767,13.6360097869677,13.4721564755121,13.1840742709931,13.0061946976712,12.3662757406509,12.1586100627239,11.9079525100283,12.3073578484469,11.6061237458364,12.1562975726288,12.2768920745255,12.0547836085592,11.5747501440389,10.6813632647547,10.5187766958202,9.84410230357204,9.78668166568289,9.5661027401077,8.52915453564075,8.99796488512419,9.77680721135533,9.85070294779942,10.547654740273,10.4384109019334,9.90372493372459,10.7704555191604,10.236786674451,10.189934729761,10.7367407274031,10.1623173426287,10.4406843068562,9.99559320418282,10.5132548535159,10.8851440388227,11.0939412923279,11.2263730252394,11.5175344647447,11.5913262972797,11.778585428804,11.4267704862393,11.4870550217515],"DDR3512M-FDS^FG_PRICE_MAVG(0,,,,30)":0.9321639,"PLATI-FDS^FG_PRICE(0)/MAX(FG_PRICE(0,-1AY))":0.880261927034612,"FXI^PERCENT_CHANGE(FMA_EPS(+1,0,,,,\"PORTAGG\",\"MEAN\"),FMA_EPS(+1,-3AM,,,,\"PORTAGG\",\"MEAN\"))":3.74787077364792,"EWI^FG_TOTAL_RETURNC(0,-1AM)":3.61979,"EWQ^PERCENT_CHANGE(FMA_EPS(+1,0,,,,\"PORTAGG\",\"MEAN\"),FMA_EPS(+1,-3AM,,,,\"PORTAGG\",\"MEAN\"))":-1.27728187207148,"EWU^PERCENT_CHANGE(FMA_EPS(+1,0,,,,\"PORTAGG\",\"MEAN\"),FMA_EPS(+1,-1AM,,,,\"PORTAGG\",\"MEAN\"))":-0.871649960847914,"EWG^FG_TOTAL_RETURNC(0,-1AM)":3.09515,"ENZL^FG_TOTAL_RETURNC(0,-3AM)":4.0211916,"EWC^FMA_COS_UP(\"EPS\",\"1M\",+1,0,,,\"PORTAGG\",\"MEANR\")":34.0,"QQQ^FMA_RBICS_REV_CURRENT(30, LOC, \"PORTAGG\")":0.753235479992888,"REFSEREPO-FDS^PROPER_NAME(0,,,\"SECURITY\",\"NAME\")":"Sweden Repo Rate","REFCATARG-FDS^PROPER_NAME(0,,,\"SECURITY\",\"NAME\")":"Canada Target Rate","EWD^JULIAN(FMA_DIV_YLD(NTMA,NOW,NOW,M,\"PORTAGG\",\"MEANR\").DATES)":45471,"EWJ^FMA_PE(LTM,0,,,\"PORTAGG\",\"MEANR\")":16.9789631221606,"EWA^JULIAN(FMA_DIV_YLD(NTMA,NOW,NOW,M,\"PORTAGG\",\"MEANR\").DATES)":45471,"CAGDPY@NL^EE_ACTUAL_ANNUAL(MED,0)":10.1631565168417,"USDITL^STD(FG_PRICE_CHANGE(0,-3AY,M))":2.13396081745498,"USDCHF^FG_PRICE_CHANGE(0,-1AY)":2.3055077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EWL^FG_TOTAL_RETURNC(-10AY,0,AM)":[-0.9367645,-0.6796658,-2.8265417,-3.0924678,4.8973203,-2.4397612,-0.18523335,3.3405423,0.20952225,3.9725304,0.31598806,-0.8075714,-0.35472512,-4.9836874,-6.056815,6.015289,-3.2915354,1.8800616,-7.4132977,-1.9243956,2.1723866,4.972565,0.5880475,-5.606866,5.2984834,1.3082862,1.2251616,-5.0376177,-1.8257022,2.6956081,4.991448,0.8466363,3.5518289,3.461182,5.1235676,0.93750954,0.75427294,-1.1229455,1.1065841,-1.2384772,2.6829958,-0.17039776,7.3684216,-5.0079584,-4.6861944,-0.05851984,-0.4685223,-2.5287867,6.4975142,0.3486395,1.53445,-8.012551,2.1698713,-5.3398013,5.929482,5.3252697,0.7469058,2.9084682,1.3577223,4.0358067,0.0,-0.56315064,1.591146,0.9291291,2.682805,3.7909865,1.9743323,-4.9854813,-10.061121,4.6162486,2.3010373,4.1270256,5.655992,3.1288147,-2.844268,-0.097584724,4.7130704,2.0355582,4.710734,-5.590743,3.5854697,4.488611,3.9324641,3.2895207,0.46634674,2.0585299,-4.7854424,2.6791215,-0.22248626,5.635512,-7.2538853,-0.08276701,1.0768294,-5.388242,-2.2087514,-5.4613533,1.0277271,-2.342093,-10.440886,7.2761655,8.446789,-2.441293,7.602489,-3.1450748,-0.59455633,9.753847,-0.77551603,-1.6211033,4.6981335,-4.445374,-4.235244,-3.7580192,7.523811,5.6244493,0.25156736,-1.4638245,0.06366968,-2.566284,5.180669,2.0977259,3.6010027],"BRENT-FDS^FG_PRICE_CHANGE(0,-1AM)":0.0,"EWN^FG_PRICE_MAVG(0,,,,30)":50.773,"EWJ^FG_PRICE_MAVG(0,,,,30)":68.913,"EWN^SIZE(FG_CONSTITUENTS)":53,"TRYDE10Y-FDS^PCTCHG(FG_YIELD(0,,,,\"YTM\"),FG_YIELD(-3AM,,,,\"YTM\"))":-5.8731346,"VWO^FG_PE(0)":15.0436274694864,"EWN^FMA_EVAL_EBIT(LTMA,NOW,NOW,M,\"PORTAGG\",\"MEANR\")":21.9741301824235,"QQQ^FMA_PE(NTMA,0,,,\"PORTAGG\",\"MEANR\")":25.7231507266766,"EWJ^JULIAN(FMA_DIV_YLD(NTMA,NOW,NOW,M,\"PORTAGG\",\"MEANR\").DATES)":45471,"TLT^FG_TOTAL_RETURNC(0,-6AM)":1.1307478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859929800855,9.22076567390078,9.22544557136733,9.29976871138421],"TRYPE10Y-FDS^FG_YIELD(-10AY,0,Y,,\"YTM\")":[5.681629,7.426917,6.415413,5.167133,5.645114,4.243226,3.535983,5.889906,7.923381,6.6087],"USDCHF^STD(FG_PRICE_CHANGE(0,-3AY,M))":2.41532241496882,"EWL^FMA_PE(NTMA,-10AY,0,AM,\"PORTAGG\",\"MEANR\")":[16.1352763511999,16.1984585052422,15.9554300229029,15.4499537541042,16.258124500329,15.8332272247873,15.957691593593,17.651862268784,17.6160617221789,18.1323454585794,17.679598645643,17.189865905726,17.6041673664066,16.164270258104,15.9322030959026,16.9122038392779,16.9175881460355,16.8225317773215,15.9968967238139,16.3224517288575,16.2780732642842,16.8710400672273,17.2061090121648,16.2349952136848,17.1816720074916,17.3150831259374,17.1773497112409,16.5557046955385,16.3602574345351,16.7707930878255,17.2882927427867,17.4649750165158,17.6182983200908,17.8059009184374,18.0706202636987,18.0916648316532,17.7526359423009,17.4953411413808,17.6730056985008,17.811196461529,17.806639473324,17.6242996162374,17.920254159191,16.8457223860179,15.7166096311837,16.1182946300312,16.007548754669,15.3979216544733,16.2924511311362,16.0643108978736,16.095636458167,15.1076594589004,15.5133147238966,14.4681109251158,15.470504412874,16.3252933617288,16.4205663177088,16.9095820087618,16.7354551634956,17.049284428599,17.0998394595519,16.7177206217622,17.0577348682272,17.2394694503154,17.6129585715817,17.9268211649213,18.1653852915726,17.5304870334964,15.6620392518335,18.1155223103432,18.9909327988134,19.2339199768474,19.602183401478,19.6803802696633,18.8842584519426,18.3458765023484,18.8001776500563,18.4028477199364,18.9989203249812,18.2374865926649,18.7972947379431,18.6617599522398,19.2788172788843,19.9432397122847,19.6421921322078,19.8548712739875,18.7455192612306,18.9353258444278,18.689155144724,19.6027276504281,18.0825915489327,18.0042634078872,18.2115737768216,17.6392882263082,16.8052231974036,15.8558293765511,16.4685242882478,16.2860181061379,14.6761772671403,15.8604406480921,16.9603062088293,16.2989917004946,17.329610376764,17.1563840551575,16.4923371949743,17.4346881101789,17.2005575242223,16.2744509316927,16.7337654910826,16.3471486394983,16.1833879713384,15.3702801895767,16.3388403397591,16.782501196444,17.2316319338719,17.5300783389105,17.5812258234564,16.8194398088323,17.2016652484258,17.1545841839668,17.3211090149457],"FXI^PERCENT_CHANGE(FMA_EPS(+1,0,,,,\"PORTAGG\",\"MEAN\"),FMA_EPS(+1,-1AM,,,,\"PORTAGG\",\"MEAN\"))":1.67285133080617,"URTH^FMA_PCT_ABOVE_MAVG(200,0,,,,\"PORTAGG\")":65.0771388499299,"EWI^PERCENT_CHANGE(FMA_EPS(+1,0,,,,\"PORTAGG\",\"MEAN\"),FMA_EPS(+1,-3AM,,,,\"PORTAGG\",\"MEAN\"))":-2.70731727702463,"EWQ^PERCENT_CHANGE(FMA_EPS(+1,0,,,,\"PORTAGG\",\"MEAN\"),FMA_EPS(+1,-1AM,,,,\"PORTAGG\",\"MEAN\"))":-0.0537371048478806,"EWU^FMA_PCT_ABOVE_MAVG(200,0,,,,\"PORTAGG\")":65.0,"EWG^PERCENT_CHANGE(FMA_EPS(+1,0,,,,\"PORTAGG\",\"MEAN\"),FMA_EPS(+1,-3AM,,,,\"PORTAGG\",\"MEAN\"))":-0.240318164429368,"ENZL^PERCENT_CHANGE(FMA_EPS(+1,0,,,,\"PORTAGG\",\"MEAN\"),FMA_EPS(+1,-1AM,,,,\"PORTAGG\",\"MEAN\"))":-2.80458813786192,"EWA^SIZE(FG_CONSTITUENTS)":60,"EWU^FMA_RBICS_REV_CURRENT(30, LOC, \"PORTAGG\")":19.4049351140879,"TRYDE10Y-FDS^FG_YIELD_NAME":"Germany Benchmark Bond - 10 Year","REFAUCASH-FDS^(SUBARRAY(NOT_NA(NO_REPEAT_F(FG_YIELD(NOW,-10AY,D))),0,1)-SUBARRAY(NOT_NA(NO_REPEAT_F(FG_YIELD(NOW,-10AY,D))),1,1))*100":25.0,"ENZL^FG_FCF_YIELD_NTM(0)":-0.166770809294131,"TLT^FG_TOTAL_RETURNC(0,-1AM)":0.15144348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4,3.67789544317285,4.61613854439477,4.46089540048153,4.56673185665912],"URTH^FG_TOTAL_RETURNC(0,-12AM)":17.633236,"QQQ^FMA_PCT_ABOVE_MAVG(200,0,,,,\"PORTAGG\")":63.7254901960784,"EWA^FMA_COS_UP(\"EPS\",\"1M\",+1,0,,,\"PORTAGG\",\"MEANR\")":20.0,"TRYFR10Y-FDS^PCTCHG(FG_YIELD(0,,,,\"YTM\"),FG_YIELD(-1AM,,,,\"YTM\"))":-1.672979,"TRYCH10Y-FDS^FG_YIELD(0,,,,\"YTM\")":0.506,"UUP^FG_TOTAL_RETURNC(0,-6AM)":3.7436962,"WL-FDS^FG_PRICE_CHANGE(0,-6AM)":-21.1644963328843,"EWN^FG_TOTAL_RETURNC(0,-6AM)":7.357824,"EWC^FMA_PCT_ABOVE_MAVG(200,0,,,,\"PORTAGG\")":76.1363636363636,"ENZL^FMA_COS_UP(\"EPS\",\"1M\",+1,0,,,\"PORTAGG\",\"MEANR\")":3.0,"EWA^FG_ROE(0)":12.5074330886367,"TRYCA10Y-FDS^FG_YIELD_NAME":"Canada Benchmark Bond - 10 Year","QQQ^FMA_PE(LTM,0,,,\"PORTAGG\",\"MEANR\")":34.2242374271217,"USDEUR^FG_PRICE_CHANGE(0,-6AM)":0.059878826,"EWG^FG_PRICE(0)":31.31,"EWI^SIZE(FG_CONSTITUENTS)":26,"ENZL^FG_ROE(0)":4.86481072173118,"UUP^FG_TOTAL_RETURNC(0,-1AM)":-1.1998653,"TRYCH10Y-FDS^FG_YIELD(-10AY,0,Y,,\"YTM\")":[0.314,null,-0.12,-0.09,-0.176,-0.434,-0.49,-0.111,1.617,0.703],"W-FDS^FG_PRICE_CHANGE(0,-1AM)":-3.27944572748267,"EWI^FG_PRICE_MAVG(0,,,,60)":37.548832,"EWN^FG_TOTAL_RETURNC(0,-3AM)":1.880157,"QQQ^JULIAN(FMA_DIV_YLD(NTMA,NOW,NOW,M,\"PORTAGG\",\"MEANR\").DATES)":45471,"WL-FDS^FG_PRICE(0)":526.7,"EWL^FG_TOTAL_RETURNC(0,-12AM)":7.171583,"EWI^FMA_COS_DOWN(\"EPS\",\"1M\",+1,0,,,\"PORTAGG\",\"MEANR\")":11.0,"TRYGB10Y-FDS^PCTCHG(FG_YIELD(0,,,,\"YTM\"),FG_YIELD(-3AM,,,,\"YTM\"))":-4.962717,"EWC^FMA_PE(NTMA,0,,,\"PORTAGG\",\"MEANR\")":14.2920726451054,"GLD^P_PRICE(0)/P_PRICE_HIGH_PR(0,,,USD,,,\"PRICE\",\"INTRA\",\"52W\")":0.96072286,"USDUSD^FG_PRICE_CHANGE(0,-6AM)":0.0,"PASP-FDS^FG_PRICE_CHANGE(0,-6AM)":-4.18848167539267,"EWN^FG_TOTAL_RETURNC(0,-1AM)":-2.8292477,"EWN^FMA_COS_DOWN(\"EPS\",\"1M\",+1,0,,,\"PORTAGG\",\"MEANR\")":28.0,"TRYSE10Y-FDS^FG_YIELD_NAME":"Sweden Benchmark Bond - 10 Year","EWJ^P_PRICE(0)/P_PRICE_HIGH_PR(0,,,USD,,,\"PRICE\",\"INTRA\",\"52W\")":0.95316726,"SPY^FG_TOTAL_RETURNC(0,-3AM)":7.4644446,"EWC^FG_PRICE(0)":38.33,"EWL^P_PRICE(0)/P_PRICE_LOW_PR(0,,,,,,\"PRICE\",\"INTRA\",\"52W\")-1":0.20481348,"REFGBBANK-FDS^PROPER_NAME(0,,,\"SECURITY\",\"NAME\")":"UK Bank Rate","BRENT-FDS^FG_PRICE_MAVG(0,,,,30)":85.86,"EWN^PERCENT_CHANGE(FMA_EPS(+1,0,,,,\"PORTAGG\",\"MEAN\"),FMA_EPS(+1,-3AM,,,,\"PORTAGG\",\"MEAN\"))":-2.73467406061201,"EWA^FG_TOTAL_RETURNC(0,-1AM)":1.8151879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2361,8.94223448408443,12.2539555485597,13.1476341706421,13.2212508616692],"CC_CH^FG_COMPANY_NAME":"Switzerland","USDEUR^FG_COMPANY_NAME":"Euro per U.S. Dollar","EWD^FG_PRICE_MAVG(0,,,,60)":40.7625,"FXI^FG_TOTAL_RETURNC(0,-6AM)":13.282108,"TRYCH10Y-FDS^PCTCHG(FG_YIELD(0,,,,\"YTM\"),FG_YIELD(-3AM,,,,\"YTM\"))":-31.621626,"EWJ^P_PRICE_RETURNS_PR('52W',2,-10AY,0,AM)":[5.607581,7.8641295,-0.2465725,-4.945034,-1.6092598,-2.02834,0.49654245,8.730197,16.21641,21.550571,16.570711,10.102856,6.614852,2.200377,-0.7001519,12.229097,8.446836,6.880021,-2.170384,-9.703838,-10.511613,-8.1192255,-9.420246,-11.399084,-5.798614,3.1307936,9.572517,2.1770477,0.1711607,3.388548,16.65746,20.059132,16.50833,9.88977,15.581142,20.995308,16.715288,12.412394,12.856293,17.32496,22.511887,22.250128,27.849174,22.833014,15.460563,18.597376,14.624357,9.966636,10.829878,7.881522,10.5175495,-5.5586042,-7.3948803,-15.334463,-14.698208,-10.273033,-5.651772,-7.6835036,-9.512531,-5.759549,-5.929792,-5.4583073,-3.7040293,8.052039,11.097086,21.772718,13.955534,1.5881777,-6.5776587,-5.1444054,3.4550548,4.5045257,3.0509353,11.082733,4.7806025,3.12258,11.02873,11.889267,18.178988,25.749361,41.22019,36.890984,26.765347,23.535597,22.502888,17.304493,25.24314,17.883099,3.7154317,4.1419864,-6.8993864,-6.275904,-7.443756,-16.892672,-13.234722,-19.328535,-18.165934,-17.672937,-30.674833,-24.702972,-16.752338,-17.76151,-6.378293,-9.372139,-7.8611493,5.373633,5.146837,14.481068,17.238283,8.472406,24.58874,14.873255,13.695824,18.049313,13.842154,26.692808,27.455664,17.47223,17.091047,12.902414,11.69628],"EWJ^FMA_PE(NTMA,-10AY,0,AM,\"PORTAGG\",\"MEANR\")":[13.8660462033866,13.7029850528217,14.1108844820929,13.0926908963114,14.5583207386854,14.5334721925187,13.9065734261433,15.0869777498952,15.4986776989108,15.9175725879145,16.360579435439,15.7864572920246,15.510125884742,13.6894621636291,13.3711799520933,14.3924784592261,14.7104712013919,13.9106658051094,12.36791263807,12.3680591386574,12.8685116429064,13.3914222994103,13.2630296011874,12.1397507579059,13.3620555760669,13.088839342114,13.4949492296449,13.7479829317257,14.4447819648914,14.9474454123011,14.7037145423317,14.2943265553703,14.0477908752003,13.9177099084973,14.2661438925281,14.3677133410975,14.2051053640165,13.6238314185609,14.0151705166048,14.5314543829235,14.6923424566318,14.819108636225,15.1295323921333,13.3823037586092,12.4723178089234,13.2111099472158,13.1186199927756,12.7977246215604,12.9957733936107,12.5393664817306,13.3612045526556,11.653360445233,11.9838072137734,10.7013930266503,11.876042687182,12.5148751191713,12.6611893683424,12.7370376328623,12.3064041621388,12.5846595001696,12.9127069963729,12.2570778685744,13.4591900315068,13.7144488076876,14.2431900026758,14.6306973931429,14.6010547118797,13.7236514863779,12.1385021645807,13.5480340560973,15.631060205929,17.8509338555983,17.9332579095515,18.2138545291977,18.2159857559616,17.635142312206,18.6836802564897,18.1484885676693,18.5477006759988,17.6430214787252,17.8144321643781,16.9196202172975,16.3397186885297,16.4226621385787,15.8041979198645,15.1800831341251,16.0016291598623,15.2680276799423,14.8304250525776,14.544734060278,13.6088836180599,13.2482600401162,13.5439132142007,12.7316369934332,12.6184368317164,12.3358028562308,12.748762728627,12.9708010127525,12.0940440321235,12.4240743661334,13.0892738410548,12.2728196267468,12.9037163201284,13.0005768080757,12.7973014245535,13.3008381377611,14.0898732906333,14.7116548935784,14.6445979072094,14.1649550435335,14.6591580294752,13.6348858095841,14.4471916196338,13.9007473166186,14.7366073048346,15.5695819845137,15.9510253035854,15.1855792324996,15.4420210089119,15.5557449570533,15.2944863854343],"PASP-FDS^FG_PRICE_CHANGE(0,-1AM)":-2.6595744680851,"EWN^FG_PRICE(0)":48.77,"VGK^FG_TOTAL_RETURNC(0,-12AM)":11.086071,"EWA^PERCENT_CHANGE(FMA_EPS(+1,0,,,,\"PORTAGG\",\"MEAN\"),FMA_EPS(+1,-3AM,,,,\"PORTAGG\",\"MEAN\"))":-2.49428968349461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712369,17.2298191407891,20.6862902757634,20.5983105880676,20.3505037528152],"USDITL^STD(FG_PRICE_CHANGE(0,-1AY,AM))":1.7785690681542,"ENZL^FG_PRICE_MAVG(0,,,,30)":45.862427,"FXI^FG_TOTAL_RETURNC(0,-3AM)":-1.0368824,"EWL^FG_TOTAL_RETURNC(0,-3AM)":11.254096,"TRYAU10Y-FDS^PCTCHG(FG_YIELD(0,,,,\"YTM\"),FG_YIELD(-1AM,,,,\"YTM\"))":-0.023205558,"EWL^FMA_EVAL_EBIT(LTMA,NOW,NOW,M,\"PORTAGG\",\"MEANR\")":16.5065801269382,"EWA^FMA_DIV_YLD(NTMA,NOW,NOW,M,\"PORTAGG\",\"MEANR\")":3.93051594710948,"EWG^FMA_DIV_YLD(NTMA,-10AY,0,AM,\"PORTAGG\",\"MEANR\")":[3.11495652498431,3.13386062787971,3.182935331377,3.37862678816686,3.14250092386785,3.15223282195222,2.90212303748395,2.79493388409011,2.70644377383781,2.75375672507905,2.87532358673357,2.94388490543508,3.00250624526788,3.4124901337331,3.47393091041012,3.10250477232413,2.90995312974168,3.04073095866105,3.33541553316121,3.45753954486758,3.32974484077241,3.21285887626383,3.27318645295054,3.53145977171113,3.29894885386631,3.18279060008877,3.23979760962045,3.13551961638806,3.16809968362228,2.9775400117846,2.89691110616357,2.95468406543913,2.95699670271991,2.88080158109905,2.93556448903773,2.92976545806367,3.0474137864701,3.12322496558008,3.03859811626215,2.9237396600495,2.9371988832956,2.91841026941816,2.89208113356808,3.10871249255392,3.3175113649783,3.18034703262647,3.12474059873947,3.28500884966401,3.14937674848259,3.25061553280513,3.28808568155485,3.6315685407922,3.64646535055252,3.93683913559121,3.67356715145943,3.60957950037828,3.62606408294131,3.39101461211071,3.5962988092083,3.5344931496414,3.40772040183069,3.60630589990485,3.4319448941993,3.27408624526117,3.10486375426006,3.0825504155224,3.02579913794366,3.21459451190702,3.9262764395874,3.5389693969376,3.14037518571258,2.96999232310354,2.82687965803321,2.75742243622325,2.95437451677334,3.03090708912909,2.81844759997635,2.74037381499081,2.7304862107886,2.84200926461744,2.75160039071943,2.72704387078442,2.8304349784606,2.79086977642174,2.81217457589063,2.85742841220543,2.92595419658561,2.93009147344987,3.12295119942719,3.05342821279997,3.17233389330664,3.44573170131494,3.5598235181708,3.73837769673008,3.79520858464275,4.10523526496718,4.13945274213826,4.18329508575929,4.44202788760422,4.11980116269124,3.72220864372385,3.85450879259953,3.5154509833751,3.54292686154156,3.67442041607302,3.52249262818764,3.60675682757833,3.69246473201002,3.65727786606146,3.77656598235447,3.87687650012757,4.06780225797456,3.69162837087607,3.56141284707157,3.53190135389975,3.45843387476165,3.26367440709496,3.34150471980538,3.33672967467028,3.42555657614996,3.41053960536477],"WL-FDS^FG_PRICE_CHANGE(0,-1AY)":-23.2551362377969,"W-FDS^FG_PRICE_CHANGE(0,-6AM)":-12.7863390254061,"EWC^FG_TOTAL_RETURNC(0,-1AM)":3.7909627,"VWO^FMA_COS_UP(\"EPS\",\"1M\",+1,0,,,\"PORTAGG\",\"MEANR\")":820.0,"EWC^FG_ROE(0)":10.9491157901172,"TRYDE10Y-FDS^FG_YIELD(0,,,,\"YTM\")":2.404,"EWI^FG_FCF_YIELD_NTM(0)":5.8093916798624,"SPY^FMA_PE(LTM,0,,,\"PORTAGG\",\"MEANR\")":25.6514946669042,"CAGDPY@NZ^EE_ACTUAL_ANNUAL(MED,+1)":-5.4,"USDEUR^STD(FG_PRICE_CHANGE(0,-1AY,AM))":1.77857008573437,"EWG^FG_PRICE_MAVG(0,,,,60)":31.390667,"EWN^P_PRICE(0)/P_PRICE_HIGH_PR(0,,,,,,\"PRICE\",\"INTRA\",\"52W\")":0.91966814,"EWU^FG_TOTAL_RETURNC(0,-12AM)":11.8846655,"SPY^JULIAN(FMA_DIV_YLD(NTMA,NOW,NOW,M,\"PORTAGG\",\"MEANR\").DATES)":45471,"EWC^FG_FCF_YIELD_NTM(0)":5.97898999030451,"UUP^FG_TOTAL_RETURNC(0,-3AM)":-0.24229884,"TRYGR10Y-FDS^FG_YIELD(-10AY,0,Y,,\"YTM\")":[9.61,8.24,7.15,4.14,4.37,1.45,0.618,1.315,4.585,3.099],"EWA^FMA_DIV_YLD(NTMA,-10AY,0,AM,\"PORTAGG\",\"MEANR\")":[4.67953477680074,4.67991893427489,5.03980277400746,4.92883723179607,4.99427002830399,4.9885167442505,4.91722740342559,4.57925774647235,4.58899040569649,4.56977249346208,4.71722143441923,4.89755043169825,4.93172134339247,5.3411056458973,5.49412199620707,5.10564703926402,5.25734935744293,5.19807982711408,5.18430965072775,5.05190282869525,4.82932140459061,4.6848693559953,4.54963270437769,4.78796434092586,4.42579065293658,4.4539298539889,4.54433390051769,4.60909542871968,4.51534005831292,4.55210158524389,4.55281586105823,4.54528529967618,4.59950294282262,4.49314080270065,4.6383672605413,4.64776663035163,4.5433465456038,4.55581838013535,4.62071160849021,4.48977149266328,4.47165488149395,4.45892199434263,4.5034632422418,4.57153117443756,4.82144958310161,4.77703873393892,4.67852969101817,4.63358587801675,4.61467877879187,4.66124937540194,4.74607902578841,5.20974591365752,5.30056927401785,5.5043797097099,5.08115756413483,4.95235463641952,4.97696354722734,4.82419557237943,4.79839650290726,4.58967799832254,4.5301883556159,4.71183314147875,4.45521050998737,4.36245356122405,4.31520849114326,4.25037528918578,4.11757544654727,4.31203019384862,5.33335401650628,4.3272870830776,3.57016895324322,3.48487588352115,3.43954607348783,3.38854806551611,3.60164472863252,3.60844438110982,3.39353214393777,3.54441628630354,3.51325081103936,3.92576677494895,3.95975505274232,3.90182928839011,3.92161149152939,3.9565163338856,4.14395857570677,4.07363074593593,4.0718840241119,3.92999955065485,4.0686939432585,3.89749431763283,4.1665898146345,4.43313946405261,4.19642484982072,4.52296891102757,4.68685550578219,5.24087667923002,4.95605603219591,4.65888943864414,5.24089273943405,4.98239474182648,4.49009831368883,4.53297382505177,4.25586522222369,4.46372325453016,4.68946619732966,4.42156136056865,4.52782035848453,4.37465185057487,4.07140577109126,4.28194293185221,4.31862885341812,4.4962962810256,4.33284341485296,4.02285990657156,4.02749300057405,3.99239873316647,3.94072496762751,4.04483917597034,3.98009557837632,3.92003296951977,3.89065391077111],"W-FDS^FG_PRICE_CHANGE(0,-3AM)":-13.2200580190634,"VGK^SIZE(FG_CONSTITUENTS)":1283,"EWI^FMA_DIV_YLD(NTMA,NOW,NOW,M,\"PORTAGG\",\"MEANR\")":5.49637883079903,"CAGDPY@NZ^EE_ACTUAL_ANNUAL(MED,0)":-6.9,"EWI^P_PRICE_RETURNS_PR('52W',2,-10AY,0,AM)":[32.309414,22.333347,11.902988,-3.5899103,0.64741373,-6.7184687,-8.818054,-8.0243,-11.631507,-13.506645,-7.6590595,-7.337493,-7.801914,-5.6089344,-6.009364,3.6420584,-2.8629363,2.3598552,-10.304981,-21.930801,-18.100912,-15.345711,-17.984808,-31.18961,-26.611942,-22.212952,-20.830727,-22.595692,-22.720772,-11.171997,3.5439968,8.084286,9.845936,9.899103,19.481743,37.509216,39.130093,38.812386,46.35457,41.10068,50.491833,30.53155,44.272923,43.555214,28.00728,30.300653,10.0389,6.951821,2.2507071,-4.471034,-2.495581,-16.736746,-15.612114,-19.2164,-20.660568,-13.871586,-10.093612,-14.295459,-10.601598,-0.09781122,-0.6439209,-0.9698272,-1.5016794,19.984257,20.957338,29.454458,19.732594,7.801497,-18.599342,-24.910046,-16.624249,-11.955953,-7.286668,1.4396191,-10.209883,-12.622923,1.1583447,1.4676094,1.2563825,9.492564,48.293137,63.65739,56.0315,39.99784,28.713,26.974415,36.42341,40.003204,11.004424,13.146055,12.086034,6.8855286,-4.4183674,-13.634282,-10.354519,-20.22589,-26.06467,-25.193083,-30.029942,-25.321781,-12.017292,-13.064199,-1.7491221,1.9693971,5.526507,20.471859,10.455645,26.810242,50.900852,35.40747,44.569313,27.036798,24.081982,30.691874,15.982306,24.789656,34.713184,23.395466,31.866991,22.405922,17.209387],"VWO^FG_TOTAL_RETURNC(0,-12AM)":6.5253615,"EWU^P_PRICE(0)/P_PRICE_HIGH_PR(0,,,,,,\"PRICE\",\"INTRA\",\"52W\")":0.9797362,"EWC^FMA_DIV_YLD(NTMA,NOW,NOW,M,\"PORTAGG\",\"MEANR\")":3.34950759018179,"EWA^FG_TOTAL_RETURNC(0,-12AM)":9.413374,"TRYAU10Y-FDS^FG_YIELD(0,,,,\"YTM\")":4.308,"USDEUR^FG_PRICE_CHANGE(0,-3AM)":-1.6212225,"EWD^P_PRICE_RETURNS_PR('52W',2,-10AY,0,AM)":[9.675228,6.6081405,-1.6021252,-5.808723,2.0905733,-5.1761627,-4.612666,-1.411444,-2.7512968,-1.4478445,-4.4188557,-1.4931619,-5.4086566,-9.556448,-9.298193,-2.0266235,-8.825445,-4.15886,-10.430342,-16.779482,-13.572377,-8.276451,-9.564865,-18.894917,-9.6679325,-0.067442656,4.30547,-3.7439287,-2.899462,-0.123399496,13.981056,15.500296,14.931309,13.221455,18.985199,32.173775,26.384735,22.12187,25.680042,29.183626,29.71462,23.08402,23.97425,18.482315,9.2806225,3.8550973,0.9349108,-4.1435122,-1.0208786,-1.514113,-1.0303676,-14.568156,-12.209147,-15.630126,-14.793909,-9.630245,-4.6811285,1.39575,-5.7905254,4.453647,-3.4020603,-9.497833,-8.141059,12.355781,13.907409,27.028883,17.910374,8.964658,-12.307871,-15.198368,-0.24513602,2.0018458,14.916348,32.157005,18.645107,14.5625,27.227772,21.41837,29.581738,35.03207,78.92337,82.962166,67.84601,55.45162,46.09059,35.89734,41.671467,40.079773,15.103304,21.19168,3.6479235,-3.9637089,-7.834035,-21.710217,-21.038855,-28.20639,-31.056028,-32.185013,-39.380474,-34.309048,-22.166967,-26.43826,-11.229218,-4.7084513,-11.674571,5.6795716,0.99829435,9.222019,14.752853,3.7821174,22.16593,4.3738484,8.2757,25.317764,7.305062,16.180944,24.718702,10.989618,23.413599,21.277655,14.420092],"EWI^FMA_PE(NTMA,-10AY,0,AM,\"PORTAGG\",\"MEANR\")":[14.0916180010788,13.8790583105073,13.7311671849196,12.6300998106973,12.9970710832341,12.5626614558153,13.9736789293472,15.4350844657785,15.6338753714014,15.9564437245474,15.6459637879505,15.5950772367398,15.2380668723279,14.0488358573942,13.9557592403111,14.7977091982381,14.9168347348479,14.148628497712,13.0515843199159,12.8578699581264,13.1931440220504,13.5211893243869,13.8605755544842,11.4392548290109,12.4085898501281,12.5575035375855,11.670431742892,12.2195045984202,11.5946242379158,13.8971240301333,13.221834849032,12.5706849051073,13.5248306159699,13.6608395998468,13.5484967635559,13.3209860358957,13.5731898438431,13.2872041209754,13.4940567564298,13.6608286865107,13.2833773757802,13.1951774303879,13.4628376783266,12.5821516194699,12.2003946713251,13.1134622162518,11.778886222646,11.2627359188914,11.5168496681197,10.8579270209236,11.0733652366245,9.59714379893144,9.70033061591501,9.21344414478552,9.8969749676626,10.4954957761803,10.7216680795177,10.8643545121416,10.1556415681396,10.3925922403876,10.7585131182568,10.1808641763516,10.7538874779469,11.0901514356213,11.2993142551115,11.5912673630475,11.5417099238786,11.2192565887347,9.45346184148057,12.0700922455772,15.4203450136353,17.1626935860264,17.4915347088526,16.1933219701287,14.6065815705757,14.112002169921,15.3715733329571,14.8376441783332,13.5359950866168,13.701980133488,13.9292694660268,13.7450084599577,13.2518022510678,13.6286796464373,13.1246937637219,11.9573475436459,11.7405863495244,11.8853890700422,10.9811363781928,10.9682717985864,10.7594492383259,9.96708913223727,9.54851222988517,9.21411463801458,9.05505952624689,7.99657496674538,7.51512394613455,7.42976503025865,7.31779353906172,7.76955926646144,8.2343516977562,7.67032305708453,8.36217786083367,8.14323621308657,8.10461998576169,8.55276631260551,8.12436312729496,8.50711071113221,8.68321821177006,8.23393236355014,8.22702549320187,7.86501379828856,8.33084665597349,8.90193088824779,8.95295433427643,9.2536741208194,9.81640214818198,9.57997279571212,9.71495700623428,9.41927534140066,9.61692247940046],"EWC^FG_PRICE_MAVG(0,,,,30)":37.638332,"VWO^P_PRICE(0)/P_PRICE_HIGH_PR(0,,,,,,\"PRICE\",\"INTRA\",\"52W\")":0.95615095,"TRYEU10Y-FDS^FG_YIELD(-10AY,0,Y,,\"YTM\")":[0.5475,0.636,0.2082,0.4294,0.239,-0.189,-0.575,-0.181,2.533,2.004],"BRENT-FDS^FG_PRICE(0)/MAX(FG_PRICE(0,-1AY))":0.870614479821537,"EWI^FG_PRICE_MAVG(0,,,,30)":36.850666,"EWA^FG_TOTAL_RETURNC(0,-3AM)":6.074691,"TRYNZ10Y-FDS^FG_YIELD(0,,,,\"YTM\")":4.3869,"EWU^FMA_EVAL_EBITDA(NTMA,0,,,\"PORTAGG\",\"MEANR\")":7.43298262462754,"TRYFR10Y-FDS^FG_YIELD(-10AY,0,Y,,\"YTM\")":[0.837,0.9989,0.682,0.785,0.71,0.118,-0.344,0.201,3.07,2.534],"CC_GB^FG_COMPANY_NAME":"United Kingdom","USDEUR^FG_PRICE_CHANGE(0,-1AY)":1.9159913,"EWD^FMA_PE(NTMA,-10AY,0,AM,\"PORTAGG\",\"MEANR\")":[15.6957184032946,14.8705376916171,14.6050360839399,14.1301609047894,15.6682014764798,15.7046229483106,16.5058168502483,17.1373473297752,17.0906730152926,16.6952859620128,16.4186449507939,16.0282338496078,15.9994207266152,14.5091684555695,14.119600017297,15.5307119686232,15.3683472713801,14.9834059643114,14.5439194185217,15.1124638352433,14.8304582920345,15.5962556299331,15.1109066414384,14.9556988932027,15.1856130775002,15.4426152553483,15.4248489694711,16.2606315355259,16.2791116851503,16.503854002506,16.5591539834831,16.3949769977963,17.1044611516613,17.2347633613478,18.0171480827448,16.8613737337367,16.3609764601548,15.7196082429829,16.4850317418994,17.1678046829742,16.6534299235491,16.4203912506951,16.6833353702567,16.4437210298115,15.4104305385713,15.9194387853305,15.7591945336442,15.0487068068376,15.5541684959768,15.7745743436895,15.8573638285185,13.9171393119493,14.0364179101012,13.2602411927482,13.4976109215811,14.85041033141,14.8957913820716,15.8891311389215,14.6740338549251,14.9305008379983,15.0298218518699,13.4814675992757,14.9239850086353,15.8094376818711,15.7013791936501,16.3192580188586,16.4700030136057,16.0484017642034,13.897511339482,16.4201515965494,18.2065588789901,19.2204692405169,18.6877888154449,18.4292964318944,17.859413085237,16.6358232520993,17.3826824705018,17.076698830785,18.9704160201187,18.7197263433983,20.2493086934537,19.3913112357542,17.6567913243689,18.6648337951173,19.056545193942,18.4941421596221,18.2378660806584,18.5869631012286,17.8354785772976,18.3021437850269,16.6252852234055,15.1580977838716,15.0101862994421,14.3729162168318,15.4688069650188,14.1239383237017,14.8328948212834,14.2163064277922,12.9034336993151,13.2404377631716,13.1333707215908,12.7279571936151,13.9755581821318,13.9315483681901,13.0127937950841,13.7318207777463,13.539760546032,13.2552641399776,13.292576639988,12.5295763876203,12.7301149312992,12.4523344044205,13.547384672793,15.6223358518721,15.4849573842263,16.1977426334385,16.7611925289402,16.0409530901524,16.3840604344195,15.9192626069432,16.1018302735349],"EWQ^SIZE(FG_CONSTITUENTS)":63,"TRYGB10Y-FDS^PCTCHG(FG_YIELD(0,,,,\"YTM\"),FG_YIELD(-1AM,,,,\"YTM\"))":-1.42581,"EWD^FG_FCF_YIELD_NTM(0)":5.08914763615821,"EWA^FMA_EVAL_EBITDA(NTMA,0,,,\"PORTAGG\",\"MEANR\")":8.60423173694872,"QQQ^P_PRICE_RETURNS_PR('52W',2,-10AY,0,AM)":[31.022585,31.703926,26.608444,21.58128,26.52161,21.549511,21.897352,22.516119,21.62856,27.60278,22.84423,18.322432,15.621686,4.6585083,6.4388633,15.666962,10.058033,9.051704,0.06186962,-4.0344477,0.46263933,-0.82114935,1.4234424,-4.3124557,3.57697,14.6246195,15.301681,6.087959,5.2518845,7.932508,23.085487,28.439962,23.040903,25.705862,30.223274,36.190178,28.62909,23.00582,23.235535,25.386524,33.27626,31.40422,37.376022,32.00867,26.945639,21.089481,21.440971,23.390747,25.289774,29.301273,29.69693,14.277113,5.0445795,-1.7611146,-1.0620892,2.8081536,9.86011,18.717861,5.9936643,8.921301,9.416413,2.1714091,3.6983728,15.398884,26.743258,41.380703,37.581097,25.654089,8.092129,13.682116,29.656578,30.337166,32.009674,59.241306,43.934788,44.432594,46.164,47.11615,48.60095,46.148014,65.69682,60.756718,46.79328,42.845142,45.006966,28.281998,41.42488,35.896347,32.74374,29.40756,5.3689003,11.062706,15.98078,-6.720895,-9.983092,-15.33202,-19.671219,-16.989946,-26.051586,-26.2361,-27.6007,-32.1465,-14.242399,-13.655591,-12.896097,-0.9091675,17.284012,22.275675,29.16335,14.36199,29.978348,24.491703,35.78074,54.658173,45.472862,50.610863,43.546223,39.118492,39.001442,35.227047,23.479605],"PASP-FDS^FG_PRICE_CHANGE(0,-3AM)":-6.82281059063137,"EWA^FG_PRICE(0)":24.68,"EWU^FG_FCF_YIELD_NTM(0)":6.22979986884211,"SPY^FG_TOTAL_RETURNC(0,-1AM)":-0.19614697,"TRYPL10Y-FDS^FG_YIELD(-10AY,0,Y,,\"YTM\")":[2.5048,2.9303,3.6245,3.292,2.8144,2.1086,1.235,3.6216,6.8411,5.1912],"EWL^P_PRICE(0)/P_PRICE_HIGH_PR(0,,,,,,\"PRICE\",\"INTRA\",\"52W\")":0.9887419,"EWQ^FMA_COS_DOWN(\"EPS\",\"1M\",+1,0,,,\"PORTAGG\",\"MEANR\")":37.0,"REFCHMPR-FDS^(SUBARRAY(NOT_NA(NO_REPEAT_F(FG_YIELD(NOW,-10AY,D))),0,1)-SUBARRAY(NOT_NA(NO_REPEAT_F(FG_YIELD(NOW,-10AY,D))),1,1))*100":-25.0,"CC_FR^IMF_IFS_RCPI_Q(0)":2.2093682,"EWD^FMA_DIV_YLD(NTMA,NOW,NOW,M,\"PORTAGG\",\"MEANR\")":3.23094000575736,"EWA^FG_FCF_YIELD_NTM(0)":5.09096211144267,"USDCAD^FG_PRICE(0)":1.384,"BRENT-FDS^FG_PRICE(0)":85.86,"EWN^PERCENT_CHANGE(FMA_EPS(+1,0,,,,\"PORTAGG\",\"MEAN\"),FMA_EPS(+1,-1AM,,,,\"PORTAGG\",\"MEAN\"))":-0.710738689340707,"REFCHMPR-FDS^FG_YIELD(NOW,,,0)":1.25,"TRYZA10Y-FDS^FG_YIELD(-10AY,0,Y,,\"YTM\")":[7.9537,9.7513,8.9047,8.58389,9.37766,9.011772,9.174469,9.791837,10.764477,11.358896],"EWQ^FMA_COS_UP(\"EPS\",\"1M\",+1,0,,,\"PORTAGG\",\"MEANR\")":18.0,"EWD^FMA_PE(NTMA,0,,,\"PORTAGG\",\"MEANR\")":16.1018302735349,"USDAUD^STD(FG_PRICE_CHANGE(0,-3AY,M))":3.06129369010948,"EWA^P_PRICE_RETURNS_PR('52W',2,-10AY,0,AM)":[17.12309,18.310738,-2.333337,-3.7249744,-1.6968906,-4.3179154,1.0073185,-1.5183508,-2.8111398,-5.5024266,-9.816837,-14.214373,-20.862425,-26.10696,-21.644514,-16.20567,-15.186244,-10.891843,-17.604065,-22.559196,-16.026323,-10.687059,-9.518946,-10.212874,5.951476,14.13393,18.911123,8.899832,13.336563,11.527753,28.595293,30.783998,20.049631,14.952982,15.362465,18.574715,16.82875,13.696575,14.902962,15.521288,16.743195,19.965446,18.307507,11.307276,5.140245,3.9675236,8.508146,9.401417,3.690195,4.188788,3.3041,-8.102739,-5.192089,-12.180239,-8.696413,-3.4485161,1.9425035,4.367888,2.5846362,6.21773,5.8410525,-0.13686419,6.2672377,19.74963,15.555525,24.517036,19.976568,3.061533,-23.844152,-21.902138,-14.201302,-13.325387,-9.104234,1.6577005,-7.804412,-6.201392,7.2179794,8.172512,10.046959,18.37864,63.501835,64.52321,49.852337,41.04769,32.32298,25.75699,32.350517,32.47813,7.185817,8.832991,-3.4021497,0.88214874,13.067794,-2.798599,-3.4476995,-12.220329,-10.261363,-6.3238087,-16.407835,-16.212315,-2.4784625,-5.295616,14.487732,1.307559,-12.159747,-1.5698969,-3.4985542,6.5250874,12.046599,-2.3389876,11.916388,2.494526,0.5623579,13.866604,-1.5383601,8.118189,14.662313,7.9960465,15.331221,13.712788,9.413374],"EWA^FMA_PE(NTMA,-10AY,0,AM,\"PORTAGG\",\"MEANR\")":[14.8958296660377,14.9299694884885,13.9043161430432,14.3210052169147,14.1513824576626,14.3533535242629,15.0707150867402,16.1798825039415,16.2666584307181,16.5986785497397,16.0289523548149,15.3132454893494,15.2628679678094,14.4474839532821,14.1964293388636,15.3033627352412,15.0758889831433,15.4374158399116,15.0849348538199,15.077202287216,15.7665172006967,16.1460623485286,16.5221401814202,15.6222328884701,16.7959790951639,16.7436373869721,16.2839274952513,15.8893767250447,16.0899706638585,15.7168049140357,15.6920770570483,15.8540378913022,15.5552445288805,15.9139028643459,15.3746191871798,15.3537595882767,15.8103070405955,15.7824154832613,15.3928449202409,15.845455828531,15.9332336571924,15.9635425252946,15.825534674446,15.6377095815979,14.8422082204757,14.9916404956643,15.2549722770613,15.4571770270812,15.5195635699127,15.5465024911069,15.2804791083467,13.8735515723673,14.0936951332199,13.5803836523841,14.7696178694428,15.2555252730345,15.2223555871541,15.5430077856131,15.6744808786086,16.2498824228411,16.3887207137146,15.8129253888022,16.610947107203,16.9948130377705,17.2786619666564,17.4127812680958,18.1516172194188,17.2320419905816,13.9233508209188,16.1564631300181,18.6248796434195,18.8234789611661,19.2925175236911,19.6532313562498,18.471502179878,18.5619733325001,19.9266244660146,19.2405379037905,19.337231276032,17.9550506925964,17.736930570692,18.10063068003,17.8428006572348,17.7415095016848,16.8298039435008,17.1840523389851,17.0216398449806,17.6496028598593,16.9111747813273,17.4037187717023,16.1501596683866,15.3303438279865,16.2078788866837,14.8805117636628,14.1537286047387,12.6277219563076,13.571789850401,14.2317782325453,12.5838894973987,13.3201337466437,14.6000012117347,14.2224203334722,14.9424238427143,14.5643934953363,13.8017319081492,14.5930196120808,14.1902734950577,14.6044385908539,15.7264738892274,15.0249232458851,14.8425030149593,14.3203129916682,15.1644585758691,16.2587335051808,16.3314154843917,16.5267013122304,16.6961680260025,16.2531162313433,16.6270919335406,16.8997615930303,16.9975756053481],"COPP-FDS^MAX(FG_PRICE(0,-5AY))":5.119,"USDSEK^STD(FG_PRICE_CHANGE(0,-3AY,M))":2.96832492591346,"EWD^FG_TOTAL_RETURNC(-10AY,0,AM)":[0.94151497,-2.8547287,-4.189694,-2.064985,5.023253,-4.440689,-0.09337664,6.8535805,-1.6326487,2.0450473,-0.8713305,0.42470694,-3.563881,-6.6395283,-3.8577676,5.7222605,-2.178216,0.39266348,-6.659937,-0.7207215,3.7023664,6.6853285,-2.2637725,-9.581083,6.985712,3.282833,0.34928322,-2.436471,-1.3200164,3.05444,6.736839,0.16436577,3.6429286,5.098164,2.7116656,0.4411459,2.299881,0.4963398,2.5566578,0.28328896,-1.6666651,-1.4652908,7.5088263,-4.2727947,-4.406297,-0.11972785,-0.029963255,-4.752117,5.6324124,-1.3408184,4.456389,-13.43419,1.0485768,-5.3049326,7.7119827,2.3413658,0.8289099,6.2479496,-6.5304875,4.9443603,-2.311945,-7.5666666,6.022358,7.176876,1.2059689,5.603385,-0.9019792,-4.5813084,-18.855328,3.095603,9.578109,7.308233,11.4137535,5.0058246,-5.238366,3.9485335,12.324131,0.5717397,6.047678,-0.5679071,7.5202227,5.422759,0.5248785,0.51208735,3.529656,-2.3208022,-1.9344032,3.5377383,-7.7034593,5.4131627,-8.892298,-6.3132524,-0.07717013,-9.060478,1.3869166,-8.825434,-0.34656525,-3.9203286,-12.339586,12.199699,13.282037,-3.824228,9.944403,-1.9662857,-4.3266535,8.056307,-3.1042218,-1.4015973,4.699731,-9.531725,-0.88821054,-4.1409135,16.441,12.341892,-5.858588,6.1427116,2.704072,-3.838575,6.6018343,-2.071637,-1.220429],"EWL^FMA_PE(LTMA,-10AY,0,AM,\"PORTAGG\",\"MEANR\")":[17.2824090383572,17.427559021687,17.2698775866963,16.8782642813845,17.734943490231,17.3627595471822,16.5860683086307,18.0220959471973,18.0025801512176,18.1951277739111,18.0849156587925,17.8976156300915,18.1484670385573,17.1583149635208,16.9487651228455,17.7349971107265,17.5500292007001,17.3473832510538,16.6149170311924,16.6073382950339,16.595976802544,16.8595905890579,17.135999976495,16.8231335285483,17.496222338858,17.8529501611658,18.0213766768524,17.6702235113837,17.5400228459349,18.1541870789835,18.6815919443021,19.6013938141022,19.5707082797753,19.492884832652,19.5386254545056,19.5285095100616,19.3128365804319,19.1529823204513,19.3541178726182,20.1407302668335,20.4880886249465,20.6197385987389,22.2579310036866,21.5949797216995,20.67983555138,20.3424281337264,19.9247140924011,19.2181477253809,19.3335181129103,18.8885228351161,18.6226486419275,17.492504930415,17.6109925942468,16.2145847016698,17.5052777948466,18.4845036219348,18.2468139216069,18.2908046453804,18.1727735247626,18.3053139709969,18.3386740551822,18.1181887980627,18.3785874677238,18.5971199354437,19.1296050991162,19.7156293387664,20.1573783283197,19.1743612877618,17.7273272067723,18.4746815456843,19.0833318056181,19.4727075203472,20.0411505631006,20.6850303621673,20.5875359836047,20.4797462606066,21.271210839808,21.3804125563601,21.7426750693549,20.4823143891709,20.4682490884232,20.2845455938056,20.5777738332771,20.9514174767073,20.8715654167005,21.1556802123336,20.4162156151816,20.6145794057623,20.4141359545974,21.4214549815714,19.9145937740504,18.4032207270857,18.5447616049369,18.427385184645,18.1218493925209,17.6638975897577,17.9467740745989,17.9994950947415,16.7738324988177,17.8138167596435,19.848209641085,20.1016253030926,21.2136909722349,20.8512471452258,20.3373746065953,20.2838501805546,19.9348962068841,19.2275424043687,19.1761435566022,18.7027167392701,18.4217739941729,17.5693935979082,18.0835719567896,18.3644579997738,18.6721673798354,19.2912564929904,19.143560749594,18.8326628402453,18.8627426837612,18.7986048509198,18.8654529773735],"NI-FDS^FG_PRICE_CHANGE(0,-1AM)":-8.04257835600236,"EWQ^FG_PRICE(0)":38.68,"SPY^FG_TOTAL_RETURNC(0,-12AM)":21.204163,"ENZL^FMA_PCT_ABOVE_MAVG(200,0,,,,\"PORTAGG\")":57.1428571428571,"EWQ^FMA_RBICS_REV_CURRENT(30, LOC, \"PORTAGG\")":11.1513304275671,"CC_CA^IMF_IFS_RCPI_Q(0)":null,"USO^P_PRICE(0)/P_PRICE_HIGH_PR(0,,,USD,,,\"PRICE\",\"INTRA\",\"52W\")":0.9124805,"CAGDPY@IT^EE_ACTUAL_ANNUAL(MED,0)":0.464184965048982,"USDNZD^STD(FG_PRICE_CHANGE(0,-3AY,M))":3.46200598131402,"TIOS-FDS^FG_PRICE_CHANGE(0,-1AY)":-5.09345380458853,"QQQ^FG_PRICE_MAVG(0,,,,30)":483.32434,"VGK^FMA_PCT_ABOVE_MAVG(200,0,,,,\"PORTAGG\")":60.1114649681529,"FXI^SIZE(FG_CONSTITUENTS)":52,"EWL^FMA_PE(LTM,0,,,\"PORTAGG\",\"MEANR\")":17.4209963003679,"ENZL^FMA_PE(LTM,0,,,\"PORTAGG\",\"MEANR\")":33.7049361743469,"TRYBR10Y-FDS^FG_YIELD(-10AY,0,Y,,\"YTM\")":[12.319731,15.989595,11.062725,9.887577,8.936093,6.883678,6.961219,10.970291,12.900059,10.455909],"EWN^FG_TOTAL_RETURNC(-10AY,0,AM)":[-3.7007868,0.49060583,-1.4239252,-4.4985533,6.914437,-0.99635124,-0.6554663,5.6082487,-1.093328,4.224241,-0.15150905,2.8284073,-2.1649957,-6.810379,-4.605937,7.939911,-1.7892599,-1.4217496,-5.165291,-0.9586096,6.423235,2.232325,1.132226,-9.587013,7.0435166,3.3109784,0.10142326,-1.195544,-2.7891636,2.912593,2.9069781,2.46166,5.7896852,4.560685,4.895854,-0.21715164,5.3546786,0.2124548,0.4240036,2.435851,0.6975293,0.21762848,7.551348,-4.171568,-2.084607,0.9705663,-1.0542631,-2.8960705,3.7389278,-1.8337011,-1.4814794,-10.4609375,3.4319162,-7.4278297,7.586205,6.125355,-0.3691256,4.78276,-2.764386,3.3077478,3.4098387,-5.136335,4.8128366,1.753819,2.538395,3.6023736,-0.17771721,-5.8457017,-16.010088,4.3151975,7.553959,8.911049,6.30213,5.027604,-5.3680124,3.3041,10.104728,6.8520427,5.527401,0.6861806,5.270326,5.9128165,0.46862364,-0.39929152,1.3937235,4.50778,1.2185693,-0.40130615,-5.2187204,1.0834217,-9.005022,-3.4459949,-2.562338,-10.213661,0.62761307,-5.852008,0.7270813,-2.7484775,-12.617749,8.3959465,16.214584,-2.0145655,13.715053,-5.2693186,0.0741601,2.618575,3.5387516,-1.6421735,5.210948,-7.6678395,-7.480061,-2.1279275,15.108705,6.2250733,2.8661013,3.8963914,3.28933,-1.8052697,6.8374276,-1.8634915,-2.8292477],"EWG^FMA_PE(LTMA,-10AY,0,AM,\"PORTAGG\",\"MEANR\")":[14.3897941389999,14.2745079061226,14.0645982560273,13.408668354228,14.4278581444787,14.4741141790598,15.7172638188525,16.3897078986909,16.4966664043106,16.4093057839537,16.0589413417043,15.7754827832166,15.4742431964141,14.2397661064254,13.698006976901,14.4750306409717,14.8397760311147,14.0848073133548,12.7793827168709,12.6511839848056,12.7350620119251,12.9534547358821,12.950152657466,12.5599472119305,13.0741434967674,13.3854191212356,13.4641406922538,13.8426259443546,13.7594308090077,14.7164538673077,15.2023965586817,15.0047171548094,14.929957922802,14.9357720363112,14.7811984215352,14.7380842970864,14.4161114719874,14.1681228163519,14.4434641570347,15.0148422070078,15.2718524542402,15.4533698837963,15.5625769581742,14.3802452656403,14.0330408358331,14.1382423869839,14.1462469085437,13.8685799939365,14.196114483033,14.0354116923586,14.0087231112272,13.0385689251633,12.9905513383978,12.1334201699405,12.9844578798768,13.2578457995986,13.1581826300358,13.4034774668338,13.1723910952703,13.3261879967429,13.6674042358793,13.3452808601706,13.9470689412837,14.7272506897877,15.2018072541382,15.5312237547034,15.7825810921999,15.0541918272441,13.7806942478015,14.5494265619986,16.0447224978725,17.3067140004735,18.7737065386685,20.1456857261244,19.8104486582935,19.4152285707309,21.6838106139247,21.7071707790833,21.5188926521404,20.2950863016861,20.0596312313536,19.5576899067087,18.8698887042651,18.4824892672078,17.7721121151122,16.981579210907,16.2270109632378,15.8703027629701,14.326653939516,14.1969419195821,13.6328486674345,12.6280547266543,12.434372385204,12.2183524606643,12.0722026926593,11.5482627998613,11.3875770018421,10.7798534425797,10.2299740297897,10.5399536541211,11.1645589056172,10.4909403059387,11.4095510805681,11.2426590903653,11.2659756214345,11.4249409594464,11.2915354973394,11.1869090088346,11.3109908531585,11.1110202044502,10.9793026517013,10.6238886383628,11.462071158707,11.91675822594,12.0961878972339,12.389700973642,12.5902022128915,12.5398847314937,12.558474663946,12.4362604327796,12.5531303363697],"PLATI-FDS^FG_PRICE_CHANGE(0,-3AM)":2.28260869565218,"EWJ^PERCENT_CHANGE(FMA_EPS(+1,0,,,,\"PORTAGG\",\"MEAN\"),FMA_EPS(+1,-3AM,,,,\"PORTAGG\",\"MEAN\"))":-0.380290789443318,"EWL^FMA_COS_DOWN(\"EPS\",\"1M\",+1,0,,,\"PORTAGG\",\"MEANR\")":18.0,"EWJ^FMA_RBICS_REV_CURRENT(30, LOC, \"PORTAGG\")":18.9435007684703,"REFCATARG-FDS^(SUBARRAY(NOT_NA(NO_REPEAT_F(FG_YIELD(NOW,-10AY,D))),0,1)-SUBARRAY(NOT_NA(NO_REPEAT_F(FG_YIELD(NOW,-10AY,D))),1,1))*100":-25.0,"CC_AU^IMF_IFS_RCPI_Q(0)":null,"EWQ^FMA_EVAL_EBITDA(NTMA,0,,,\"PORTAGG\",\"MEANR\")":8.87958773222007,"USO^FG_TOTAL_RETURNC(0,-3AM)":-5.324042,"CAGDPY@SE^EE_ACTUAL_ANNUAL(MED,+1)":6.0,"USDSEK^FG_PRICE(0)":10.80785,"USDGBP^FG_PRICE_CHANGE(0,-1AY)":0.5368233,"USDNZD^FG_PRICE_CHANGE(0,-6AM)":3.6153793,"EWG^FG_TOTAL_RETURNC(-10AY,0,AM)":[-3.05565,-2.786994,-4.2320786,-5.3813276,8.851231,-2.491349,0.92264414,4.008436,1.4536858,-0.73308945,-1.477009,1.5274763,-3.5507023,-6.2654915,-6.7220507,10.121452,-1.1397123,-0.37187934,-8.809257,-3.1928003,6.4270616,4.966235,-1.286906,-7.742339,6.726265,4.3079376,-0.5353689,-0.80738664,-3.2170534,5.4026484,5.587232,-1.079917,3.893745,4.1331053,3.5654306,1.2521744,0.7848263,0.87605715,2.1872044,2.8958082,1.927197,-0.40952563,7.3716044,-6.3590407,-3.99639,1.7840385,-0.9840071,-4.614621,4.0013313,-2.6290476,-0.032925606,-11.791831,1.0455489,-7.2062016,7.3277593,1.3729095,-1.5373349,6.096661,-2.9432356,2.592349,-0.43383837,-5.8823586,3.1635761,6.245327,2.2879243,1.2044072,0.7480383,-8.268642,-19.13172,2.411282,11.683691,6.790328,9.3338375,5.025816,-6.3913527,-1.6806722,8.903133,5.432129,2.135682,-1.5682697,3.7488341,5.992174,1.4204502,-0.23801327,-1.2564182,0.2891779,-2.0472884,0.058877468,-5.942929,2.8969526,-3.017062,-4.900408,-5.884308,-8.724833,4.3730617,-8.52828,-6.3518643,-3.4805894,-8.599162,12.190187,13.88638,-2.065283,13.263249,-3.4630477,0.2588749,7.2666883,-1.7193973,0.30126572,3.7992835,-5.455804,-5.149746,-4.428184,13.698626,5.214584,-1.0104477,3.1303167,4.1900396,-1.9632697,4.263568,-3.5963297,3.09515],"TIOS-FDS^FG_PRICE_CHANGE(0,-6AM)":-20.9590556990041,"QQQ^FG_PRICE(0)":462.97,"EWI^FG_TOTAL_RETURNC(0,-12AM)":17.209387,"FXI^FMA_COS_DOWN(\"EPS\",\"1M\",+1,0,,,\"PORTAGG\",\"MEANR\")":22.0,"EWA^FMA_RBICS_REV_CURRENT(30, LOC, \"PORTAGG\")":42.4062571267776,"TRYNL10Y-FDS^FG_YIELD(0,,,,\"YTM\")":2.679,"EWL^JULIAN(FMA_DIV_YLD(NTMA,NOW,NOW,M,\"PORTAGG\",\"MEANR\").DATES)":45471,"ENZL^JULIAN(FMA_DIV_YLD(NTMA,NOW,NOW,M,\"PORTAGG\",\"MEANR\").DATES)":45471,"TRYMY10Y-FDS^FG_YIELD(-10AY,0,Y,,\"YTM\")":[4.131911,4.345605,4.195897,3.902544,4.235642,3.300551,2.804181,3.573893,4.131847,3.727505],"EWC^FMA_PE(LTMA,-10AY,0,AM,\"PORTAGG\",\"MEANR\")":[16.4086285724664,16.4775991940564,15.9895560942524,15.6313342395109,15.9807388792348,15.6023388365469,15.8994637843955,17.0235896298101,17.0467013658387,17.3308300795533,17.230658766509,17.1829838457663,16.7707390110536,16.2633086628806,16.3660055566418,16.8711654588174,16.6826386687641,16.5645929933106,14.8825318938816,15.6168821012362,15.9798475786873,16.3141827442547,16.6139335103361,16.6750739661502,17.187182982873,17.4864785670122,17.7353117893889,18.2051564737648,18.8231631524516,19.3457952086138,19.9784791212173,19.60889210315,19.1557254624603,18.8787982367466,18.5828981091768,18.1222361722983,18.03282454826,17.6428478000191,17.52616594359,17.5172869156743,17.3830993418534,17.188395333893,17.1053973104326,16.1722331091905,15.6821865617974,15.6336271957853,15.5149666412153,15.5469580633783,15.5293715499545,15.3376575527633,15.1066894680246,14.0399811538607,13.9427517150836,12.7567585772802,14.3356663879129,14.8522238718363,14.7224090561321,14.652872928545,14.4453848401559,14.4600993863868,14.5303190889753,14.2523459628759,14.7208632722807,14.6770315520464,15.1319781639866,15.3739994771231,15.6578119912912,14.9846902254256,14.176493735219,15.2284929532531,17.089332137408,17.1083070382471,17.6764006531844,18.4642971813498,18.2102912034996,18.4845282209973,19.8671830088054,20.4879106851813,20.6952261915377,19.9904739717302,19.6500034088367,19.2979081507742,18.8760490044942,18.5815296320512,17.953091968383,17.2204043341445,16.633388088966,16.8077557444723,15.9383858565328,15.509443829075,14.9481690463298,15.2370762119043,15.0991309801464,14.6301691837391,14.2876237583789,13.5468165096982,13.1349025939668,13.0914954032713,12.1538513888758,12.451995317563,12.7748052871226,12.1842575604266,12.8910892030477,12.5643697352113,12.5292826867068,12.7579315819608,12.8251301945017,12.8439921248491,13.5143343672502,13.2561791323771,13.3037148285709,12.9866661274899,13.7322967198767,14.517413974969,14.711992799304,14.8557474232926,14.9302328841653,14.8985379749741,14.9781880702888,14.7973061826292,15.1088768241406],"PLATI-FDS^FG_PRICE_CHANGE(0,-1AM)":-6.3681592039801,"TIOS-FDS^FG_PRICE_CHANGE(0,-1AM)":0.544294294294301,"EWJ^PERCENT_CHANGE(FMA_EPS(+1,0,,,,\"PORTAGG\",\"MEAN\"),FMA_EPS(+1,-1AM,,,,\"PORTAGG\",\"MEAN\"))":3.43107170641426,"REFAUCASH-FDS^FG_YIELD(NOW,,,0)":4.35,"CC_NZ^IMF_IFS_RCPI_Q(0)":null,"EWQ^JULIAN(FMA_DIV_YLD(NTMA,NOW,NOW,M,\"PORTAGG\",\"MEANR\").DATES)":45471,"USO^FG_TOTAL_RETURNC(0,-1AM)":-3.3523798,"USDSEK^FG_COMPANY_NAME":"Swedish Krona per U.S. Dollar","EWC^FG_TOTAL_RETURNC(-10AY,0,AM)":[2.479601,-0.12251139,-4.967803,-3.7754118,3.7558675,-5.369079,-5.8517933,2.831924,-1.7525017,6.5890074,-4.713118,-0.5665481,-9.081,-7.311225,-0.51724315,4.67937,-3.80795,-4.1371765,-8.871698,7.988012,6.749892,8.531833,-1.3228238,-1.6046345,3.3968449,2.5641084,-1.5625,1.0714173,1.6097307,1.7406702,5.370152,-0.91008544,-2.5348961,-0.15077591,-0.41525364,1.0158539,5.8645487,-0.9292364,3.932178,-0.5553603,2.6527047,0.7641792,3.6226869,-5.672818,-4.2657375,2.5931358,2.3851871,-1.203692,3.3345103,-0.48060417,-1.0003388,-8.501744,0.38081408,-8.122789,11.754835,4.9211144,-1.109916,3.0412674,-2.213633,3.229177,0.80786943,-3.5540104,4.6242714,-0.17265081,2.455902,2.0190716,1.9785404,-4.6366334,-24.89655,7.4839234,7.560873,0.84609985,7.239461,7.566774,-6.1724186,1.3965487,10.184849,3.44975,1.802969,1.7393947,6.061554,3.722155,6.046903,1.0712862,-2.0689726,0.4062891,-0.45858622,6.5582633,-2.8738558,0.6578326,-1.6337276,2.196622,6.395805,-8.819908,0.05403757,-7.688558,-0.4715562,3.5238385,-12.099541,6.8987966,7.5494766,-5.664688,8.432269,-4.267269,-4.3401775,5.5794,-1.9163787,2.358842,4.820335,-6.326646,-0.14876127,-5.184746,8.830929,7.801962,-0.9774685,1.0419488,2.360928,-0.23860335,1.5944719,-2.4858296,3.7909627],"EWU^FG_PRICE_MAVG(0,,,,200)":33.5815,"EWJ^P_PRICE(0)/P_PRICE_HIGH_PR(0,,,,,,\"PRICE\",\"INTRA\",\"52W\")":0.95316726,"EWI^P_PRICE(0)/P_PRICE_HIGH_PR(0,,,,,,\"PRICE\",\"INTRA\",\"52W\")":0.95250195,"QQQ^FG_TOTAL_RETURNC(0,-12AM)":23.479605,"EWG^FG_TOTAL_RETURNC(0,-12AM)":10.787177,"FXI^FMA_COS_UP(\"EPS\",\"1M\",+1,0,,,\"PORTAGG\",\"MEANR\")":26.0,"ENZL^FMA_RBICS_REV_CURRENT(30, LOC, \"PORTAGG\")":14.6753056662198,"TRYFR10Y-FDS^FG_YIELD(0,,,,\"YTM\")":3.115,"VWO^JULIAN(FMA_DIV_YLD(NTMA,NOW,NOW,M,\"PORTAGG\",\"MEANR\").DATES)":45471,"TRYQA10Y-FDS^FG_YIELD(-10AY,0,Y,,\"YTM\")":[null,null,null,null,null,null,null,null,null,null],"USDNZD^FG_PRICE_CHANGE(0,-1AY)":5.4060936,"EWA^FMA_PE(LTMA,-10AY,0,AM,\"PORTAGG\",\"MEANR\")":[15.4615956867859,15.495300881697,14.7184700955155,15.0948856764954,14.8369360199092,14.5478656383555,15.0335471282789,16.1343571456289,16.2518233121926,16.4168690994018,16.2788505302652,15.9872431219633,15.9321085063801,15.4381916580526,15.100493988845,15.8454261017108,15.5470704058247,15.7355413446476,15.1464580863957,14.9372027356642,15.1412900899215,15.4069940901588,15.7613477697646,15.5322341052293,16.4270678638642,16.6873790901469,16.6856100875079,16.7192480346981,17.3565180399058,17.5424860665429,17.6178658189964,17.6912154457615,17.3518546115658,17.2919638705361,16.9521872566133,16.7622644502888,16.8936841306844,16.7437891978863,16.3122640345692,16.680527004456,16.6914114101435,16.7617447223651,16.8083737695171,16.6437981593547,16.3229135764186,16.2393468814175,16.239052514505,16.2751986837461,16.2776415290631,16.2640561107809,16.0617078041742,14.9064888445425,14.9053901847581,14.2542076694949,15.3799431966505,15.8260052751908,15.8550787284173,15.9223051538782,15.9823662155039,16.2879694939672,16.464363964218,16.1550277737539,16.7786894439572,17.2894523495894,17.6222374081403,17.9745617004679,18.7448036256346,17.7439313339083,16.3274166548633,16.8914481725788,18.0249919972616,18.3879882409979,19.0604964561104,19.8241929255336,19.3970669183844,20.1425555086016,22.4892605960055,23.0184446862916,23.3864673636357,21.8034729969148,21.3985704649108,21.115233177602,20.6537833434265,20.2332879928838,19.2872856815114,19.1088952526235,18.5958215218382,18.8081225506491,17.6689624205039,17.8141057744194,16.4664938019158,15.5226364317685,15.8078824521756,15.3995891647581,15.023324911026,14.1380480427824,14.3938630665793,14.6102212533448,13.2971792830215,13.53280202538,14.4668092716619,14.1001263107534,14.8755916972341,14.3270764204306,14.1274810875039,14.336296328297,14.2076625511532,14.4287169893067,15.1298768769939,14.7873882480359,14.7629131241763,14.397625431403,15.1256568819235,16.3420379394088,16.3959505038922,16.5949119521408,16.6445788758201,16.5440603531343,16.6925012107593,16.8774247589288,16.9741696845235],"PLATI-FDS^FG_PRICE_MAVG(0,,,,30)":987.8333,"TIOS-FDS^FG_PRICE(0)":107.14,"REFAUCASH-FDS^PROPER_NAME(0,,,\"SECURITY\",\"NAME\")":"Australia Target Cash Rate","SPY^FMA_EVAL_EBIT(LTMA,NOW,NOW,M,\"PORTAGG\",\"MEANR\")":20.7244989787839,"EWJ^FG_FCF_YIELD_NTM(0)":3.89773188028289,"DBA^P_PRICE(0)/P_PRICE_HIGH_PR(0,,,USD,,,\"PRICE\",\"INTRA\",\"52W\")":0.8983274,"USDANG^STD(FG_PRICE_CHANGE(0,-3AY,M))":0.0594600681310969,"ENZL^FG_TOTAL_RETURNC(-10AY,0,AM)":[-1.0473669,-2.6220858,-3.9525628,1.8762827,2.2481918,0.5458236,-0.8985102,3.8110733,-0.12269616,-0.99017024,-4.1864157,-6.8184495,-1.7393827,-6.3261747,0.3714323,12.43862,-2.2783458,6.5209985,-5.8586416,4.1107655,7.8968883,4.9046993,0.24225712,2.1076083,8.436942,3.293538,-1.8831611,-7.0228934,-0.96176267,-3.2593608,9.675789,-2.0323336,-2.3102283,2.0028949,4.8024535,5.6847215,3.9817214,-1.7158389,-0.21290779,-3.3710241,0.7507205,5.8074355,3.441,0.65306425,1.4801264,-5.134863,0.9898901,4.440093,-2.4974585,1.8117428,0.4090786,-10.470563,6.6894174,-0.24213195,6.7029357,2.447486,2.5482774,0.931859,0.21157265,2.408123,4.2998433,-6.950021,1.803577,0.6932378,3.987372,9.071339,0.99879503,-6.206316,-15.760767,4.8292994,5.624163,5.0735593,8.982265,4.1638136,-5.132425,6.309521,7.6356173,2.994299,4.3756485,-10.837012,-1.039499,4.993534,-3.7555814,-0.40208697,-0.5346775,1.2054086,2.140665,0.61455965,-9.158963,2.8234959,-8.673817,1.7429471,1.9604206,-9.038639,-6.0450373,-3.54923,0.2205491,1.9586325,-8.417874,0.49493313,10.365856,3.5809755,8.286953,-7.9954267,-0.24830103,1.2860417,-0.9215653,-0.8987546,4.297447,-9.291047,-1.0465384,-6.5931616,8.479881,8.632517,-2.1285415,-2.686572,-0.24101734,-2.767402,3.2301784,0.03862381,0.7273555],"EWU^FG_PRICE_MAVG(0,,,,60)":35.689667,"QQQ^P_PRICE(0)/P_PRICE_LOW_PR(0,,,,,,\"PRICE\",\"INTRA\",\"52W\")-1":0.3523295,"EWG^P_PRICE(0)/P_PRICE_LOW_PR(0,,,,,,\"PRICE\",\"INTRA\",\"52W\")-1":0.26735473,"URTH^SIZE(FG_CONSTITUENTS)":1430,"EWI^FG_ROE(0)":13.8571748586127,"VGK^FMA_EVAL_EBIT(LTMA,NOW,NOW,M,\"PORTAGG\",\"MEANR\")":13.2235185791242,"EWG^FMA_EVAL_EBIT(LTMA,NOW,NOW,M,\"PORTAGG\",\"MEANR\")":13.4158465316422,"CAGDPY@GB^EE_ACTUAL_ANNUAL(MED,+1)":-2.7,"USDNZD^FG_PRICE(0)":1.6973606,"ENZL^FMA_PE(LTMA,-10AY,0,AM,\"PORTAGG\",\"MEANR\")":[18.1471650053407,18.0191991647842,17.9041434392104,18.2227177897502,18.5736448753129,19.135174035517,19.7310428328413,20.4910459704989,20.2008330515695,20.0714568013408,20.0101339151476,19.6496878236845,19.8385257248821,19.022741889376,18.9111453212201,19.4900213208971,19.4924349934727,19.7634532259133,19.1338963822653,19.2903080505808,19.257798741171,19.4178078832587,19.6640881461057,19.3911550628918,20.474661772761,20.7805426923717,20.7639388183306,19.9784911165393,20.1085004843122,19.9857967367727,20.6048656988401,20.204930651405,19.7202747457232,19.8896448689022,20.018662549414,20.1632512285456,20.402028892511,20.6911266485399,20.6447905127151,21.2875193822579,21.3869042546703,22.372408394438,22.0496253338217,22.5637686363751,22.4897664729324,22.1955165651856,22.3886540725343,22.8783785247056,22.8523007715836,23.4049150149685,23.6650027383423,22.1527705536011,22.3199738688715,22.747700365783,23.5348813893366,24.1358785126204,24.0542161928566,24.1921509649454,24.45689526351,24.5450619616496,25.2092204939537,27.5672343789185,28.3697575843058,28.5998071790507,30.2158397700243,32.8102082242613,33.2292751068816,31.7644753775074,30.3963356061416,31.3512192888678,32.9611615671713,32.4023525668873,33.6765762864135,34.75130357643,33.5314765660501,36.0617609645546,35.2873063747185,37.8027338761035,37.3976504269667,34.3437409257866,34.3833292210324,34.5077104674441,34.6142932656914,35.8446980571788,36.5351876283092,38.0980559305335,38.8249415402382,38.97750959959,37.6876440363277,38.9108217155928,37.2020758975195,35.2455545789184,34.9986091086782,34.4361896636367,33.6652217104959,32.9498583105352,32.7635910265016,34.7676740696063,32.5372376279833,31.0291243447875,30.1431982180416,29.2819577999868,29.9414214926374,29.6039347066348,28.8981887653777,28.5012241960855,28.015046681685,25.9173065635271,25.415757499785,24.2258193014813,23.7150134104144,22.4256738905191,22.1753771799593,23.7792114510813,23.4235962947973,23.6222430697504,24.0347278282905,24.2210869495927,24.5136966610476,24.4928622709051,25.4049268423971],"EWD^FG_TOTAL_RETURNC(0,-12AM)":14.420092,"REFNZOCR-FDS^FG_YIELD(NOW,,,0)":5.5,"SPY^FMA_EVAL_EBITDA(NTMA,0,,,\"PORTAGG\",\"MEANR\")":14.155026828281,"ENZL^JULIAN(FG_TOTAL_RETURNC(-10AY,0,AM).DATES)":[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,45436,45469,45499],"CPALM-FDS^FG_PRICE(0)/MAX(FG_PRICE(0,-1AY))":0.88316226250273,"EWU^FG_PRICE_MAVG(0,,,,30)":35.368,"QQQ^P_PRICE(0)/P_PRICE_HIGH_PR(0,,,,,,\"PRICE\",\"INTRA\",\"52W\")":0.919467,"URTH^FMA_COS_DOWN(\"EPS\",\"1M\",+1,0,,,\"PORTAGG\",\"MEANR\")":623.0,"EWL^FG_ROE(0)":23.5607340666132,"TRYIT10Y-FDS^PCTCHG(FG_YIELD(0,,,,\"YTM\"),FG_YIELD(-1AM,,,,\"YTM\"))":-5.891204,"VGK^FMA_EVAL_EBITDA(NTMA,0,,,\"PORTAGG\",\"MEANR\")":8.80704764300504,"SPY^FG_FCF_YIELD_NTM(0)":4.21509208328183,"EWG^FMA_EVAL_EBITDA(NTMA,0,,,\"PORTAGG\",\"MEANR\")":8.43306322857141,"CAGDPY@GB^EE_ACTUAL_ANNUAL(MED,0)":-3.3,"USDANG^FG_PRICE_CHANGE(0,-1AY)":0.0,"USDNZD^FG_COMPANY_NAME":"New Zealand Dollar per U.S. Dollar","ENZL^JULIAN(FMA_DIV_YLD(LTMA,-10AY,0,AM,\"PORTAGG\",\"MEANR\").DATES)":[41845,41877,41908,41936,41969,41999,42030,42061,42089,42118,42150,42181,42209,42242,42272,42303,42333,42362,42395,42426,42453,42486,42516,42545,42577,42608,42639,42669,42699,42727,42761,42790,42818,42851,42881,42912,42942,42972,43004,43034,43063,43095,43126,43157,43185,43216,43245,43277,43307,43336,43369,43399,43430,43460,43490,43522,43550,43581,43609,43642,43672,43703,43734,43763,43795,43825,43854,43887,43916,43945,43977,44008,44036,44069,44099,44130,44160,44189,44222,44253,44281,44312,44342,44372,44403,44434,44463,44495,44526,44553,44587,44617,44645,44677,44707,44736,44768,44799,44830,44860,44890,44918,44952,44981,45009,45042,45072,45103,45133,45163,45195,45225,45254,45286,45317,45348,45377,45408,45436,45469,45497],"CPALM-FDS^FG_PRICE_CHANGE(0,-1AM)":3.00560366785532,"EWG^PERCENT_CHANGE(FMA_EPS(+1,0,,,,\"PORTAGG\",\"MEAN\"),FMA_EPS(+1,-1AM,,,,\"PORTAGG\",\"MEAN\"))":0.212402660234644,"EWG^SIZE(FG_CONSTITUENTS)":59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6,7.7689690341127,6.57910753918315],"QQQ^FMA_COS_DOWN(\"EPS\",\"1M\",+1,0,,,\"PORTAGG\",\"MEANR\")":37.0,"TRYNZ10Y-FDS^PCTCHG(FG_YIELD(0,,,,\"YTM\"),FG_YIELD(-1AM,,,,\"YTM\"))":-4.6968317,"EWA^JULIAN(FMA_ROE(NTMA,-20AY,NOW,FY,\"PORTAGG\",\"MEANR\").DATES)":[38352,38716,39080,39447,39813,40178,40543,40907,41274,41639,42004,42369,42734,43098,43465,43830,44196,44561,44925,45289],"VGK^PERCENT_CHANGE(FMA_EPS(+1,0,,,,\"PORTAGG\",\"MEAN\"),FMA_EPS(+1,-1AM,,,,\"PORTAGG\",\"MEAN\"))":-2.86881895465458,"QQQ^FMA_COS_UP(\"EPS\",\"1M\",+1,0,,,\"PORTAGG\",\"MEANR\")":39.0,"ENZL^FMA_PE(NTMA,0,,,\"PORTAGG\",\"MEANR\")":25.6878368884251,"EWD^FG_TOTAL_RETURNC(0,-3AM)":3.1193852,"ENZL^P_PRICE_RETURNS_PR('52W',2,-10AY,0,AM)":[20.525349,22.289228,5.305612,4.08839,9.857214,12.191319,8.04069,8.71551,1.0698199,-0.33103824,-4.255903,-11.957497,-12.192994,-15.89877,-12.495184,-3.0005872,-6.08899,-1.5546441,-6.701273,-6.431919,-0.41128397,7.099259,12.04958,21.191061,35.499012,49.413906,46.0577,20.777203,22.404396,11.9933605,29.50933,21.070826,10.338807,7.2866917,12.167358,16.0969,11.326969,4.4968367,7.731211,11.962593,15.59608,24.573444,17.491758,20.71234,25.395966,16.621256,13.247908,11.055279,4.1353226,8.080017,8.545303,0.57024956,6.498301,0.4092455,3.4067392,5.4221034,6.5317273,13.34455,12.400699,10.282803,17.971062,7.818663,9.3160515,21.70105,19.833351,31.021059,26.074017,13.54115,-6.7305684,-2.4724424,2.10315,4.7606587,8.710194,22.53803,14.211369,20.558416,25.42236,18.632067,21.775103,15.762925,35.993122,36.206184,24.110662,15.243173,7.369697,4.320252,13.678158,6.3012123,-10.285175,-9.978414,-21.631855,-11.382747,-7.6077166,-20.177858,-22.076654,-24.538916,-23.965954,-23.400068,-31.318396,-31.40006,-18.835766,-16.04163,-0.44917464,-7.0836725,-12.029797,-1.931107,3.4167051,6.258607,10.581123,-4.425478,6.298566,-1.198864,-2.2432506,1.8488884,-7.9473734,-2.6357412,-2.6286364,-6.525427,-3.5455227,-1.6872942,-5.0525246],"EWD^FG_TOTAL_RETURNC(0,-1AM)":-1.220429,"EWQ^FG_PRICE_MAVG(0,,,,60)":40.04817,"CC_CH^IMF_IFS_RCPI_Q(0)":1.3619826,"CC_JP^IMF_IFS_RCPI_Q(0)":null,"EWL^FMA_DIV_YLD(NTMA,-10AY,0,AM,\"PORTAGG\",\"MEANR\")":[3.3242205363201,3.31440166820316,3.3332329527283,3.43026940110766,3.22538166210818,3.27873766149703,3.40429112112341,3.14975592420569,3.14328484590748,3.04036351933831,3.11077744229172,3.21097543364718,3.13901141387144,3.39258978346562,3.46578287001677,3.27268986853835,3.25972106716265,3.28940463021131,3.50592985768614,3.53914648824197,3.56684385623282,3.47417769753273,3.44685815382076,3.647887315856,3.48274224225144,3.46233135844259,3.48393003649326,3.61492639258518,3.65585487155425,3.5618394533184,3.45443531551784,3.39066885823402,3.34995273704958,3.33803170203678,3.28817822977732,3.22599284230469,3.28786212910333,3.32198138522609,3.2875894084611,3.26600871542733,3.22119551013412,3.22823264468815,3.14112421508042,3.34487503331091,3.57437824705701,3.47811423556642,3.49187449598824,3.61405802141457,3.37144689268186,3.40991281049523,3.39696146301802,3.6281172865429,3.5501362073687,3.713960872083,3.48831391838875,3.30996349327772,3.3497593602336,3.25748672969272,3.28469838710662,3.23459763316656,3.21915329418587,3.28780535562105,3.21513626753685,3.17155605675422,3.0952315965652,3.02810590784627,2.97069823544594,3.09660857918847,3.53790964148672,3.32341337535256,3.168726955945,3.09982957077825,2.96358641626943,2.91436749156582,2.98732995007788,3.01873374457805,2.89559614320527,2.89893863273824,2.79384974290652,2.91272826287135,2.79736953671182,2.7367518530066,2.71894312756479,2.6122531505003,2.61307369786369,2.56632674978923,2.70093602115395,2.65462707400587,2.6629902999122,2.55192618966122,2.743880233911,2.81237262410996,2.79874861753998,2.88973743978543,2.99999310620577,3.16303071709902,3.09622639168432,3.17405100149736,3.49269811500771,3.25680013270733,3.0964002846403,3.22260496392914,3.05765847285103,3.11380867346124,3.28410611770562,3.08921745322901,3.11780046690485,3.20989320887611,3.16253050623944,3.28007999361524,3.35641914922228,3.5435807657909,3.36985494678818,3.28729510397641,3.2711620458416,3.28097929971066,3.28210387466984,3.38198003229751,3.22930668727381,3.22623202006623,3.18470347622646],"EWQ^FG_PRICE_MAVG(0,,,,30)":38.602,"EWQ^FMA_PCT_ABOVE_MAVG(200,0,,,,\"PORTAGG\")":45.1612903225806,"EWN^FMA_RBICS_REV_CURRENT(30, LOC, \"PORTAGG\")":23.8715121294945,"CC_DE^IMF_IFS_RCPI_Q(0)":2.2863681,"EWL^FG_PRICE_MAVG(0,,,,30)":49.04233,"VGK^FG_FCF_YIELD_NTM(0)":5.31248525773333,"CAGDPY@CA^EE_ACTUAL_ANNUAL(MED,0)":-0.725414399026327,"EWL^FG_PRICE(0)":50.06,"QQQ^PERCENT_CHANGE(FMA_EPS(+1,0,,,,\"PORTAGG\",\"MEAN\"),FMA_EPS(+1,-1AM,,,,\"PORTAGG\",\"MEAN\"))":-0.140557886396838,"EWG^FG_ROE(0)":9.42096796933569,"EWI^FMA_EVAL_EBITDA(NTMA,0,,,\"PORTAGG\",\"MEANR\")":6.76672880357929,"EWN^FMA_EVAL_EBITDA(NTMA,0,,,\"PORTAGG\",\"MEANR\")":12.1481377859138,"USDITL^FG_PRICE_CHANGE(0,-1AY)":1.9159913,"WL-FDS^FG_PRICE(0)/MAX(FG_PRICE(0,-1AY))":0.689939743253864,"EWG^FMA_PE(NTMA,0,,,\"PORTAGG\",\"MEANR\")":11.7995519527798,"EWA^FMA_PE(NTMA,0,,,\"PORTAGG\",\"MEANR\")":16.9975756053481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88086,1.85109750447789,2.46081748750493,2.8026651908005,2.92070467991761],"TRYPH10Y-FDS^FG_YIELD(-10AY,0,Y,,\"YTM\")":[3.8633,4.1,4.6281,5.6986,7.1730304,4.847582,3.4208684,4.796723,6.9293385,6.0028777],"EWA^FMA_COS_DOWN(\"EPS\",\"1M\",+1,0,,,\"PORTAGG\",\"MEANR\")":32.0,"EWQ^FG_PRICE_MAVG(0,,,,200)":38.992825,"EWN^FMA_PCT_ABOVE_MAVG(200,0,,,,\"PORTAGG\")":58.4905660377358,"EWU^FMA_DIV_YLD(NTMA,-10AY,0,AM,\"PORTAGG\",\"MEANR\")":[3.86786330230204,3.90747899797578,4.01722383555993,4.18508138786474,4.00811273415948,4.11100202539328,4.00323192885649,3.89269961220269,3.98392471796489,3.84747534928803,3.91911877825267,4.05538028785399,4.2031750636891,4.58349418336063,4.46339316864727,4.22094564514439,4.21630289786348,4.28181821948409,4.53984755744638,4.50580565864833,4.43689242952493,4.24290998868623,4.25937871832119,4.4494444189868,4.13528986870886,4.08002728106938,4.2088146346682,4.32776821366224,4.38467014530051,4.32711188519498,4.2813123260859,4.29361168504273,4.32123450706395,4.3289350463737,4.22907210147073,4.30779880808982,4.24896804664064,4.3508745577946,4.34750984750857,4.30980569759719,4.35809868852321,4.26296582508536,4.1654052541655,4.55641803036867,4.64289709140579,4.37268510361508,4.30767844586725,4.45586578186768,4.41501758845799,4.51036840899813,4.49418258705123,4.95942358424014,4.92686877381373,5.36329177397894,5.17817975400853,4.928909509966,4.93401396001298,4.85127430489794,4.92838100632943,4.79684414582751,4.79539033194331,5.14134514916268,4.92141721499361,4.82373628581809,4.75765614121255,4.55351955300415,4.57734909099119,4.95771598549732,6.12716827804267,5.48038534914743,4.26289297442666,4.17147507823095,4.07337862403747,4.01896075128802,4.26163852422475,4.38579684105425,3.95841267443466,3.92162591255947,3.92535669553153,4.06811652089806,4.03287699828363,3.9523693155827,3.91402157311358,3.91883852982305,4.09593071298361,4.20259683344389,4.19871921941521,4.00193338151876,4.17994113038687,3.93584555572208,3.87879200863649,3.89168417547618,3.93638914548609,4.1246789548139,4.04980887609697,4.28570941146485,4.23968870897555,4.30303423653407,4.77866519926574,4.5133662526476,4.2577422294998,4.260425499979,4.10226169263885,4.1418339766698,4.3894643004115,4.12498355585674,4.38801138192921,4.43593151174108,4.24771586112354,4.57657496294483,4.45115105313313,4.62901445140452,4.42677815085317,4.29722789446385,4.3009361524684,4.19011403703536,4.02965472777586,3.93949807344193,3.85158489562938,3.94891024189168,3.92380940834369],"EWI^FMA_PE(LTMA,-10AY,0,AM,\"PORTAGG\",\"MEANR\")":[17.288518512265,17.5001965359271,17.8599147731934,16.9442509468169,18.2465415901947,18.5718488422506,22.3310422328798,44.7416141464474,42.8551049095799,40.2668642888661,37.2639892823823,34.4104075342983,31.6886470050264,28.0899801071986,25.2397059294722,23.5409874558196,21.721751998509,18.6260556114805,15.8029737112487,15.2901698920908,15.3290650874652,15.3298285958255,15.5849100540659,14.2145687253534,14.7292325503623,15.065896229453,14.5682087341071,15.2503448321312,14.6154833132795,27.5300332724139,27.6039507774372,85.2858814628578,80.449126688322,72.7837158154629,65.7915756784264,58.4454184199036,51.6856649350935,44.5532427194684,37.2495128618596,30.5567118627607,23.6958884149885,16.419803412433,15.9316552002445,14.2454533337867,14.0340129207136,14.2098660980736,13.6391760417305,13.2551875712256,13.2331876381478,12.6877441485304,12.7129197907046,11.3108001361022,11.3062829335173,10.5056264260363,11.1445658509746,11.2462746563947,11.3080897273324,11.3367884322787,11.0308533287702,11.0756457052366,11.2984827660761,10.8975088447054,11.2942545257249,11.641979500927,11.9696359318003,12.3136502068578,12.2578299598184,12.0530679452878,11.0647612454052,12.0311150395606,14.0952737375039,16.1304157484973,17.600226269665,17.9388610045943,17.8014211800805,18.8380726361878,22.6752537754943,23.053936561267,20.6260969136538,20.3525735166553,19.8627345816533,19.2888514790469,18.5237454858333,18.2044163381729,17.4252250155856,15.7821147581026,14.9666218707159,14.4744958945904,12.7672599545387,12.1501654383022,11.7731544811196,10.7837623689634,10.5301484127292,10.3378368556983,10.1262920955218,9.51100589293797,8.97301917837035,8.43185685694555,8.10482238808145,8.10859093777583,8.28594963867931,7.48020154473232,8.07086507788233,8.11009269111406,8.20559969218478,8.35980648967551,8.2071572421251,8.43643405143603,8.50948052866972,8.20889731257101,8.23379275186084,7.9581350298125,8.28642790021084,8.85490751155456,9.01657001556237,9.27879221943601,9.48286854903579,9.4560969899052,9.5619115049098,9.48282095389475,9.67464188964369],"EWJ^FG_ROE(0)":9.5878901590903,"CAGDPY@CH^EE_ACTUAL_ANNUAL(MED,+1)":8.0,"EWD^FMA_PE(LTMA,-10AY,0,AM,\"PORTAGG\",\"MEANR\")":[16.0757992237198,15.9156974779325,15.9975096250154,15.7817339243698,17.2094855836152,17.6296427566868,18.6089900515585,20.2217339928199,20.0287061596624,19.6291842932628,19.3114386912568,18.8407063683087,18.5800215155746,17.2652899367083,16.5630149010859,17.3111452610106,16.761316231165,16.1136105152847,15.1117667791444,15.5362511309696,15.5093716247203,15.7596346132098,15.619251939419,15.5819325215491,15.7934173208771,16.0318551972883,16.2745799284572,17.4221451352042,17.4631892061572,18.2220308462426,18.8325036445909,17.4405008377122,17.5883320380166,17.6787276686208,18.0905701056251,17.6883662901903,17.4458188686696,16.8130896916216,17.4624123135745,18.3586655951269,18.0894237804823,18.2095759807527,18.4267800400263,17.0418080733914,16.7432122447245,16.814468828433,16.7210733583433,16.3389914636365,16.5842516248438,16.7470864446401,16.9093832018643,14.8901571378867,14.8168076787125,13.7526502958275,16.1558095811589,18.2580999358098,17.9177299927001,17.9724385282923,17.3160389677512,17.1181773795813,16.9346577607654,15.6398322081023,16.4324793274568,16.9460905902132,15.9989522467807,16.4340427460974,14.2886352244008,13.7048466796454,12.8412316233301,14.1725349074051,15.5437198658771,17.0746919181176,17.048040126438,17.3261952870101,17.6901100185666,15.3986098470151,16.7982692373236,17.0904272717465,18.427641207412,17.5604129321876,18.0947000318351,18.070844890193,17.4210557280661,17.9423125334018,18.1798554161057,17.505198887372,17.2663466008386,17.4050841897576,16.2681089976422,16.6227288555667,12.124673921939,11.6476301231072,11.9482420889816,12.1476057613465,13.3704911688216,13.1947960004426,14.2455430142468,14.5367404165374,14.0997681133808,13.4481340487392,14.3757763680528,15.427287545359,24.5786480032787,25.5414126717457,24.5372833329785,23.4312952087531,22.231183099723,20.8914441729888,19.6813388869748,17.9217385205226,16.7256598504039,15.8558472843202,15.8069548550712,17.9126144324797,15.3788475532832,15.7116259145351,15.9814714880437,15.9069816209811,16.1097547148451,16.0320509942331,16.3904679388207],"DDR3512M-FDS^FG_PRICE(0)/MAX(FG_PRICE(0,-1AY))":0.876332019230769,"NI-FDS^FG_PRICE(0)/MAX(FG_PRICE(0,-1AY))":0.695593826884366,"EWN^FMA_PE(LTM,0,,,\"PORTAGG\",\"MEANR\")":21.3755907234236,"USDAUD^STD(FG_PRICE_CHANGE(0,-1AY,AM))":2.56872664624897,"VGK^P_PRICE(0)/P_PRICE_HIGH_PR(0,,,,,,\"PRICE\",\"INTRA\",\"52W\")":0.9638486,"USDANG^FG_COMPANY_NAME":"Netherlands Antilles Guilder per U.S. Dollar","NI-FDS^FG_PRICE_CHANGE(0,-3AM)":-18.9259645464025,"SPY^FMA_DIV_YLD(NTMA,NOW,NOW,M,\"PORTAGG\",\"MEANR\")":1.40757877344102,"EWG^FMA_PCT_ABOVE_MAVG(200,0,,,,\"PORTAGG\")":58.6206896551724,"REFSEREPO-FDS^(SUBARRAY(NOT_NA(NO_REPEAT_F(FG_YIELD(NOW,-10AY,D))),0,1)-SUBARRAY(NOT_NA(NO_REPEAT_F(FG_YIELD(NOW,-10AY,D))),1,1))*100":-25.0,"UUP^P_PRICE(0)/P_PRICE_HIGH_PR(0,,,USD,,,\"PRICE\",\"INTRA\",\"52W\")":0.95541185,"SPY^FMA_PE(NTMA,0,,,\"PORTAGG\",\"MEANR\")":20.5995979863517,"W-FDS^MAX(FG_PRICE(0,-5AY))":14.2525,"EWA^PERCENT_CHANGE(FMA_EPS(+1,0,,,,\"PORTAGG\",\"MEAN\"),FMA_EPS(+1,-1AM,,,,\"PORTAGG\",\"MEAN\"))":-0.178085886270944,"REFCHMPR-FDS^PROPER_NAME(0,,,\"SECURITY\",\"NAME\")":"Swiss Policy Rate - Sight Deposit Rate","W-FDS^FG_PRICE_CHANGE(0,-1AY)":-27.2916666666667,"EWL^FMA_EVAL_EBITDA(NTMA,0,,,\"PORTAGG\",\"MEANR\")":13.0136380621619,"COPP-FDS^FG_PRICE(0)/MAX(FG_PRICE(0,-1AY))":0.80181676108615,"REFJPTON-FDS^(SUBARRAY(NOT_NA(NO_REPEAT_F(FG_YIELD(NOW,-10AY,D))),0,1)-SUBARRAY(NOT_NA(NO_REPEAT_F(FG_YIELD(NOW,-10AY,D))),1,1))*100":20.0,"USDJPY^STD(FG_PRICE_CHANGE(0,-3AY,M))":3.0506571243322,"ENZL^P_PRICE(0)/P_PRICE_LOW_PR(0,,,,,,\"PRICE\",\"INTRA\",\"52W\")-1":0.11381638,"COPP-FDS^FG_PRICE_CHANGE(0,-1AM)":-6.02175157412708,"REFJPTON-FDS^FG_YIELD(NOW,,,0)":0.1,"USDJPY^FG_PRICE(0)":153.535,"TIOS-FDS^FG_PRICE(0)/MAX(FG_PRICE(0,-1AY))":0.743201997780244,"URTH^FMA_COS_UP(\"EPS\",\"1M\",+1,0,,,\"PORTAGG\",\"MEANR\")":543.0,"TRYNL10Y-FDS^PCTCHG(FG_YIELD(0,,,,\"YTM\"),FG_YIELD(-3AM,,,,\"YTM\"))":-5.9009485,"EWG^FMA_DIV_YLD(NTMA,NOW,NOW,M,\"PORTAGG\",\"MEANR\")":3.41879576952376,"VWO^FMA_COS_DOWN(\"EPS\",\"1M\",+1,0,,,\"PORTAGG\",\"MEANR\")":971.0,"USDAUD^FG_PRICE_CHANGE(0,-6AM)":0.5645871,"TRYNZ10Y-FDS^PCTCHG(FG_YIELD(0,,,,\"YTM\"),FG_YIELD(-3AM,,,,\"YTM\"))":-12.197031,"DUMMY^ECON_DATE(45380,,, 'MM/YYYY')":"03/2024","DUMMY^ECON_DATE(45472,,, 'MM/YYYY')":"06/2024","CC_IT^IMF_IFS_RCPI_Q(-1AM)":0.92385906,"CC_GB^IMF_IFS_RCPI_Q(-1AM)":3.9194994,"CC_NZ^IMF_IFS_RCPI_Q(-1AM)":4.022989,"CC_AU^IMF_IFS_RCPI_Q(-1AM)":3.61991,"CC_CA^IMF_IFS_RCPI_Q(-1AM)":2.8466706,"CC_JP^IMF_IFS_RCPI_Q(-1AM)":2.5231562,"DUMMY^ECON_EXPR_DATA('FDS_ECON[NTCPMIMFGSA@NZ]',06/2024,,Q)":45.388824,"DUMMY^ECON_EXPR_DATA('FDS_ECON[NTCPMIMFGSA@NZ]',03/2024,,Q)":47.7971,"DUMMY^ECON_EXPR_DATA('FDS_ECON[NTCPMIMFGSA@AU]',06/2024,,Q)":48.811333,"DUMMY^ECON_EXPR_DATA('FDS_ECON[NTCPMIMFGSA@AU]',03/2024,,Q)":48.39547,"DUMMY^ECON_EXPR_DATA('FDS_ECON[NTCPMIMFGSA@CA]',06/2024,,Q)":49.331886,"DUMMY^ECON_EXPR_DATA('FDS_ECON[NTCPMIMFGSA@CA]',03/2024,,Q)":49.30091,"DUMMY^ECON_EXPR_DATA('FDS_ECON[NTCPMIMFGSA@DE]',06/2024,,Q)":43.782,"DUMMY^ECON_EXPR_DATA('FDS_ECON[NTCPMIMFGSA@DE]',03/2024,,Q)":43.319096,"DUMMY^ECON_EXPR_DATA('FDS_ECON[NTCPMIMFGSA@JP]',06/2024,,Q)":49.991356,"DUMMY^ECON_EXPR_DATA('FDS_ECON[NTCPMIMFGSA@JP]',03/2024,,Q)":47.808857,"DUMMY^ECON_EXPR_DATA('FDS_ECON[NTCPMIMFGSA@CH]',06/2024,,Q)":43.896877,"DUMMY^ECON_EXPR_DATA('FDS_ECON[NTCPMIMFGSA@CH]',03/2024,,Q)":44.08605,"DUMMY^ECON_EXPR_DATA('FDS_ECON[NTCPMIMFGSA@GB]',06/2024,,Q)":50.395269999999996,"DUMMY^ECON_EXPR_DATA('FDS_ECON[NTCPMIMFGSA@GB]',03/2024,,Q)":48.24796,"DUMMY^ECON_EXPR_DATA('FDS_ECON[NTCPMIMFGMESA@US]',06/2024,,Q)":50.939392,"DUMMY^ECON_EXPR_DATA('FDS_ECON[NTCPMIMFGMESA@US]',03/2024,,Q)":51.582687,"DUMMY^ECON_EXPR_DATA('FDS_ECON[NTCPMIMFGSA@FR]',06/2024,,Q)":45.684513,"DUMMY^ECON_EXPR_DATA('FDS_ECON[NTCPMIMFGSA@FR]',03/2024,,Q)":45.498753,"DUMMY^ECON_EXPR_DATA('FDS_ECON[NTCPMIMFGSA@NL]',06/2024,,Q)":51.49388,"DUMMY^ECON_EXPR_DATA('FDS_ECON[NTCPMIMFGSA@NL]',03/2024,,Q)":49.325874,"DUMMY^ECON_EXPR_DATA('FDS_ECON[]',06/2024,,Q)":null,"DUMMY^ECON_EXPR_DATA('FDS_ECON[]',03/2024,,Q)":null,"DUMMY^ECON_EXPR_DATA('FDS_ECON[NTCPMIMFGSA@IT]',06/2024,,Q)":46.215786,"DUMMY^ECON_EXPR_DATA('FDS_ECON[NTCPMIMFGSA@IT]',03/2024,,Q)":49.208153,"DUMMY^ECON_EXPR_DATA('FDS_ECON[PMIDMMANHE]',06/2024,,Q)":49.41843,"DUMMY^ECON_EXPR_DATA('FDS_ECON[PMIDMMANHE]',03/2024,,Q)":49.135437,"DUMMY^ECON_EXPR_DATA('FDS_ECON[NTCPMIMFGSA@EME]',06/2024,,Q)":52.017086,"DUMMY^ECON_EXPR_DATA('FDS_ECON[NTCPMIMFGSA@EME]',03/2024,,Q)":51.512165}]]></FdsFormulaCache>
</file>

<file path=customXml/itemProps1.xml><?xml version="1.0" encoding="utf-8"?>
<ds:datastoreItem xmlns:ds="http://schemas.openxmlformats.org/officeDocument/2006/customXml" ds:itemID="{BAFF14C4-F10F-4AE9-8A5E-4EDBC9E6BF29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2024-07-29T04:06:55Z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